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dmeyer\Documents\USFS files\Sequoia National Forest\Grove Postfire Inventory 2022-2023\Data\"/>
    </mc:Choice>
  </mc:AlternateContent>
  <xr:revisionPtr revIDLastSave="0" documentId="13_ncr:1_{532BD61F-8233-4E10-9001-14D0C2244A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otData" sheetId="1" r:id="rId1"/>
    <sheet name="TreeData" sheetId="2" r:id="rId2"/>
    <sheet name="Monarchs" sheetId="3" r:id="rId3"/>
    <sheet name="FineFuels" sheetId="4" r:id="rId4"/>
    <sheet name="HeavyFuels" sheetId="5" r:id="rId5"/>
    <sheet name="RegenPlotSizeComp" sheetId="9" r:id="rId6"/>
    <sheet name="Notes" sheetId="8" r:id="rId7"/>
  </sheets>
  <definedNames>
    <definedName name="_xlnm._FilterDatabase" localSheetId="2" hidden="1">Monarchs!$A$1:$AK$492</definedName>
    <definedName name="_xlnm._FilterDatabase" localSheetId="1" hidden="1">TreeData!$A$1:$Q$2478</definedName>
    <definedName name="d">TreeData!$H:$H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aX4DXl/vsPcUk+mQxszEDQcUJrfacFBHbDN+CtcLvg="/>
    </ext>
  </extLst>
</workbook>
</file>

<file path=xl/calcChain.xml><?xml version="1.0" encoding="utf-8"?>
<calcChain xmlns="http://schemas.openxmlformats.org/spreadsheetml/2006/main">
  <c r="AB106" i="1" l="1"/>
  <c r="AA106" i="1"/>
  <c r="Z106" i="1"/>
  <c r="V106" i="1"/>
  <c r="U106" i="1"/>
  <c r="T106" i="1"/>
  <c r="Y105" i="1"/>
  <c r="S105" i="1"/>
  <c r="AC103" i="1"/>
  <c r="AB103" i="1"/>
  <c r="Z103" i="1"/>
  <c r="AD103" i="1" s="1"/>
  <c r="W103" i="1"/>
  <c r="V103" i="1"/>
  <c r="T103" i="1"/>
  <c r="Z102" i="1"/>
  <c r="T102" i="1"/>
  <c r="Z101" i="1"/>
  <c r="AA101" i="1"/>
  <c r="U101" i="1"/>
  <c r="T101" i="1"/>
  <c r="Z100" i="1"/>
  <c r="T100" i="1"/>
  <c r="AB99" i="1"/>
  <c r="AA99" i="1"/>
  <c r="AD99" i="1" s="1"/>
  <c r="V99" i="1"/>
  <c r="U99" i="1"/>
  <c r="Y98" i="1"/>
  <c r="Z98" i="1"/>
  <c r="AD98" i="1" s="1"/>
  <c r="T98" i="1"/>
  <c r="X98" i="1" s="1"/>
  <c r="S98" i="1"/>
  <c r="AA97" i="1"/>
  <c r="Z97" i="1"/>
  <c r="U97" i="1"/>
  <c r="T97" i="1"/>
  <c r="AA93" i="1"/>
  <c r="Z93" i="1"/>
  <c r="U93" i="1"/>
  <c r="T93" i="1"/>
  <c r="Z89" i="1"/>
  <c r="T89" i="1"/>
  <c r="X89" i="1" s="1"/>
  <c r="AC82" i="1"/>
  <c r="AA82" i="1"/>
  <c r="W82" i="1"/>
  <c r="U82" i="1"/>
  <c r="X82" i="1" s="1"/>
  <c r="AB80" i="1"/>
  <c r="AA80" i="1"/>
  <c r="Z80" i="1"/>
  <c r="Y80" i="1"/>
  <c r="V80" i="1"/>
  <c r="U80" i="1"/>
  <c r="T80" i="1"/>
  <c r="S80" i="1"/>
  <c r="AC79" i="1"/>
  <c r="AB79" i="1"/>
  <c r="AA79" i="1"/>
  <c r="Z79" i="1"/>
  <c r="W79" i="1"/>
  <c r="V79" i="1"/>
  <c r="U79" i="1"/>
  <c r="T79" i="1"/>
  <c r="AB78" i="1"/>
  <c r="AA78" i="1"/>
  <c r="Z78" i="1"/>
  <c r="V78" i="1"/>
  <c r="U78" i="1"/>
  <c r="T78" i="1"/>
  <c r="AB75" i="1"/>
  <c r="V75" i="1"/>
  <c r="AC74" i="1"/>
  <c r="AB74" i="1"/>
  <c r="Z74" i="1"/>
  <c r="AD74" i="1" s="1"/>
  <c r="Y74" i="1"/>
  <c r="W74" i="1"/>
  <c r="V74" i="1"/>
  <c r="T74" i="1"/>
  <c r="X74" i="1" s="1"/>
  <c r="S74" i="1"/>
  <c r="AA73" i="1"/>
  <c r="AD73" i="1" s="1"/>
  <c r="Y73" i="1"/>
  <c r="U73" i="1"/>
  <c r="X73" i="1" s="1"/>
  <c r="S73" i="1"/>
  <c r="Y72" i="1"/>
  <c r="S72" i="1"/>
  <c r="AD72" i="1"/>
  <c r="AD75" i="1"/>
  <c r="AD105" i="1"/>
  <c r="X72" i="1"/>
  <c r="X75" i="1"/>
  <c r="X105" i="1"/>
  <c r="AA70" i="1"/>
  <c r="U70" i="1"/>
  <c r="X70" i="1" s="1"/>
  <c r="AB69" i="1"/>
  <c r="V69" i="1"/>
  <c r="AA67" i="1"/>
  <c r="Z67" i="1"/>
  <c r="U67" i="1"/>
  <c r="T67" i="1"/>
  <c r="AA66" i="1"/>
  <c r="Z66" i="1"/>
  <c r="U66" i="1"/>
  <c r="T66" i="1"/>
  <c r="AB64" i="1"/>
  <c r="Z64" i="1"/>
  <c r="V64" i="1"/>
  <c r="T64" i="1"/>
  <c r="X64" i="1" s="1"/>
  <c r="AB61" i="1"/>
  <c r="Z61" i="1"/>
  <c r="AD61" i="1" s="1"/>
  <c r="V61" i="1"/>
  <c r="T61" i="1"/>
  <c r="X61" i="1" s="1"/>
  <c r="AC60" i="1"/>
  <c r="AA60" i="1"/>
  <c r="Z60" i="1"/>
  <c r="Y60" i="1"/>
  <c r="U13" i="1"/>
  <c r="T13" i="1"/>
  <c r="W60" i="1"/>
  <c r="U60" i="1"/>
  <c r="T60" i="1"/>
  <c r="S60" i="1"/>
  <c r="Y58" i="1"/>
  <c r="S58" i="1"/>
  <c r="AB57" i="1"/>
  <c r="Z57" i="1"/>
  <c r="AD57" i="1" s="1"/>
  <c r="V57" i="1"/>
  <c r="T57" i="1"/>
  <c r="X57" i="1" s="1"/>
  <c r="AB55" i="1"/>
  <c r="Z55" i="1"/>
  <c r="V55" i="1"/>
  <c r="T55" i="1"/>
  <c r="Z54" i="1"/>
  <c r="AD54" i="1" s="1"/>
  <c r="X58" i="1"/>
  <c r="X63" i="1"/>
  <c r="X69" i="1"/>
  <c r="AD58" i="1"/>
  <c r="AD69" i="1"/>
  <c r="T54" i="1"/>
  <c r="X54" i="1" s="1"/>
  <c r="AA52" i="1"/>
  <c r="AD52" i="1" s="1"/>
  <c r="U52" i="1"/>
  <c r="AB50" i="1"/>
  <c r="Z50" i="1"/>
  <c r="AD50" i="1" s="1"/>
  <c r="V50" i="1"/>
  <c r="T50" i="1"/>
  <c r="X50" i="1" s="1"/>
  <c r="Z49" i="1"/>
  <c r="AD49" i="1" s="1"/>
  <c r="T49" i="1"/>
  <c r="X49" i="1" s="1"/>
  <c r="AB46" i="1"/>
  <c r="AA46" i="1"/>
  <c r="Z46" i="1"/>
  <c r="V46" i="1"/>
  <c r="U46" i="1"/>
  <c r="T46" i="1"/>
  <c r="Y45" i="1"/>
  <c r="AD45" i="1"/>
  <c r="X45" i="1"/>
  <c r="S45" i="1"/>
  <c r="AB43" i="1"/>
  <c r="AA43" i="1"/>
  <c r="AD43" i="1" s="1"/>
  <c r="V43" i="1"/>
  <c r="U43" i="1"/>
  <c r="X43" i="1" s="1"/>
  <c r="AB42" i="1"/>
  <c r="AA42" i="1"/>
  <c r="Z42" i="1"/>
  <c r="V42" i="1"/>
  <c r="U42" i="1"/>
  <c r="T42" i="1"/>
  <c r="AB41" i="1"/>
  <c r="Z41" i="1"/>
  <c r="AD41" i="1" s="1"/>
  <c r="V41" i="1"/>
  <c r="T41" i="1"/>
  <c r="X41" i="1" s="1"/>
  <c r="AB39" i="1"/>
  <c r="AC39" i="1"/>
  <c r="AA39" i="1"/>
  <c r="Z39" i="1"/>
  <c r="W39" i="1"/>
  <c r="V39" i="1"/>
  <c r="U39" i="1"/>
  <c r="T39" i="1"/>
  <c r="Z38" i="1"/>
  <c r="T38" i="1"/>
  <c r="X38" i="1" s="1"/>
  <c r="AA36" i="1"/>
  <c r="Z36" i="1"/>
  <c r="AB37" i="1"/>
  <c r="AA37" i="1"/>
  <c r="Z37" i="1"/>
  <c r="V37" i="1"/>
  <c r="U37" i="1"/>
  <c r="T37" i="1"/>
  <c r="AC36" i="1"/>
  <c r="W36" i="1"/>
  <c r="U36" i="1"/>
  <c r="T36" i="1"/>
  <c r="Z16" i="1"/>
  <c r="U16" i="1"/>
  <c r="T16" i="1"/>
  <c r="AA4" i="1"/>
  <c r="Z14" i="1"/>
  <c r="AC2" i="1"/>
  <c r="Z2" i="1"/>
  <c r="Y2" i="1"/>
  <c r="Y32" i="1"/>
  <c r="U32" i="1"/>
  <c r="T32" i="1"/>
  <c r="S32" i="1"/>
  <c r="AC35" i="1"/>
  <c r="AB35" i="1"/>
  <c r="AA35" i="1"/>
  <c r="Z35" i="1"/>
  <c r="W35" i="1"/>
  <c r="U35" i="1"/>
  <c r="T35" i="1"/>
  <c r="AB34" i="1"/>
  <c r="AA34" i="1"/>
  <c r="Z34" i="1"/>
  <c r="V34" i="1"/>
  <c r="U34" i="1"/>
  <c r="T34" i="1"/>
  <c r="AB33" i="1"/>
  <c r="AA33" i="1"/>
  <c r="Z33" i="1"/>
  <c r="V33" i="1"/>
  <c r="U33" i="1"/>
  <c r="T33" i="1"/>
  <c r="R273" i="3"/>
  <c r="S75" i="3"/>
  <c r="R44" i="3"/>
  <c r="AD70" i="1" l="1"/>
  <c r="AD79" i="1"/>
  <c r="X34" i="1"/>
  <c r="X101" i="1"/>
  <c r="AD37" i="1"/>
  <c r="AD89" i="1"/>
  <c r="X39" i="1"/>
  <c r="X66" i="1"/>
  <c r="AD66" i="1"/>
  <c r="X100" i="1"/>
  <c r="AD102" i="1"/>
  <c r="X33" i="1"/>
  <c r="AD42" i="1"/>
  <c r="AD60" i="1"/>
  <c r="AD46" i="1"/>
  <c r="X106" i="1"/>
  <c r="X93" i="1"/>
  <c r="X52" i="1"/>
  <c r="AD82" i="1"/>
  <c r="X80" i="1"/>
  <c r="AD35" i="1"/>
  <c r="AD93" i="1"/>
  <c r="X36" i="1"/>
  <c r="AD38" i="1"/>
  <c r="AD106" i="1"/>
  <c r="X97" i="1"/>
  <c r="X103" i="1"/>
  <c r="X46" i="1"/>
  <c r="X37" i="1"/>
  <c r="AD39" i="1"/>
  <c r="X55" i="1"/>
  <c r="X102" i="1"/>
  <c r="AD101" i="1"/>
  <c r="AD100" i="1"/>
  <c r="X99" i="1"/>
  <c r="AD97" i="1"/>
  <c r="AD80" i="1"/>
  <c r="X79" i="1"/>
  <c r="AD78" i="1"/>
  <c r="X78" i="1"/>
  <c r="AD67" i="1"/>
  <c r="X67" i="1"/>
  <c r="AD64" i="1"/>
  <c r="X42" i="1"/>
  <c r="X35" i="1"/>
  <c r="X60" i="1"/>
  <c r="AD55" i="1"/>
  <c r="AD33" i="1"/>
  <c r="AD34" i="1"/>
  <c r="X17" i="3" l="1"/>
  <c r="X1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0" i="3"/>
  <c r="X51" i="3"/>
  <c r="X49" i="3"/>
  <c r="X53" i="3"/>
  <c r="X52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4" i="3"/>
  <c r="X75" i="3"/>
  <c r="X73" i="3"/>
  <c r="X79" i="3"/>
  <c r="X76" i="3"/>
  <c r="X77" i="3"/>
  <c r="X78" i="3"/>
  <c r="X83" i="3"/>
  <c r="X80" i="3"/>
  <c r="X86" i="3"/>
  <c r="X81" i="3"/>
  <c r="X82" i="3"/>
  <c r="X84" i="3"/>
  <c r="X85" i="3"/>
  <c r="X94" i="3"/>
  <c r="X95" i="3"/>
  <c r="X87" i="3"/>
  <c r="X90" i="3"/>
  <c r="X88" i="3"/>
  <c r="X92" i="3"/>
  <c r="X93" i="3"/>
  <c r="X91" i="3"/>
  <c r="X89" i="3"/>
  <c r="X100" i="3"/>
  <c r="X101" i="3"/>
  <c r="X96" i="3"/>
  <c r="X97" i="3"/>
  <c r="X99" i="3"/>
  <c r="X98" i="3"/>
  <c r="X102" i="3"/>
  <c r="X106" i="3"/>
  <c r="X107" i="3"/>
  <c r="X108" i="3"/>
  <c r="X103" i="3"/>
  <c r="X104" i="3"/>
  <c r="X105" i="3"/>
  <c r="X126" i="3"/>
  <c r="X127" i="3"/>
  <c r="X120" i="3"/>
  <c r="X111" i="3"/>
  <c r="X112" i="3"/>
  <c r="X115" i="3"/>
  <c r="X110" i="3"/>
  <c r="X118" i="3"/>
  <c r="X125" i="3"/>
  <c r="X114" i="3"/>
  <c r="X116" i="3"/>
  <c r="X122" i="3"/>
  <c r="X109" i="3"/>
  <c r="X113" i="3"/>
  <c r="X123" i="3"/>
  <c r="X117" i="3"/>
  <c r="X124" i="3"/>
  <c r="X119" i="3"/>
  <c r="X121" i="3"/>
  <c r="X128" i="3"/>
  <c r="X129" i="3"/>
  <c r="X130" i="3"/>
  <c r="X131" i="3"/>
  <c r="X140" i="3"/>
  <c r="X149" i="3"/>
  <c r="X144" i="3"/>
  <c r="X134" i="3"/>
  <c r="X132" i="3"/>
  <c r="X152" i="3"/>
  <c r="X145" i="3"/>
  <c r="X153" i="3"/>
  <c r="X133" i="3"/>
  <c r="X135" i="3"/>
  <c r="X137" i="3"/>
  <c r="X139" i="3"/>
  <c r="X141" i="3"/>
  <c r="X142" i="3"/>
  <c r="X143" i="3"/>
  <c r="X146" i="3"/>
  <c r="X150" i="3"/>
  <c r="X148" i="3"/>
  <c r="X151" i="3"/>
  <c r="X138" i="3"/>
  <c r="X136" i="3"/>
  <c r="X147" i="3"/>
  <c r="X154" i="3"/>
  <c r="X155" i="3"/>
  <c r="X157" i="3"/>
  <c r="X159" i="3"/>
  <c r="X156" i="3"/>
  <c r="X158" i="3"/>
  <c r="X160" i="3"/>
  <c r="X162" i="3"/>
  <c r="X163" i="3"/>
  <c r="X165" i="3"/>
  <c r="X166" i="3"/>
  <c r="X167" i="3"/>
  <c r="X168" i="3"/>
  <c r="X164" i="3"/>
  <c r="X161" i="3"/>
  <c r="X171" i="3"/>
  <c r="X174" i="3"/>
  <c r="X169" i="3"/>
  <c r="X170" i="3"/>
  <c r="X173" i="3"/>
  <c r="X172" i="3"/>
  <c r="X180" i="3"/>
  <c r="X181" i="3"/>
  <c r="X182" i="3"/>
  <c r="X179" i="3"/>
  <c r="X178" i="3"/>
  <c r="X176" i="3"/>
  <c r="X177" i="3"/>
  <c r="X175" i="3"/>
  <c r="X191" i="3"/>
  <c r="X192" i="3"/>
  <c r="X193" i="3"/>
  <c r="X195" i="3"/>
  <c r="X196" i="3"/>
  <c r="X188" i="3"/>
  <c r="X189" i="3"/>
  <c r="X190" i="3"/>
  <c r="X183" i="3"/>
  <c r="X187" i="3"/>
  <c r="X184" i="3"/>
  <c r="X194" i="3"/>
  <c r="X186" i="3"/>
  <c r="X185" i="3"/>
  <c r="X201" i="3"/>
  <c r="X200" i="3"/>
  <c r="X199" i="3"/>
  <c r="X197" i="3"/>
  <c r="X198" i="3"/>
  <c r="X211" i="3"/>
  <c r="X202" i="3"/>
  <c r="X203" i="3"/>
  <c r="X207" i="3"/>
  <c r="X204" i="3"/>
  <c r="X205" i="3"/>
  <c r="X209" i="3"/>
  <c r="X208" i="3"/>
  <c r="X206" i="3"/>
  <c r="X210" i="3"/>
  <c r="X212" i="3"/>
  <c r="X213" i="3"/>
  <c r="X214" i="3"/>
  <c r="X215" i="3"/>
  <c r="X216" i="3"/>
  <c r="X217" i="3"/>
  <c r="X218" i="3"/>
  <c r="X219" i="3"/>
  <c r="X220" i="3"/>
  <c r="X221" i="3"/>
  <c r="X225" i="3"/>
  <c r="X222" i="3"/>
  <c r="X223" i="3"/>
  <c r="X224" i="3"/>
  <c r="X226" i="3"/>
  <c r="X227" i="3"/>
  <c r="X228" i="3"/>
  <c r="X229" i="3"/>
  <c r="X231" i="3"/>
  <c r="X232" i="3"/>
  <c r="X230" i="3"/>
  <c r="X234" i="3"/>
  <c r="X233" i="3"/>
  <c r="X236" i="3"/>
  <c r="X237" i="3"/>
  <c r="X238" i="3"/>
  <c r="X235" i="3"/>
  <c r="X242" i="3"/>
  <c r="X239" i="3"/>
  <c r="X240" i="3"/>
  <c r="X241" i="3"/>
  <c r="X245" i="3"/>
  <c r="X247" i="3"/>
  <c r="X246" i="3"/>
  <c r="X243" i="3"/>
  <c r="X244" i="3"/>
  <c r="X248" i="3"/>
  <c r="X249" i="3"/>
  <c r="X250" i="3"/>
  <c r="X251" i="3"/>
  <c r="X260" i="3"/>
  <c r="X254" i="3"/>
  <c r="X253" i="3"/>
  <c r="X255" i="3"/>
  <c r="X258" i="3"/>
  <c r="X259" i="3"/>
  <c r="X256" i="3"/>
  <c r="X257" i="3"/>
  <c r="X252" i="3"/>
  <c r="X261" i="3"/>
  <c r="X262" i="3"/>
  <c r="X263" i="3"/>
  <c r="X264" i="3"/>
  <c r="X272" i="3"/>
  <c r="X267" i="3"/>
  <c r="X268" i="3"/>
  <c r="X273" i="3"/>
  <c r="X271" i="3"/>
  <c r="X270" i="3"/>
  <c r="X266" i="3"/>
  <c r="X269" i="3"/>
  <c r="X265" i="3"/>
  <c r="X277" i="3"/>
  <c r="X278" i="3"/>
  <c r="X274" i="3"/>
  <c r="X276" i="3"/>
  <c r="X275" i="3"/>
  <c r="X279" i="3"/>
  <c r="X280" i="3"/>
  <c r="X281" i="3"/>
  <c r="X282" i="3"/>
  <c r="X283" i="3"/>
  <c r="X285" i="3"/>
  <c r="X289" i="3"/>
  <c r="X286" i="3"/>
  <c r="X291" i="3"/>
  <c r="X284" i="3"/>
  <c r="X287" i="3"/>
  <c r="X290" i="3"/>
  <c r="X288" i="3"/>
  <c r="X292" i="3"/>
  <c r="X294" i="3"/>
  <c r="X293" i="3"/>
  <c r="X295" i="3"/>
  <c r="X296" i="3"/>
  <c r="X297" i="3"/>
  <c r="X302" i="3"/>
  <c r="X303" i="3"/>
  <c r="X310" i="3"/>
  <c r="X298" i="3"/>
  <c r="X305" i="3"/>
  <c r="X306" i="3"/>
  <c r="X311" i="3"/>
  <c r="X299" i="3"/>
  <c r="X307" i="3"/>
  <c r="X300" i="3"/>
  <c r="X308" i="3"/>
  <c r="X301" i="3"/>
  <c r="X304" i="3"/>
  <c r="X309" i="3"/>
  <c r="X312" i="3"/>
  <c r="X317" i="3"/>
  <c r="X321" i="3"/>
  <c r="X316" i="3"/>
  <c r="X314" i="3"/>
  <c r="X318" i="3"/>
  <c r="X320" i="3"/>
  <c r="X315" i="3"/>
  <c r="X313" i="3"/>
  <c r="X319" i="3"/>
  <c r="X322" i="3"/>
  <c r="X329" i="3"/>
  <c r="X324" i="3"/>
  <c r="X323" i="3"/>
  <c r="X332" i="3"/>
  <c r="X330" i="3"/>
  <c r="X333" i="3"/>
  <c r="X331" i="3"/>
  <c r="X326" i="3"/>
  <c r="X327" i="3"/>
  <c r="X328" i="3"/>
  <c r="X325" i="3"/>
  <c r="X334" i="3"/>
  <c r="X337" i="3"/>
  <c r="X336" i="3"/>
  <c r="X335" i="3"/>
  <c r="X339" i="3"/>
  <c r="X342" i="3"/>
  <c r="X341" i="3"/>
  <c r="X338" i="3"/>
  <c r="X340" i="3"/>
  <c r="X343" i="3"/>
  <c r="X344" i="3"/>
  <c r="X345" i="3"/>
  <c r="X346" i="3"/>
  <c r="X349" i="3"/>
  <c r="X347" i="3"/>
  <c r="X348" i="3"/>
  <c r="X351" i="3"/>
  <c r="X350" i="3"/>
  <c r="X352" i="3"/>
  <c r="X353" i="3"/>
  <c r="X356" i="3"/>
  <c r="X355" i="3"/>
  <c r="X354" i="3"/>
  <c r="X357" i="3"/>
  <c r="X358" i="3"/>
  <c r="X359" i="3"/>
  <c r="X360" i="3"/>
  <c r="X361" i="3"/>
  <c r="X362" i="3"/>
  <c r="X364" i="3"/>
  <c r="X363" i="3"/>
  <c r="X365" i="3"/>
  <c r="X366" i="3"/>
  <c r="X367" i="3"/>
  <c r="X368" i="3"/>
  <c r="X369" i="3"/>
  <c r="X372" i="3"/>
  <c r="X370" i="3"/>
  <c r="X373" i="3"/>
  <c r="X371" i="3"/>
  <c r="X374" i="3"/>
  <c r="X375" i="3"/>
  <c r="X376" i="3"/>
  <c r="X378" i="3"/>
  <c r="X379" i="3"/>
  <c r="X380" i="3"/>
  <c r="X377" i="3"/>
  <c r="X381" i="3"/>
  <c r="X382" i="3"/>
  <c r="X383" i="3"/>
  <c r="X384" i="3"/>
  <c r="X385" i="3"/>
  <c r="X386" i="3"/>
  <c r="X387" i="3"/>
  <c r="X388" i="3"/>
  <c r="X390" i="3"/>
  <c r="X394" i="3"/>
  <c r="X389" i="3"/>
  <c r="X391" i="3"/>
  <c r="X392" i="3"/>
  <c r="X393" i="3"/>
  <c r="X396" i="3"/>
  <c r="X397" i="3"/>
  <c r="X398" i="3"/>
  <c r="X395" i="3"/>
  <c r="X399" i="3"/>
  <c r="X400" i="3"/>
  <c r="X401" i="3"/>
  <c r="X402" i="3"/>
  <c r="X403" i="3"/>
  <c r="X404" i="3"/>
  <c r="X405" i="3"/>
  <c r="X406" i="3"/>
  <c r="X408" i="3"/>
  <c r="X420" i="3"/>
  <c r="X412" i="3"/>
  <c r="X421" i="3"/>
  <c r="X409" i="3"/>
  <c r="X410" i="3"/>
  <c r="X414" i="3"/>
  <c r="X415" i="3"/>
  <c r="X417" i="3"/>
  <c r="X416" i="3"/>
  <c r="X418" i="3"/>
  <c r="X419" i="3"/>
  <c r="X407" i="3"/>
  <c r="X411" i="3"/>
  <c r="X413" i="3"/>
  <c r="X422" i="3"/>
  <c r="X423" i="3"/>
  <c r="X424" i="3"/>
  <c r="X425" i="3"/>
  <c r="X426" i="3"/>
  <c r="X427" i="3"/>
  <c r="X429" i="3"/>
  <c r="X428" i="3"/>
  <c r="X430" i="3"/>
  <c r="X431" i="3"/>
  <c r="X432" i="3"/>
  <c r="X433" i="3"/>
  <c r="X438" i="3"/>
  <c r="X436" i="3"/>
  <c r="X435" i="3"/>
  <c r="X437" i="3"/>
  <c r="X434" i="3"/>
  <c r="X439" i="3"/>
  <c r="X443" i="3"/>
  <c r="X442" i="3"/>
  <c r="X441" i="3"/>
  <c r="X440" i="3"/>
  <c r="X446" i="3"/>
  <c r="X447" i="3"/>
  <c r="X445" i="3"/>
  <c r="X444" i="3"/>
  <c r="X449" i="3"/>
  <c r="X448" i="3"/>
  <c r="X454" i="3"/>
  <c r="X455" i="3"/>
  <c r="X452" i="3"/>
  <c r="X453" i="3"/>
  <c r="X451" i="3"/>
  <c r="X456" i="3"/>
  <c r="X450" i="3"/>
  <c r="X461" i="3"/>
  <c r="X462" i="3"/>
  <c r="X459" i="3"/>
  <c r="X458" i="3"/>
  <c r="X457" i="3"/>
  <c r="X460" i="3"/>
  <c r="X467" i="3"/>
  <c r="X468" i="3"/>
  <c r="X466" i="3"/>
  <c r="X469" i="3"/>
  <c r="X464" i="3"/>
  <c r="X465" i="3"/>
  <c r="X463" i="3"/>
  <c r="X470" i="3"/>
  <c r="X471" i="3"/>
  <c r="X472" i="3"/>
  <c r="X474" i="3"/>
  <c r="X473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3" i="3"/>
  <c r="X4" i="3"/>
  <c r="X5" i="3"/>
  <c r="X7" i="3"/>
  <c r="X6" i="3"/>
  <c r="X8" i="3"/>
  <c r="X9" i="3"/>
  <c r="X10" i="3"/>
  <c r="X11" i="3"/>
  <c r="X13" i="3"/>
  <c r="X12" i="3"/>
  <c r="X14" i="3"/>
  <c r="X15" i="3"/>
  <c r="X2" i="3"/>
  <c r="O25" i="1" l="1"/>
  <c r="T209" i="4" l="1"/>
  <c r="S209" i="4"/>
  <c r="R209" i="4"/>
  <c r="W209" i="4"/>
  <c r="T208" i="4"/>
  <c r="S208" i="4"/>
  <c r="R208" i="4"/>
  <c r="V208" i="4"/>
  <c r="T207" i="4"/>
  <c r="S207" i="4"/>
  <c r="R207" i="4"/>
  <c r="W207" i="4"/>
  <c r="T206" i="4"/>
  <c r="S206" i="4"/>
  <c r="R206" i="4"/>
  <c r="V206" i="4"/>
  <c r="G272" i="5"/>
  <c r="G273" i="5"/>
  <c r="T205" i="4"/>
  <c r="S205" i="4"/>
  <c r="R205" i="4"/>
  <c r="W205" i="4"/>
  <c r="U205" i="4"/>
  <c r="T204" i="4"/>
  <c r="S204" i="4"/>
  <c r="R204" i="4"/>
  <c r="W204" i="4"/>
  <c r="U204" i="4"/>
  <c r="T203" i="4"/>
  <c r="S203" i="4"/>
  <c r="R203" i="4"/>
  <c r="T202" i="4"/>
  <c r="S202" i="4"/>
  <c r="R202" i="4"/>
  <c r="G265" i="5"/>
  <c r="G266" i="5"/>
  <c r="G267" i="5"/>
  <c r="G268" i="5"/>
  <c r="G269" i="5"/>
  <c r="H269" i="5" s="1"/>
  <c r="G270" i="5"/>
  <c r="H270" i="5" s="1"/>
  <c r="G271" i="5"/>
  <c r="T201" i="4"/>
  <c r="S201" i="4"/>
  <c r="R201" i="4"/>
  <c r="T200" i="4"/>
  <c r="S200" i="4"/>
  <c r="R200" i="4"/>
  <c r="W200" i="4"/>
  <c r="T199" i="4"/>
  <c r="S199" i="4"/>
  <c r="R199" i="4"/>
  <c r="T198" i="4"/>
  <c r="S198" i="4"/>
  <c r="R198" i="4"/>
  <c r="W198" i="4"/>
  <c r="T197" i="4"/>
  <c r="S197" i="4"/>
  <c r="R197" i="4"/>
  <c r="V197" i="4"/>
  <c r="T196" i="4"/>
  <c r="S196" i="4"/>
  <c r="R196" i="4"/>
  <c r="T195" i="4"/>
  <c r="S195" i="4"/>
  <c r="R195" i="4"/>
  <c r="V195" i="4"/>
  <c r="T194" i="4"/>
  <c r="S194" i="4"/>
  <c r="R194" i="4"/>
  <c r="T193" i="4"/>
  <c r="S193" i="4"/>
  <c r="R193" i="4"/>
  <c r="V193" i="4"/>
  <c r="R192" i="4"/>
  <c r="T192" i="4"/>
  <c r="S192" i="4"/>
  <c r="V192" i="4"/>
  <c r="T191" i="4"/>
  <c r="S191" i="4"/>
  <c r="R191" i="4"/>
  <c r="T190" i="4"/>
  <c r="S190" i="4"/>
  <c r="R190" i="4"/>
  <c r="T189" i="4"/>
  <c r="S189" i="4"/>
  <c r="R189" i="4"/>
  <c r="V189" i="4"/>
  <c r="U189" i="4"/>
  <c r="T188" i="4"/>
  <c r="S188" i="4"/>
  <c r="R188" i="4"/>
  <c r="V188" i="4"/>
  <c r="T187" i="4"/>
  <c r="S187" i="4"/>
  <c r="R187" i="4"/>
  <c r="V187" i="4"/>
  <c r="U187" i="4"/>
  <c r="T186" i="4"/>
  <c r="S186" i="4"/>
  <c r="R186" i="4"/>
  <c r="V186" i="4"/>
  <c r="T185" i="4"/>
  <c r="S185" i="4"/>
  <c r="R185" i="4"/>
  <c r="V185" i="4"/>
  <c r="U185" i="4"/>
  <c r="T184" i="4"/>
  <c r="S184" i="4"/>
  <c r="R184" i="4"/>
  <c r="T183" i="4"/>
  <c r="S183" i="4"/>
  <c r="R183" i="4"/>
  <c r="V183" i="4"/>
  <c r="U183" i="4"/>
  <c r="T182" i="4"/>
  <c r="S182" i="4"/>
  <c r="R182" i="4"/>
  <c r="W182" i="4"/>
  <c r="T181" i="4"/>
  <c r="S181" i="4"/>
  <c r="R181" i="4"/>
  <c r="W181" i="4"/>
  <c r="V181" i="4"/>
  <c r="T180" i="4"/>
  <c r="S180" i="4"/>
  <c r="R180" i="4"/>
  <c r="W180" i="4"/>
  <c r="T179" i="4"/>
  <c r="S179" i="4"/>
  <c r="R179" i="4"/>
  <c r="T178" i="4"/>
  <c r="S178" i="4"/>
  <c r="R178" i="4"/>
  <c r="T177" i="4"/>
  <c r="S177" i="4"/>
  <c r="R177" i="4"/>
  <c r="U177" i="4"/>
  <c r="T176" i="4"/>
  <c r="S176" i="4"/>
  <c r="R176" i="4"/>
  <c r="T175" i="4"/>
  <c r="S175" i="4"/>
  <c r="R175" i="4"/>
  <c r="U175" i="4"/>
  <c r="T174" i="4"/>
  <c r="S174" i="4"/>
  <c r="R174" i="4"/>
  <c r="U174" i="4"/>
  <c r="H226" i="5"/>
  <c r="G225" i="5"/>
  <c r="H225" i="5" s="1"/>
  <c r="G226" i="5"/>
  <c r="G227" i="5"/>
  <c r="G228" i="5"/>
  <c r="G229" i="5"/>
  <c r="G230" i="5"/>
  <c r="H230" i="5" s="1"/>
  <c r="G231" i="5"/>
  <c r="G232" i="5"/>
  <c r="H232" i="5" s="1"/>
  <c r="G233" i="5"/>
  <c r="G234" i="5"/>
  <c r="G235" i="5"/>
  <c r="G236" i="5"/>
  <c r="G237" i="5"/>
  <c r="G238" i="5"/>
  <c r="G239" i="5"/>
  <c r="H239" i="5" s="1"/>
  <c r="G240" i="5"/>
  <c r="G241" i="5"/>
  <c r="G242" i="5"/>
  <c r="G243" i="5"/>
  <c r="H243" i="5" s="1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I257" i="5" s="1"/>
  <c r="G258" i="5"/>
  <c r="G259" i="5"/>
  <c r="G260" i="5"/>
  <c r="G261" i="5"/>
  <c r="G262" i="5"/>
  <c r="G263" i="5"/>
  <c r="G264" i="5"/>
  <c r="T173" i="4"/>
  <c r="S173" i="4"/>
  <c r="R173" i="4"/>
  <c r="V173" i="4"/>
  <c r="U173" i="4"/>
  <c r="T172" i="4"/>
  <c r="S172" i="4"/>
  <c r="R172" i="4"/>
  <c r="V172" i="4"/>
  <c r="T171" i="4"/>
  <c r="S171" i="4"/>
  <c r="R171" i="4"/>
  <c r="V171" i="4"/>
  <c r="U171" i="4"/>
  <c r="T170" i="4"/>
  <c r="S170" i="4"/>
  <c r="R170" i="4"/>
  <c r="V170" i="4"/>
  <c r="E174" i="4"/>
  <c r="W174" i="4" s="1"/>
  <c r="E175" i="4"/>
  <c r="V175" i="4" s="1"/>
  <c r="E176" i="4"/>
  <c r="W176" i="4" s="1"/>
  <c r="E177" i="4"/>
  <c r="V177" i="4" s="1"/>
  <c r="E178" i="4"/>
  <c r="W178" i="4" s="1"/>
  <c r="E179" i="4"/>
  <c r="W179" i="4" s="1"/>
  <c r="E180" i="4"/>
  <c r="V180" i="4" s="1"/>
  <c r="E181" i="4"/>
  <c r="U181" i="4" s="1"/>
  <c r="E182" i="4"/>
  <c r="V182" i="4" s="1"/>
  <c r="E183" i="4"/>
  <c r="W183" i="4" s="1"/>
  <c r="E184" i="4"/>
  <c r="W184" i="4" s="1"/>
  <c r="E185" i="4"/>
  <c r="W185" i="4" s="1"/>
  <c r="E186" i="4"/>
  <c r="W186" i="4" s="1"/>
  <c r="E187" i="4"/>
  <c r="W187" i="4" s="1"/>
  <c r="E188" i="4"/>
  <c r="W188" i="4" s="1"/>
  <c r="E189" i="4"/>
  <c r="W189" i="4" s="1"/>
  <c r="E190" i="4"/>
  <c r="W190" i="4" s="1"/>
  <c r="E191" i="4"/>
  <c r="W191" i="4" s="1"/>
  <c r="E192" i="4"/>
  <c r="W192" i="4" s="1"/>
  <c r="E193" i="4"/>
  <c r="W193" i="4" s="1"/>
  <c r="E194" i="4"/>
  <c r="W194" i="4" s="1"/>
  <c r="E195" i="4"/>
  <c r="W195" i="4" s="1"/>
  <c r="E196" i="4"/>
  <c r="W196" i="4" s="1"/>
  <c r="E197" i="4"/>
  <c r="W197" i="4" s="1"/>
  <c r="E198" i="4"/>
  <c r="U198" i="4" s="1"/>
  <c r="E199" i="4"/>
  <c r="W199" i="4" s="1"/>
  <c r="E200" i="4"/>
  <c r="U200" i="4" s="1"/>
  <c r="E201" i="4"/>
  <c r="W201" i="4" s="1"/>
  <c r="E202" i="4"/>
  <c r="W202" i="4" s="1"/>
  <c r="E203" i="4"/>
  <c r="W203" i="4" s="1"/>
  <c r="E204" i="4"/>
  <c r="V204" i="4" s="1"/>
  <c r="E205" i="4"/>
  <c r="V205" i="4" s="1"/>
  <c r="E206" i="4"/>
  <c r="W206" i="4" s="1"/>
  <c r="E207" i="4"/>
  <c r="V207" i="4" s="1"/>
  <c r="E208" i="4"/>
  <c r="W208" i="4" s="1"/>
  <c r="E209" i="4"/>
  <c r="V209" i="4" s="1"/>
  <c r="E173" i="4"/>
  <c r="W173" i="4" s="1"/>
  <c r="E172" i="4"/>
  <c r="W172" i="4" s="1"/>
  <c r="E171" i="4"/>
  <c r="W171" i="4" s="1"/>
  <c r="E170" i="4"/>
  <c r="W170" i="4" s="1"/>
  <c r="T165" i="4"/>
  <c r="S165" i="4"/>
  <c r="R165" i="4"/>
  <c r="T164" i="4"/>
  <c r="S164" i="4"/>
  <c r="R164" i="4"/>
  <c r="T163" i="4"/>
  <c r="S163" i="4"/>
  <c r="R163" i="4"/>
  <c r="T162" i="4"/>
  <c r="S162" i="4"/>
  <c r="R162" i="4"/>
  <c r="G215" i="5"/>
  <c r="I215" i="5" s="1"/>
  <c r="T161" i="4"/>
  <c r="S161" i="4"/>
  <c r="R161" i="4"/>
  <c r="T160" i="4"/>
  <c r="S160" i="4"/>
  <c r="R160" i="4"/>
  <c r="T159" i="4"/>
  <c r="S159" i="4"/>
  <c r="R159" i="4"/>
  <c r="T158" i="4"/>
  <c r="S158" i="4"/>
  <c r="R158" i="4"/>
  <c r="G205" i="5"/>
  <c r="G206" i="5"/>
  <c r="G207" i="5"/>
  <c r="G208" i="5"/>
  <c r="G209" i="5"/>
  <c r="G210" i="5"/>
  <c r="H210" i="5" s="1"/>
  <c r="G211" i="5"/>
  <c r="G212" i="5"/>
  <c r="G213" i="5"/>
  <c r="G214" i="5"/>
  <c r="G216" i="5"/>
  <c r="G217" i="5"/>
  <c r="G218" i="5"/>
  <c r="H218" i="5" s="1"/>
  <c r="G219" i="5"/>
  <c r="T157" i="4"/>
  <c r="S157" i="4"/>
  <c r="R157" i="4"/>
  <c r="T156" i="4"/>
  <c r="S156" i="4"/>
  <c r="R156" i="4"/>
  <c r="T155" i="4"/>
  <c r="S155" i="4"/>
  <c r="R155" i="4"/>
  <c r="T154" i="4"/>
  <c r="S154" i="4"/>
  <c r="R154" i="4"/>
  <c r="E158" i="4"/>
  <c r="U158" i="4" s="1"/>
  <c r="E159" i="4"/>
  <c r="V159" i="4" s="1"/>
  <c r="E160" i="4"/>
  <c r="U160" i="4" s="1"/>
  <c r="E161" i="4"/>
  <c r="V161" i="4" s="1"/>
  <c r="E162" i="4"/>
  <c r="V162" i="4" s="1"/>
  <c r="E163" i="4"/>
  <c r="W163" i="4" s="1"/>
  <c r="E164" i="4"/>
  <c r="V164" i="4" s="1"/>
  <c r="E165" i="4"/>
  <c r="W165" i="4" s="1"/>
  <c r="E157" i="4"/>
  <c r="V157" i="4" s="1"/>
  <c r="E156" i="4"/>
  <c r="W156" i="4" s="1"/>
  <c r="E155" i="4"/>
  <c r="W155" i="4" s="1"/>
  <c r="E154" i="4"/>
  <c r="W154" i="4" s="1"/>
  <c r="G190" i="5"/>
  <c r="G191" i="5"/>
  <c r="G192" i="5"/>
  <c r="G193" i="5"/>
  <c r="H193" i="5" s="1"/>
  <c r="T145" i="4"/>
  <c r="S145" i="4"/>
  <c r="R145" i="4"/>
  <c r="T144" i="4"/>
  <c r="S144" i="4"/>
  <c r="R144" i="4"/>
  <c r="T143" i="4"/>
  <c r="S143" i="4"/>
  <c r="R143" i="4"/>
  <c r="T142" i="4"/>
  <c r="S142" i="4"/>
  <c r="R142" i="4"/>
  <c r="E145" i="4"/>
  <c r="U145" i="4" s="1"/>
  <c r="E144" i="4"/>
  <c r="V144" i="4" s="1"/>
  <c r="E143" i="4"/>
  <c r="W143" i="4" s="1"/>
  <c r="E142" i="4"/>
  <c r="V142" i="4" s="1"/>
  <c r="G181" i="5"/>
  <c r="G180" i="5"/>
  <c r="G179" i="5"/>
  <c r="I179" i="5" s="1"/>
  <c r="G178" i="5"/>
  <c r="H178" i="5" s="1"/>
  <c r="G177" i="5"/>
  <c r="H177" i="5" s="1"/>
  <c r="T133" i="4"/>
  <c r="S133" i="4"/>
  <c r="R133" i="4"/>
  <c r="T132" i="4"/>
  <c r="S132" i="4"/>
  <c r="R132" i="4"/>
  <c r="T131" i="4"/>
  <c r="S131" i="4"/>
  <c r="R131" i="4"/>
  <c r="T130" i="4"/>
  <c r="S130" i="4"/>
  <c r="R130" i="4"/>
  <c r="E130" i="4"/>
  <c r="U130" i="4" s="1"/>
  <c r="E131" i="4"/>
  <c r="W131" i="4" s="1"/>
  <c r="E132" i="4"/>
  <c r="U132" i="4" s="1"/>
  <c r="E133" i="4"/>
  <c r="W133" i="4" s="1"/>
  <c r="G172" i="5"/>
  <c r="G173" i="5"/>
  <c r="H173" i="5" s="1"/>
  <c r="G174" i="5"/>
  <c r="G175" i="5"/>
  <c r="G176" i="5"/>
  <c r="H176" i="5" s="1"/>
  <c r="T129" i="4"/>
  <c r="S129" i="4"/>
  <c r="R129" i="4"/>
  <c r="T128" i="4"/>
  <c r="S128" i="4"/>
  <c r="R128" i="4"/>
  <c r="T127" i="4"/>
  <c r="S127" i="4"/>
  <c r="R127" i="4"/>
  <c r="T126" i="4"/>
  <c r="S126" i="4"/>
  <c r="R126" i="4"/>
  <c r="E129" i="4"/>
  <c r="W129" i="4" s="1"/>
  <c r="E128" i="4"/>
  <c r="W128" i="4" s="1"/>
  <c r="E127" i="4"/>
  <c r="W127" i="4" s="1"/>
  <c r="E126" i="4"/>
  <c r="W126" i="4" s="1"/>
  <c r="G168" i="5"/>
  <c r="G169" i="5"/>
  <c r="G170" i="5"/>
  <c r="G171" i="5"/>
  <c r="R125" i="4"/>
  <c r="T125" i="4"/>
  <c r="S125" i="4"/>
  <c r="T124" i="4"/>
  <c r="S124" i="4"/>
  <c r="R124" i="4"/>
  <c r="T123" i="4"/>
  <c r="S123" i="4"/>
  <c r="R123" i="4"/>
  <c r="T122" i="4"/>
  <c r="S122" i="4"/>
  <c r="R122" i="4"/>
  <c r="E125" i="4"/>
  <c r="W125" i="4" s="1"/>
  <c r="E124" i="4"/>
  <c r="W124" i="4" s="1"/>
  <c r="E123" i="4"/>
  <c r="W123" i="4" s="1"/>
  <c r="E122" i="4"/>
  <c r="W122" i="4" s="1"/>
  <c r="G68" i="5"/>
  <c r="I67" i="5" s="1"/>
  <c r="G69" i="5"/>
  <c r="I69" i="5" s="1"/>
  <c r="G70" i="5"/>
  <c r="H69" i="5" s="1"/>
  <c r="G71" i="5"/>
  <c r="G61" i="5"/>
  <c r="G62" i="5"/>
  <c r="H62" i="5" s="1"/>
  <c r="G63" i="5"/>
  <c r="G64" i="5"/>
  <c r="G65" i="5"/>
  <c r="G66" i="5"/>
  <c r="G67" i="5"/>
  <c r="H67" i="5" s="1"/>
  <c r="G60" i="5"/>
  <c r="G59" i="5"/>
  <c r="G58" i="5"/>
  <c r="H58" i="5" s="1"/>
  <c r="G54" i="5"/>
  <c r="G55" i="5"/>
  <c r="G56" i="5"/>
  <c r="G57" i="5"/>
  <c r="I57" i="5" s="1"/>
  <c r="G53" i="5"/>
  <c r="H53" i="5" s="1"/>
  <c r="G34" i="5"/>
  <c r="H34" i="5" s="1"/>
  <c r="G35" i="5"/>
  <c r="I35" i="5" s="1"/>
  <c r="G36" i="5"/>
  <c r="G37" i="5"/>
  <c r="G38" i="5"/>
  <c r="H38" i="5" s="1"/>
  <c r="G33" i="5"/>
  <c r="G32" i="5"/>
  <c r="I32" i="5" s="1"/>
  <c r="G31" i="5"/>
  <c r="H31" i="5" s="1"/>
  <c r="G30" i="5"/>
  <c r="I29" i="5" s="1"/>
  <c r="G29" i="5"/>
  <c r="H29" i="5" s="1"/>
  <c r="G26" i="5"/>
  <c r="I26" i="5" s="1"/>
  <c r="G27" i="5"/>
  <c r="G28" i="5"/>
  <c r="H28" i="5" s="1"/>
  <c r="G25" i="5"/>
  <c r="G24" i="5"/>
  <c r="G14" i="5"/>
  <c r="G15" i="5"/>
  <c r="H15" i="5" s="1"/>
  <c r="G16" i="5"/>
  <c r="G17" i="5"/>
  <c r="G18" i="5"/>
  <c r="H18" i="5" s="1"/>
  <c r="G9" i="5"/>
  <c r="G97" i="5"/>
  <c r="G91" i="5"/>
  <c r="G92" i="5"/>
  <c r="G93" i="5"/>
  <c r="G94" i="5"/>
  <c r="G95" i="5"/>
  <c r="G96" i="5"/>
  <c r="G90" i="5"/>
  <c r="H90" i="5" s="1"/>
  <c r="G89" i="5"/>
  <c r="H89" i="5" s="1"/>
  <c r="G88" i="5"/>
  <c r="G87" i="5"/>
  <c r="G86" i="5"/>
  <c r="I86" i="5" s="1"/>
  <c r="G85" i="5"/>
  <c r="G84" i="5"/>
  <c r="G82" i="5"/>
  <c r="G83" i="5"/>
  <c r="H83" i="5" s="1"/>
  <c r="G81" i="5"/>
  <c r="G80" i="5"/>
  <c r="G79" i="5"/>
  <c r="G78" i="5"/>
  <c r="G77" i="5"/>
  <c r="H77" i="5" s="1"/>
  <c r="G75" i="5"/>
  <c r="G76" i="5"/>
  <c r="H76" i="5" s="1"/>
  <c r="G74" i="5"/>
  <c r="I74" i="5" s="1"/>
  <c r="G73" i="5"/>
  <c r="G72" i="5"/>
  <c r="G45" i="5"/>
  <c r="H45" i="5" s="1"/>
  <c r="G44" i="5"/>
  <c r="H44" i="5" s="1"/>
  <c r="G43" i="5"/>
  <c r="H43" i="5" s="1"/>
  <c r="G42" i="5"/>
  <c r="G41" i="5"/>
  <c r="G40" i="5"/>
  <c r="G39" i="5"/>
  <c r="G23" i="5"/>
  <c r="H23" i="5" s="1"/>
  <c r="G22" i="5"/>
  <c r="G21" i="5"/>
  <c r="H21" i="5" s="1"/>
  <c r="G20" i="5"/>
  <c r="G19" i="5"/>
  <c r="H234" i="5" l="1"/>
  <c r="V196" i="4"/>
  <c r="W175" i="4"/>
  <c r="W177" i="4"/>
  <c r="U179" i="4"/>
  <c r="V198" i="4"/>
  <c r="V200" i="4"/>
  <c r="U206" i="4"/>
  <c r="U208" i="4"/>
  <c r="V179" i="4"/>
  <c r="U203" i="4"/>
  <c r="U191" i="4"/>
  <c r="U193" i="4"/>
  <c r="U195" i="4"/>
  <c r="U197" i="4"/>
  <c r="V203" i="4"/>
  <c r="U176" i="4"/>
  <c r="V191" i="4"/>
  <c r="V174" i="4"/>
  <c r="V176" i="4"/>
  <c r="U199" i="4"/>
  <c r="U201" i="4"/>
  <c r="U178" i="4"/>
  <c r="U180" i="4"/>
  <c r="U182" i="4"/>
  <c r="V199" i="4"/>
  <c r="V201" i="4"/>
  <c r="U207" i="4"/>
  <c r="U209" i="4"/>
  <c r="U170" i="4"/>
  <c r="U172" i="4"/>
  <c r="V178" i="4"/>
  <c r="U184" i="4"/>
  <c r="U186" i="4"/>
  <c r="U188" i="4"/>
  <c r="V184" i="4"/>
  <c r="U202" i="4"/>
  <c r="U190" i="4"/>
  <c r="U192" i="4"/>
  <c r="U194" i="4"/>
  <c r="U196" i="4"/>
  <c r="V202" i="4"/>
  <c r="V190" i="4"/>
  <c r="V194" i="4"/>
  <c r="V158" i="4"/>
  <c r="H253" i="5"/>
  <c r="H180" i="5"/>
  <c r="H246" i="5"/>
  <c r="W130" i="4"/>
  <c r="W142" i="4"/>
  <c r="W161" i="4"/>
  <c r="W159" i="4"/>
  <c r="W157" i="4"/>
  <c r="U155" i="4"/>
  <c r="V155" i="4"/>
  <c r="U142" i="4"/>
  <c r="W144" i="4"/>
  <c r="U157" i="4"/>
  <c r="V130" i="4"/>
  <c r="U143" i="4"/>
  <c r="W160" i="4"/>
  <c r="W164" i="4"/>
  <c r="V160" i="4"/>
  <c r="U144" i="4"/>
  <c r="W162" i="4"/>
  <c r="W158" i="4"/>
  <c r="U163" i="4"/>
  <c r="U165" i="4"/>
  <c r="U159" i="4"/>
  <c r="U161" i="4"/>
  <c r="V163" i="4"/>
  <c r="V165" i="4"/>
  <c r="V132" i="4"/>
  <c r="V143" i="4"/>
  <c r="V145" i="4"/>
  <c r="U154" i="4"/>
  <c r="U156" i="4"/>
  <c r="W132" i="4"/>
  <c r="W145" i="4"/>
  <c r="V154" i="4"/>
  <c r="V156" i="4"/>
  <c r="U162" i="4"/>
  <c r="U164" i="4"/>
  <c r="I211" i="5"/>
  <c r="H207" i="5"/>
  <c r="H55" i="5"/>
  <c r="H174" i="5"/>
  <c r="U131" i="4"/>
  <c r="U133" i="4"/>
  <c r="V131" i="4"/>
  <c r="V133" i="4"/>
  <c r="U127" i="4"/>
  <c r="U129" i="4"/>
  <c r="U122" i="4"/>
  <c r="V127" i="4"/>
  <c r="V129" i="4"/>
  <c r="V122" i="4"/>
  <c r="U126" i="4"/>
  <c r="U128" i="4"/>
  <c r="V126" i="4"/>
  <c r="V128" i="4"/>
  <c r="H63" i="5"/>
  <c r="U124" i="4"/>
  <c r="V124" i="4"/>
  <c r="U123" i="4"/>
  <c r="U125" i="4"/>
  <c r="V123" i="4"/>
  <c r="V125" i="4"/>
  <c r="H59" i="5"/>
  <c r="I24" i="5"/>
  <c r="H36" i="5"/>
  <c r="H16" i="5"/>
  <c r="H86" i="5"/>
  <c r="H92" i="5"/>
  <c r="H84" i="5"/>
  <c r="H95" i="5"/>
  <c r="H78" i="5"/>
  <c r="H72" i="5"/>
  <c r="H19" i="5"/>
  <c r="H39" i="5"/>
  <c r="G3" i="5"/>
  <c r="I3" i="5" s="1"/>
  <c r="G4" i="5"/>
  <c r="G5" i="5"/>
  <c r="G6" i="5"/>
  <c r="G7" i="5"/>
  <c r="G8" i="5"/>
  <c r="G10" i="5"/>
  <c r="G11" i="5"/>
  <c r="G12" i="5"/>
  <c r="I12" i="5" s="1"/>
  <c r="G13" i="5"/>
  <c r="H12" i="5" s="1"/>
  <c r="G46" i="5"/>
  <c r="G47" i="5"/>
  <c r="G48" i="5"/>
  <c r="G49" i="5"/>
  <c r="G50" i="5"/>
  <c r="I50" i="5" s="1"/>
  <c r="G51" i="5"/>
  <c r="G52" i="5"/>
  <c r="G98" i="5"/>
  <c r="G99" i="5"/>
  <c r="G100" i="5"/>
  <c r="G101" i="5"/>
  <c r="G102" i="5"/>
  <c r="G103" i="5"/>
  <c r="H103" i="5" s="1"/>
  <c r="G104" i="5"/>
  <c r="G105" i="5"/>
  <c r="H105" i="5" s="1"/>
  <c r="G106" i="5"/>
  <c r="H106" i="5" s="1"/>
  <c r="G107" i="5"/>
  <c r="G108" i="5"/>
  <c r="G109" i="5"/>
  <c r="G110" i="5"/>
  <c r="G111" i="5"/>
  <c r="G112" i="5"/>
  <c r="G113" i="5"/>
  <c r="G114" i="5"/>
  <c r="H114" i="5" s="1"/>
  <c r="G115" i="5"/>
  <c r="G116" i="5"/>
  <c r="G117" i="5"/>
  <c r="I115" i="5" s="1"/>
  <c r="G118" i="5"/>
  <c r="G119" i="5"/>
  <c r="G120" i="5"/>
  <c r="G121" i="5"/>
  <c r="G122" i="5"/>
  <c r="H122" i="5" s="1"/>
  <c r="G123" i="5"/>
  <c r="G124" i="5"/>
  <c r="H124" i="5" s="1"/>
  <c r="G125" i="5"/>
  <c r="H125" i="5" s="1"/>
  <c r="G126" i="5"/>
  <c r="G127" i="5"/>
  <c r="G128" i="5"/>
  <c r="G129" i="5"/>
  <c r="G130" i="5"/>
  <c r="G131" i="5"/>
  <c r="G132" i="5"/>
  <c r="G133" i="5"/>
  <c r="H133" i="5" s="1"/>
  <c r="G134" i="5"/>
  <c r="G135" i="5"/>
  <c r="G136" i="5"/>
  <c r="G137" i="5"/>
  <c r="G138" i="5"/>
  <c r="G139" i="5"/>
  <c r="G140" i="5"/>
  <c r="G141" i="5"/>
  <c r="H141" i="5" s="1"/>
  <c r="G142" i="5"/>
  <c r="H142" i="5" s="1"/>
  <c r="G143" i="5"/>
  <c r="G144" i="5"/>
  <c r="H144" i="5" s="1"/>
  <c r="G145" i="5"/>
  <c r="G146" i="5"/>
  <c r="I146" i="5" s="1"/>
  <c r="G147" i="5"/>
  <c r="G148" i="5"/>
  <c r="G149" i="5"/>
  <c r="G150" i="5"/>
  <c r="H150" i="5" s="1"/>
  <c r="G151" i="5"/>
  <c r="G152" i="5"/>
  <c r="G153" i="5"/>
  <c r="G154" i="5"/>
  <c r="G155" i="5"/>
  <c r="G156" i="5"/>
  <c r="G157" i="5"/>
  <c r="G158" i="5"/>
  <c r="G159" i="5"/>
  <c r="H159" i="5" s="1"/>
  <c r="G160" i="5"/>
  <c r="G161" i="5"/>
  <c r="G162" i="5"/>
  <c r="G163" i="5"/>
  <c r="H163" i="5" s="1"/>
  <c r="G164" i="5"/>
  <c r="G165" i="5"/>
  <c r="G166" i="5"/>
  <c r="G167" i="5"/>
  <c r="H167" i="5" s="1"/>
  <c r="G182" i="5"/>
  <c r="H182" i="5" s="1"/>
  <c r="G183" i="5"/>
  <c r="G184" i="5"/>
  <c r="H184" i="5" s="1"/>
  <c r="G185" i="5"/>
  <c r="G186" i="5"/>
  <c r="H186" i="5" s="1"/>
  <c r="G187" i="5"/>
  <c r="G188" i="5"/>
  <c r="H188" i="5" s="1"/>
  <c r="G189" i="5"/>
  <c r="G194" i="5"/>
  <c r="H194" i="5" s="1"/>
  <c r="G195" i="5"/>
  <c r="G196" i="5"/>
  <c r="G197" i="5"/>
  <c r="H197" i="5" s="1"/>
  <c r="G198" i="5"/>
  <c r="H198" i="5" s="1"/>
  <c r="G199" i="5"/>
  <c r="G200" i="5"/>
  <c r="G201" i="5"/>
  <c r="G202" i="5"/>
  <c r="G203" i="5"/>
  <c r="I203" i="5" s="1"/>
  <c r="G204" i="5"/>
  <c r="I204" i="5" s="1"/>
  <c r="G220" i="5"/>
  <c r="G221" i="5"/>
  <c r="G222" i="5"/>
  <c r="G223" i="5"/>
  <c r="H223" i="5" s="1"/>
  <c r="G224" i="5"/>
  <c r="G274" i="5"/>
  <c r="G275" i="5"/>
  <c r="G276" i="5"/>
  <c r="I276" i="5" s="1"/>
  <c r="G277" i="5"/>
  <c r="H276" i="5" s="1"/>
  <c r="G278" i="5"/>
  <c r="G279" i="5"/>
  <c r="G280" i="5"/>
  <c r="H280" i="5" s="1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I293" i="5" s="1"/>
  <c r="G294" i="5"/>
  <c r="G295" i="5"/>
  <c r="G296" i="5"/>
  <c r="G297" i="5"/>
  <c r="G298" i="5"/>
  <c r="G299" i="5"/>
  <c r="G300" i="5"/>
  <c r="G301" i="5"/>
  <c r="G302" i="5"/>
  <c r="G303" i="5"/>
  <c r="G304" i="5"/>
  <c r="G305" i="5"/>
  <c r="H305" i="5" s="1"/>
  <c r="G306" i="5"/>
  <c r="G307" i="5"/>
  <c r="H307" i="5" s="1"/>
  <c r="G308" i="5"/>
  <c r="G309" i="5"/>
  <c r="I309" i="5" s="1"/>
  <c r="G310" i="5"/>
  <c r="G311" i="5"/>
  <c r="G312" i="5"/>
  <c r="G313" i="5"/>
  <c r="G314" i="5"/>
  <c r="G315" i="5"/>
  <c r="I315" i="5" s="1"/>
  <c r="G316" i="5"/>
  <c r="H316" i="5" s="1"/>
  <c r="G317" i="5"/>
  <c r="G318" i="5"/>
  <c r="G319" i="5"/>
  <c r="G320" i="5"/>
  <c r="I317" i="5" s="1"/>
  <c r="G321" i="5"/>
  <c r="G322" i="5"/>
  <c r="G323" i="5"/>
  <c r="H323" i="5" s="1"/>
  <c r="G324" i="5"/>
  <c r="H324" i="5" s="1"/>
  <c r="G325" i="5"/>
  <c r="I325" i="5" s="1"/>
  <c r="G326" i="5"/>
  <c r="G327" i="5"/>
  <c r="G328" i="5"/>
  <c r="H328" i="5" s="1"/>
  <c r="G329" i="5"/>
  <c r="G330" i="5"/>
  <c r="G331" i="5"/>
  <c r="H331" i="5" s="1"/>
  <c r="G332" i="5"/>
  <c r="I332" i="5" s="1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H349" i="5" s="1"/>
  <c r="G350" i="5"/>
  <c r="I350" i="5" s="1"/>
  <c r="G351" i="5"/>
  <c r="H350" i="5" s="1"/>
  <c r="G352" i="5"/>
  <c r="G353" i="5"/>
  <c r="I353" i="5" s="1"/>
  <c r="G354" i="5"/>
  <c r="G355" i="5"/>
  <c r="G356" i="5"/>
  <c r="G357" i="5"/>
  <c r="G358" i="5"/>
  <c r="G359" i="5"/>
  <c r="G360" i="5"/>
  <c r="I360" i="5" s="1"/>
  <c r="G361" i="5"/>
  <c r="G362" i="5"/>
  <c r="H362" i="5" s="1"/>
  <c r="G363" i="5"/>
  <c r="H363" i="5" s="1"/>
  <c r="G364" i="5"/>
  <c r="G365" i="5"/>
  <c r="G366" i="5"/>
  <c r="G367" i="5"/>
  <c r="G368" i="5"/>
  <c r="G369" i="5"/>
  <c r="G370" i="5"/>
  <c r="H370" i="5" s="1"/>
  <c r="G371" i="5"/>
  <c r="G372" i="5"/>
  <c r="G373" i="5"/>
  <c r="G374" i="5"/>
  <c r="G375" i="5"/>
  <c r="H375" i="5" s="1"/>
  <c r="G376" i="5"/>
  <c r="G377" i="5"/>
  <c r="G378" i="5"/>
  <c r="G379" i="5"/>
  <c r="H379" i="5" s="1"/>
  <c r="G380" i="5"/>
  <c r="G381" i="5"/>
  <c r="H381" i="5" s="1"/>
  <c r="G382" i="5"/>
  <c r="G383" i="5"/>
  <c r="H383" i="5" s="1"/>
  <c r="G384" i="5"/>
  <c r="G385" i="5"/>
  <c r="G386" i="5"/>
  <c r="G387" i="5"/>
  <c r="G388" i="5"/>
  <c r="H388" i="5" s="1"/>
  <c r="G389" i="5"/>
  <c r="H389" i="5" s="1"/>
  <c r="G390" i="5"/>
  <c r="H390" i="5" s="1"/>
  <c r="G391" i="5"/>
  <c r="G392" i="5"/>
  <c r="G393" i="5"/>
  <c r="G394" i="5"/>
  <c r="G395" i="5"/>
  <c r="H395" i="5" s="1"/>
  <c r="G396" i="5"/>
  <c r="G397" i="5"/>
  <c r="G398" i="5"/>
  <c r="H398" i="5" s="1"/>
  <c r="G399" i="5"/>
  <c r="H399" i="5" s="1"/>
  <c r="G400" i="5"/>
  <c r="G401" i="5"/>
  <c r="G402" i="5"/>
  <c r="G403" i="5"/>
  <c r="G404" i="5"/>
  <c r="G405" i="5"/>
  <c r="G406" i="5"/>
  <c r="G407" i="5"/>
  <c r="G408" i="5"/>
  <c r="H408" i="5" s="1"/>
  <c r="G409" i="5"/>
  <c r="G410" i="5"/>
  <c r="G411" i="5"/>
  <c r="G412" i="5"/>
  <c r="H412" i="5" s="1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H461" i="5" s="1"/>
  <c r="G462" i="5"/>
  <c r="G463" i="5"/>
  <c r="G464" i="5"/>
  <c r="H464" i="5" s="1"/>
  <c r="G465" i="5"/>
  <c r="H465" i="5" s="1"/>
  <c r="G466" i="5"/>
  <c r="G467" i="5"/>
  <c r="G468" i="5"/>
  <c r="H468" i="5" s="1"/>
  <c r="G469" i="5"/>
  <c r="G470" i="5"/>
  <c r="G471" i="5"/>
  <c r="G472" i="5"/>
  <c r="H472" i="5" s="1"/>
  <c r="G473" i="5"/>
  <c r="H473" i="5" s="1"/>
  <c r="G474" i="5"/>
  <c r="G475" i="5"/>
  <c r="G476" i="5"/>
  <c r="G477" i="5"/>
  <c r="H477" i="5" s="1"/>
  <c r="G478" i="5"/>
  <c r="G479" i="5"/>
  <c r="G480" i="5"/>
  <c r="G481" i="5"/>
  <c r="G482" i="5"/>
  <c r="G483" i="5"/>
  <c r="G484" i="5"/>
  <c r="G485" i="5"/>
  <c r="G486" i="5"/>
  <c r="G487" i="5"/>
  <c r="H487" i="5" s="1"/>
  <c r="G488" i="5"/>
  <c r="G489" i="5"/>
  <c r="G490" i="5"/>
  <c r="H490" i="5" s="1"/>
  <c r="G491" i="5"/>
  <c r="H491" i="5" s="1"/>
  <c r="G492" i="5"/>
  <c r="H492" i="5" s="1"/>
  <c r="G493" i="5"/>
  <c r="H493" i="5" s="1"/>
  <c r="G494" i="5"/>
  <c r="G495" i="5"/>
  <c r="H495" i="5" s="1"/>
  <c r="G496" i="5"/>
  <c r="I496" i="5" s="1"/>
  <c r="G497" i="5"/>
  <c r="I497" i="5" s="1"/>
  <c r="G498" i="5"/>
  <c r="G499" i="5"/>
  <c r="G500" i="5"/>
  <c r="H500" i="5" s="1"/>
  <c r="G501" i="5"/>
  <c r="H501" i="5" s="1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H516" i="5" s="1"/>
  <c r="G517" i="5"/>
  <c r="H517" i="5" s="1"/>
  <c r="G518" i="5"/>
  <c r="H518" i="5" s="1"/>
  <c r="G519" i="5"/>
  <c r="G520" i="5"/>
  <c r="G521" i="5"/>
  <c r="G522" i="5"/>
  <c r="G523" i="5"/>
  <c r="H523" i="5" s="1"/>
  <c r="G524" i="5"/>
  <c r="H524" i="5" s="1"/>
  <c r="G525" i="5"/>
  <c r="G526" i="5"/>
  <c r="G527" i="5"/>
  <c r="G528" i="5"/>
  <c r="G529" i="5"/>
  <c r="H529" i="5" s="1"/>
  <c r="G530" i="5"/>
  <c r="H530" i="5" s="1"/>
  <c r="G531" i="5"/>
  <c r="H531" i="5" s="1"/>
  <c r="G532" i="5"/>
  <c r="H532" i="5" s="1"/>
  <c r="G533" i="5"/>
  <c r="G534" i="5"/>
  <c r="H534" i="5" s="1"/>
  <c r="G535" i="5"/>
  <c r="I535" i="5" s="1"/>
  <c r="G536" i="5"/>
  <c r="G537" i="5"/>
  <c r="G538" i="5"/>
  <c r="I538" i="5" s="1"/>
  <c r="G539" i="5"/>
  <c r="H538" i="5" s="1"/>
  <c r="G540" i="5"/>
  <c r="H540" i="5" s="1"/>
  <c r="G541" i="5"/>
  <c r="G542" i="5"/>
  <c r="H542" i="5" s="1"/>
  <c r="G543" i="5"/>
  <c r="H543" i="5" s="1"/>
  <c r="G544" i="5"/>
  <c r="G545" i="5"/>
  <c r="G546" i="5"/>
  <c r="G547" i="5"/>
  <c r="G548" i="5"/>
  <c r="G549" i="5"/>
  <c r="G550" i="5"/>
  <c r="H550" i="5" s="1"/>
  <c r="G551" i="5"/>
  <c r="G552" i="5"/>
  <c r="G553" i="5"/>
  <c r="G554" i="5"/>
  <c r="G555" i="5"/>
  <c r="H555" i="5" s="1"/>
  <c r="G556" i="5"/>
  <c r="G557" i="5"/>
  <c r="G558" i="5"/>
  <c r="G559" i="5"/>
  <c r="G560" i="5"/>
  <c r="G561" i="5"/>
  <c r="G562" i="5"/>
  <c r="G563" i="5"/>
  <c r="G564" i="5"/>
  <c r="G565" i="5"/>
  <c r="G566" i="5"/>
  <c r="G567" i="5"/>
  <c r="I567" i="5" s="1"/>
  <c r="G568" i="5"/>
  <c r="G569" i="5"/>
  <c r="G570" i="5"/>
  <c r="G571" i="5"/>
  <c r="G572" i="5"/>
  <c r="H572" i="5" s="1"/>
  <c r="G573" i="5"/>
  <c r="G574" i="5"/>
  <c r="G575" i="5"/>
  <c r="H575" i="5" s="1"/>
  <c r="G576" i="5"/>
  <c r="H576" i="5" s="1"/>
  <c r="G577" i="5"/>
  <c r="G578" i="5"/>
  <c r="G579" i="5"/>
  <c r="G580" i="5"/>
  <c r="G581" i="5"/>
  <c r="I578" i="5" s="1"/>
  <c r="G582" i="5"/>
  <c r="G583" i="5"/>
  <c r="G584" i="5"/>
  <c r="G585" i="5"/>
  <c r="G586" i="5"/>
  <c r="G587" i="5"/>
  <c r="G588" i="5"/>
  <c r="G589" i="5"/>
  <c r="G590" i="5"/>
  <c r="G591" i="5"/>
  <c r="G592" i="5"/>
  <c r="G593" i="5"/>
  <c r="I593" i="5" s="1"/>
  <c r="G594" i="5"/>
  <c r="G595" i="5"/>
  <c r="G2" i="5"/>
  <c r="H2" i="5" s="1"/>
  <c r="H3" i="5" l="1"/>
  <c r="I199" i="5"/>
  <c r="H284" i="5"/>
  <c r="H504" i="5"/>
  <c r="H547" i="5"/>
  <c r="H438" i="5"/>
  <c r="H415" i="5"/>
  <c r="H343" i="5"/>
  <c r="H317" i="5"/>
  <c r="H165" i="5"/>
  <c r="H220" i="5"/>
  <c r="H423" i="5"/>
  <c r="H161" i="5"/>
  <c r="I591" i="5"/>
  <c r="H519" i="5"/>
  <c r="H483" i="5"/>
  <c r="H364" i="5"/>
  <c r="H291" i="5"/>
  <c r="H199" i="5"/>
  <c r="H413" i="5"/>
  <c r="H525" i="5"/>
  <c r="H502" i="5"/>
  <c r="H309" i="5"/>
  <c r="H274" i="5"/>
  <c r="H51" i="5"/>
  <c r="H512" i="5"/>
  <c r="H417" i="5"/>
  <c r="H148" i="5"/>
  <c r="H10" i="5"/>
  <c r="H434" i="5"/>
  <c r="H508" i="5"/>
  <c r="H340" i="5"/>
  <c r="H578" i="5"/>
  <c r="H421" i="5"/>
  <c r="H336" i="5"/>
  <c r="H110" i="5"/>
  <c r="H469" i="5"/>
  <c r="H527" i="5"/>
  <c r="H136" i="5"/>
  <c r="H286" i="5"/>
  <c r="H441" i="5"/>
  <c r="H535" i="5"/>
  <c r="H488" i="5"/>
  <c r="H392" i="5"/>
  <c r="H118" i="5"/>
  <c r="H447" i="5"/>
  <c r="H426" i="5"/>
  <c r="H115" i="5"/>
  <c r="H46" i="5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T2" i="4"/>
  <c r="S2" i="4"/>
  <c r="R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5" i="1"/>
  <c r="I36" i="1"/>
  <c r="I38" i="1"/>
  <c r="I39" i="1"/>
  <c r="I40" i="1"/>
  <c r="I43" i="1"/>
  <c r="I44" i="1"/>
  <c r="I47" i="1"/>
  <c r="I48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49" i="4"/>
  <c r="E146" i="4"/>
  <c r="E147" i="4"/>
  <c r="E148" i="4"/>
  <c r="E134" i="4"/>
  <c r="E135" i="4"/>
  <c r="E136" i="4"/>
  <c r="E137" i="4"/>
  <c r="E166" i="4"/>
  <c r="E167" i="4"/>
  <c r="E168" i="4"/>
  <c r="E169" i="4"/>
  <c r="E150" i="4"/>
  <c r="E151" i="4"/>
  <c r="E152" i="4"/>
  <c r="E153" i="4"/>
  <c r="E138" i="4"/>
  <c r="E139" i="4"/>
  <c r="E140" i="4"/>
  <c r="E141" i="4"/>
  <c r="E86" i="4"/>
  <c r="E87" i="4"/>
  <c r="E88" i="4"/>
  <c r="E89" i="4"/>
  <c r="E90" i="4"/>
  <c r="E91" i="4"/>
  <c r="E92" i="4"/>
  <c r="E93" i="4"/>
  <c r="E94" i="4"/>
  <c r="E95" i="4"/>
  <c r="E96" i="4"/>
  <c r="E97" i="4"/>
  <c r="E78" i="4"/>
  <c r="E79" i="4"/>
  <c r="E80" i="4"/>
  <c r="E81" i="4"/>
  <c r="E82" i="4"/>
  <c r="E83" i="4"/>
  <c r="E84" i="4"/>
  <c r="E85" i="4"/>
  <c r="E62" i="4"/>
  <c r="E63" i="4"/>
  <c r="E64" i="4"/>
  <c r="E65" i="4"/>
  <c r="E66" i="4"/>
  <c r="E67" i="4"/>
  <c r="E68" i="4"/>
  <c r="E69" i="4"/>
  <c r="E106" i="4"/>
  <c r="E107" i="4"/>
  <c r="E108" i="4"/>
  <c r="E109" i="4"/>
  <c r="E118" i="4"/>
  <c r="E119" i="4"/>
  <c r="E120" i="4"/>
  <c r="E121" i="4"/>
  <c r="E70" i="4"/>
  <c r="E71" i="4"/>
  <c r="E72" i="4"/>
  <c r="E73" i="4"/>
  <c r="E74" i="4"/>
  <c r="E75" i="4"/>
  <c r="E76" i="4"/>
  <c r="E77" i="4"/>
  <c r="E98" i="4"/>
  <c r="E99" i="4"/>
  <c r="E100" i="4"/>
  <c r="E101" i="4"/>
  <c r="E102" i="4"/>
  <c r="E103" i="4"/>
  <c r="E104" i="4"/>
  <c r="E105" i="4"/>
  <c r="E110" i="4"/>
  <c r="E111" i="4"/>
  <c r="E112" i="4"/>
  <c r="E113" i="4"/>
  <c r="E114" i="4"/>
  <c r="E115" i="4"/>
  <c r="E116" i="4"/>
  <c r="E117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314" i="4"/>
  <c r="E315" i="4"/>
  <c r="E316" i="4"/>
  <c r="E317" i="4"/>
  <c r="E306" i="4"/>
  <c r="E307" i="4"/>
  <c r="E308" i="4"/>
  <c r="E309" i="4"/>
  <c r="E302" i="4"/>
  <c r="E303" i="4"/>
  <c r="E304" i="4"/>
  <c r="E305" i="4"/>
  <c r="E310" i="4"/>
  <c r="E311" i="4"/>
  <c r="E312" i="4"/>
  <c r="E313" i="4"/>
  <c r="E282" i="4"/>
  <c r="E283" i="4"/>
  <c r="E284" i="4"/>
  <c r="E285" i="4"/>
  <c r="E294" i="4"/>
  <c r="E295" i="4"/>
  <c r="E296" i="4"/>
  <c r="E297" i="4"/>
  <c r="E290" i="4"/>
  <c r="E291" i="4"/>
  <c r="E292" i="4"/>
  <c r="E293" i="4"/>
  <c r="E286" i="4"/>
  <c r="E287" i="4"/>
  <c r="E288" i="4"/>
  <c r="E289" i="4"/>
  <c r="E278" i="4"/>
  <c r="E279" i="4"/>
  <c r="E280" i="4"/>
  <c r="E281" i="4"/>
  <c r="E298" i="4"/>
  <c r="E299" i="4"/>
  <c r="E300" i="4"/>
  <c r="E301" i="4"/>
  <c r="E326" i="4"/>
  <c r="E327" i="4"/>
  <c r="E328" i="4"/>
  <c r="E329" i="4"/>
  <c r="E318" i="4"/>
  <c r="E319" i="4"/>
  <c r="E320" i="4"/>
  <c r="E321" i="4"/>
  <c r="E322" i="4"/>
  <c r="E323" i="4"/>
  <c r="E324" i="4"/>
  <c r="E325" i="4"/>
  <c r="E374" i="4"/>
  <c r="E375" i="4"/>
  <c r="E376" i="4"/>
  <c r="E377" i="4"/>
  <c r="E370" i="4"/>
  <c r="E371" i="4"/>
  <c r="E372" i="4"/>
  <c r="E373" i="4"/>
  <c r="E398" i="4"/>
  <c r="E399" i="4"/>
  <c r="E400" i="4"/>
  <c r="E401" i="4"/>
  <c r="E386" i="4"/>
  <c r="E387" i="4"/>
  <c r="E388" i="4"/>
  <c r="E389" i="4"/>
  <c r="E390" i="4"/>
  <c r="E391" i="4"/>
  <c r="E392" i="4"/>
  <c r="E393" i="4"/>
  <c r="E382" i="4"/>
  <c r="E383" i="4"/>
  <c r="E384" i="4"/>
  <c r="E385" i="4"/>
  <c r="E378" i="4"/>
  <c r="E379" i="4"/>
  <c r="E380" i="4"/>
  <c r="E381" i="4"/>
  <c r="E394" i="4"/>
  <c r="E395" i="4"/>
  <c r="E396" i="4"/>
  <c r="E397" i="4"/>
  <c r="E402" i="4"/>
  <c r="E403" i="4"/>
  <c r="E404" i="4"/>
  <c r="E40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410" i="4"/>
  <c r="E411" i="4"/>
  <c r="E412" i="4"/>
  <c r="E413" i="4"/>
  <c r="E366" i="4"/>
  <c r="E367" i="4"/>
  <c r="E368" i="4"/>
  <c r="E369" i="4"/>
  <c r="E418" i="4"/>
  <c r="E419" i="4"/>
  <c r="E420" i="4"/>
  <c r="E421" i="4"/>
  <c r="E330" i="4"/>
  <c r="E331" i="4"/>
  <c r="E332" i="4"/>
  <c r="E333" i="4"/>
  <c r="E334" i="4"/>
  <c r="E335" i="4"/>
  <c r="E336" i="4"/>
  <c r="E337" i="4"/>
  <c r="E406" i="4"/>
  <c r="E407" i="4"/>
  <c r="E408" i="4"/>
  <c r="E409" i="4"/>
  <c r="E338" i="4"/>
  <c r="E339" i="4"/>
  <c r="E340" i="4"/>
  <c r="E341" i="4"/>
  <c r="E342" i="4"/>
  <c r="E343" i="4"/>
  <c r="E344" i="4"/>
  <c r="E345" i="4"/>
  <c r="E414" i="4"/>
  <c r="E415" i="4"/>
  <c r="E416" i="4"/>
  <c r="E417" i="4"/>
  <c r="E2" i="4"/>
  <c r="W45" i="4" l="1"/>
  <c r="V45" i="4"/>
  <c r="U45" i="4"/>
  <c r="W23" i="4"/>
  <c r="U23" i="4"/>
  <c r="V23" i="4"/>
  <c r="U10" i="4"/>
  <c r="V10" i="4"/>
  <c r="W10" i="4"/>
  <c r="W38" i="4"/>
  <c r="V38" i="4"/>
  <c r="U38" i="4"/>
  <c r="W14" i="4"/>
  <c r="V14" i="4"/>
  <c r="U14" i="4"/>
  <c r="V39" i="4"/>
  <c r="U39" i="4"/>
  <c r="W39" i="4"/>
  <c r="W15" i="4"/>
  <c r="V15" i="4"/>
  <c r="U15" i="4"/>
  <c r="W37" i="4"/>
  <c r="V37" i="4"/>
  <c r="U37" i="4"/>
  <c r="W25" i="4"/>
  <c r="V25" i="4"/>
  <c r="U25" i="4"/>
  <c r="W36" i="4"/>
  <c r="V36" i="4"/>
  <c r="U36" i="4"/>
  <c r="W24" i="4"/>
  <c r="V24" i="4"/>
  <c r="U24" i="4"/>
  <c r="W35" i="4"/>
  <c r="V35" i="4"/>
  <c r="U35" i="4"/>
  <c r="V21" i="4"/>
  <c r="U21" i="4"/>
  <c r="W21" i="4"/>
  <c r="V34" i="4"/>
  <c r="U34" i="4"/>
  <c r="W34" i="4"/>
  <c r="V9" i="4"/>
  <c r="W9" i="4"/>
  <c r="U9" i="4"/>
  <c r="W8" i="4"/>
  <c r="V8" i="4"/>
  <c r="U8" i="4"/>
  <c r="W42" i="4"/>
  <c r="V42" i="4"/>
  <c r="U42" i="4"/>
  <c r="W18" i="4"/>
  <c r="U18" i="4"/>
  <c r="V18" i="4"/>
  <c r="W6" i="4"/>
  <c r="V6" i="4"/>
  <c r="U6" i="4"/>
  <c r="W22" i="4"/>
  <c r="V22" i="4"/>
  <c r="U22" i="4"/>
  <c r="U44" i="4"/>
  <c r="W44" i="4"/>
  <c r="V44" i="4"/>
  <c r="W20" i="4"/>
  <c r="V20" i="4"/>
  <c r="U20" i="4"/>
  <c r="V43" i="4"/>
  <c r="U43" i="4"/>
  <c r="W43" i="4"/>
  <c r="U19" i="4"/>
  <c r="W19" i="4"/>
  <c r="V19" i="4"/>
  <c r="W7" i="4"/>
  <c r="V7" i="4"/>
  <c r="U7" i="4"/>
  <c r="W41" i="4"/>
  <c r="V41" i="4"/>
  <c r="U41" i="4"/>
  <c r="U17" i="4"/>
  <c r="V17" i="4"/>
  <c r="W17" i="4"/>
  <c r="U40" i="4"/>
  <c r="V40" i="4"/>
  <c r="W40" i="4"/>
  <c r="W16" i="4"/>
  <c r="U16" i="4"/>
  <c r="V16" i="4"/>
  <c r="U343" i="4"/>
  <c r="V343" i="4"/>
  <c r="W343" i="4"/>
  <c r="U287" i="4"/>
  <c r="V287" i="4"/>
  <c r="W287" i="4"/>
  <c r="U243" i="4"/>
  <c r="V243" i="4"/>
  <c r="W243" i="4"/>
  <c r="U119" i="4"/>
  <c r="V119" i="4"/>
  <c r="W119" i="4"/>
  <c r="W344" i="4"/>
  <c r="U344" i="4"/>
  <c r="V344" i="4"/>
  <c r="U336" i="4"/>
  <c r="V336" i="4"/>
  <c r="W336" i="4"/>
  <c r="U368" i="4"/>
  <c r="V368" i="4"/>
  <c r="W368" i="4"/>
  <c r="U360" i="4"/>
  <c r="V360" i="4"/>
  <c r="W360" i="4"/>
  <c r="U348" i="4"/>
  <c r="V348" i="4"/>
  <c r="W348" i="4"/>
  <c r="U380" i="4"/>
  <c r="V380" i="4"/>
  <c r="W380" i="4"/>
  <c r="U388" i="4"/>
  <c r="V388" i="4"/>
  <c r="W388" i="4"/>
  <c r="U376" i="4"/>
  <c r="V376" i="4"/>
  <c r="W376" i="4"/>
  <c r="U328" i="4"/>
  <c r="V328" i="4"/>
  <c r="W328" i="4"/>
  <c r="U288" i="4"/>
  <c r="V288" i="4"/>
  <c r="W288" i="4"/>
  <c r="U284" i="4"/>
  <c r="V284" i="4"/>
  <c r="W284" i="4"/>
  <c r="U308" i="4"/>
  <c r="V308" i="4"/>
  <c r="W308" i="4"/>
  <c r="U436" i="4"/>
  <c r="V436" i="4"/>
  <c r="W436" i="4"/>
  <c r="U424" i="4"/>
  <c r="V424" i="4"/>
  <c r="W424" i="4"/>
  <c r="U444" i="4"/>
  <c r="V444" i="4"/>
  <c r="W444" i="4"/>
  <c r="U268" i="4"/>
  <c r="V268" i="4"/>
  <c r="W268" i="4"/>
  <c r="U256" i="4"/>
  <c r="V256" i="4"/>
  <c r="W256" i="4"/>
  <c r="U244" i="4"/>
  <c r="V244" i="4"/>
  <c r="W244" i="4"/>
  <c r="U232" i="4"/>
  <c r="V232" i="4"/>
  <c r="W232" i="4"/>
  <c r="U220" i="4"/>
  <c r="V220" i="4"/>
  <c r="W220" i="4"/>
  <c r="U116" i="4"/>
  <c r="V116" i="4"/>
  <c r="W116" i="4"/>
  <c r="U100" i="4"/>
  <c r="V100" i="4"/>
  <c r="W100" i="4"/>
  <c r="U120" i="4"/>
  <c r="V120" i="4"/>
  <c r="W120" i="4"/>
  <c r="U64" i="4"/>
  <c r="V64" i="4"/>
  <c r="W64" i="4"/>
  <c r="U96" i="4"/>
  <c r="V96" i="4"/>
  <c r="W96" i="4"/>
  <c r="U140" i="4"/>
  <c r="V140" i="4"/>
  <c r="W140" i="4"/>
  <c r="U136" i="4"/>
  <c r="V136" i="4"/>
  <c r="W136" i="4"/>
  <c r="U56" i="4"/>
  <c r="V56" i="4"/>
  <c r="W56" i="4"/>
  <c r="W32" i="4"/>
  <c r="U32" i="4"/>
  <c r="V32" i="4"/>
  <c r="U387" i="4"/>
  <c r="V387" i="4"/>
  <c r="W387" i="4"/>
  <c r="U443" i="4"/>
  <c r="V443" i="4"/>
  <c r="W443" i="4"/>
  <c r="U231" i="4"/>
  <c r="V231" i="4"/>
  <c r="W231" i="4"/>
  <c r="U115" i="4"/>
  <c r="V115" i="4"/>
  <c r="W115" i="4"/>
  <c r="U63" i="4"/>
  <c r="V63" i="4"/>
  <c r="W63" i="4"/>
  <c r="U342" i="4"/>
  <c r="V342" i="4"/>
  <c r="W342" i="4"/>
  <c r="U366" i="4"/>
  <c r="V366" i="4"/>
  <c r="W366" i="4"/>
  <c r="U358" i="4"/>
  <c r="V358" i="4"/>
  <c r="W358" i="4"/>
  <c r="U346" i="4"/>
  <c r="V346" i="4"/>
  <c r="W346" i="4"/>
  <c r="U378" i="4"/>
  <c r="V378" i="4"/>
  <c r="W378" i="4"/>
  <c r="U386" i="4"/>
  <c r="V386" i="4"/>
  <c r="W386" i="4"/>
  <c r="U374" i="4"/>
  <c r="V374" i="4"/>
  <c r="W374" i="4"/>
  <c r="U326" i="4"/>
  <c r="V326" i="4"/>
  <c r="W326" i="4"/>
  <c r="U286" i="4"/>
  <c r="V286" i="4"/>
  <c r="W286" i="4"/>
  <c r="U282" i="4"/>
  <c r="V282" i="4"/>
  <c r="W282" i="4"/>
  <c r="U306" i="4"/>
  <c r="V306" i="4"/>
  <c r="W306" i="4"/>
  <c r="U434" i="4"/>
  <c r="V434" i="4"/>
  <c r="W434" i="4"/>
  <c r="U422" i="4"/>
  <c r="V422" i="4"/>
  <c r="W422" i="4"/>
  <c r="U442" i="4"/>
  <c r="V442" i="4"/>
  <c r="W442" i="4"/>
  <c r="U266" i="4"/>
  <c r="V266" i="4"/>
  <c r="W266" i="4"/>
  <c r="U254" i="4"/>
  <c r="V254" i="4"/>
  <c r="W254" i="4"/>
  <c r="U242" i="4"/>
  <c r="V242" i="4"/>
  <c r="W242" i="4"/>
  <c r="U230" i="4"/>
  <c r="V230" i="4"/>
  <c r="W230" i="4"/>
  <c r="U218" i="4"/>
  <c r="V218" i="4"/>
  <c r="W218" i="4"/>
  <c r="U114" i="4"/>
  <c r="V114" i="4"/>
  <c r="W114" i="4"/>
  <c r="U98" i="4"/>
  <c r="V98" i="4"/>
  <c r="W98" i="4"/>
  <c r="U118" i="4"/>
  <c r="V118" i="4"/>
  <c r="W118" i="4"/>
  <c r="U62" i="4"/>
  <c r="V62" i="4"/>
  <c r="W62" i="4"/>
  <c r="U94" i="4"/>
  <c r="V94" i="4"/>
  <c r="W94" i="4"/>
  <c r="U138" i="4"/>
  <c r="V138" i="4"/>
  <c r="W138" i="4"/>
  <c r="U134" i="4"/>
  <c r="V134" i="4"/>
  <c r="W134" i="4"/>
  <c r="U54" i="4"/>
  <c r="V54" i="4"/>
  <c r="W54" i="4"/>
  <c r="U30" i="4"/>
  <c r="V30" i="4"/>
  <c r="W30" i="4"/>
  <c r="U327" i="4"/>
  <c r="V327" i="4"/>
  <c r="W327" i="4"/>
  <c r="U267" i="4"/>
  <c r="V267" i="4"/>
  <c r="W267" i="4"/>
  <c r="U219" i="4"/>
  <c r="V219" i="4"/>
  <c r="W219" i="4"/>
  <c r="U55" i="4"/>
  <c r="V55" i="4"/>
  <c r="W55" i="4"/>
  <c r="U413" i="4"/>
  <c r="V413" i="4"/>
  <c r="W413" i="4"/>
  <c r="U357" i="4"/>
  <c r="V357" i="4"/>
  <c r="W357" i="4"/>
  <c r="U405" i="4"/>
  <c r="V405" i="4"/>
  <c r="W405" i="4"/>
  <c r="U385" i="4"/>
  <c r="V385" i="4"/>
  <c r="W385" i="4"/>
  <c r="U401" i="4"/>
  <c r="V401" i="4"/>
  <c r="W401" i="4"/>
  <c r="U325" i="4"/>
  <c r="V325" i="4"/>
  <c r="W325" i="4"/>
  <c r="U301" i="4"/>
  <c r="V301" i="4"/>
  <c r="W301" i="4"/>
  <c r="U293" i="4"/>
  <c r="V293" i="4"/>
  <c r="W293" i="4"/>
  <c r="U313" i="4"/>
  <c r="V313" i="4"/>
  <c r="W313" i="4"/>
  <c r="U317" i="4"/>
  <c r="V317" i="4"/>
  <c r="W317" i="4"/>
  <c r="U433" i="4"/>
  <c r="V433" i="4"/>
  <c r="W433" i="4"/>
  <c r="U453" i="4"/>
  <c r="V453" i="4"/>
  <c r="W453" i="4"/>
  <c r="U277" i="4"/>
  <c r="V277" i="4"/>
  <c r="W277" i="4"/>
  <c r="U265" i="4"/>
  <c r="V265" i="4"/>
  <c r="W265" i="4"/>
  <c r="U253" i="4"/>
  <c r="V253" i="4"/>
  <c r="W253" i="4"/>
  <c r="U241" i="4"/>
  <c r="V241" i="4"/>
  <c r="W241" i="4"/>
  <c r="U229" i="4"/>
  <c r="V229" i="4"/>
  <c r="W229" i="4"/>
  <c r="U217" i="4"/>
  <c r="V217" i="4"/>
  <c r="W217" i="4"/>
  <c r="U113" i="4"/>
  <c r="V113" i="4"/>
  <c r="W113" i="4"/>
  <c r="U77" i="4"/>
  <c r="V77" i="4"/>
  <c r="W77" i="4"/>
  <c r="U109" i="4"/>
  <c r="V109" i="4"/>
  <c r="W109" i="4"/>
  <c r="U85" i="4"/>
  <c r="V85" i="4"/>
  <c r="W85" i="4"/>
  <c r="U93" i="4"/>
  <c r="V93" i="4"/>
  <c r="W93" i="4"/>
  <c r="U153" i="4"/>
  <c r="V153" i="4"/>
  <c r="W153" i="4"/>
  <c r="U148" i="4"/>
  <c r="V148" i="4"/>
  <c r="W148" i="4"/>
  <c r="U53" i="4"/>
  <c r="V53" i="4"/>
  <c r="W53" i="4"/>
  <c r="U29" i="4"/>
  <c r="V29" i="4"/>
  <c r="W29" i="4"/>
  <c r="W5" i="4"/>
  <c r="U5" i="4"/>
  <c r="V5" i="4"/>
  <c r="U307" i="4"/>
  <c r="V307" i="4"/>
  <c r="W307" i="4"/>
  <c r="U95" i="4"/>
  <c r="V95" i="4"/>
  <c r="W95" i="4"/>
  <c r="U333" i="4"/>
  <c r="V333" i="4"/>
  <c r="W333" i="4"/>
  <c r="U340" i="4"/>
  <c r="V340" i="4"/>
  <c r="W340" i="4"/>
  <c r="U332" i="4"/>
  <c r="V332" i="4"/>
  <c r="W332" i="4"/>
  <c r="U412" i="4"/>
  <c r="V412" i="4"/>
  <c r="W412" i="4"/>
  <c r="U356" i="4"/>
  <c r="V356" i="4"/>
  <c r="W356" i="4"/>
  <c r="U404" i="4"/>
  <c r="V404" i="4"/>
  <c r="W404" i="4"/>
  <c r="U384" i="4"/>
  <c r="V384" i="4"/>
  <c r="W384" i="4"/>
  <c r="U400" i="4"/>
  <c r="V400" i="4"/>
  <c r="W400" i="4"/>
  <c r="U324" i="4"/>
  <c r="V324" i="4"/>
  <c r="W324" i="4"/>
  <c r="U300" i="4"/>
  <c r="V300" i="4"/>
  <c r="W300" i="4"/>
  <c r="U292" i="4"/>
  <c r="V292" i="4"/>
  <c r="W292" i="4"/>
  <c r="U312" i="4"/>
  <c r="V312" i="4"/>
  <c r="W312" i="4"/>
  <c r="U316" i="4"/>
  <c r="V316" i="4"/>
  <c r="W316" i="4"/>
  <c r="U432" i="4"/>
  <c r="V432" i="4"/>
  <c r="W432" i="4"/>
  <c r="U452" i="4"/>
  <c r="V452" i="4"/>
  <c r="W452" i="4"/>
  <c r="U276" i="4"/>
  <c r="V276" i="4"/>
  <c r="W276" i="4"/>
  <c r="U264" i="4"/>
  <c r="V264" i="4"/>
  <c r="W264" i="4"/>
  <c r="U252" i="4"/>
  <c r="V252" i="4"/>
  <c r="W252" i="4"/>
  <c r="U240" i="4"/>
  <c r="V240" i="4"/>
  <c r="W240" i="4"/>
  <c r="U228" i="4"/>
  <c r="V228" i="4"/>
  <c r="W228" i="4"/>
  <c r="U216" i="4"/>
  <c r="V216" i="4"/>
  <c r="W216" i="4"/>
  <c r="U112" i="4"/>
  <c r="V112" i="4"/>
  <c r="W112" i="4"/>
  <c r="U76" i="4"/>
  <c r="V76" i="4"/>
  <c r="W76" i="4"/>
  <c r="U108" i="4"/>
  <c r="V108" i="4"/>
  <c r="W108" i="4"/>
  <c r="U84" i="4"/>
  <c r="V84" i="4"/>
  <c r="W84" i="4"/>
  <c r="U92" i="4"/>
  <c r="V92" i="4"/>
  <c r="W92" i="4"/>
  <c r="U152" i="4"/>
  <c r="V152" i="4"/>
  <c r="W152" i="4"/>
  <c r="U147" i="4"/>
  <c r="V147" i="4"/>
  <c r="W147" i="4"/>
  <c r="U52" i="4"/>
  <c r="V52" i="4"/>
  <c r="W52" i="4"/>
  <c r="W28" i="4"/>
  <c r="U28" i="4"/>
  <c r="V28" i="4"/>
  <c r="U4" i="4"/>
  <c r="V4" i="4"/>
  <c r="W4" i="4"/>
  <c r="U435" i="4"/>
  <c r="V435" i="4"/>
  <c r="W435" i="4"/>
  <c r="U135" i="4"/>
  <c r="V135" i="4"/>
  <c r="W135" i="4"/>
  <c r="U341" i="4"/>
  <c r="V341" i="4"/>
  <c r="W341" i="4"/>
  <c r="U339" i="4"/>
  <c r="V339" i="4"/>
  <c r="W339" i="4"/>
  <c r="U331" i="4"/>
  <c r="V331" i="4"/>
  <c r="W331" i="4"/>
  <c r="U411" i="4"/>
  <c r="V411" i="4"/>
  <c r="W411" i="4"/>
  <c r="U355" i="4"/>
  <c r="V355" i="4"/>
  <c r="W355" i="4"/>
  <c r="U403" i="4"/>
  <c r="V403" i="4"/>
  <c r="W403" i="4"/>
  <c r="U383" i="4"/>
  <c r="V383" i="4"/>
  <c r="W383" i="4"/>
  <c r="U399" i="4"/>
  <c r="V399" i="4"/>
  <c r="W399" i="4"/>
  <c r="U323" i="4"/>
  <c r="V323" i="4"/>
  <c r="W323" i="4"/>
  <c r="U299" i="4"/>
  <c r="V299" i="4"/>
  <c r="W299" i="4"/>
  <c r="U291" i="4"/>
  <c r="V291" i="4"/>
  <c r="W291" i="4"/>
  <c r="U311" i="4"/>
  <c r="V311" i="4"/>
  <c r="W311" i="4"/>
  <c r="U315" i="4"/>
  <c r="V315" i="4"/>
  <c r="W315" i="4"/>
  <c r="U431" i="4"/>
  <c r="V431" i="4"/>
  <c r="W431" i="4"/>
  <c r="U451" i="4"/>
  <c r="V451" i="4"/>
  <c r="W451" i="4"/>
  <c r="U275" i="4"/>
  <c r="V275" i="4"/>
  <c r="W275" i="4"/>
  <c r="U263" i="4"/>
  <c r="V263" i="4"/>
  <c r="W263" i="4"/>
  <c r="U251" i="4"/>
  <c r="V251" i="4"/>
  <c r="W251" i="4"/>
  <c r="U239" i="4"/>
  <c r="V239" i="4"/>
  <c r="W239" i="4"/>
  <c r="U227" i="4"/>
  <c r="V227" i="4"/>
  <c r="W227" i="4"/>
  <c r="U215" i="4"/>
  <c r="V215" i="4"/>
  <c r="W215" i="4"/>
  <c r="U111" i="4"/>
  <c r="V111" i="4"/>
  <c r="W111" i="4"/>
  <c r="U75" i="4"/>
  <c r="V75" i="4"/>
  <c r="W75" i="4"/>
  <c r="U107" i="4"/>
  <c r="V107" i="4"/>
  <c r="W107" i="4"/>
  <c r="U83" i="4"/>
  <c r="V83" i="4"/>
  <c r="W83" i="4"/>
  <c r="U91" i="4"/>
  <c r="V91" i="4"/>
  <c r="W91" i="4"/>
  <c r="U151" i="4"/>
  <c r="V151" i="4"/>
  <c r="W151" i="4"/>
  <c r="U146" i="4"/>
  <c r="V146" i="4"/>
  <c r="W146" i="4"/>
  <c r="U51" i="4"/>
  <c r="V51" i="4"/>
  <c r="W51" i="4"/>
  <c r="U27" i="4"/>
  <c r="V27" i="4"/>
  <c r="W27" i="4"/>
  <c r="U3" i="4"/>
  <c r="V3" i="4"/>
  <c r="W3" i="4"/>
  <c r="U367" i="4"/>
  <c r="V367" i="4"/>
  <c r="W367" i="4"/>
  <c r="W2" i="4"/>
  <c r="V2" i="4"/>
  <c r="U2" i="4"/>
  <c r="U338" i="4"/>
  <c r="V338" i="4"/>
  <c r="W338" i="4"/>
  <c r="U330" i="4"/>
  <c r="V330" i="4"/>
  <c r="W330" i="4"/>
  <c r="U410" i="4"/>
  <c r="V410" i="4"/>
  <c r="W410" i="4"/>
  <c r="U354" i="4"/>
  <c r="V354" i="4"/>
  <c r="W354" i="4"/>
  <c r="U402" i="4"/>
  <c r="V402" i="4"/>
  <c r="W402" i="4"/>
  <c r="U382" i="4"/>
  <c r="V382" i="4"/>
  <c r="W382" i="4"/>
  <c r="U398" i="4"/>
  <c r="V398" i="4"/>
  <c r="W398" i="4"/>
  <c r="U322" i="4"/>
  <c r="V322" i="4"/>
  <c r="W322" i="4"/>
  <c r="U298" i="4"/>
  <c r="V298" i="4"/>
  <c r="W298" i="4"/>
  <c r="U290" i="4"/>
  <c r="V290" i="4"/>
  <c r="W290" i="4"/>
  <c r="U310" i="4"/>
  <c r="V310" i="4"/>
  <c r="W310" i="4"/>
  <c r="U314" i="4"/>
  <c r="V314" i="4"/>
  <c r="W314" i="4"/>
  <c r="U430" i="4"/>
  <c r="V430" i="4"/>
  <c r="W430" i="4"/>
  <c r="U450" i="4"/>
  <c r="V450" i="4"/>
  <c r="W450" i="4"/>
  <c r="U274" i="4"/>
  <c r="V274" i="4"/>
  <c r="W274" i="4"/>
  <c r="U262" i="4"/>
  <c r="V262" i="4"/>
  <c r="W262" i="4"/>
  <c r="U250" i="4"/>
  <c r="V250" i="4"/>
  <c r="W250" i="4"/>
  <c r="U238" i="4"/>
  <c r="V238" i="4"/>
  <c r="W238" i="4"/>
  <c r="U226" i="4"/>
  <c r="V226" i="4"/>
  <c r="W226" i="4"/>
  <c r="U214" i="4"/>
  <c r="V214" i="4"/>
  <c r="W214" i="4"/>
  <c r="U110" i="4"/>
  <c r="V110" i="4"/>
  <c r="W110" i="4"/>
  <c r="U74" i="4"/>
  <c r="V74" i="4"/>
  <c r="W74" i="4"/>
  <c r="U106" i="4"/>
  <c r="V106" i="4"/>
  <c r="W106" i="4"/>
  <c r="U82" i="4"/>
  <c r="V82" i="4"/>
  <c r="W82" i="4"/>
  <c r="U90" i="4"/>
  <c r="V90" i="4"/>
  <c r="W90" i="4"/>
  <c r="U150" i="4"/>
  <c r="V150" i="4"/>
  <c r="W150" i="4"/>
  <c r="U149" i="4"/>
  <c r="V149" i="4"/>
  <c r="W149" i="4"/>
  <c r="U50" i="4"/>
  <c r="V50" i="4"/>
  <c r="W50" i="4"/>
  <c r="W26" i="4"/>
  <c r="V26" i="4"/>
  <c r="U26" i="4"/>
  <c r="U379" i="4"/>
  <c r="V379" i="4"/>
  <c r="W379" i="4"/>
  <c r="U409" i="4"/>
  <c r="V409" i="4"/>
  <c r="W409" i="4"/>
  <c r="U421" i="4"/>
  <c r="V421" i="4"/>
  <c r="W421" i="4"/>
  <c r="U365" i="4"/>
  <c r="V365" i="4"/>
  <c r="W365" i="4"/>
  <c r="U353" i="4"/>
  <c r="V353" i="4"/>
  <c r="W353" i="4"/>
  <c r="U397" i="4"/>
  <c r="V397" i="4"/>
  <c r="W397" i="4"/>
  <c r="U393" i="4"/>
  <c r="V393" i="4"/>
  <c r="W393" i="4"/>
  <c r="U373" i="4"/>
  <c r="V373" i="4"/>
  <c r="W373" i="4"/>
  <c r="U321" i="4"/>
  <c r="V321" i="4"/>
  <c r="W321" i="4"/>
  <c r="U281" i="4"/>
  <c r="V281" i="4"/>
  <c r="W281" i="4"/>
  <c r="U297" i="4"/>
  <c r="V297" i="4"/>
  <c r="W297" i="4"/>
  <c r="U305" i="4"/>
  <c r="V305" i="4"/>
  <c r="W305" i="4"/>
  <c r="U441" i="4"/>
  <c r="V441" i="4"/>
  <c r="W441" i="4"/>
  <c r="U429" i="4"/>
  <c r="V429" i="4"/>
  <c r="W429" i="4"/>
  <c r="U449" i="4"/>
  <c r="V449" i="4"/>
  <c r="W449" i="4"/>
  <c r="U273" i="4"/>
  <c r="V273" i="4"/>
  <c r="W273" i="4"/>
  <c r="U261" i="4"/>
  <c r="V261" i="4"/>
  <c r="W261" i="4"/>
  <c r="U249" i="4"/>
  <c r="V249" i="4"/>
  <c r="W249" i="4"/>
  <c r="U237" i="4"/>
  <c r="V237" i="4"/>
  <c r="W237" i="4"/>
  <c r="U225" i="4"/>
  <c r="V225" i="4"/>
  <c r="W225" i="4"/>
  <c r="U213" i="4"/>
  <c r="V213" i="4"/>
  <c r="W213" i="4"/>
  <c r="U105" i="4"/>
  <c r="V105" i="4"/>
  <c r="W105" i="4"/>
  <c r="U73" i="4"/>
  <c r="V73" i="4"/>
  <c r="W73" i="4"/>
  <c r="U69" i="4"/>
  <c r="V69" i="4"/>
  <c r="W69" i="4"/>
  <c r="U81" i="4"/>
  <c r="V81" i="4"/>
  <c r="W81" i="4"/>
  <c r="U89" i="4"/>
  <c r="V89" i="4"/>
  <c r="W89" i="4"/>
  <c r="U169" i="4"/>
  <c r="V169" i="4"/>
  <c r="W169" i="4"/>
  <c r="U61" i="4"/>
  <c r="V61" i="4"/>
  <c r="W61" i="4"/>
  <c r="U49" i="4"/>
  <c r="V49" i="4"/>
  <c r="W49" i="4"/>
  <c r="U13" i="4"/>
  <c r="V13" i="4"/>
  <c r="W13" i="4"/>
  <c r="U359" i="4"/>
  <c r="V359" i="4"/>
  <c r="W359" i="4"/>
  <c r="U423" i="4"/>
  <c r="V423" i="4"/>
  <c r="W423" i="4"/>
  <c r="U139" i="4"/>
  <c r="V139" i="4"/>
  <c r="W139" i="4"/>
  <c r="U417" i="4"/>
  <c r="V417" i="4"/>
  <c r="W417" i="4"/>
  <c r="U416" i="4"/>
  <c r="W416" i="4"/>
  <c r="V416" i="4"/>
  <c r="U408" i="4"/>
  <c r="V408" i="4"/>
  <c r="W408" i="4"/>
  <c r="U420" i="4"/>
  <c r="V420" i="4"/>
  <c r="W420" i="4"/>
  <c r="U364" i="4"/>
  <c r="V364" i="4"/>
  <c r="W364" i="4"/>
  <c r="U352" i="4"/>
  <c r="V352" i="4"/>
  <c r="W352" i="4"/>
  <c r="U396" i="4"/>
  <c r="V396" i="4"/>
  <c r="W396" i="4"/>
  <c r="U392" i="4"/>
  <c r="V392" i="4"/>
  <c r="W392" i="4"/>
  <c r="U372" i="4"/>
  <c r="V372" i="4"/>
  <c r="W372" i="4"/>
  <c r="U320" i="4"/>
  <c r="V320" i="4"/>
  <c r="W320" i="4"/>
  <c r="U280" i="4"/>
  <c r="V280" i="4"/>
  <c r="W280" i="4"/>
  <c r="U296" i="4"/>
  <c r="V296" i="4"/>
  <c r="W296" i="4"/>
  <c r="U304" i="4"/>
  <c r="V304" i="4"/>
  <c r="W304" i="4"/>
  <c r="U440" i="4"/>
  <c r="V440" i="4"/>
  <c r="W440" i="4"/>
  <c r="U428" i="4"/>
  <c r="V428" i="4"/>
  <c r="W428" i="4"/>
  <c r="U448" i="4"/>
  <c r="V448" i="4"/>
  <c r="W448" i="4"/>
  <c r="U272" i="4"/>
  <c r="V272" i="4"/>
  <c r="W272" i="4"/>
  <c r="U260" i="4"/>
  <c r="V260" i="4"/>
  <c r="W260" i="4"/>
  <c r="U248" i="4"/>
  <c r="V248" i="4"/>
  <c r="W248" i="4"/>
  <c r="U236" i="4"/>
  <c r="V236" i="4"/>
  <c r="W236" i="4"/>
  <c r="U224" i="4"/>
  <c r="V224" i="4"/>
  <c r="W224" i="4"/>
  <c r="U212" i="4"/>
  <c r="V212" i="4"/>
  <c r="W212" i="4"/>
  <c r="U104" i="4"/>
  <c r="V104" i="4"/>
  <c r="W104" i="4"/>
  <c r="U72" i="4"/>
  <c r="V72" i="4"/>
  <c r="W72" i="4"/>
  <c r="U68" i="4"/>
  <c r="V68" i="4"/>
  <c r="W68" i="4"/>
  <c r="U80" i="4"/>
  <c r="V80" i="4"/>
  <c r="W80" i="4"/>
  <c r="U88" i="4"/>
  <c r="V88" i="4"/>
  <c r="W88" i="4"/>
  <c r="U168" i="4"/>
  <c r="V168" i="4"/>
  <c r="W168" i="4"/>
  <c r="U60" i="4"/>
  <c r="V60" i="4"/>
  <c r="W60" i="4"/>
  <c r="U48" i="4"/>
  <c r="V48" i="4"/>
  <c r="W48" i="4"/>
  <c r="U12" i="4"/>
  <c r="V12" i="4"/>
  <c r="W12" i="4"/>
  <c r="U347" i="4"/>
  <c r="V347" i="4"/>
  <c r="W347" i="4"/>
  <c r="U415" i="4"/>
  <c r="V415" i="4"/>
  <c r="W415" i="4"/>
  <c r="U407" i="4"/>
  <c r="V407" i="4"/>
  <c r="W407" i="4"/>
  <c r="U419" i="4"/>
  <c r="V419" i="4"/>
  <c r="W419" i="4"/>
  <c r="U363" i="4"/>
  <c r="V363" i="4"/>
  <c r="W363" i="4"/>
  <c r="U351" i="4"/>
  <c r="V351" i="4"/>
  <c r="W351" i="4"/>
  <c r="U395" i="4"/>
  <c r="V395" i="4"/>
  <c r="W395" i="4"/>
  <c r="U391" i="4"/>
  <c r="V391" i="4"/>
  <c r="W391" i="4"/>
  <c r="U371" i="4"/>
  <c r="V371" i="4"/>
  <c r="W371" i="4"/>
  <c r="U319" i="4"/>
  <c r="V319" i="4"/>
  <c r="W319" i="4"/>
  <c r="U279" i="4"/>
  <c r="V279" i="4"/>
  <c r="W279" i="4"/>
  <c r="U295" i="4"/>
  <c r="V295" i="4"/>
  <c r="W295" i="4"/>
  <c r="U303" i="4"/>
  <c r="V303" i="4"/>
  <c r="W303" i="4"/>
  <c r="U439" i="4"/>
  <c r="V439" i="4"/>
  <c r="W439" i="4"/>
  <c r="U427" i="4"/>
  <c r="V427" i="4"/>
  <c r="W427" i="4"/>
  <c r="U447" i="4"/>
  <c r="V447" i="4"/>
  <c r="W447" i="4"/>
  <c r="U271" i="4"/>
  <c r="V271" i="4"/>
  <c r="W271" i="4"/>
  <c r="U259" i="4"/>
  <c r="V259" i="4"/>
  <c r="W259" i="4"/>
  <c r="U247" i="4"/>
  <c r="V247" i="4"/>
  <c r="W247" i="4"/>
  <c r="U235" i="4"/>
  <c r="V235" i="4"/>
  <c r="W235" i="4"/>
  <c r="U223" i="4"/>
  <c r="V223" i="4"/>
  <c r="W223" i="4"/>
  <c r="U211" i="4"/>
  <c r="V211" i="4"/>
  <c r="W211" i="4"/>
  <c r="U103" i="4"/>
  <c r="V103" i="4"/>
  <c r="W103" i="4"/>
  <c r="U71" i="4"/>
  <c r="V71" i="4"/>
  <c r="W71" i="4"/>
  <c r="U67" i="4"/>
  <c r="V67" i="4"/>
  <c r="W67" i="4"/>
  <c r="U79" i="4"/>
  <c r="V79" i="4"/>
  <c r="W79" i="4"/>
  <c r="U87" i="4"/>
  <c r="V87" i="4"/>
  <c r="W87" i="4"/>
  <c r="U167" i="4"/>
  <c r="V167" i="4"/>
  <c r="W167" i="4"/>
  <c r="U59" i="4"/>
  <c r="V59" i="4"/>
  <c r="W59" i="4"/>
  <c r="U47" i="4"/>
  <c r="V47" i="4"/>
  <c r="W47" i="4"/>
  <c r="W11" i="4"/>
  <c r="V11" i="4"/>
  <c r="U11" i="4"/>
  <c r="U335" i="4"/>
  <c r="V335" i="4"/>
  <c r="W335" i="4"/>
  <c r="U283" i="4"/>
  <c r="V283" i="4"/>
  <c r="W283" i="4"/>
  <c r="U255" i="4"/>
  <c r="V255" i="4"/>
  <c r="W255" i="4"/>
  <c r="U99" i="4"/>
  <c r="V99" i="4"/>
  <c r="W99" i="4"/>
  <c r="U334" i="4"/>
  <c r="V334" i="4"/>
  <c r="W334" i="4"/>
  <c r="U414" i="4"/>
  <c r="V414" i="4"/>
  <c r="W414" i="4"/>
  <c r="U406" i="4"/>
  <c r="V406" i="4"/>
  <c r="W406" i="4"/>
  <c r="U418" i="4"/>
  <c r="V418" i="4"/>
  <c r="W418" i="4"/>
  <c r="U362" i="4"/>
  <c r="V362" i="4"/>
  <c r="W362" i="4"/>
  <c r="U350" i="4"/>
  <c r="V350" i="4"/>
  <c r="W350" i="4"/>
  <c r="U394" i="4"/>
  <c r="V394" i="4"/>
  <c r="W394" i="4"/>
  <c r="U390" i="4"/>
  <c r="V390" i="4"/>
  <c r="W390" i="4"/>
  <c r="U370" i="4"/>
  <c r="V370" i="4"/>
  <c r="W370" i="4"/>
  <c r="U318" i="4"/>
  <c r="V318" i="4"/>
  <c r="W318" i="4"/>
  <c r="U278" i="4"/>
  <c r="V278" i="4"/>
  <c r="W278" i="4"/>
  <c r="U294" i="4"/>
  <c r="V294" i="4"/>
  <c r="W294" i="4"/>
  <c r="U302" i="4"/>
  <c r="V302" i="4"/>
  <c r="W302" i="4"/>
  <c r="U438" i="4"/>
  <c r="V438" i="4"/>
  <c r="W438" i="4"/>
  <c r="U426" i="4"/>
  <c r="V426" i="4"/>
  <c r="W426" i="4"/>
  <c r="U446" i="4"/>
  <c r="V446" i="4"/>
  <c r="W446" i="4"/>
  <c r="U270" i="4"/>
  <c r="V270" i="4"/>
  <c r="W270" i="4"/>
  <c r="U258" i="4"/>
  <c r="V258" i="4"/>
  <c r="W258" i="4"/>
  <c r="U246" i="4"/>
  <c r="V246" i="4"/>
  <c r="W246" i="4"/>
  <c r="U234" i="4"/>
  <c r="V234" i="4"/>
  <c r="W234" i="4"/>
  <c r="U222" i="4"/>
  <c r="V222" i="4"/>
  <c r="W222" i="4"/>
  <c r="U210" i="4"/>
  <c r="V210" i="4"/>
  <c r="W210" i="4"/>
  <c r="U102" i="4"/>
  <c r="V102" i="4"/>
  <c r="W102" i="4"/>
  <c r="U70" i="4"/>
  <c r="V70" i="4"/>
  <c r="W70" i="4"/>
  <c r="U66" i="4"/>
  <c r="V66" i="4"/>
  <c r="W66" i="4"/>
  <c r="U78" i="4"/>
  <c r="V78" i="4"/>
  <c r="W78" i="4"/>
  <c r="U86" i="4"/>
  <c r="V86" i="4"/>
  <c r="W86" i="4"/>
  <c r="U166" i="4"/>
  <c r="V166" i="4"/>
  <c r="W166" i="4"/>
  <c r="U58" i="4"/>
  <c r="V58" i="4"/>
  <c r="W58" i="4"/>
  <c r="W46" i="4"/>
  <c r="V46" i="4"/>
  <c r="U46" i="4"/>
  <c r="U375" i="4"/>
  <c r="V375" i="4"/>
  <c r="W375" i="4"/>
  <c r="U31" i="4"/>
  <c r="V31" i="4"/>
  <c r="W31" i="4"/>
  <c r="U345" i="4"/>
  <c r="V345" i="4"/>
  <c r="W345" i="4"/>
  <c r="U337" i="4"/>
  <c r="V337" i="4"/>
  <c r="W337" i="4"/>
  <c r="U369" i="4"/>
  <c r="V369" i="4"/>
  <c r="W369" i="4"/>
  <c r="U361" i="4"/>
  <c r="V361" i="4"/>
  <c r="W361" i="4"/>
  <c r="U349" i="4"/>
  <c r="V349" i="4"/>
  <c r="W349" i="4"/>
  <c r="U381" i="4"/>
  <c r="V381" i="4"/>
  <c r="W381" i="4"/>
  <c r="U389" i="4"/>
  <c r="V389" i="4"/>
  <c r="W389" i="4"/>
  <c r="U377" i="4"/>
  <c r="V377" i="4"/>
  <c r="W377" i="4"/>
  <c r="U329" i="4"/>
  <c r="V329" i="4"/>
  <c r="W329" i="4"/>
  <c r="U289" i="4"/>
  <c r="V289" i="4"/>
  <c r="W289" i="4"/>
  <c r="U285" i="4"/>
  <c r="V285" i="4"/>
  <c r="W285" i="4"/>
  <c r="U309" i="4"/>
  <c r="V309" i="4"/>
  <c r="W309" i="4"/>
  <c r="U437" i="4"/>
  <c r="V437" i="4"/>
  <c r="W437" i="4"/>
  <c r="U425" i="4"/>
  <c r="V425" i="4"/>
  <c r="W425" i="4"/>
  <c r="U445" i="4"/>
  <c r="V445" i="4"/>
  <c r="W445" i="4"/>
  <c r="U269" i="4"/>
  <c r="V269" i="4"/>
  <c r="W269" i="4"/>
  <c r="U257" i="4"/>
  <c r="V257" i="4"/>
  <c r="W257" i="4"/>
  <c r="U245" i="4"/>
  <c r="V245" i="4"/>
  <c r="W245" i="4"/>
  <c r="U233" i="4"/>
  <c r="V233" i="4"/>
  <c r="W233" i="4"/>
  <c r="U221" i="4"/>
  <c r="V221" i="4"/>
  <c r="W221" i="4"/>
  <c r="U117" i="4"/>
  <c r="V117" i="4"/>
  <c r="W117" i="4"/>
  <c r="U101" i="4"/>
  <c r="V101" i="4"/>
  <c r="W101" i="4"/>
  <c r="U121" i="4"/>
  <c r="V121" i="4"/>
  <c r="W121" i="4"/>
  <c r="U65" i="4"/>
  <c r="V65" i="4"/>
  <c r="W65" i="4"/>
  <c r="U97" i="4"/>
  <c r="V97" i="4"/>
  <c r="W97" i="4"/>
  <c r="U141" i="4"/>
  <c r="V141" i="4"/>
  <c r="W141" i="4"/>
  <c r="U137" i="4"/>
  <c r="V137" i="4"/>
  <c r="W137" i="4"/>
  <c r="U57" i="4"/>
  <c r="V57" i="4"/>
  <c r="W57" i="4"/>
  <c r="U33" i="4"/>
  <c r="V33" i="4"/>
  <c r="W33" i="4"/>
  <c r="S227" i="3" l="1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29" i="3"/>
  <c r="S228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68" i="3"/>
  <c r="S167" i="3"/>
  <c r="S189" i="3"/>
  <c r="S191" i="3"/>
  <c r="S192" i="3"/>
  <c r="S193" i="3"/>
  <c r="S194" i="3"/>
  <c r="S195" i="3"/>
  <c r="S190" i="3"/>
  <c r="S187" i="3" l="1"/>
  <c r="S186" i="3"/>
  <c r="S185" i="3"/>
  <c r="S184" i="3"/>
  <c r="S183" i="3"/>
  <c r="S159" i="3"/>
  <c r="S172" i="3"/>
  <c r="S171" i="3"/>
  <c r="S170" i="3"/>
  <c r="S169" i="3"/>
  <c r="S211" i="3"/>
  <c r="S210" i="3"/>
  <c r="S209" i="3"/>
  <c r="S176" i="3"/>
  <c r="S178" i="3"/>
  <c r="S179" i="3"/>
  <c r="S180" i="3"/>
  <c r="S196" i="3"/>
  <c r="S166" i="3"/>
  <c r="S165" i="3"/>
  <c r="S164" i="3"/>
  <c r="S163" i="3"/>
  <c r="S162" i="3"/>
  <c r="S161" i="3"/>
  <c r="S160" i="3"/>
  <c r="S158" i="3"/>
  <c r="S157" i="3"/>
  <c r="S156" i="3"/>
  <c r="S155" i="3"/>
  <c r="S154" i="3"/>
  <c r="S174" i="3"/>
  <c r="S173" i="3"/>
  <c r="S128" i="3"/>
  <c r="S129" i="3"/>
  <c r="S130" i="3"/>
  <c r="S131" i="3"/>
  <c r="S182" i="3"/>
  <c r="S181" i="3"/>
  <c r="S98" i="3"/>
  <c r="S102" i="3"/>
  <c r="S101" i="3"/>
  <c r="S100" i="3"/>
  <c r="S99" i="3"/>
  <c r="S97" i="3"/>
  <c r="S96" i="3"/>
  <c r="S153" i="3"/>
  <c r="S152" i="3"/>
  <c r="S95" i="3"/>
  <c r="S94" i="3"/>
  <c r="S93" i="3"/>
  <c r="S92" i="3"/>
  <c r="S91" i="3"/>
  <c r="S90" i="3"/>
  <c r="S89" i="3"/>
  <c r="S88" i="3"/>
  <c r="S87" i="3"/>
  <c r="S127" i="3"/>
  <c r="S126" i="3"/>
  <c r="S125" i="3"/>
  <c r="O69" i="1" l="1"/>
  <c r="D1367" i="2"/>
  <c r="O114" i="1"/>
  <c r="O113" i="1"/>
  <c r="O112" i="1"/>
  <c r="O111" i="1"/>
  <c r="O110" i="1"/>
  <c r="O109" i="1"/>
  <c r="O108" i="1"/>
  <c r="O107" i="1"/>
  <c r="O106" i="1"/>
  <c r="N106" i="1"/>
  <c r="O105" i="1"/>
  <c r="O104" i="1"/>
  <c r="O103" i="1"/>
  <c r="N102" i="1"/>
  <c r="O102" i="1"/>
  <c r="O101" i="1"/>
  <c r="O100" i="1"/>
  <c r="O99" i="1"/>
  <c r="O98" i="1"/>
  <c r="N97" i="1"/>
  <c r="O97" i="1"/>
  <c r="O96" i="1"/>
  <c r="O95" i="1"/>
  <c r="O94" i="1"/>
  <c r="N93" i="1"/>
  <c r="O93" i="1"/>
  <c r="O92" i="1"/>
  <c r="O91" i="1"/>
  <c r="O90" i="1"/>
  <c r="D1713" i="2"/>
  <c r="D1712" i="2"/>
  <c r="D1697" i="2"/>
  <c r="D1711" i="2"/>
  <c r="D1710" i="2"/>
  <c r="D1709" i="2"/>
  <c r="D1708" i="2"/>
  <c r="D1707" i="2"/>
  <c r="D1706" i="2"/>
  <c r="D1705" i="2"/>
  <c r="D1704" i="2"/>
  <c r="D1703" i="2"/>
  <c r="D1702" i="2"/>
  <c r="D1701" i="2"/>
  <c r="D1754" i="2"/>
  <c r="D1753" i="2"/>
  <c r="D1752" i="2"/>
  <c r="D1751" i="2"/>
  <c r="D1750" i="2"/>
  <c r="D1732" i="2"/>
  <c r="D1749" i="2"/>
  <c r="D1748" i="2"/>
  <c r="D1730" i="2"/>
  <c r="D1747" i="2"/>
  <c r="D1746" i="2"/>
  <c r="D1745" i="2"/>
  <c r="D1729" i="2"/>
  <c r="D1744" i="2"/>
  <c r="D1743" i="2"/>
  <c r="D1728" i="2"/>
  <c r="D1727" i="2"/>
  <c r="D1742" i="2"/>
  <c r="D1735" i="2"/>
  <c r="D1741" i="2"/>
  <c r="D1734" i="2"/>
  <c r="D1740" i="2"/>
  <c r="D1739" i="2"/>
  <c r="D1738" i="2"/>
  <c r="D1737" i="2"/>
  <c r="D1731" i="2"/>
  <c r="D1736" i="2"/>
  <c r="D1733" i="2"/>
  <c r="D1764" i="2"/>
  <c r="D1776" i="2"/>
  <c r="D1763" i="2"/>
  <c r="D1775" i="2"/>
  <c r="D1762" i="2"/>
  <c r="D1774" i="2"/>
  <c r="D1761" i="2"/>
  <c r="D1760" i="2"/>
  <c r="D1773" i="2"/>
  <c r="D1759" i="2"/>
  <c r="D1758" i="2"/>
  <c r="D1757" i="2"/>
  <c r="D1772" i="2"/>
  <c r="D1756" i="2"/>
  <c r="D1766" i="2"/>
  <c r="D1755" i="2"/>
  <c r="D1765" i="2"/>
  <c r="D1771" i="2"/>
  <c r="D1770" i="2"/>
  <c r="D1769" i="2"/>
  <c r="D1768" i="2"/>
  <c r="D1767" i="2"/>
  <c r="D1781" i="2"/>
  <c r="D1780" i="2"/>
  <c r="D1789" i="2"/>
  <c r="D1788" i="2"/>
  <c r="D1787" i="2"/>
  <c r="D1779" i="2"/>
  <c r="D1786" i="2"/>
  <c r="D1785" i="2"/>
  <c r="D1784" i="2"/>
  <c r="D1783" i="2"/>
  <c r="D1782" i="2"/>
  <c r="D1778" i="2"/>
  <c r="D1777" i="2"/>
  <c r="D1808" i="2"/>
  <c r="D1794" i="2"/>
  <c r="D1807" i="2"/>
  <c r="D1806" i="2"/>
  <c r="D1805" i="2"/>
  <c r="D1804" i="2"/>
  <c r="D1791" i="2"/>
  <c r="D1803" i="2"/>
  <c r="D1790" i="2"/>
  <c r="D1802" i="2"/>
  <c r="D1801" i="2"/>
  <c r="D1800" i="2"/>
  <c r="D1799" i="2"/>
  <c r="D1798" i="2"/>
  <c r="D1797" i="2"/>
  <c r="D1793" i="2"/>
  <c r="D1796" i="2"/>
  <c r="D1792" i="2"/>
  <c r="D1795" i="2"/>
  <c r="D1829" i="2"/>
  <c r="D1813" i="2"/>
  <c r="D1828" i="2"/>
  <c r="D1812" i="2"/>
  <c r="D1827" i="2"/>
  <c r="D1811" i="2"/>
  <c r="D1810" i="2"/>
  <c r="D1826" i="2"/>
  <c r="D1809" i="2"/>
  <c r="D1825" i="2"/>
  <c r="D1824" i="2"/>
  <c r="D1823" i="2"/>
  <c r="D1822" i="2"/>
  <c r="D1821" i="2"/>
  <c r="D1820" i="2"/>
  <c r="D1819" i="2"/>
  <c r="D1818" i="2"/>
  <c r="D1817" i="2"/>
  <c r="D1816" i="2"/>
  <c r="D1814" i="2"/>
  <c r="D1815" i="2"/>
  <c r="D1831" i="2"/>
  <c r="D1830" i="2"/>
  <c r="D1853" i="2"/>
  <c r="D1852" i="2"/>
  <c r="D1836" i="2"/>
  <c r="D1835" i="2"/>
  <c r="D1851" i="2"/>
  <c r="D1850" i="2"/>
  <c r="D1849" i="2"/>
  <c r="D1848" i="2"/>
  <c r="D1834" i="2"/>
  <c r="D1847" i="2"/>
  <c r="D1833" i="2"/>
  <c r="D1846" i="2"/>
  <c r="D1845" i="2"/>
  <c r="D1832" i="2"/>
  <c r="D1844" i="2"/>
  <c r="D1843" i="2"/>
  <c r="D1842" i="2"/>
  <c r="D1841" i="2"/>
  <c r="D1840" i="2"/>
  <c r="D1839" i="2"/>
  <c r="D1838" i="2"/>
  <c r="D1837" i="2"/>
  <c r="D1882" i="2"/>
  <c r="D1881" i="2"/>
  <c r="D1880" i="2"/>
  <c r="D1878" i="2"/>
  <c r="D1879" i="2"/>
  <c r="D1877" i="2"/>
  <c r="D1876" i="2"/>
  <c r="D1875" i="2"/>
  <c r="D1874" i="2"/>
  <c r="D1872" i="2"/>
  <c r="D1873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6" i="2"/>
  <c r="D1859" i="2"/>
  <c r="D1858" i="2"/>
  <c r="D1855" i="2"/>
  <c r="D1857" i="2"/>
  <c r="D1854" i="2"/>
  <c r="D1902" i="2"/>
  <c r="D1901" i="2"/>
  <c r="D1899" i="2"/>
  <c r="D1900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4" i="2"/>
  <c r="D1886" i="2"/>
  <c r="D1883" i="2"/>
  <c r="D1885" i="2"/>
  <c r="D1920" i="2"/>
  <c r="D1919" i="2"/>
  <c r="D1904" i="2"/>
  <c r="D1918" i="2"/>
  <c r="D1906" i="2"/>
  <c r="D1917" i="2"/>
  <c r="D1916" i="2"/>
  <c r="D1905" i="2"/>
  <c r="D1909" i="2"/>
  <c r="D1908" i="2"/>
  <c r="D1915" i="2"/>
  <c r="D1914" i="2"/>
  <c r="D1913" i="2"/>
  <c r="D1912" i="2"/>
  <c r="D1911" i="2"/>
  <c r="D1910" i="2"/>
  <c r="D1907" i="2"/>
  <c r="D1903" i="2"/>
  <c r="D1924" i="2"/>
  <c r="D1927" i="2"/>
  <c r="D1926" i="2"/>
  <c r="D1925" i="2"/>
  <c r="D1923" i="2"/>
  <c r="D1922" i="2"/>
  <c r="D1921" i="2"/>
  <c r="D1937" i="2"/>
  <c r="D1936" i="2"/>
  <c r="D1935" i="2"/>
  <c r="D1934" i="2"/>
  <c r="D1933" i="2"/>
  <c r="D1932" i="2"/>
  <c r="D1928" i="2"/>
  <c r="D1931" i="2"/>
  <c r="D1930" i="2"/>
  <c r="D1929" i="2"/>
  <c r="D1962" i="2"/>
  <c r="D1961" i="2"/>
  <c r="D1938" i="2"/>
  <c r="D1948" i="2"/>
  <c r="D1960" i="2"/>
  <c r="D1959" i="2"/>
  <c r="D1940" i="2"/>
  <c r="D1947" i="2"/>
  <c r="D1946" i="2"/>
  <c r="D1945" i="2"/>
  <c r="D1944" i="2"/>
  <c r="D1939" i="2"/>
  <c r="D1958" i="2"/>
  <c r="D1943" i="2"/>
  <c r="D1942" i="2"/>
  <c r="D1957" i="2"/>
  <c r="D1956" i="2"/>
  <c r="D1955" i="2"/>
  <c r="D1954" i="2"/>
  <c r="D1953" i="2"/>
  <c r="D1941" i="2"/>
  <c r="D1952" i="2"/>
  <c r="D1951" i="2"/>
  <c r="D1950" i="2"/>
  <c r="D1949" i="2"/>
  <c r="D2003" i="2"/>
  <c r="D2002" i="2"/>
  <c r="D2001" i="2"/>
  <c r="D2000" i="2"/>
  <c r="D1999" i="2"/>
  <c r="D1998" i="2"/>
  <c r="D1997" i="2"/>
  <c r="D1996" i="2"/>
  <c r="D1973" i="2"/>
  <c r="D1995" i="2"/>
  <c r="D1992" i="2"/>
  <c r="D1993" i="2"/>
  <c r="D1994" i="2"/>
  <c r="D1972" i="2"/>
  <c r="D1971" i="2"/>
  <c r="D1991" i="2"/>
  <c r="D1990" i="2"/>
  <c r="D1989" i="2"/>
  <c r="D1969" i="2"/>
  <c r="D1965" i="2"/>
  <c r="D1966" i="2"/>
  <c r="D1988" i="2"/>
  <c r="D1987" i="2"/>
  <c r="D1986" i="2"/>
  <c r="D1964" i="2"/>
  <c r="D1985" i="2"/>
  <c r="D1984" i="2"/>
  <c r="D1983" i="2"/>
  <c r="D1982" i="2"/>
  <c r="D1981" i="2"/>
  <c r="D1968" i="2"/>
  <c r="D1980" i="2"/>
  <c r="D1963" i="2"/>
  <c r="D1979" i="2"/>
  <c r="D1978" i="2"/>
  <c r="D1977" i="2"/>
  <c r="D1976" i="2"/>
  <c r="D1975" i="2"/>
  <c r="D1967" i="2"/>
  <c r="D1970" i="2"/>
  <c r="D1974" i="2"/>
  <c r="D2027" i="2"/>
  <c r="D2017" i="2"/>
  <c r="D2015" i="2"/>
  <c r="D2016" i="2"/>
  <c r="D2013" i="2"/>
  <c r="D2014" i="2"/>
  <c r="D2026" i="2"/>
  <c r="D2012" i="2"/>
  <c r="D2025" i="2"/>
  <c r="D2011" i="2"/>
  <c r="D2024" i="2"/>
  <c r="D2023" i="2"/>
  <c r="D2010" i="2"/>
  <c r="D2022" i="2"/>
  <c r="D2009" i="2"/>
  <c r="D2021" i="2"/>
  <c r="D2008" i="2"/>
  <c r="D2007" i="2"/>
  <c r="D2006" i="2"/>
  <c r="D2020" i="2"/>
  <c r="D2019" i="2"/>
  <c r="D2005" i="2"/>
  <c r="D2004" i="2"/>
  <c r="D2018" i="2"/>
  <c r="D2032" i="2"/>
  <c r="D2031" i="2"/>
  <c r="D2030" i="2"/>
  <c r="D2029" i="2"/>
  <c r="D2028" i="2"/>
  <c r="D2034" i="2"/>
  <c r="D2033" i="2"/>
  <c r="D2037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36" i="2"/>
  <c r="D2040" i="2"/>
  <c r="D2039" i="2"/>
  <c r="D2038" i="2"/>
  <c r="D2035" i="2"/>
  <c r="D2053" i="2"/>
  <c r="D2055" i="2"/>
  <c r="D2054" i="2"/>
  <c r="D2064" i="2"/>
  <c r="D2059" i="2"/>
  <c r="D2089" i="2"/>
  <c r="D2088" i="2"/>
  <c r="D2087" i="2"/>
  <c r="D2063" i="2"/>
  <c r="D2086" i="2"/>
  <c r="D2057" i="2"/>
  <c r="D2085" i="2"/>
  <c r="D2056" i="2"/>
  <c r="D2083" i="2"/>
  <c r="D2084" i="2"/>
  <c r="D2082" i="2"/>
  <c r="D2081" i="2"/>
  <c r="D2058" i="2"/>
  <c r="D2080" i="2"/>
  <c r="D2062" i="2"/>
  <c r="D2061" i="2"/>
  <c r="D2079" i="2"/>
  <c r="D2078" i="2"/>
  <c r="D2077" i="2"/>
  <c r="D2076" i="2"/>
  <c r="D2075" i="2"/>
  <c r="D2074" i="2"/>
  <c r="D2073" i="2"/>
  <c r="D2072" i="2"/>
  <c r="D2071" i="2"/>
  <c r="D2060" i="2"/>
  <c r="D2070" i="2"/>
  <c r="D2069" i="2"/>
  <c r="D2068" i="2"/>
  <c r="D2067" i="2"/>
  <c r="D2066" i="2"/>
  <c r="D2065" i="2"/>
  <c r="D2092" i="2"/>
  <c r="D2091" i="2"/>
  <c r="D2090" i="2"/>
  <c r="D2116" i="2"/>
  <c r="D2101" i="2"/>
  <c r="D2115" i="2"/>
  <c r="D2100" i="2"/>
  <c r="D2114" i="2"/>
  <c r="D2098" i="2"/>
  <c r="D2099" i="2"/>
  <c r="D2113" i="2"/>
  <c r="D2112" i="2"/>
  <c r="D2111" i="2"/>
  <c r="D2110" i="2"/>
  <c r="D2109" i="2"/>
  <c r="D2108" i="2"/>
  <c r="D2093" i="2"/>
  <c r="D2107" i="2"/>
  <c r="D2106" i="2"/>
  <c r="D2105" i="2"/>
  <c r="D2104" i="2"/>
  <c r="D2103" i="2"/>
  <c r="D2097" i="2"/>
  <c r="D2096" i="2"/>
  <c r="D2102" i="2"/>
  <c r="D2095" i="2"/>
  <c r="D2094" i="2"/>
  <c r="D2118" i="2"/>
  <c r="D2117" i="2"/>
  <c r="D2130" i="2"/>
  <c r="D2142" i="2"/>
  <c r="D2127" i="2"/>
  <c r="D2141" i="2"/>
  <c r="D2126" i="2"/>
  <c r="D2140" i="2"/>
  <c r="D2125" i="2"/>
  <c r="D2139" i="2"/>
  <c r="D2138" i="2"/>
  <c r="D2124" i="2"/>
  <c r="D2137" i="2"/>
  <c r="D2123" i="2"/>
  <c r="D2136" i="2"/>
  <c r="D2135" i="2"/>
  <c r="D2134" i="2"/>
  <c r="D2122" i="2"/>
  <c r="D2121" i="2"/>
  <c r="D2133" i="2"/>
  <c r="D2132" i="2"/>
  <c r="D2131" i="2"/>
  <c r="D2120" i="2"/>
  <c r="D2119" i="2"/>
  <c r="D2129" i="2"/>
  <c r="D2128" i="2"/>
  <c r="D2143" i="2"/>
  <c r="D2144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63" i="2"/>
  <c r="D2162" i="2"/>
  <c r="D2161" i="2"/>
  <c r="D2160" i="2"/>
  <c r="D2159" i="2"/>
  <c r="D2158" i="2"/>
  <c r="D2181" i="2"/>
  <c r="D2172" i="2"/>
  <c r="D2173" i="2"/>
  <c r="D2180" i="2"/>
  <c r="D2171" i="2"/>
  <c r="D2170" i="2"/>
  <c r="D2169" i="2"/>
  <c r="D2168" i="2"/>
  <c r="D2179" i="2"/>
  <c r="D2167" i="2"/>
  <c r="D2166" i="2"/>
  <c r="D2178" i="2"/>
  <c r="D2177" i="2"/>
  <c r="D2165" i="2"/>
  <c r="D2174" i="2"/>
  <c r="D2176" i="2"/>
  <c r="D2175" i="2"/>
  <c r="D2182" i="2"/>
  <c r="D2185" i="2"/>
  <c r="D2184" i="2"/>
  <c r="D2183" i="2"/>
  <c r="D2164" i="2"/>
  <c r="D2222" i="2"/>
  <c r="D2221" i="2"/>
  <c r="D2220" i="2"/>
  <c r="D2218" i="2"/>
  <c r="D2219" i="2"/>
  <c r="D2217" i="2"/>
  <c r="D2216" i="2"/>
  <c r="D2206" i="2"/>
  <c r="D2215" i="2"/>
  <c r="D2214" i="2"/>
  <c r="D2205" i="2"/>
  <c r="D2213" i="2"/>
  <c r="D2212" i="2"/>
  <c r="D2204" i="2"/>
  <c r="D2211" i="2"/>
  <c r="D2203" i="2"/>
  <c r="D2202" i="2"/>
  <c r="D2201" i="2"/>
  <c r="D2200" i="2"/>
  <c r="D2199" i="2"/>
  <c r="D2198" i="2"/>
  <c r="D2210" i="2"/>
  <c r="D2197" i="2"/>
  <c r="D2196" i="2"/>
  <c r="D2195" i="2"/>
  <c r="D2194" i="2"/>
  <c r="D2193" i="2"/>
  <c r="D2192" i="2"/>
  <c r="D2209" i="2"/>
  <c r="D2191" i="2"/>
  <c r="D2190" i="2"/>
  <c r="D2189" i="2"/>
  <c r="D2188" i="2"/>
  <c r="D2187" i="2"/>
  <c r="D2208" i="2"/>
  <c r="D2207" i="2"/>
  <c r="D2186" i="2"/>
  <c r="D2242" i="2"/>
  <c r="D2241" i="2"/>
  <c r="D2240" i="2"/>
  <c r="D2226" i="2"/>
  <c r="D2239" i="2"/>
  <c r="D2238" i="2"/>
  <c r="D2225" i="2"/>
  <c r="D2237" i="2"/>
  <c r="D2236" i="2"/>
  <c r="D2224" i="2"/>
  <c r="D2235" i="2"/>
  <c r="D2234" i="2"/>
  <c r="D2233" i="2"/>
  <c r="D2232" i="2"/>
  <c r="D2231" i="2"/>
  <c r="D2230" i="2"/>
  <c r="D2229" i="2"/>
  <c r="D2223" i="2"/>
  <c r="D2228" i="2"/>
  <c r="D2227" i="2"/>
  <c r="D2245" i="2"/>
  <c r="D2244" i="2"/>
  <c r="D2243" i="2"/>
  <c r="D2254" i="2"/>
  <c r="D2258" i="2"/>
  <c r="D2253" i="2"/>
  <c r="D2252" i="2"/>
  <c r="D2251" i="2"/>
  <c r="D2257" i="2"/>
  <c r="D2250" i="2"/>
  <c r="D2249" i="2"/>
  <c r="D2248" i="2"/>
  <c r="D2247" i="2"/>
  <c r="D2256" i="2"/>
  <c r="D2255" i="2"/>
  <c r="D2266" i="2"/>
  <c r="D2265" i="2"/>
  <c r="D2264" i="2"/>
  <c r="D2263" i="2"/>
  <c r="D2262" i="2"/>
  <c r="D2261" i="2"/>
  <c r="D2260" i="2"/>
  <c r="D2267" i="2"/>
  <c r="D2246" i="2"/>
  <c r="D2259" i="2"/>
  <c r="D1726" i="2"/>
  <c r="D1725" i="2"/>
  <c r="D1700" i="2"/>
  <c r="D1724" i="2"/>
  <c r="D1723" i="2"/>
  <c r="D1721" i="2"/>
  <c r="D1722" i="2"/>
  <c r="D1699" i="2"/>
  <c r="D1720" i="2"/>
  <c r="D1719" i="2"/>
  <c r="D1718" i="2"/>
  <c r="D1698" i="2"/>
  <c r="D1717" i="2"/>
  <c r="D1716" i="2"/>
  <c r="D1715" i="2"/>
  <c r="D1714" i="2"/>
  <c r="O89" i="1"/>
  <c r="O88" i="1" l="1"/>
  <c r="O87" i="1"/>
  <c r="O86" i="1"/>
  <c r="O85" i="1"/>
  <c r="O84" i="1"/>
  <c r="O83" i="1"/>
  <c r="N82" i="1"/>
  <c r="O82" i="1"/>
  <c r="O81" i="1"/>
  <c r="O80" i="1"/>
  <c r="N80" i="1"/>
  <c r="O79" i="1"/>
  <c r="N79" i="1"/>
  <c r="O78" i="1"/>
  <c r="N78" i="1"/>
  <c r="O77" i="1"/>
  <c r="O76" i="1"/>
  <c r="O75" i="1"/>
  <c r="O74" i="1"/>
  <c r="N74" i="1"/>
  <c r="O73" i="1"/>
  <c r="N73" i="1"/>
  <c r="I1428" i="2"/>
  <c r="I1427" i="2"/>
  <c r="O71" i="1"/>
  <c r="O70" i="1"/>
  <c r="O68" i="1"/>
  <c r="O67" i="1"/>
  <c r="N67" i="1"/>
  <c r="O66" i="1"/>
  <c r="N66" i="1"/>
  <c r="O65" i="1"/>
  <c r="O64" i="1"/>
  <c r="N64" i="1"/>
  <c r="O63" i="1"/>
  <c r="O62" i="1"/>
  <c r="O61" i="1"/>
  <c r="N61" i="1"/>
  <c r="O60" i="1"/>
  <c r="N60" i="1"/>
  <c r="O59" i="1"/>
  <c r="O58" i="1"/>
  <c r="O57" i="1"/>
  <c r="O56" i="1"/>
  <c r="O55" i="1"/>
  <c r="O54" i="1"/>
  <c r="O53" i="1"/>
  <c r="O52" i="1"/>
  <c r="O51" i="1"/>
  <c r="O50" i="1"/>
  <c r="N50" i="1"/>
  <c r="N42" i="1"/>
  <c r="N41" i="1"/>
  <c r="O40" i="1"/>
  <c r="N39" i="1"/>
  <c r="N38" i="1"/>
  <c r="N37" i="1"/>
  <c r="O36" i="1"/>
  <c r="N33" i="1"/>
  <c r="O30" i="1"/>
  <c r="O29" i="1"/>
  <c r="O27" i="1"/>
  <c r="O26" i="1"/>
  <c r="O23" i="1"/>
  <c r="O22" i="1"/>
  <c r="O21" i="1"/>
  <c r="O20" i="1"/>
  <c r="O18" i="1"/>
  <c r="O17" i="1"/>
  <c r="O46" i="1"/>
  <c r="O45" i="1"/>
  <c r="O43" i="1"/>
  <c r="O42" i="1"/>
  <c r="O41" i="1"/>
  <c r="O39" i="1"/>
  <c r="O37" i="1"/>
  <c r="N36" i="1"/>
  <c r="O35" i="1"/>
  <c r="N35" i="1"/>
  <c r="O34" i="1"/>
  <c r="N34" i="1"/>
  <c r="O33" i="1"/>
  <c r="AA32" i="1"/>
  <c r="Z32" i="1"/>
  <c r="O32" i="1"/>
  <c r="N32" i="1"/>
  <c r="AD4" i="1"/>
  <c r="AA31" i="1"/>
  <c r="Z31" i="1"/>
  <c r="AA21" i="1"/>
  <c r="Z21" i="1"/>
  <c r="Y21" i="1"/>
  <c r="AD36" i="1" l="1"/>
  <c r="AD31" i="1"/>
  <c r="X32" i="1"/>
  <c r="AD32" i="1"/>
  <c r="AD21" i="1"/>
  <c r="N31" i="1"/>
  <c r="X31" i="1"/>
  <c r="X21" i="1"/>
  <c r="O31" i="1"/>
  <c r="O28" i="1"/>
  <c r="O24" i="1"/>
  <c r="O19" i="1"/>
  <c r="N21" i="1"/>
  <c r="N6" i="1"/>
  <c r="M22" i="9" l="1"/>
  <c r="M21" i="9"/>
  <c r="L19" i="9"/>
  <c r="M18" i="9"/>
  <c r="M17" i="9"/>
  <c r="M16" i="9"/>
  <c r="M15" i="9"/>
  <c r="M14" i="9"/>
  <c r="M13" i="9"/>
  <c r="M11" i="9"/>
  <c r="M10" i="9"/>
  <c r="M9" i="9"/>
  <c r="M8" i="9"/>
  <c r="B27" i="9"/>
  <c r="A35" i="9"/>
  <c r="A34" i="9"/>
  <c r="B15" i="9"/>
  <c r="A29" i="9"/>
  <c r="A28" i="9"/>
  <c r="A24" i="9"/>
  <c r="B16" i="9"/>
  <c r="B14" i="9"/>
  <c r="B10" i="9"/>
  <c r="B22" i="9"/>
  <c r="B25" i="9"/>
  <c r="B21" i="9"/>
  <c r="B13" i="9"/>
  <c r="B24" i="9"/>
  <c r="B11" i="9"/>
  <c r="B28" i="9"/>
  <c r="B29" i="9"/>
  <c r="B8" i="9"/>
  <c r="B17" i="9"/>
  <c r="B34" i="9"/>
  <c r="B36" i="9"/>
  <c r="B18" i="9"/>
  <c r="B9" i="9"/>
  <c r="B30" i="9"/>
  <c r="B31" i="9"/>
  <c r="B35" i="9"/>
  <c r="B32" i="9"/>
  <c r="B26" i="9"/>
  <c r="B23" i="9"/>
  <c r="A19" i="9"/>
  <c r="A33" i="9"/>
  <c r="AN74" i="1"/>
  <c r="AR29" i="1"/>
  <c r="AP29" i="1"/>
  <c r="AO29" i="1"/>
  <c r="AN29" i="1"/>
  <c r="AN14" i="1"/>
  <c r="AN13" i="1"/>
  <c r="S404" i="3"/>
  <c r="S403" i="3"/>
  <c r="S402" i="3"/>
  <c r="S401" i="3"/>
  <c r="S381" i="3"/>
  <c r="S380" i="3"/>
  <c r="S379" i="3"/>
  <c r="S373" i="3"/>
  <c r="S372" i="3"/>
  <c r="S371" i="3"/>
  <c r="S370" i="3"/>
  <c r="S369" i="3"/>
  <c r="S368" i="3"/>
  <c r="S367" i="3"/>
  <c r="S456" i="3"/>
  <c r="S455" i="3"/>
  <c r="S454" i="3"/>
  <c r="S453" i="3"/>
  <c r="S452" i="3"/>
  <c r="S451" i="3"/>
  <c r="S450" i="3"/>
  <c r="S462" i="3"/>
  <c r="S461" i="3"/>
  <c r="S460" i="3"/>
  <c r="S459" i="3"/>
  <c r="S458" i="3"/>
  <c r="S457" i="3"/>
  <c r="S421" i="3"/>
  <c r="S366" i="3"/>
  <c r="S365" i="3"/>
  <c r="S384" i="3"/>
  <c r="S383" i="3"/>
  <c r="S382" i="3"/>
  <c r="S406" i="3"/>
  <c r="S405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378" i="3"/>
  <c r="S377" i="3"/>
  <c r="S376" i="3"/>
  <c r="S375" i="3"/>
  <c r="S374" i="3"/>
  <c r="S400" i="3"/>
  <c r="S399" i="3"/>
  <c r="S391" i="3"/>
  <c r="S390" i="3"/>
  <c r="S389" i="3"/>
  <c r="S388" i="3"/>
  <c r="S387" i="3"/>
  <c r="S386" i="3"/>
  <c r="S385" i="3"/>
  <c r="S398" i="3"/>
  <c r="S397" i="3"/>
  <c r="S396" i="3"/>
  <c r="S395" i="3"/>
  <c r="S394" i="3"/>
  <c r="S393" i="3"/>
  <c r="S392" i="3"/>
  <c r="S443" i="3"/>
  <c r="S442" i="3"/>
  <c r="S441" i="3"/>
  <c r="S440" i="3"/>
  <c r="S439" i="3"/>
  <c r="S447" i="3"/>
  <c r="S446" i="3"/>
  <c r="S445" i="3"/>
  <c r="S444" i="3"/>
  <c r="S426" i="3"/>
  <c r="S425" i="3"/>
  <c r="S424" i="3"/>
  <c r="S423" i="3"/>
  <c r="S422" i="3"/>
  <c r="S433" i="3"/>
  <c r="S432" i="3"/>
  <c r="S431" i="3"/>
  <c r="S430" i="3"/>
  <c r="S429" i="3"/>
  <c r="S428" i="3"/>
  <c r="S427" i="3"/>
  <c r="S438" i="3"/>
  <c r="S437" i="3"/>
  <c r="S436" i="3"/>
  <c r="S435" i="3"/>
  <c r="S434" i="3"/>
  <c r="S449" i="3"/>
  <c r="S448" i="3"/>
  <c r="S348" i="3"/>
  <c r="S347" i="3"/>
  <c r="S352" i="3"/>
  <c r="S351" i="3"/>
  <c r="S350" i="3"/>
  <c r="S349" i="3"/>
  <c r="S356" i="3"/>
  <c r="S355" i="3"/>
  <c r="S354" i="3"/>
  <c r="S353" i="3"/>
  <c r="S360" i="3"/>
  <c r="S359" i="3"/>
  <c r="S358" i="3"/>
  <c r="S357" i="3"/>
  <c r="S364" i="3"/>
  <c r="S363" i="3"/>
  <c r="S362" i="3"/>
  <c r="S319" i="3"/>
  <c r="S318" i="3"/>
  <c r="S317" i="3"/>
  <c r="S316" i="3"/>
  <c r="S315" i="3"/>
  <c r="S314" i="3"/>
  <c r="S313" i="3"/>
  <c r="S341" i="3"/>
  <c r="S340" i="3"/>
  <c r="S339" i="3"/>
  <c r="S338" i="3"/>
  <c r="S322" i="3"/>
  <c r="S321" i="3"/>
  <c r="S320" i="3"/>
  <c r="S361" i="3"/>
  <c r="S346" i="3"/>
  <c r="S337" i="3"/>
  <c r="S336" i="3"/>
  <c r="S335" i="3"/>
  <c r="S343" i="3"/>
  <c r="S342" i="3"/>
  <c r="S332" i="3"/>
  <c r="S334" i="3"/>
  <c r="S333" i="3"/>
  <c r="S331" i="3"/>
  <c r="S330" i="3"/>
  <c r="S329" i="3"/>
  <c r="S328" i="3"/>
  <c r="S327" i="3"/>
  <c r="S326" i="3"/>
  <c r="S325" i="3"/>
  <c r="S324" i="3"/>
  <c r="S323" i="3"/>
  <c r="S345" i="3"/>
  <c r="S344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0" i="3"/>
  <c r="S472" i="3"/>
  <c r="S471" i="3"/>
  <c r="S469" i="3"/>
  <c r="S468" i="3"/>
  <c r="S467" i="3"/>
  <c r="S466" i="3"/>
  <c r="S465" i="3"/>
  <c r="S464" i="3"/>
  <c r="S463" i="3"/>
  <c r="S287" i="3"/>
  <c r="S286" i="3"/>
  <c r="S285" i="3"/>
  <c r="S284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34" i="3"/>
  <c r="S233" i="3"/>
  <c r="S291" i="3"/>
  <c r="S290" i="3"/>
  <c r="S289" i="3"/>
  <c r="S288" i="3"/>
  <c r="S295" i="3"/>
  <c r="S294" i="3"/>
  <c r="S293" i="3"/>
  <c r="S292" i="3"/>
  <c r="S283" i="3"/>
  <c r="S282" i="3"/>
  <c r="S281" i="3"/>
  <c r="S278" i="3"/>
  <c r="S277" i="3"/>
  <c r="S276" i="3"/>
  <c r="S275" i="3"/>
  <c r="S274" i="3"/>
  <c r="S261" i="3"/>
  <c r="S260" i="3"/>
  <c r="S259" i="3"/>
  <c r="S258" i="3"/>
  <c r="S257" i="3"/>
  <c r="S256" i="3"/>
  <c r="S255" i="3"/>
  <c r="S254" i="3"/>
  <c r="S253" i="3"/>
  <c r="S252" i="3"/>
  <c r="S272" i="3"/>
  <c r="S271" i="3"/>
  <c r="S270" i="3"/>
  <c r="S269" i="3"/>
  <c r="S268" i="3"/>
  <c r="S280" i="3"/>
  <c r="S279" i="3"/>
  <c r="S264" i="3"/>
  <c r="S263" i="3"/>
  <c r="S262" i="3"/>
  <c r="S249" i="3"/>
  <c r="S248" i="3"/>
  <c r="S267" i="3"/>
  <c r="S266" i="3"/>
  <c r="S265" i="3"/>
  <c r="S247" i="3"/>
  <c r="S246" i="3"/>
  <c r="S245" i="3"/>
  <c r="S244" i="3"/>
  <c r="S243" i="3"/>
  <c r="S251" i="3"/>
  <c r="S250" i="3"/>
  <c r="S242" i="3"/>
  <c r="S241" i="3"/>
  <c r="S240" i="3"/>
  <c r="S239" i="3"/>
  <c r="S232" i="3"/>
  <c r="S231" i="3"/>
  <c r="S230" i="3"/>
  <c r="S238" i="3"/>
  <c r="S237" i="3"/>
  <c r="S236" i="3"/>
  <c r="S235" i="3"/>
  <c r="S71" i="3"/>
  <c r="S70" i="3"/>
  <c r="S69" i="3"/>
  <c r="S79" i="3"/>
  <c r="S78" i="3"/>
  <c r="S77" i="3"/>
  <c r="S76" i="3"/>
  <c r="S48" i="3"/>
  <c r="S47" i="3"/>
  <c r="S46" i="3"/>
  <c r="S45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4" i="3"/>
  <c r="S27" i="3"/>
  <c r="S26" i="3"/>
  <c r="S25" i="3"/>
  <c r="S68" i="3"/>
  <c r="S67" i="3"/>
  <c r="S74" i="3"/>
  <c r="S73" i="3"/>
  <c r="S72" i="3"/>
  <c r="S66" i="3"/>
  <c r="S65" i="3"/>
  <c r="S64" i="3"/>
  <c r="S63" i="3"/>
  <c r="S62" i="3"/>
  <c r="S61" i="3"/>
  <c r="S86" i="3"/>
  <c r="S85" i="3"/>
  <c r="S84" i="3"/>
  <c r="S83" i="3"/>
  <c r="S82" i="3"/>
  <c r="S81" i="3"/>
  <c r="S80" i="3"/>
  <c r="S15" i="3"/>
  <c r="S23" i="3"/>
  <c r="S22" i="3"/>
  <c r="S21" i="3"/>
  <c r="S20" i="3"/>
  <c r="S19" i="3"/>
  <c r="S18" i="3"/>
  <c r="S53" i="3"/>
  <c r="S52" i="3"/>
  <c r="S51" i="3"/>
  <c r="S50" i="3"/>
  <c r="S49" i="3"/>
  <c r="S17" i="3"/>
  <c r="S16" i="3"/>
  <c r="S60" i="3"/>
  <c r="S59" i="3"/>
  <c r="S58" i="3"/>
  <c r="S57" i="3"/>
  <c r="S56" i="3"/>
  <c r="S55" i="3"/>
  <c r="S54" i="3"/>
  <c r="S109" i="3"/>
  <c r="S108" i="3"/>
  <c r="S107" i="3"/>
  <c r="S106" i="3"/>
  <c r="S105" i="3"/>
  <c r="S104" i="3"/>
  <c r="S103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24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D1603" i="2"/>
  <c r="D1597" i="2"/>
  <c r="D1601" i="2"/>
  <c r="D1600" i="2"/>
  <c r="D1598" i="2"/>
  <c r="D1621" i="2"/>
  <c r="D1620" i="2"/>
  <c r="D1615" i="2"/>
  <c r="D1676" i="2"/>
  <c r="D1672" i="2"/>
  <c r="D1638" i="2"/>
  <c r="D1659" i="2"/>
  <c r="D1640" i="2"/>
  <c r="D1662" i="2"/>
  <c r="D1653" i="2"/>
  <c r="D1675" i="2"/>
  <c r="D1641" i="2"/>
  <c r="D1677" i="2"/>
  <c r="D1652" i="2"/>
  <c r="D1673" i="2"/>
  <c r="D1639" i="2"/>
  <c r="D1663" i="2"/>
  <c r="D1674" i="2"/>
  <c r="D1648" i="2"/>
  <c r="D1655" i="2"/>
  <c r="D1658" i="2"/>
  <c r="D1667" i="2"/>
  <c r="D1657" i="2"/>
  <c r="D1650" i="2"/>
  <c r="D1636" i="2"/>
  <c r="D1637" i="2"/>
  <c r="D1656" i="2"/>
  <c r="D1649" i="2"/>
  <c r="D1668" i="2"/>
  <c r="D1671" i="2"/>
  <c r="D1661" i="2"/>
  <c r="D1642" i="2"/>
  <c r="D1666" i="2"/>
  <c r="D1647" i="2"/>
  <c r="D1660" i="2"/>
  <c r="D1664" i="2"/>
  <c r="D1669" i="2"/>
  <c r="D1654" i="2"/>
  <c r="D1680" i="2"/>
  <c r="D1683" i="2"/>
  <c r="D1665" i="2"/>
  <c r="D1644" i="2"/>
  <c r="D1679" i="2"/>
  <c r="D1646" i="2"/>
  <c r="D1645" i="2"/>
  <c r="D1643" i="2"/>
  <c r="D1681" i="2"/>
  <c r="D1682" i="2"/>
  <c r="D1678" i="2"/>
  <c r="D1670" i="2"/>
  <c r="D1651" i="2"/>
  <c r="D1630" i="2"/>
  <c r="D1624" i="2"/>
  <c r="D1634" i="2"/>
  <c r="D1632" i="2"/>
  <c r="D1635" i="2"/>
  <c r="D1633" i="2"/>
  <c r="D1626" i="2"/>
  <c r="D1629" i="2"/>
  <c r="D1628" i="2"/>
  <c r="D1631" i="2"/>
  <c r="D1623" i="2"/>
  <c r="D1627" i="2"/>
  <c r="D1625" i="2"/>
  <c r="D1692" i="2"/>
  <c r="D1693" i="2"/>
  <c r="D1694" i="2"/>
  <c r="D1695" i="2"/>
  <c r="D1690" i="2"/>
  <c r="D1686" i="2"/>
  <c r="D1687" i="2"/>
  <c r="D1689" i="2"/>
  <c r="D1688" i="2"/>
  <c r="D1691" i="2"/>
  <c r="D1684" i="2"/>
  <c r="D1685" i="2"/>
  <c r="D1696" i="2"/>
  <c r="D1513" i="2"/>
  <c r="D1510" i="2"/>
  <c r="D1491" i="2"/>
  <c r="D1503" i="2"/>
  <c r="D1495" i="2"/>
  <c r="D1485" i="2"/>
  <c r="D1506" i="2"/>
  <c r="D1502" i="2"/>
  <c r="D1500" i="2"/>
  <c r="D1499" i="2"/>
  <c r="D1501" i="2"/>
  <c r="D1490" i="2"/>
  <c r="D1494" i="2"/>
  <c r="D1493" i="2"/>
  <c r="D1509" i="2"/>
  <c r="D1512" i="2"/>
  <c r="D1511" i="2"/>
  <c r="D1496" i="2"/>
  <c r="D1497" i="2"/>
  <c r="D1507" i="2"/>
  <c r="D1487" i="2"/>
  <c r="D1498" i="2"/>
  <c r="D1488" i="2"/>
  <c r="D1508" i="2"/>
  <c r="D1504" i="2"/>
  <c r="D1489" i="2"/>
  <c r="D1505" i="2"/>
  <c r="D1486" i="2"/>
  <c r="D1492" i="2"/>
  <c r="D1408" i="2"/>
  <c r="D1418" i="2"/>
  <c r="D1411" i="2"/>
  <c r="D1420" i="2"/>
  <c r="D1405" i="2"/>
  <c r="D1407" i="2"/>
  <c r="D1421" i="2"/>
  <c r="D1415" i="2"/>
  <c r="D1406" i="2"/>
  <c r="D1417" i="2"/>
  <c r="D1404" i="2"/>
  <c r="D1403" i="2"/>
  <c r="D1419" i="2"/>
  <c r="D1416" i="2"/>
  <c r="D1412" i="2"/>
  <c r="D1402" i="2"/>
  <c r="D1413" i="2"/>
  <c r="D1409" i="2"/>
  <c r="D1410" i="2"/>
  <c r="D1414" i="2"/>
  <c r="D1432" i="2"/>
  <c r="D1433" i="2"/>
  <c r="D1430" i="2"/>
  <c r="D1437" i="2"/>
  <c r="D1435" i="2"/>
  <c r="D1445" i="2"/>
  <c r="D1436" i="2"/>
  <c r="D1434" i="2"/>
  <c r="D1431" i="2"/>
  <c r="D1439" i="2"/>
  <c r="D1443" i="2"/>
  <c r="D1444" i="2"/>
  <c r="D1440" i="2"/>
  <c r="D1438" i="2"/>
  <c r="D1442" i="2"/>
  <c r="D1441" i="2"/>
  <c r="D1429" i="2"/>
  <c r="D1447" i="2"/>
  <c r="D1448" i="2"/>
  <c r="D1451" i="2"/>
  <c r="D1463" i="2"/>
  <c r="D1466" i="2"/>
  <c r="D1467" i="2"/>
  <c r="D1472" i="2"/>
  <c r="D1473" i="2"/>
  <c r="D1471" i="2"/>
  <c r="D1452" i="2"/>
  <c r="D1462" i="2"/>
  <c r="D1456" i="2"/>
  <c r="D1455" i="2"/>
  <c r="D1454" i="2"/>
  <c r="D1453" i="2"/>
  <c r="D1459" i="2"/>
  <c r="D1464" i="2"/>
  <c r="D1461" i="2"/>
  <c r="D1458" i="2"/>
  <c r="D1465" i="2"/>
  <c r="D1457" i="2"/>
  <c r="D1460" i="2"/>
  <c r="D1450" i="2"/>
  <c r="D1449" i="2"/>
  <c r="D1446" i="2"/>
  <c r="D1470" i="2"/>
  <c r="D1468" i="2"/>
  <c r="D1469" i="2"/>
  <c r="D1474" i="2"/>
  <c r="D1475" i="2"/>
  <c r="D1476" i="2"/>
  <c r="D1483" i="2"/>
  <c r="D1481" i="2"/>
  <c r="D1482" i="2"/>
  <c r="D1480" i="2"/>
  <c r="D1479" i="2"/>
  <c r="D1484" i="2"/>
  <c r="D1477" i="2"/>
  <c r="D1478" i="2"/>
  <c r="D1579" i="2"/>
  <c r="D1568" i="2"/>
  <c r="D1574" i="2"/>
  <c r="D1578" i="2"/>
  <c r="D1588" i="2"/>
  <c r="D1570" i="2"/>
  <c r="D1590" i="2"/>
  <c r="D1583" i="2"/>
  <c r="D1571" i="2"/>
  <c r="D1573" i="2"/>
  <c r="D1582" i="2"/>
  <c r="D1584" i="2"/>
  <c r="D1589" i="2"/>
  <c r="D1576" i="2"/>
  <c r="D1567" i="2"/>
  <c r="D1585" i="2"/>
  <c r="D1566" i="2"/>
  <c r="D1587" i="2"/>
  <c r="D1572" i="2"/>
  <c r="D1575" i="2"/>
  <c r="D1581" i="2"/>
  <c r="D1427" i="2"/>
  <c r="D1428" i="2"/>
  <c r="D1426" i="2"/>
  <c r="D1423" i="2"/>
  <c r="D1424" i="2"/>
  <c r="D1425" i="2"/>
  <c r="D1422" i="2"/>
  <c r="D1522" i="2"/>
  <c r="D1516" i="2"/>
  <c r="D1528" i="2"/>
  <c r="D1529" i="2"/>
  <c r="D1532" i="2"/>
  <c r="D1515" i="2"/>
  <c r="D1520" i="2"/>
  <c r="D1524" i="2"/>
  <c r="D1526" i="2"/>
  <c r="D1541" i="2"/>
  <c r="D1523" i="2"/>
  <c r="D1537" i="2"/>
  <c r="D1517" i="2"/>
  <c r="D1538" i="2"/>
  <c r="D1544" i="2"/>
  <c r="D1533" i="2"/>
  <c r="D1518" i="2"/>
  <c r="D1540" i="2"/>
  <c r="D1543" i="2"/>
  <c r="D1519" i="2"/>
  <c r="D1535" i="2"/>
  <c r="D1536" i="2"/>
  <c r="D1521" i="2"/>
  <c r="D1534" i="2"/>
  <c r="D1514" i="2"/>
  <c r="D1531" i="2"/>
  <c r="D1542" i="2"/>
  <c r="D1539" i="2"/>
  <c r="D1530" i="2"/>
  <c r="D1527" i="2"/>
  <c r="D1525" i="2"/>
  <c r="D1553" i="2"/>
  <c r="D1551" i="2"/>
  <c r="D1556" i="2"/>
  <c r="D1552" i="2"/>
  <c r="D1565" i="2"/>
  <c r="D1555" i="2"/>
  <c r="D1557" i="2"/>
  <c r="D1548" i="2"/>
  <c r="D1563" i="2"/>
  <c r="D1545" i="2"/>
  <c r="D1550" i="2"/>
  <c r="D1562" i="2"/>
  <c r="D1549" i="2"/>
  <c r="D1554" i="2"/>
  <c r="D1560" i="2"/>
  <c r="D1547" i="2"/>
  <c r="D1561" i="2"/>
  <c r="D1546" i="2"/>
  <c r="D1558" i="2"/>
  <c r="D1564" i="2"/>
  <c r="D1559" i="2"/>
  <c r="D1617" i="2"/>
  <c r="D1616" i="2"/>
  <c r="D1622" i="2"/>
  <c r="D1619" i="2"/>
  <c r="D1613" i="2"/>
  <c r="D1604" i="2"/>
  <c r="D1614" i="2"/>
  <c r="D1611" i="2"/>
  <c r="D1593" i="2"/>
  <c r="D1612" i="2"/>
  <c r="D1610" i="2"/>
  <c r="D1618" i="2"/>
  <c r="D1596" i="2"/>
  <c r="D1602" i="2"/>
  <c r="D1599" i="2"/>
  <c r="D1594" i="2"/>
  <c r="D1606" i="2"/>
  <c r="D1608" i="2"/>
  <c r="D1605" i="2"/>
  <c r="D1607" i="2"/>
  <c r="D1595" i="2"/>
  <c r="D1609" i="2"/>
  <c r="D1592" i="2"/>
  <c r="D1580" i="2"/>
  <c r="D1586" i="2"/>
  <c r="D1577" i="2"/>
  <c r="D1591" i="2"/>
  <c r="D1569" i="2"/>
  <c r="D2472" i="2"/>
  <c r="D2467" i="2"/>
  <c r="D2457" i="2"/>
  <c r="D2474" i="2"/>
  <c r="D2446" i="2"/>
  <c r="D2447" i="2"/>
  <c r="D2475" i="2"/>
  <c r="D2458" i="2"/>
  <c r="D2452" i="2"/>
  <c r="D2477" i="2"/>
  <c r="D2443" i="2"/>
  <c r="D2441" i="2"/>
  <c r="D2460" i="2"/>
  <c r="D2469" i="2"/>
  <c r="D2454" i="2"/>
  <c r="D2478" i="2"/>
  <c r="D2476" i="2"/>
  <c r="D2462" i="2"/>
  <c r="D2470" i="2"/>
  <c r="D2442" i="2"/>
  <c r="D2468" i="2"/>
  <c r="D2466" i="2"/>
  <c r="D2465" i="2"/>
  <c r="D2456" i="2"/>
  <c r="D2450" i="2"/>
  <c r="D2473" i="2"/>
  <c r="D2471" i="2"/>
  <c r="D2464" i="2"/>
  <c r="D2463" i="2"/>
  <c r="D2455" i="2"/>
  <c r="D2451" i="2"/>
  <c r="D2444" i="2"/>
  <c r="D2449" i="2"/>
  <c r="D2461" i="2"/>
  <c r="D2459" i="2"/>
  <c r="D2445" i="2"/>
  <c r="D2448" i="2"/>
  <c r="D2453" i="2"/>
  <c r="D2416" i="2"/>
  <c r="D2423" i="2"/>
  <c r="D2427" i="2"/>
  <c r="D2433" i="2"/>
  <c r="D2417" i="2"/>
  <c r="D2422" i="2"/>
  <c r="D2432" i="2"/>
  <c r="D2426" i="2"/>
  <c r="D2419" i="2"/>
  <c r="D2436" i="2"/>
  <c r="D2434" i="2"/>
  <c r="D2430" i="2"/>
  <c r="D2415" i="2"/>
  <c r="D2429" i="2"/>
  <c r="D2420" i="2"/>
  <c r="D2425" i="2"/>
  <c r="D2418" i="2"/>
  <c r="D2440" i="2"/>
  <c r="D2424" i="2"/>
  <c r="D2435" i="2"/>
  <c r="D2437" i="2"/>
  <c r="D2439" i="2"/>
  <c r="D2438" i="2"/>
  <c r="D2428" i="2"/>
  <c r="D2421" i="2"/>
  <c r="D2431" i="2"/>
  <c r="D2397" i="2"/>
  <c r="D2403" i="2"/>
  <c r="D2389" i="2"/>
  <c r="D2388" i="2"/>
  <c r="D2391" i="2"/>
  <c r="D2390" i="2"/>
  <c r="D2399" i="2"/>
  <c r="D2396" i="2"/>
  <c r="D2414" i="2"/>
  <c r="D2393" i="2"/>
  <c r="D2398" i="2"/>
  <c r="D2404" i="2"/>
  <c r="D2386" i="2"/>
  <c r="D2405" i="2"/>
  <c r="D2384" i="2"/>
  <c r="D2383" i="2"/>
  <c r="D2387" i="2"/>
  <c r="D2411" i="2"/>
  <c r="D2412" i="2"/>
  <c r="D2392" i="2"/>
  <c r="D2394" i="2"/>
  <c r="D2395" i="2"/>
  <c r="D2406" i="2"/>
  <c r="D2401" i="2"/>
  <c r="D2407" i="2"/>
  <c r="D2400" i="2"/>
  <c r="D2408" i="2"/>
  <c r="D2409" i="2"/>
  <c r="D2402" i="2"/>
  <c r="D2413" i="2"/>
  <c r="D2410" i="2"/>
  <c r="D2385" i="2"/>
  <c r="D2353" i="2"/>
  <c r="D2377" i="2"/>
  <c r="D2371" i="2"/>
  <c r="D2358" i="2"/>
  <c r="D2360" i="2"/>
  <c r="D2372" i="2"/>
  <c r="D2355" i="2"/>
  <c r="D2378" i="2"/>
  <c r="D2381" i="2"/>
  <c r="D2374" i="2"/>
  <c r="D2376" i="2"/>
  <c r="D2380" i="2"/>
  <c r="D2382" i="2"/>
  <c r="D2370" i="2"/>
  <c r="D2367" i="2"/>
  <c r="D2369" i="2"/>
  <c r="D2364" i="2"/>
  <c r="D2368" i="2"/>
  <c r="D2375" i="2"/>
  <c r="D2357" i="2"/>
  <c r="D2373" i="2"/>
  <c r="D2379" i="2"/>
  <c r="D2361" i="2"/>
  <c r="D2359" i="2"/>
  <c r="D2356" i="2"/>
  <c r="D2365" i="2"/>
  <c r="D2362" i="2"/>
  <c r="D2363" i="2"/>
  <c r="D2366" i="2"/>
  <c r="D2354" i="2"/>
  <c r="D2328" i="2"/>
  <c r="D2343" i="2"/>
  <c r="D2342" i="2"/>
  <c r="D2336" i="2"/>
  <c r="D2344" i="2"/>
  <c r="D2338" i="2"/>
  <c r="D2340" i="2"/>
  <c r="D2341" i="2"/>
  <c r="D2347" i="2"/>
  <c r="D2335" i="2"/>
  <c r="D2329" i="2"/>
  <c r="D2351" i="2"/>
  <c r="D2352" i="2"/>
  <c r="D2346" i="2"/>
  <c r="D2331" i="2"/>
  <c r="D2348" i="2"/>
  <c r="D2334" i="2"/>
  <c r="D2337" i="2"/>
  <c r="D2333" i="2"/>
  <c r="D2330" i="2"/>
  <c r="D2349" i="2"/>
  <c r="D2350" i="2"/>
  <c r="D2345" i="2"/>
  <c r="D2339" i="2"/>
  <c r="D2332" i="2"/>
  <c r="D2324" i="2"/>
  <c r="D2307" i="2"/>
  <c r="D2321" i="2"/>
  <c r="D2320" i="2"/>
  <c r="D2322" i="2"/>
  <c r="D2318" i="2"/>
  <c r="D2319" i="2"/>
  <c r="D2323" i="2"/>
  <c r="D2327" i="2"/>
  <c r="D2325" i="2"/>
  <c r="D2311" i="2"/>
  <c r="D2326" i="2"/>
  <c r="D2315" i="2"/>
  <c r="D2316" i="2"/>
  <c r="D2309" i="2"/>
  <c r="D2312" i="2"/>
  <c r="D2314" i="2"/>
  <c r="D2317" i="2"/>
  <c r="D2308" i="2"/>
  <c r="D2310" i="2"/>
  <c r="D2313" i="2"/>
  <c r="D2304" i="2"/>
  <c r="D2299" i="2"/>
  <c r="D2298" i="2"/>
  <c r="D2297" i="2"/>
  <c r="D2303" i="2"/>
  <c r="D2301" i="2"/>
  <c r="D2300" i="2"/>
  <c r="D2306" i="2"/>
  <c r="D2302" i="2"/>
  <c r="D2305" i="2"/>
  <c r="D2283" i="2"/>
  <c r="D2274" i="2"/>
  <c r="D2296" i="2"/>
  <c r="D2277" i="2"/>
  <c r="D2278" i="2"/>
  <c r="D2279" i="2"/>
  <c r="D2291" i="2"/>
  <c r="D2282" i="2"/>
  <c r="D2275" i="2"/>
  <c r="D2294" i="2"/>
  <c r="D2289" i="2"/>
  <c r="D2269" i="2"/>
  <c r="D2270" i="2"/>
  <c r="D2268" i="2"/>
  <c r="D2281" i="2"/>
  <c r="D2288" i="2"/>
  <c r="D2295" i="2"/>
  <c r="D2293" i="2"/>
  <c r="D2286" i="2"/>
  <c r="D2280" i="2"/>
  <c r="D2290" i="2"/>
  <c r="D2272" i="2"/>
  <c r="D2273" i="2"/>
  <c r="D2292" i="2"/>
  <c r="D2276" i="2"/>
  <c r="D2285" i="2"/>
  <c r="D2271" i="2"/>
  <c r="D2284" i="2"/>
  <c r="D2287" i="2"/>
  <c r="D1399" i="2"/>
  <c r="D1382" i="2"/>
  <c r="D1383" i="2"/>
  <c r="D1388" i="2"/>
  <c r="D1376" i="2"/>
  <c r="D1379" i="2"/>
  <c r="D1380" i="2"/>
  <c r="D1384" i="2"/>
  <c r="D1386" i="2"/>
  <c r="D1391" i="2"/>
  <c r="D1377" i="2"/>
  <c r="D1381" i="2"/>
  <c r="D1397" i="2"/>
  <c r="D1378" i="2"/>
  <c r="D1389" i="2"/>
  <c r="D1396" i="2"/>
  <c r="D1395" i="2"/>
  <c r="D1392" i="2"/>
  <c r="D1394" i="2"/>
  <c r="D1398" i="2"/>
  <c r="D1385" i="2"/>
  <c r="D1400" i="2"/>
  <c r="D1390" i="2"/>
  <c r="D1393" i="2"/>
  <c r="D1401" i="2"/>
  <c r="D1387" i="2"/>
  <c r="D1375" i="2"/>
  <c r="D1372" i="2"/>
  <c r="D1373" i="2"/>
  <c r="D1370" i="2"/>
  <c r="D1369" i="2"/>
  <c r="D1371" i="2"/>
  <c r="D1374" i="2"/>
  <c r="D1368" i="2"/>
  <c r="D1366" i="2"/>
  <c r="D1361" i="2"/>
  <c r="D1345" i="2"/>
  <c r="D1362" i="2"/>
  <c r="D1354" i="2"/>
  <c r="D1364" i="2"/>
  <c r="D1360" i="2"/>
  <c r="D1359" i="2"/>
  <c r="D1356" i="2"/>
  <c r="D1358" i="2"/>
  <c r="D1363" i="2"/>
  <c r="D1346" i="2"/>
  <c r="D1349" i="2"/>
  <c r="D1365" i="2"/>
  <c r="D1353" i="2"/>
  <c r="D1348" i="2"/>
  <c r="D1357" i="2"/>
  <c r="D1347" i="2"/>
  <c r="D1351" i="2"/>
  <c r="D1350" i="2"/>
  <c r="D1352" i="2"/>
  <c r="D1355" i="2"/>
  <c r="D1341" i="2"/>
  <c r="D1328" i="2"/>
  <c r="D1344" i="2"/>
  <c r="D1340" i="2"/>
  <c r="D1331" i="2"/>
  <c r="D1336" i="2"/>
  <c r="D1342" i="2"/>
  <c r="D1339" i="2"/>
  <c r="D1327" i="2"/>
  <c r="D1338" i="2"/>
  <c r="D1332" i="2"/>
  <c r="D1325" i="2"/>
  <c r="D1326" i="2"/>
  <c r="D1337" i="2"/>
  <c r="D1330" i="2"/>
  <c r="D1343" i="2"/>
  <c r="D1334" i="2"/>
  <c r="D1335" i="2"/>
  <c r="D1324" i="2"/>
  <c r="D1329" i="2"/>
  <c r="D1333" i="2"/>
  <c r="D1317" i="2"/>
  <c r="D1302" i="2"/>
  <c r="D1316" i="2"/>
  <c r="D1312" i="2"/>
  <c r="D1313" i="2"/>
  <c r="D1319" i="2"/>
  <c r="D1303" i="2"/>
  <c r="D1314" i="2"/>
  <c r="D1306" i="2"/>
  <c r="D1315" i="2"/>
  <c r="D1301" i="2"/>
  <c r="D1305" i="2"/>
  <c r="D1320" i="2"/>
  <c r="D1310" i="2"/>
  <c r="D1304" i="2"/>
  <c r="D1299" i="2"/>
  <c r="D1309" i="2"/>
  <c r="D1318" i="2"/>
  <c r="D1300" i="2"/>
  <c r="D1323" i="2"/>
  <c r="D1322" i="2"/>
  <c r="D1321" i="2"/>
  <c r="D1307" i="2"/>
  <c r="D1308" i="2"/>
  <c r="D1311" i="2"/>
  <c r="D1298" i="2"/>
  <c r="D1285" i="2"/>
  <c r="D1291" i="2"/>
  <c r="D1290" i="2"/>
  <c r="D1277" i="2"/>
  <c r="D1296" i="2"/>
  <c r="D1281" i="2"/>
  <c r="D1274" i="2"/>
  <c r="D1295" i="2"/>
  <c r="D1294" i="2"/>
  <c r="D1292" i="2"/>
  <c r="D1283" i="2"/>
  <c r="D1282" i="2"/>
  <c r="D1280" i="2"/>
  <c r="D1278" i="2"/>
  <c r="D1279" i="2"/>
  <c r="D1276" i="2"/>
  <c r="D1293" i="2"/>
  <c r="D1297" i="2"/>
  <c r="D1288" i="2"/>
  <c r="D1287" i="2"/>
  <c r="D1289" i="2"/>
  <c r="D1286" i="2"/>
  <c r="D1284" i="2"/>
  <c r="D1275" i="2"/>
  <c r="D1232" i="2"/>
  <c r="D1238" i="2"/>
  <c r="D1236" i="2"/>
  <c r="D1239" i="2"/>
  <c r="D1234" i="2"/>
  <c r="D1242" i="2"/>
  <c r="D1244" i="2"/>
  <c r="D1233" i="2"/>
  <c r="D1235" i="2"/>
  <c r="D1240" i="2"/>
  <c r="D1237" i="2"/>
  <c r="D1241" i="2"/>
  <c r="D1243" i="2"/>
  <c r="D1245" i="2"/>
  <c r="D1206" i="2"/>
  <c r="D1218" i="2"/>
  <c r="D1217" i="2"/>
  <c r="D1219" i="2"/>
  <c r="D1220" i="2"/>
  <c r="D1207" i="2"/>
  <c r="D1209" i="2"/>
  <c r="D1221" i="2"/>
  <c r="D1210" i="2"/>
  <c r="D1208" i="2"/>
  <c r="D1215" i="2"/>
  <c r="D1213" i="2"/>
  <c r="D1230" i="2"/>
  <c r="D1231" i="2"/>
  <c r="D1228" i="2"/>
  <c r="D1225" i="2"/>
  <c r="D1222" i="2"/>
  <c r="D1214" i="2"/>
  <c r="D1227" i="2"/>
  <c r="D1216" i="2"/>
  <c r="D1224" i="2"/>
  <c r="D1229" i="2"/>
  <c r="D1212" i="2"/>
  <c r="D1211" i="2"/>
  <c r="D1226" i="2"/>
  <c r="D1223" i="2"/>
  <c r="D1189" i="2"/>
  <c r="D1173" i="2"/>
  <c r="D1172" i="2"/>
  <c r="D1187" i="2"/>
  <c r="D1188" i="2"/>
  <c r="D1186" i="2"/>
  <c r="D1194" i="2"/>
  <c r="D1196" i="2"/>
  <c r="D1176" i="2"/>
  <c r="D1178" i="2"/>
  <c r="D1190" i="2"/>
  <c r="D1197" i="2"/>
  <c r="D1174" i="2"/>
  <c r="D1175" i="2"/>
  <c r="D1195" i="2"/>
  <c r="D1199" i="2"/>
  <c r="D1179" i="2"/>
  <c r="D1182" i="2"/>
  <c r="D1184" i="2"/>
  <c r="D1180" i="2"/>
  <c r="D1202" i="2"/>
  <c r="D1177" i="2"/>
  <c r="D1198" i="2"/>
  <c r="D1171" i="2"/>
  <c r="D1181" i="2"/>
  <c r="D1192" i="2"/>
  <c r="D1201" i="2"/>
  <c r="D1203" i="2"/>
  <c r="D1200" i="2"/>
  <c r="D1183" i="2"/>
  <c r="D1191" i="2"/>
  <c r="D1205" i="2"/>
  <c r="D1193" i="2"/>
  <c r="D1204" i="2"/>
  <c r="D1185" i="2"/>
  <c r="D1140" i="2"/>
  <c r="D1141" i="2"/>
  <c r="D1142" i="2"/>
  <c r="D1134" i="2"/>
  <c r="D1131" i="2"/>
  <c r="D1135" i="2"/>
  <c r="D1139" i="2"/>
  <c r="D1132" i="2"/>
  <c r="D1137" i="2"/>
  <c r="D1133" i="2"/>
  <c r="D1138" i="2"/>
  <c r="D1136" i="2"/>
  <c r="D1160" i="2"/>
  <c r="D1162" i="2"/>
  <c r="D1161" i="2"/>
  <c r="D1155" i="2"/>
  <c r="D1158" i="2"/>
  <c r="D1168" i="2"/>
  <c r="D1157" i="2"/>
  <c r="D1156" i="2"/>
  <c r="D1166" i="2"/>
  <c r="D1159" i="2"/>
  <c r="D1169" i="2"/>
  <c r="D1167" i="2"/>
  <c r="D1164" i="2"/>
  <c r="D1170" i="2"/>
  <c r="D1165" i="2"/>
  <c r="D1163" i="2"/>
  <c r="D1249" i="2"/>
  <c r="D1248" i="2"/>
  <c r="D1253" i="2"/>
  <c r="D1256" i="2"/>
  <c r="D1247" i="2"/>
  <c r="D1246" i="2"/>
  <c r="D1257" i="2"/>
  <c r="D1250" i="2"/>
  <c r="D1255" i="2"/>
  <c r="D1251" i="2"/>
  <c r="D1252" i="2"/>
  <c r="D1254" i="2"/>
  <c r="D1150" i="2"/>
  <c r="D1143" i="2"/>
  <c r="D1145" i="2"/>
  <c r="D1147" i="2"/>
  <c r="D1151" i="2"/>
  <c r="D1152" i="2"/>
  <c r="D1154" i="2"/>
  <c r="D1153" i="2"/>
  <c r="D1149" i="2"/>
  <c r="D1146" i="2"/>
  <c r="D1148" i="2"/>
  <c r="D1144" i="2"/>
  <c r="D1264" i="2"/>
  <c r="D1263" i="2"/>
  <c r="D1267" i="2"/>
  <c r="D1266" i="2"/>
  <c r="D1259" i="2"/>
  <c r="D1268" i="2"/>
  <c r="D1269" i="2"/>
  <c r="D1271" i="2"/>
  <c r="D1270" i="2"/>
  <c r="D1273" i="2"/>
  <c r="D1261" i="2"/>
  <c r="D1260" i="2"/>
  <c r="D1272" i="2"/>
  <c r="D1262" i="2"/>
  <c r="D1258" i="2"/>
  <c r="D1265" i="2"/>
  <c r="D1106" i="2"/>
  <c r="D1103" i="2"/>
  <c r="D1104" i="2"/>
  <c r="D1101" i="2"/>
  <c r="D1105" i="2"/>
  <c r="D1097" i="2"/>
  <c r="D1100" i="2"/>
  <c r="D1098" i="2"/>
  <c r="D1107" i="2"/>
  <c r="D1099" i="2"/>
  <c r="D1102" i="2"/>
  <c r="D1108" i="2"/>
  <c r="D1089" i="2"/>
  <c r="D1091" i="2"/>
  <c r="D1092" i="2"/>
  <c r="D1084" i="2"/>
  <c r="D1090" i="2"/>
  <c r="D1085" i="2"/>
  <c r="D1082" i="2"/>
  <c r="D1086" i="2"/>
  <c r="D1093" i="2"/>
  <c r="D1095" i="2"/>
  <c r="D1081" i="2"/>
  <c r="D1087" i="2"/>
  <c r="D1079" i="2"/>
  <c r="D1096" i="2"/>
  <c r="D1080" i="2"/>
  <c r="D1094" i="2"/>
  <c r="D1088" i="2"/>
  <c r="D1083" i="2"/>
  <c r="D1113" i="2"/>
  <c r="D1130" i="2"/>
  <c r="D1114" i="2"/>
  <c r="D1121" i="2"/>
  <c r="D1126" i="2"/>
  <c r="D1125" i="2"/>
  <c r="D1109" i="2"/>
  <c r="D1128" i="2"/>
  <c r="D1110" i="2"/>
  <c r="D1115" i="2"/>
  <c r="D1120" i="2"/>
  <c r="D1117" i="2"/>
  <c r="D1111" i="2"/>
  <c r="D1119" i="2"/>
  <c r="D1118" i="2"/>
  <c r="D1112" i="2"/>
  <c r="D1123" i="2"/>
  <c r="D1127" i="2"/>
  <c r="D1122" i="2"/>
  <c r="D1116" i="2"/>
  <c r="D1129" i="2"/>
  <c r="D1124" i="2"/>
  <c r="D585" i="2"/>
  <c r="D588" i="2"/>
  <c r="D589" i="2"/>
  <c r="D574" i="2"/>
  <c r="D579" i="2"/>
  <c r="D580" i="2"/>
  <c r="D581" i="2"/>
  <c r="D590" i="2"/>
  <c r="D584" i="2"/>
  <c r="D591" i="2"/>
  <c r="D583" i="2"/>
  <c r="D582" i="2"/>
  <c r="D577" i="2"/>
  <c r="D575" i="2"/>
  <c r="D587" i="2"/>
  <c r="D573" i="2"/>
  <c r="D572" i="2"/>
  <c r="D578" i="2"/>
  <c r="D576" i="2"/>
  <c r="D586" i="2"/>
  <c r="D548" i="2"/>
  <c r="D569" i="2"/>
  <c r="D562" i="2"/>
  <c r="D567" i="2"/>
  <c r="D547" i="2"/>
  <c r="D560" i="2"/>
  <c r="D563" i="2"/>
  <c r="D557" i="2"/>
  <c r="D546" i="2"/>
  <c r="D550" i="2"/>
  <c r="D552" i="2"/>
  <c r="D554" i="2"/>
  <c r="D564" i="2"/>
  <c r="D570" i="2"/>
  <c r="D559" i="2"/>
  <c r="D558" i="2"/>
  <c r="D553" i="2"/>
  <c r="D568" i="2"/>
  <c r="D549" i="2"/>
  <c r="D565" i="2"/>
  <c r="D555" i="2"/>
  <c r="D561" i="2"/>
  <c r="D571" i="2"/>
  <c r="D551" i="2"/>
  <c r="D556" i="2"/>
  <c r="D566" i="2"/>
  <c r="D523" i="2"/>
  <c r="D524" i="2"/>
  <c r="D527" i="2"/>
  <c r="D517" i="2"/>
  <c r="D514" i="2"/>
  <c r="D520" i="2"/>
  <c r="D529" i="2"/>
  <c r="D521" i="2"/>
  <c r="D516" i="2"/>
  <c r="D525" i="2"/>
  <c r="D513" i="2"/>
  <c r="D519" i="2"/>
  <c r="D518" i="2"/>
  <c r="D528" i="2"/>
  <c r="D526" i="2"/>
  <c r="D522" i="2"/>
  <c r="D515" i="2"/>
  <c r="D500" i="2"/>
  <c r="D502" i="2"/>
  <c r="D496" i="2"/>
  <c r="D506" i="2"/>
  <c r="D501" i="2"/>
  <c r="D504" i="2"/>
  <c r="D512" i="2"/>
  <c r="D503" i="2"/>
  <c r="D495" i="2"/>
  <c r="D510" i="2"/>
  <c r="D505" i="2"/>
  <c r="D498" i="2"/>
  <c r="D494" i="2"/>
  <c r="D507" i="2"/>
  <c r="D499" i="2"/>
  <c r="D511" i="2"/>
  <c r="D509" i="2"/>
  <c r="D497" i="2"/>
  <c r="D508" i="2"/>
  <c r="D359" i="2"/>
  <c r="D358" i="2"/>
  <c r="D379" i="2"/>
  <c r="D366" i="2"/>
  <c r="D377" i="2"/>
  <c r="D362" i="2"/>
  <c r="D365" i="2"/>
  <c r="D372" i="2"/>
  <c r="D363" i="2"/>
  <c r="D371" i="2"/>
  <c r="D368" i="2"/>
  <c r="D370" i="2"/>
  <c r="D369" i="2"/>
  <c r="D361" i="2"/>
  <c r="D360" i="2"/>
  <c r="D375" i="2"/>
  <c r="D383" i="2"/>
  <c r="D373" i="2"/>
  <c r="D376" i="2"/>
  <c r="D374" i="2"/>
  <c r="D381" i="2"/>
  <c r="D364" i="2"/>
  <c r="D378" i="2"/>
  <c r="D367" i="2"/>
  <c r="D382" i="2"/>
  <c r="D380" i="2"/>
  <c r="D353" i="2"/>
  <c r="D351" i="2"/>
  <c r="D331" i="2"/>
  <c r="D328" i="2"/>
  <c r="D346" i="2"/>
  <c r="D338" i="2"/>
  <c r="D342" i="2"/>
  <c r="D355" i="2"/>
  <c r="D327" i="2"/>
  <c r="D329" i="2"/>
  <c r="D330" i="2"/>
  <c r="D341" i="2"/>
  <c r="D344" i="2"/>
  <c r="D357" i="2"/>
  <c r="D335" i="2"/>
  <c r="D336" i="2"/>
  <c r="D349" i="2"/>
  <c r="D337" i="2"/>
  <c r="D333" i="2"/>
  <c r="D334" i="2"/>
  <c r="D352" i="2"/>
  <c r="D354" i="2"/>
  <c r="D345" i="2"/>
  <c r="D348" i="2"/>
  <c r="D350" i="2"/>
  <c r="D340" i="2"/>
  <c r="D343" i="2"/>
  <c r="D339" i="2"/>
  <c r="D347" i="2"/>
  <c r="D356" i="2"/>
  <c r="D332" i="2"/>
  <c r="D611" i="2"/>
  <c r="D612" i="2"/>
  <c r="D592" i="2"/>
  <c r="D608" i="2"/>
  <c r="D618" i="2"/>
  <c r="D597" i="2"/>
  <c r="D613" i="2"/>
  <c r="D615" i="2"/>
  <c r="D595" i="2"/>
  <c r="D601" i="2"/>
  <c r="D603" i="2"/>
  <c r="D598" i="2"/>
  <c r="D614" i="2"/>
  <c r="D607" i="2"/>
  <c r="D604" i="2"/>
  <c r="D594" i="2"/>
  <c r="D609" i="2"/>
  <c r="D599" i="2"/>
  <c r="D602" i="2"/>
  <c r="D593" i="2"/>
  <c r="D619" i="2"/>
  <c r="D617" i="2"/>
  <c r="D606" i="2"/>
  <c r="D600" i="2"/>
  <c r="D596" i="2"/>
  <c r="D605" i="2"/>
  <c r="D610" i="2"/>
  <c r="D616" i="2"/>
  <c r="D542" i="2"/>
  <c r="D536" i="2"/>
  <c r="D534" i="2"/>
  <c r="D532" i="2"/>
  <c r="D540" i="2"/>
  <c r="D539" i="2"/>
  <c r="D537" i="2"/>
  <c r="D544" i="2"/>
  <c r="D533" i="2"/>
  <c r="D545" i="2"/>
  <c r="D541" i="2"/>
  <c r="D535" i="2"/>
  <c r="D530" i="2"/>
  <c r="D531" i="2"/>
  <c r="D538" i="2"/>
  <c r="D543" i="2"/>
  <c r="D305" i="2"/>
  <c r="D308" i="2"/>
  <c r="D321" i="2"/>
  <c r="D315" i="2"/>
  <c r="D309" i="2"/>
  <c r="D317" i="2"/>
  <c r="D312" i="2"/>
  <c r="D316" i="2"/>
  <c r="D311" i="2"/>
  <c r="D314" i="2"/>
  <c r="D322" i="2"/>
  <c r="D325" i="2"/>
  <c r="D313" i="2"/>
  <c r="D306" i="2"/>
  <c r="D319" i="2"/>
  <c r="D318" i="2"/>
  <c r="D310" i="2"/>
  <c r="D323" i="2"/>
  <c r="D326" i="2"/>
  <c r="D320" i="2"/>
  <c r="D307" i="2"/>
  <c r="D324" i="2"/>
  <c r="D304" i="2"/>
  <c r="D280" i="2"/>
  <c r="D282" i="2"/>
  <c r="D285" i="2"/>
  <c r="D292" i="2"/>
  <c r="D303" i="2"/>
  <c r="D298" i="2"/>
  <c r="D294" i="2"/>
  <c r="D287" i="2"/>
  <c r="D300" i="2"/>
  <c r="D293" i="2"/>
  <c r="D297" i="2"/>
  <c r="D302" i="2"/>
  <c r="D299" i="2"/>
  <c r="D288" i="2"/>
  <c r="D281" i="2"/>
  <c r="D284" i="2"/>
  <c r="D279" i="2"/>
  <c r="D286" i="2"/>
  <c r="D290" i="2"/>
  <c r="D289" i="2"/>
  <c r="D301" i="2"/>
  <c r="D283" i="2"/>
  <c r="D296" i="2"/>
  <c r="D295" i="2"/>
  <c r="D291" i="2"/>
  <c r="D413" i="2"/>
  <c r="D411" i="2"/>
  <c r="D412" i="2"/>
  <c r="D416" i="2"/>
  <c r="D417" i="2"/>
  <c r="D409" i="2"/>
  <c r="D424" i="2"/>
  <c r="D408" i="2"/>
  <c r="D407" i="2"/>
  <c r="D420" i="2"/>
  <c r="D419" i="2"/>
  <c r="D423" i="2"/>
  <c r="D418" i="2"/>
  <c r="D410" i="2"/>
  <c r="D421" i="2"/>
  <c r="D415" i="2"/>
  <c r="D422" i="2"/>
  <c r="D414" i="2"/>
  <c r="D390" i="2"/>
  <c r="D406" i="2"/>
  <c r="D397" i="2"/>
  <c r="D399" i="2"/>
  <c r="D392" i="2"/>
  <c r="D396" i="2"/>
  <c r="D402" i="2"/>
  <c r="D391" i="2"/>
  <c r="D388" i="2"/>
  <c r="D393" i="2"/>
  <c r="D389" i="2"/>
  <c r="D401" i="2"/>
  <c r="D394" i="2"/>
  <c r="D403" i="2"/>
  <c r="D384" i="2"/>
  <c r="D404" i="2"/>
  <c r="D398" i="2"/>
  <c r="D387" i="2"/>
  <c r="D395" i="2"/>
  <c r="D400" i="2"/>
  <c r="D386" i="2"/>
  <c r="D385" i="2"/>
  <c r="D405" i="2"/>
  <c r="D479" i="2"/>
  <c r="D478" i="2"/>
  <c r="D491" i="2"/>
  <c r="D481" i="2"/>
  <c r="D477" i="2"/>
  <c r="D490" i="2"/>
  <c r="D483" i="2"/>
  <c r="D489" i="2"/>
  <c r="D493" i="2"/>
  <c r="D488" i="2"/>
  <c r="D482" i="2"/>
  <c r="D480" i="2"/>
  <c r="D484" i="2"/>
  <c r="D487" i="2"/>
  <c r="D492" i="2"/>
  <c r="D486" i="2"/>
  <c r="D485" i="2"/>
  <c r="D454" i="2"/>
  <c r="D453" i="2"/>
  <c r="D468" i="2"/>
  <c r="D470" i="2"/>
  <c r="D469" i="2"/>
  <c r="D475" i="2"/>
  <c r="D452" i="2"/>
  <c r="D463" i="2"/>
  <c r="D456" i="2"/>
  <c r="D471" i="2"/>
  <c r="D457" i="2"/>
  <c r="D464" i="2"/>
  <c r="D455" i="2"/>
  <c r="D466" i="2"/>
  <c r="D476" i="2"/>
  <c r="D474" i="2"/>
  <c r="D472" i="2"/>
  <c r="D465" i="2"/>
  <c r="D467" i="2"/>
  <c r="D450" i="2"/>
  <c r="D451" i="2"/>
  <c r="D459" i="2"/>
  <c r="D458" i="2"/>
  <c r="D462" i="2"/>
  <c r="D460" i="2"/>
  <c r="D473" i="2"/>
  <c r="D461" i="2"/>
  <c r="D426" i="2"/>
  <c r="D430" i="2"/>
  <c r="D427" i="2"/>
  <c r="D428" i="2"/>
  <c r="D437" i="2"/>
  <c r="D425" i="2"/>
  <c r="D434" i="2"/>
  <c r="D436" i="2"/>
  <c r="D441" i="2"/>
  <c r="D444" i="2"/>
  <c r="D440" i="2"/>
  <c r="D442" i="2"/>
  <c r="D446" i="2"/>
  <c r="D443" i="2"/>
  <c r="D435" i="2"/>
  <c r="D433" i="2"/>
  <c r="D432" i="2"/>
  <c r="D447" i="2"/>
  <c r="D445" i="2"/>
  <c r="D449" i="2"/>
  <c r="D448" i="2"/>
  <c r="D429" i="2"/>
  <c r="D438" i="2"/>
  <c r="D431" i="2"/>
  <c r="D439" i="2"/>
  <c r="D1062" i="2"/>
  <c r="D1070" i="2"/>
  <c r="D1063" i="2"/>
  <c r="D1073" i="2"/>
  <c r="D1068" i="2"/>
  <c r="D1076" i="2"/>
  <c r="D1074" i="2"/>
  <c r="D1072" i="2"/>
  <c r="D1066" i="2"/>
  <c r="D1069" i="2"/>
  <c r="D1075" i="2"/>
  <c r="D1065" i="2"/>
  <c r="D1067" i="2"/>
  <c r="D1078" i="2"/>
  <c r="D1077" i="2"/>
  <c r="D1064" i="2"/>
  <c r="D1071" i="2"/>
  <c r="D1049" i="2"/>
  <c r="D1050" i="2"/>
  <c r="D1056" i="2"/>
  <c r="D1052" i="2"/>
  <c r="D1057" i="2"/>
  <c r="D1055" i="2"/>
  <c r="D1051" i="2"/>
  <c r="D1060" i="2"/>
  <c r="D1054" i="2"/>
  <c r="D1061" i="2"/>
  <c r="D1058" i="2"/>
  <c r="D1059" i="2"/>
  <c r="D1053" i="2"/>
  <c r="D1031" i="2"/>
  <c r="D1016" i="2"/>
  <c r="D1032" i="2"/>
  <c r="D1020" i="2"/>
  <c r="D1046" i="2"/>
  <c r="D1045" i="2"/>
  <c r="D1048" i="2"/>
  <c r="D1047" i="2"/>
  <c r="D1044" i="2"/>
  <c r="D1018" i="2"/>
  <c r="D1022" i="2"/>
  <c r="D1023" i="2"/>
  <c r="D1015" i="2"/>
  <c r="D1037" i="2"/>
  <c r="D1021" i="2"/>
  <c r="D1027" i="2"/>
  <c r="D1019" i="2"/>
  <c r="D1040" i="2"/>
  <c r="D1038" i="2"/>
  <c r="D1035" i="2"/>
  <c r="D1030" i="2"/>
  <c r="D1036" i="2"/>
  <c r="D1026" i="2"/>
  <c r="D1029" i="2"/>
  <c r="D1025" i="2"/>
  <c r="D1028" i="2"/>
  <c r="D1024" i="2"/>
  <c r="D1039" i="2"/>
  <c r="D1017" i="2"/>
  <c r="D1033" i="2"/>
  <c r="D1043" i="2"/>
  <c r="D1042" i="2"/>
  <c r="D1041" i="2"/>
  <c r="D1034" i="2"/>
  <c r="D995" i="2"/>
  <c r="D1014" i="2"/>
  <c r="D990" i="2"/>
  <c r="D999" i="2"/>
  <c r="D1001" i="2"/>
  <c r="D1000" i="2"/>
  <c r="D1004" i="2"/>
  <c r="D1013" i="2"/>
  <c r="D1006" i="2"/>
  <c r="D1011" i="2"/>
  <c r="D1009" i="2"/>
  <c r="D988" i="2"/>
  <c r="D989" i="2"/>
  <c r="D993" i="2"/>
  <c r="D998" i="2"/>
  <c r="D996" i="2"/>
  <c r="D1007" i="2"/>
  <c r="D1002" i="2"/>
  <c r="D1003" i="2"/>
  <c r="D1005" i="2"/>
  <c r="D1010" i="2"/>
  <c r="D986" i="2"/>
  <c r="D997" i="2"/>
  <c r="D991" i="2"/>
  <c r="D1012" i="2"/>
  <c r="D1008" i="2"/>
  <c r="D985" i="2"/>
  <c r="D987" i="2"/>
  <c r="D994" i="2"/>
  <c r="D992" i="2"/>
  <c r="D972" i="2"/>
  <c r="D973" i="2"/>
  <c r="D984" i="2"/>
  <c r="D980" i="2"/>
  <c r="D979" i="2"/>
  <c r="D983" i="2"/>
  <c r="D981" i="2"/>
  <c r="D974" i="2"/>
  <c r="D978" i="2"/>
  <c r="D982" i="2"/>
  <c r="D975" i="2"/>
  <c r="D976" i="2"/>
  <c r="D977" i="2"/>
  <c r="D945" i="2"/>
  <c r="D969" i="2"/>
  <c r="D961" i="2"/>
  <c r="D949" i="2"/>
  <c r="D966" i="2"/>
  <c r="D963" i="2"/>
  <c r="D967" i="2"/>
  <c r="D958" i="2"/>
  <c r="D962" i="2"/>
  <c r="D971" i="2"/>
  <c r="D953" i="2"/>
  <c r="D952" i="2"/>
  <c r="D960" i="2"/>
  <c r="D946" i="2"/>
  <c r="D948" i="2"/>
  <c r="D954" i="2"/>
  <c r="D947" i="2"/>
  <c r="D959" i="2"/>
  <c r="D944" i="2"/>
  <c r="D965" i="2"/>
  <c r="D970" i="2"/>
  <c r="D968" i="2"/>
  <c r="D950" i="2"/>
  <c r="D955" i="2"/>
  <c r="D957" i="2"/>
  <c r="D951" i="2"/>
  <c r="D964" i="2"/>
  <c r="D956" i="2"/>
  <c r="D943" i="2"/>
  <c r="D937" i="2"/>
  <c r="D924" i="2"/>
  <c r="D934" i="2"/>
  <c r="D929" i="2"/>
  <c r="D931" i="2"/>
  <c r="D923" i="2"/>
  <c r="D926" i="2"/>
  <c r="D930" i="2"/>
  <c r="D935" i="2"/>
  <c r="D940" i="2"/>
  <c r="D921" i="2"/>
  <c r="D939" i="2"/>
  <c r="D932" i="2"/>
  <c r="D927" i="2"/>
  <c r="D942" i="2"/>
  <c r="D941" i="2"/>
  <c r="D925" i="2"/>
  <c r="D922" i="2"/>
  <c r="D928" i="2"/>
  <c r="D936" i="2"/>
  <c r="D938" i="2"/>
  <c r="D933" i="2"/>
  <c r="D905" i="2"/>
  <c r="D906" i="2"/>
  <c r="D918" i="2"/>
  <c r="D919" i="2"/>
  <c r="D910" i="2"/>
  <c r="D914" i="2"/>
  <c r="D913" i="2"/>
  <c r="D916" i="2"/>
  <c r="D911" i="2"/>
  <c r="D917" i="2"/>
  <c r="D908" i="2"/>
  <c r="D907" i="2"/>
  <c r="D909" i="2"/>
  <c r="D912" i="2"/>
  <c r="D915" i="2"/>
  <c r="D920" i="2"/>
  <c r="D876" i="2"/>
  <c r="D901" i="2"/>
  <c r="D887" i="2"/>
  <c r="D898" i="2"/>
  <c r="D890" i="2"/>
  <c r="D889" i="2"/>
  <c r="D899" i="2"/>
  <c r="D884" i="2"/>
  <c r="D883" i="2"/>
  <c r="D896" i="2"/>
  <c r="D897" i="2"/>
  <c r="D885" i="2"/>
  <c r="D882" i="2"/>
  <c r="D892" i="2"/>
  <c r="D904" i="2"/>
  <c r="D893" i="2"/>
  <c r="D886" i="2"/>
  <c r="D902" i="2"/>
  <c r="D903" i="2"/>
  <c r="D879" i="2"/>
  <c r="D878" i="2"/>
  <c r="D900" i="2"/>
  <c r="D881" i="2"/>
  <c r="D891" i="2"/>
  <c r="D894" i="2"/>
  <c r="D895" i="2"/>
  <c r="D880" i="2"/>
  <c r="D877" i="2"/>
  <c r="D888" i="2"/>
  <c r="D854" i="2"/>
  <c r="D872" i="2"/>
  <c r="D858" i="2"/>
  <c r="D869" i="2"/>
  <c r="D868" i="2"/>
  <c r="D861" i="2"/>
  <c r="D871" i="2"/>
  <c r="D863" i="2"/>
  <c r="D874" i="2"/>
  <c r="D864" i="2"/>
  <c r="D867" i="2"/>
  <c r="D859" i="2"/>
  <c r="D870" i="2"/>
  <c r="D873" i="2"/>
  <c r="D857" i="2"/>
  <c r="D856" i="2"/>
  <c r="D855" i="2"/>
  <c r="D875" i="2"/>
  <c r="D860" i="2"/>
  <c r="D862" i="2"/>
  <c r="D866" i="2"/>
  <c r="D865" i="2"/>
  <c r="D836" i="2"/>
  <c r="D850" i="2"/>
  <c r="D849" i="2"/>
  <c r="D851" i="2"/>
  <c r="D845" i="2"/>
  <c r="D838" i="2"/>
  <c r="D848" i="2"/>
  <c r="D847" i="2"/>
  <c r="D841" i="2"/>
  <c r="D852" i="2"/>
  <c r="D842" i="2"/>
  <c r="D840" i="2"/>
  <c r="D839" i="2"/>
  <c r="D844" i="2"/>
  <c r="D835" i="2"/>
  <c r="D846" i="2"/>
  <c r="D853" i="2"/>
  <c r="D843" i="2"/>
  <c r="D837" i="2"/>
  <c r="D834" i="2"/>
  <c r="D828" i="2"/>
  <c r="D810" i="2"/>
  <c r="D817" i="2"/>
  <c r="D826" i="2"/>
  <c r="D807" i="2"/>
  <c r="D809" i="2"/>
  <c r="D808" i="2"/>
  <c r="D815" i="2"/>
  <c r="D825" i="2"/>
  <c r="D833" i="2"/>
  <c r="D805" i="2"/>
  <c r="D813" i="2"/>
  <c r="D831" i="2"/>
  <c r="D804" i="2"/>
  <c r="D818" i="2"/>
  <c r="D816" i="2"/>
  <c r="D811" i="2"/>
  <c r="D829" i="2"/>
  <c r="D827" i="2"/>
  <c r="D821" i="2"/>
  <c r="D822" i="2"/>
  <c r="D812" i="2"/>
  <c r="D814" i="2"/>
  <c r="D824" i="2"/>
  <c r="D820" i="2"/>
  <c r="D803" i="2"/>
  <c r="D832" i="2"/>
  <c r="D823" i="2"/>
  <c r="D830" i="2"/>
  <c r="D806" i="2"/>
  <c r="D802" i="2"/>
  <c r="D819" i="2"/>
  <c r="D793" i="2"/>
  <c r="D792" i="2"/>
  <c r="D797" i="2"/>
  <c r="D796" i="2"/>
  <c r="D798" i="2"/>
  <c r="D800" i="2"/>
  <c r="D795" i="2"/>
  <c r="D794" i="2"/>
  <c r="D801" i="2"/>
  <c r="D799" i="2"/>
  <c r="D782" i="2"/>
  <c r="D790" i="2"/>
  <c r="D771" i="2"/>
  <c r="D780" i="2"/>
  <c r="D788" i="2"/>
  <c r="D785" i="2"/>
  <c r="D786" i="2"/>
  <c r="D791" i="2"/>
  <c r="D770" i="2"/>
  <c r="D787" i="2"/>
  <c r="D784" i="2"/>
  <c r="D779" i="2"/>
  <c r="D789" i="2"/>
  <c r="D772" i="2"/>
  <c r="D783" i="2"/>
  <c r="D781" i="2"/>
  <c r="D778" i="2"/>
  <c r="D773" i="2"/>
  <c r="D776" i="2"/>
  <c r="D777" i="2"/>
  <c r="D775" i="2"/>
  <c r="D774" i="2"/>
  <c r="D740" i="2"/>
  <c r="D757" i="2"/>
  <c r="D745" i="2"/>
  <c r="D766" i="2"/>
  <c r="D756" i="2"/>
  <c r="D750" i="2"/>
  <c r="D751" i="2"/>
  <c r="D731" i="2"/>
  <c r="D729" i="2"/>
  <c r="D755" i="2"/>
  <c r="D747" i="2"/>
  <c r="D730" i="2"/>
  <c r="D746" i="2"/>
  <c r="D744" i="2"/>
  <c r="D732" i="2"/>
  <c r="D739" i="2"/>
  <c r="D733" i="2"/>
  <c r="D734" i="2"/>
  <c r="D738" i="2"/>
  <c r="D742" i="2"/>
  <c r="D753" i="2"/>
  <c r="D765" i="2"/>
  <c r="D749" i="2"/>
  <c r="D763" i="2"/>
  <c r="D758" i="2"/>
  <c r="D760" i="2"/>
  <c r="D761" i="2"/>
  <c r="D754" i="2"/>
  <c r="D759" i="2"/>
  <c r="D748" i="2"/>
  <c r="D762" i="2"/>
  <c r="D752" i="2"/>
  <c r="D741" i="2"/>
  <c r="D764" i="2"/>
  <c r="D769" i="2"/>
  <c r="D767" i="2"/>
  <c r="D743" i="2"/>
  <c r="D737" i="2"/>
  <c r="D736" i="2"/>
  <c r="D735" i="2"/>
  <c r="D768" i="2"/>
  <c r="D706" i="2"/>
  <c r="D720" i="2"/>
  <c r="D723" i="2"/>
  <c r="D717" i="2"/>
  <c r="D716" i="2"/>
  <c r="D709" i="2"/>
  <c r="D722" i="2"/>
  <c r="D727" i="2"/>
  <c r="D728" i="2"/>
  <c r="D726" i="2"/>
  <c r="D719" i="2"/>
  <c r="D725" i="2"/>
  <c r="D718" i="2"/>
  <c r="D708" i="2"/>
  <c r="D715" i="2"/>
  <c r="D711" i="2"/>
  <c r="D714" i="2"/>
  <c r="D713" i="2"/>
  <c r="D724" i="2"/>
  <c r="D707" i="2"/>
  <c r="D721" i="2"/>
  <c r="D710" i="2"/>
  <c r="D712" i="2"/>
  <c r="D693" i="2"/>
  <c r="D691" i="2"/>
  <c r="D704" i="2"/>
  <c r="D702" i="2"/>
  <c r="D703" i="2"/>
  <c r="D692" i="2"/>
  <c r="D686" i="2"/>
  <c r="D695" i="2"/>
  <c r="D701" i="2"/>
  <c r="D690" i="2"/>
  <c r="D700" i="2"/>
  <c r="D694" i="2"/>
  <c r="D696" i="2"/>
  <c r="D689" i="2"/>
  <c r="D688" i="2"/>
  <c r="D705" i="2"/>
  <c r="D697" i="2"/>
  <c r="D698" i="2"/>
  <c r="D699" i="2"/>
  <c r="D687" i="2"/>
  <c r="D675" i="2"/>
  <c r="D678" i="2"/>
  <c r="D658" i="2"/>
  <c r="D685" i="2"/>
  <c r="D683" i="2"/>
  <c r="D670" i="2"/>
  <c r="D680" i="2"/>
  <c r="D681" i="2"/>
  <c r="D666" i="2"/>
  <c r="D684" i="2"/>
  <c r="D664" i="2"/>
  <c r="D650" i="2"/>
  <c r="D674" i="2"/>
  <c r="D654" i="2"/>
  <c r="D655" i="2"/>
  <c r="D676" i="2"/>
  <c r="D663" i="2"/>
  <c r="D679" i="2"/>
  <c r="D656" i="2"/>
  <c r="D665" i="2"/>
  <c r="D668" i="2"/>
  <c r="D667" i="2"/>
  <c r="D652" i="2"/>
  <c r="D672" i="2"/>
  <c r="D673" i="2"/>
  <c r="D671" i="2"/>
  <c r="D660" i="2"/>
  <c r="D661" i="2"/>
  <c r="D657" i="2"/>
  <c r="D653" i="2"/>
  <c r="D662" i="2"/>
  <c r="D677" i="2"/>
  <c r="D651" i="2"/>
  <c r="D659" i="2"/>
  <c r="D669" i="2"/>
  <c r="D682" i="2"/>
  <c r="D635" i="2"/>
  <c r="D639" i="2"/>
  <c r="D636" i="2"/>
  <c r="D628" i="2"/>
  <c r="D647" i="2"/>
  <c r="D646" i="2"/>
  <c r="D645" i="2"/>
  <c r="D630" i="2"/>
  <c r="D644" i="2"/>
  <c r="D640" i="2"/>
  <c r="D649" i="2"/>
  <c r="D633" i="2"/>
  <c r="D638" i="2"/>
  <c r="D642" i="2"/>
  <c r="D641" i="2"/>
  <c r="D632" i="2"/>
  <c r="D623" i="2"/>
  <c r="D622" i="2"/>
  <c r="D621" i="2"/>
  <c r="D643" i="2"/>
  <c r="D648" i="2"/>
  <c r="D626" i="2"/>
  <c r="D631" i="2"/>
  <c r="D627" i="2"/>
  <c r="D624" i="2"/>
  <c r="D634" i="2"/>
  <c r="D620" i="2"/>
  <c r="D637" i="2"/>
  <c r="D629" i="2"/>
  <c r="D625" i="2"/>
  <c r="D278" i="2"/>
  <c r="D266" i="2"/>
  <c r="D265" i="2"/>
  <c r="D264" i="2"/>
  <c r="D263" i="2"/>
  <c r="D262" i="2"/>
  <c r="D261" i="2"/>
  <c r="D260" i="2"/>
  <c r="D277" i="2"/>
  <c r="D276" i="2"/>
  <c r="D275" i="2"/>
  <c r="D274" i="2"/>
  <c r="D273" i="2"/>
  <c r="D272" i="2"/>
  <c r="D271" i="2"/>
  <c r="D270" i="2"/>
  <c r="D269" i="2"/>
  <c r="D268" i="2"/>
  <c r="D267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6" i="2"/>
  <c r="D225" i="2"/>
  <c r="D224" i="2"/>
  <c r="D223" i="2"/>
  <c r="D222" i="2"/>
  <c r="D229" i="2"/>
  <c r="D228" i="2"/>
  <c r="D227" i="2"/>
  <c r="D221" i="2"/>
  <c r="D220" i="2"/>
  <c r="D219" i="2"/>
  <c r="D218" i="2"/>
  <c r="D217" i="2"/>
  <c r="D216" i="2"/>
  <c r="D215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214" i="2"/>
  <c r="D213" i="2"/>
  <c r="D212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3" i="2"/>
  <c r="D182" i="2"/>
  <c r="D181" i="2"/>
  <c r="D180" i="2"/>
  <c r="D179" i="2"/>
  <c r="D163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84" i="2"/>
  <c r="D165" i="2"/>
  <c r="D164" i="2"/>
  <c r="D162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61" i="2"/>
  <c r="D145" i="2"/>
  <c r="D144" i="2"/>
  <c r="D143" i="2"/>
  <c r="D142" i="2"/>
  <c r="D141" i="2"/>
  <c r="D160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40" i="2"/>
  <c r="D139" i="2"/>
  <c r="D138" i="2"/>
  <c r="D137" i="2"/>
  <c r="D119" i="2"/>
  <c r="D118" i="2"/>
  <c r="D117" i="2"/>
  <c r="D116" i="2"/>
  <c r="D115" i="2"/>
  <c r="D136" i="2"/>
  <c r="D135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114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2" i="2"/>
  <c r="D81" i="2"/>
  <c r="D83" i="2"/>
  <c r="D80" i="2"/>
  <c r="D79" i="2"/>
  <c r="D78" i="2"/>
  <c r="D77" i="2"/>
  <c r="D76" i="2"/>
  <c r="D75" i="2"/>
  <c r="D74" i="2"/>
  <c r="D72" i="2"/>
  <c r="D73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68" i="2"/>
  <c r="D55" i="2"/>
  <c r="D54" i="2"/>
  <c r="D53" i="2"/>
  <c r="D52" i="2"/>
  <c r="D51" i="2"/>
  <c r="D50" i="2"/>
  <c r="D49" i="2"/>
  <c r="D56" i="2"/>
  <c r="D48" i="2"/>
  <c r="D44" i="2"/>
  <c r="D43" i="2"/>
  <c r="D42" i="2"/>
  <c r="D47" i="2"/>
  <c r="D46" i="2"/>
  <c r="D45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37" i="2"/>
  <c r="D15" i="2"/>
  <c r="D11" i="2"/>
  <c r="D10" i="2"/>
  <c r="D9" i="2"/>
  <c r="D8" i="2"/>
  <c r="D7" i="2"/>
  <c r="D6" i="2"/>
  <c r="D2" i="2"/>
  <c r="D5" i="2"/>
  <c r="D14" i="2"/>
  <c r="D13" i="2"/>
  <c r="D4" i="2"/>
  <c r="D12" i="2"/>
  <c r="D3" i="2"/>
  <c r="AW114" i="1"/>
  <c r="AV114" i="1"/>
  <c r="AU114" i="1"/>
  <c r="AT114" i="1"/>
  <c r="AS114" i="1"/>
  <c r="AW113" i="1"/>
  <c r="AV113" i="1"/>
  <c r="AU113" i="1"/>
  <c r="AT113" i="1"/>
  <c r="AS113" i="1"/>
  <c r="AW112" i="1"/>
  <c r="AV112" i="1"/>
  <c r="AU112" i="1"/>
  <c r="AT112" i="1"/>
  <c r="AS112" i="1"/>
  <c r="AW111" i="1"/>
  <c r="AV111" i="1"/>
  <c r="AU111" i="1"/>
  <c r="AT111" i="1"/>
  <c r="AS111" i="1"/>
  <c r="AR110" i="1"/>
  <c r="AV110" i="1" s="1"/>
  <c r="AP109" i="1"/>
  <c r="AO109" i="1"/>
  <c r="AN109" i="1"/>
  <c r="AO108" i="1"/>
  <c r="AN108" i="1"/>
  <c r="AP107" i="1"/>
  <c r="AN107" i="1"/>
  <c r="AP106" i="1"/>
  <c r="AO106" i="1"/>
  <c r="AN106" i="1"/>
  <c r="AP105" i="1"/>
  <c r="AO105" i="1"/>
  <c r="AN105" i="1"/>
  <c r="AP104" i="1"/>
  <c r="AO104" i="1"/>
  <c r="AN104" i="1"/>
  <c r="AO103" i="1"/>
  <c r="AN103" i="1"/>
  <c r="AP102" i="1"/>
  <c r="AO102" i="1"/>
  <c r="AN102" i="1"/>
  <c r="AQ101" i="1"/>
  <c r="AP101" i="1"/>
  <c r="AO101" i="1"/>
  <c r="AN101" i="1"/>
  <c r="AP100" i="1"/>
  <c r="AO100" i="1"/>
  <c r="AN100" i="1"/>
  <c r="AQ99" i="1"/>
  <c r="AP99" i="1"/>
  <c r="AO99" i="1"/>
  <c r="AN99" i="1"/>
  <c r="AP98" i="1"/>
  <c r="AO98" i="1"/>
  <c r="AN98" i="1"/>
  <c r="AR97" i="1"/>
  <c r="AQ97" i="1"/>
  <c r="AP97" i="1"/>
  <c r="AO97" i="1"/>
  <c r="AN97" i="1"/>
  <c r="AR96" i="1"/>
  <c r="AO96" i="1"/>
  <c r="AW95" i="1"/>
  <c r="AV95" i="1"/>
  <c r="AU95" i="1"/>
  <c r="AT95" i="1"/>
  <c r="AS95" i="1"/>
  <c r="AO94" i="1"/>
  <c r="AN94" i="1"/>
  <c r="AP93" i="1"/>
  <c r="AO93" i="1"/>
  <c r="AN93" i="1"/>
  <c r="AW92" i="1"/>
  <c r="AV92" i="1"/>
  <c r="AU92" i="1"/>
  <c r="AT92" i="1"/>
  <c r="AS92" i="1"/>
  <c r="AW91" i="1"/>
  <c r="AV91" i="1"/>
  <c r="AU91" i="1"/>
  <c r="AT91" i="1"/>
  <c r="AS91" i="1"/>
  <c r="AR90" i="1"/>
  <c r="AO90" i="1"/>
  <c r="AP89" i="1"/>
  <c r="AO89" i="1"/>
  <c r="AN89" i="1"/>
  <c r="AW88" i="1"/>
  <c r="AV88" i="1"/>
  <c r="AU88" i="1"/>
  <c r="AT88" i="1"/>
  <c r="AS88" i="1"/>
  <c r="AO87" i="1"/>
  <c r="AS87" i="1" s="1"/>
  <c r="AP86" i="1"/>
  <c r="AO86" i="1"/>
  <c r="AN86" i="1"/>
  <c r="AO85" i="1"/>
  <c r="AN85" i="1"/>
  <c r="AN84" i="1"/>
  <c r="AV84" i="1" s="1"/>
  <c r="AR83" i="1"/>
  <c r="AV83" i="1" s="1"/>
  <c r="AR82" i="1"/>
  <c r="AO82" i="1"/>
  <c r="AW81" i="1"/>
  <c r="AV81" i="1"/>
  <c r="AU81" i="1"/>
  <c r="AT81" i="1"/>
  <c r="AS81" i="1"/>
  <c r="AR80" i="1"/>
  <c r="AQ80" i="1"/>
  <c r="AP80" i="1"/>
  <c r="AO80" i="1"/>
  <c r="AP79" i="1"/>
  <c r="AO79" i="1"/>
  <c r="AP78" i="1"/>
  <c r="AO78" i="1"/>
  <c r="AP77" i="1"/>
  <c r="AO77" i="1"/>
  <c r="AP76" i="1"/>
  <c r="AO76" i="1"/>
  <c r="AN76" i="1"/>
  <c r="AO75" i="1"/>
  <c r="AN75" i="1"/>
  <c r="AP74" i="1"/>
  <c r="AO74" i="1"/>
  <c r="AP73" i="1"/>
  <c r="AO73" i="1"/>
  <c r="AN73" i="1"/>
  <c r="AO72" i="1"/>
  <c r="AN72" i="1"/>
  <c r="AW71" i="1"/>
  <c r="AV71" i="1"/>
  <c r="AU71" i="1"/>
  <c r="AT71" i="1"/>
  <c r="AS71" i="1"/>
  <c r="AP70" i="1"/>
  <c r="AO70" i="1"/>
  <c r="AO69" i="1"/>
  <c r="AN69" i="1"/>
  <c r="AP68" i="1"/>
  <c r="AO68" i="1"/>
  <c r="AN68" i="1"/>
  <c r="AR67" i="1"/>
  <c r="AP67" i="1"/>
  <c r="AO67" i="1"/>
  <c r="AN67" i="1"/>
  <c r="AP66" i="1"/>
  <c r="AO66" i="1"/>
  <c r="AN66" i="1"/>
  <c r="AW65" i="1"/>
  <c r="AV65" i="1"/>
  <c r="AU65" i="1"/>
  <c r="AT65" i="1"/>
  <c r="AS65" i="1"/>
  <c r="AP64" i="1"/>
  <c r="AO64" i="1"/>
  <c r="AN64" i="1"/>
  <c r="AO63" i="1"/>
  <c r="AN63" i="1"/>
  <c r="AW62" i="1"/>
  <c r="AV62" i="1"/>
  <c r="AU62" i="1"/>
  <c r="AT62" i="1"/>
  <c r="AS62" i="1"/>
  <c r="AQ61" i="1"/>
  <c r="AP61" i="1"/>
  <c r="AO61" i="1"/>
  <c r="AN61" i="1"/>
  <c r="AR60" i="1"/>
  <c r="AP60" i="1"/>
  <c r="AO60" i="1"/>
  <c r="AR59" i="1"/>
  <c r="AO59" i="1"/>
  <c r="AN59" i="1"/>
  <c r="AP58" i="1"/>
  <c r="AO58" i="1"/>
  <c r="AN58" i="1"/>
  <c r="AO57" i="1"/>
  <c r="AS57" i="1" s="1"/>
  <c r="AO56" i="1"/>
  <c r="AN56" i="1"/>
  <c r="AO55" i="1"/>
  <c r="AW55" i="1" s="1"/>
  <c r="AO54" i="1"/>
  <c r="AN54" i="1"/>
  <c r="AW53" i="1"/>
  <c r="AV53" i="1"/>
  <c r="AU53" i="1"/>
  <c r="AT53" i="1"/>
  <c r="AS53" i="1"/>
  <c r="AN52" i="1"/>
  <c r="AV52" i="1" s="1"/>
  <c r="AW51" i="1"/>
  <c r="AV51" i="1"/>
  <c r="AU51" i="1"/>
  <c r="AT51" i="1"/>
  <c r="AS51" i="1"/>
  <c r="AQ50" i="1"/>
  <c r="AP50" i="1"/>
  <c r="AO50" i="1"/>
  <c r="AN50" i="1"/>
  <c r="AW49" i="1"/>
  <c r="AV49" i="1"/>
  <c r="AU49" i="1"/>
  <c r="AT49" i="1"/>
  <c r="AS49" i="1"/>
  <c r="AO48" i="1"/>
  <c r="AW48" i="1" s="1"/>
  <c r="AP47" i="1"/>
  <c r="AO47" i="1"/>
  <c r="AN47" i="1"/>
  <c r="AP46" i="1"/>
  <c r="AW45" i="1"/>
  <c r="AV45" i="1"/>
  <c r="AU45" i="1"/>
  <c r="AT45" i="1"/>
  <c r="AS45" i="1"/>
  <c r="AP44" i="1"/>
  <c r="AN44" i="1"/>
  <c r="AQ42" i="1"/>
  <c r="AP42" i="1"/>
  <c r="AN42" i="1"/>
  <c r="AQ41" i="1"/>
  <c r="AP41" i="1"/>
  <c r="AN41" i="1"/>
  <c r="AR39" i="1"/>
  <c r="AP39" i="1"/>
  <c r="AR38" i="1"/>
  <c r="AP38" i="1"/>
  <c r="AO38" i="1"/>
  <c r="AN38" i="1"/>
  <c r="AQ37" i="1"/>
  <c r="AP37" i="1"/>
  <c r="AO37" i="1"/>
  <c r="AN37" i="1"/>
  <c r="AW35" i="1"/>
  <c r="AV35" i="1"/>
  <c r="AU35" i="1"/>
  <c r="AT35" i="1"/>
  <c r="AS35" i="1"/>
  <c r="AQ34" i="1"/>
  <c r="AP34" i="1"/>
  <c r="AN34" i="1"/>
  <c r="AR33" i="1"/>
  <c r="AQ33" i="1"/>
  <c r="AP33" i="1"/>
  <c r="AO33" i="1"/>
  <c r="AN33" i="1"/>
  <c r="AP31" i="1"/>
  <c r="AO31" i="1"/>
  <c r="AN31" i="1"/>
  <c r="AP30" i="1"/>
  <c r="AO30" i="1"/>
  <c r="AN30" i="1"/>
  <c r="AP28" i="1"/>
  <c r="AN28" i="1"/>
  <c r="AO27" i="1"/>
  <c r="AN27" i="1"/>
  <c r="AP26" i="1"/>
  <c r="AO26" i="1"/>
  <c r="AP25" i="1"/>
  <c r="AO25" i="1"/>
  <c r="AN25" i="1"/>
  <c r="AQ24" i="1"/>
  <c r="AO24" i="1"/>
  <c r="AN24" i="1"/>
  <c r="AP23" i="1"/>
  <c r="AO23" i="1"/>
  <c r="AN23" i="1"/>
  <c r="AP22" i="1"/>
  <c r="AO22" i="1"/>
  <c r="AP21" i="1"/>
  <c r="AO21" i="1"/>
  <c r="AN21" i="1"/>
  <c r="AP20" i="1"/>
  <c r="AO20" i="1"/>
  <c r="AN20" i="1"/>
  <c r="AP19" i="1"/>
  <c r="AO19" i="1"/>
  <c r="AN19" i="1"/>
  <c r="AO18" i="1"/>
  <c r="AN18" i="1"/>
  <c r="AP17" i="1"/>
  <c r="AO17" i="1"/>
  <c r="AP16" i="1"/>
  <c r="AN16" i="1"/>
  <c r="O16" i="1"/>
  <c r="AA16" i="1"/>
  <c r="X16" i="1"/>
  <c r="N16" i="1"/>
  <c r="AP15" i="1"/>
  <c r="AV15" i="1" s="1"/>
  <c r="O15" i="1"/>
  <c r="AD15" i="1"/>
  <c r="X15" i="1"/>
  <c r="AR14" i="1"/>
  <c r="AP14" i="1"/>
  <c r="O14" i="1"/>
  <c r="AA14" i="1"/>
  <c r="X14" i="1"/>
  <c r="AP13" i="1"/>
  <c r="O13" i="1"/>
  <c r="AA13" i="1"/>
  <c r="Z13" i="1"/>
  <c r="X13" i="1"/>
  <c r="AP12" i="1"/>
  <c r="AW12" i="1" s="1"/>
  <c r="O12" i="1"/>
  <c r="AA12" i="1"/>
  <c r="AD12" i="1" s="1"/>
  <c r="Y12" i="1"/>
  <c r="X12" i="1"/>
  <c r="AW11" i="1"/>
  <c r="AV11" i="1"/>
  <c r="AU11" i="1"/>
  <c r="AT11" i="1"/>
  <c r="AS11" i="1"/>
  <c r="O11" i="1"/>
  <c r="AA11" i="1"/>
  <c r="AD11" i="1" s="1"/>
  <c r="Y11" i="1"/>
  <c r="X11" i="1"/>
  <c r="P11" i="1"/>
  <c r="N11" i="1"/>
  <c r="AW10" i="1"/>
  <c r="AV10" i="1"/>
  <c r="AU10" i="1"/>
  <c r="AT10" i="1"/>
  <c r="AS10" i="1"/>
  <c r="O10" i="1"/>
  <c r="AD10" i="1"/>
  <c r="X10" i="1"/>
  <c r="AR8" i="1"/>
  <c r="AP8" i="1"/>
  <c r="AN8" i="1"/>
  <c r="O8" i="1"/>
  <c r="AR7" i="1"/>
  <c r="AV7" i="1" s="1"/>
  <c r="O7" i="1"/>
  <c r="AR6" i="1"/>
  <c r="AQ6" i="1"/>
  <c r="AP6" i="1"/>
  <c r="O6" i="1"/>
  <c r="Z6" i="1"/>
  <c r="AD6" i="1" s="1"/>
  <c r="Y6" i="1"/>
  <c r="X6" i="1"/>
  <c r="P6" i="1"/>
  <c r="AP5" i="1"/>
  <c r="AW5" i="1" s="1"/>
  <c r="O5" i="1"/>
  <c r="AD5" i="1"/>
  <c r="X5" i="1"/>
  <c r="P5" i="1"/>
  <c r="N5" i="1"/>
  <c r="AP4" i="1"/>
  <c r="AW4" i="1" s="1"/>
  <c r="X4" i="1"/>
  <c r="AP3" i="1"/>
  <c r="AO3" i="1"/>
  <c r="O3" i="1"/>
  <c r="AD3" i="1"/>
  <c r="X3" i="1"/>
  <c r="P3" i="1"/>
  <c r="N3" i="1"/>
  <c r="AP2" i="1"/>
  <c r="AO2" i="1"/>
  <c r="O2" i="1"/>
  <c r="AD2" i="1"/>
  <c r="X2" i="1"/>
  <c r="N2" i="1"/>
  <c r="AD16" i="1" l="1"/>
  <c r="AV87" i="1"/>
  <c r="AS13" i="1"/>
  <c r="AU72" i="1"/>
  <c r="AU109" i="1"/>
  <c r="AV72" i="1"/>
  <c r="AW2" i="1"/>
  <c r="AT19" i="1"/>
  <c r="AT87" i="1"/>
  <c r="AV39" i="1"/>
  <c r="AW54" i="1"/>
  <c r="AS75" i="1"/>
  <c r="AT16" i="1"/>
  <c r="AS63" i="1"/>
  <c r="AW69" i="1"/>
  <c r="AU79" i="1"/>
  <c r="AW30" i="1"/>
  <c r="AV70" i="1"/>
  <c r="AV56" i="1"/>
  <c r="AU39" i="1"/>
  <c r="AW23" i="1"/>
  <c r="AU29" i="1"/>
  <c r="AV38" i="1"/>
  <c r="AW58" i="1"/>
  <c r="AU63" i="1"/>
  <c r="AW107" i="1"/>
  <c r="AW73" i="1"/>
  <c r="AT76" i="1"/>
  <c r="AS98" i="1"/>
  <c r="AV29" i="1"/>
  <c r="AW70" i="1"/>
  <c r="AT29" i="1"/>
  <c r="AV66" i="1"/>
  <c r="AW29" i="1"/>
  <c r="AW6" i="1"/>
  <c r="AU67" i="1"/>
  <c r="AV79" i="1"/>
  <c r="AS107" i="1"/>
  <c r="AS21" i="1"/>
  <c r="AU37" i="1"/>
  <c r="AW17" i="1"/>
  <c r="AU55" i="1"/>
  <c r="AT30" i="1"/>
  <c r="AS52" i="1"/>
  <c r="AW14" i="1"/>
  <c r="AS105" i="1"/>
  <c r="AS29" i="1"/>
  <c r="AS38" i="1"/>
  <c r="AV99" i="1"/>
  <c r="AU28" i="1"/>
  <c r="AS55" i="1"/>
  <c r="AT34" i="1"/>
  <c r="AS39" i="1"/>
  <c r="AU56" i="1"/>
  <c r="AS79" i="1"/>
  <c r="AU16" i="1"/>
  <c r="AW21" i="1"/>
  <c r="AT79" i="1"/>
  <c r="AV106" i="1"/>
  <c r="AV21" i="1"/>
  <c r="AT39" i="1"/>
  <c r="AT85" i="1"/>
  <c r="AV3" i="1"/>
  <c r="AT28" i="1"/>
  <c r="AV47" i="1"/>
  <c r="AW77" i="1"/>
  <c r="AW80" i="1"/>
  <c r="AV90" i="1"/>
  <c r="AV94" i="1"/>
  <c r="AS102" i="1"/>
  <c r="AV22" i="1"/>
  <c r="AV24" i="1"/>
  <c r="AS28" i="1"/>
  <c r="AW39" i="1"/>
  <c r="AU47" i="1"/>
  <c r="AU58" i="1"/>
  <c r="AU61" i="1"/>
  <c r="AT66" i="1"/>
  <c r="AT107" i="1"/>
  <c r="AV28" i="1"/>
  <c r="AU86" i="1"/>
  <c r="AW44" i="1"/>
  <c r="AS59" i="1"/>
  <c r="AT64" i="1"/>
  <c r="AS70" i="1"/>
  <c r="AW25" i="1"/>
  <c r="AU97" i="1"/>
  <c r="AT20" i="1"/>
  <c r="AT70" i="1"/>
  <c r="AT72" i="1"/>
  <c r="AU78" i="1"/>
  <c r="AU23" i="1"/>
  <c r="AW56" i="1"/>
  <c r="AV76" i="1"/>
  <c r="AW109" i="1"/>
  <c r="AV18" i="1"/>
  <c r="AW26" i="1"/>
  <c r="AW33" i="1"/>
  <c r="AS42" i="1"/>
  <c r="AU73" i="1"/>
  <c r="AS85" i="1"/>
  <c r="AT13" i="1"/>
  <c r="AS18" i="1"/>
  <c r="AU21" i="1"/>
  <c r="AU31" i="1"/>
  <c r="AW34" i="1"/>
  <c r="AV42" i="1"/>
  <c r="AU52" i="1"/>
  <c r="AW82" i="1"/>
  <c r="AU85" i="1"/>
  <c r="AU93" i="1"/>
  <c r="AV101" i="1"/>
  <c r="AW103" i="1"/>
  <c r="AS106" i="1"/>
  <c r="AU18" i="1"/>
  <c r="AT27" i="1"/>
  <c r="AW52" i="1"/>
  <c r="AS69" i="1"/>
  <c r="AW85" i="1"/>
  <c r="AV96" i="1"/>
  <c r="AV98" i="1"/>
  <c r="AS34" i="1"/>
  <c r="AT98" i="1"/>
  <c r="AT109" i="1"/>
  <c r="AS37" i="1"/>
  <c r="AU59" i="1"/>
  <c r="AS7" i="1"/>
  <c r="AS109" i="1"/>
  <c r="AW3" i="1"/>
  <c r="AT102" i="1"/>
  <c r="AT3" i="1"/>
  <c r="AV14" i="1"/>
  <c r="AW97" i="1"/>
  <c r="AV57" i="1"/>
  <c r="AV63" i="1"/>
  <c r="AV97" i="1"/>
  <c r="AD14" i="1"/>
  <c r="AT14" i="1"/>
  <c r="AU25" i="1"/>
  <c r="AT38" i="1"/>
  <c r="AV68" i="1"/>
  <c r="AW89" i="1"/>
  <c r="AS99" i="1"/>
  <c r="AU8" i="1"/>
  <c r="AT18" i="1"/>
  <c r="AV27" i="1"/>
  <c r="AU33" i="1"/>
  <c r="AT37" i="1"/>
  <c r="AT56" i="1"/>
  <c r="AW61" i="1"/>
  <c r="AT63" i="1"/>
  <c r="AW67" i="1"/>
  <c r="AU70" i="1"/>
  <c r="AS72" i="1"/>
  <c r="AU74" i="1"/>
  <c r="AU87" i="1"/>
  <c r="AT99" i="1"/>
  <c r="AV104" i="1"/>
  <c r="AU106" i="1"/>
  <c r="AW8" i="1"/>
  <c r="AS108" i="1"/>
  <c r="AW87" i="1"/>
  <c r="AW31" i="1"/>
  <c r="AW19" i="1"/>
  <c r="AT21" i="1"/>
  <c r="AT23" i="1"/>
  <c r="AT25" i="1"/>
  <c r="AV59" i="1"/>
  <c r="AV61" i="1"/>
  <c r="AW63" i="1"/>
  <c r="AT93" i="1"/>
  <c r="AU99" i="1"/>
  <c r="AS101" i="1"/>
  <c r="AU6" i="1"/>
  <c r="AT101" i="1"/>
  <c r="AW105" i="1"/>
  <c r="AW68" i="1"/>
  <c r="AU77" i="1"/>
  <c r="AW86" i="1"/>
  <c r="AU13" i="1"/>
  <c r="AS25" i="1"/>
  <c r="AV34" i="1"/>
  <c r="AT52" i="1"/>
  <c r="AW66" i="1"/>
  <c r="AV73" i="1"/>
  <c r="AU80" i="1"/>
  <c r="AT82" i="1"/>
  <c r="AW99" i="1"/>
  <c r="AV103" i="1"/>
  <c r="AT105" i="1"/>
  <c r="AT6" i="1"/>
  <c r="AS12" i="1"/>
  <c r="AS15" i="1"/>
  <c r="AW20" i="1"/>
  <c r="AW28" i="1"/>
  <c r="AU38" i="1"/>
  <c r="AT41" i="1"/>
  <c r="AT47" i="1"/>
  <c r="AW50" i="1"/>
  <c r="AT55" i="1"/>
  <c r="AU69" i="1"/>
  <c r="AS73" i="1"/>
  <c r="AS82" i="1"/>
  <c r="AS84" i="1"/>
  <c r="AW90" i="1"/>
  <c r="AT96" i="1"/>
  <c r="AS103" i="1"/>
  <c r="AU107" i="1"/>
  <c r="AU2" i="1"/>
  <c r="AT12" i="1"/>
  <c r="AT15" i="1"/>
  <c r="AV20" i="1"/>
  <c r="AV69" i="1"/>
  <c r="AT80" i="1"/>
  <c r="AU82" i="1"/>
  <c r="AT84" i="1"/>
  <c r="AS94" i="1"/>
  <c r="AT97" i="1"/>
  <c r="AW98" i="1"/>
  <c r="AV107" i="1"/>
  <c r="AV109" i="1"/>
  <c r="AU12" i="1"/>
  <c r="AS17" i="1"/>
  <c r="AS20" i="1"/>
  <c r="AU22" i="1"/>
  <c r="AV37" i="1"/>
  <c r="AU42" i="1"/>
  <c r="AS47" i="1"/>
  <c r="AV50" i="1"/>
  <c r="AV55" i="1"/>
  <c r="AU60" i="1"/>
  <c r="AV67" i="1"/>
  <c r="AV82" i="1"/>
  <c r="AU94" i="1"/>
  <c r="AS96" i="1"/>
  <c r="AS100" i="1"/>
  <c r="AT106" i="1"/>
  <c r="AV2" i="1"/>
  <c r="AV12" i="1"/>
  <c r="AU17" i="1"/>
  <c r="AW22" i="1"/>
  <c r="AS26" i="1"/>
  <c r="AU30" i="1"/>
  <c r="AS33" i="1"/>
  <c r="AS44" i="1"/>
  <c r="AS58" i="1"/>
  <c r="AW60" i="1"/>
  <c r="AW74" i="1"/>
  <c r="AS76" i="1"/>
  <c r="AV85" i="1"/>
  <c r="AW94" i="1"/>
  <c r="AU96" i="1"/>
  <c r="AT58" i="1"/>
  <c r="AU76" i="1"/>
  <c r="AU24" i="1"/>
  <c r="AS24" i="1"/>
  <c r="AU41" i="1"/>
  <c r="AV93" i="1"/>
  <c r="AW64" i="1"/>
  <c r="AS64" i="1"/>
  <c r="AS8" i="1"/>
  <c r="AS68" i="1"/>
  <c r="AS4" i="1"/>
  <c r="AS5" i="1"/>
  <c r="AW7" i="1"/>
  <c r="AU7" i="1"/>
  <c r="AV13" i="1"/>
  <c r="AU15" i="1"/>
  <c r="AV16" i="1"/>
  <c r="AU20" i="1"/>
  <c r="AT24" i="1"/>
  <c r="AS27" i="1"/>
  <c r="AT33" i="1"/>
  <c r="AU34" i="1"/>
  <c r="AV41" i="1"/>
  <c r="AT48" i="1"/>
  <c r="AT50" i="1"/>
  <c r="AS54" i="1"/>
  <c r="AW57" i="1"/>
  <c r="AU57" i="1"/>
  <c r="AS61" i="1"/>
  <c r="AU64" i="1"/>
  <c r="AT68" i="1"/>
  <c r="AU75" i="1"/>
  <c r="AW76" i="1"/>
  <c r="AV78" i="1"/>
  <c r="AT78" i="1"/>
  <c r="AW79" i="1"/>
  <c r="AU84" i="1"/>
  <c r="AT90" i="1"/>
  <c r="AS93" i="1"/>
  <c r="AW96" i="1"/>
  <c r="AU101" i="1"/>
  <c r="AU102" i="1"/>
  <c r="AW104" i="1"/>
  <c r="AT108" i="1"/>
  <c r="AS19" i="1"/>
  <c r="AW41" i="1"/>
  <c r="AW46" i="1"/>
  <c r="AU46" i="1"/>
  <c r="AS46" i="1"/>
  <c r="AT61" i="1"/>
  <c r="AW84" i="1"/>
  <c r="AW102" i="1"/>
  <c r="AU105" i="1"/>
  <c r="AU108" i="1"/>
  <c r="AV48" i="1"/>
  <c r="AU50" i="1"/>
  <c r="AT54" i="1"/>
  <c r="AU68" i="1"/>
  <c r="AV75" i="1"/>
  <c r="AU90" i="1"/>
  <c r="AS2" i="1"/>
  <c r="AU4" i="1"/>
  <c r="AU5" i="1"/>
  <c r="AT7" i="1"/>
  <c r="AS14" i="1"/>
  <c r="AW15" i="1"/>
  <c r="AS16" i="1"/>
  <c r="AS22" i="1"/>
  <c r="AS23" i="1"/>
  <c r="AW24" i="1"/>
  <c r="AU27" i="1"/>
  <c r="AS31" i="1"/>
  <c r="AV33" i="1"/>
  <c r="AW42" i="1"/>
  <c r="AT46" i="1"/>
  <c r="AU54" i="1"/>
  <c r="AT57" i="1"/>
  <c r="AS60" i="1"/>
  <c r="AV64" i="1"/>
  <c r="AS67" i="1"/>
  <c r="AS74" i="1"/>
  <c r="AW75" i="1"/>
  <c r="AS78" i="1"/>
  <c r="AS86" i="1"/>
  <c r="AW93" i="1"/>
  <c r="AU104" i="1"/>
  <c r="AV108" i="1"/>
  <c r="AT4" i="1"/>
  <c r="AV5" i="1"/>
  <c r="AU19" i="1"/>
  <c r="AV26" i="1"/>
  <c r="AT26" i="1"/>
  <c r="AV30" i="1"/>
  <c r="AV44" i="1"/>
  <c r="AT44" i="1"/>
  <c r="AS104" i="1"/>
  <c r="AT5" i="1"/>
  <c r="AT2" i="1"/>
  <c r="AV4" i="1"/>
  <c r="AW27" i="1"/>
  <c r="AT31" i="1"/>
  <c r="AV46" i="1"/>
  <c r="AV54" i="1"/>
  <c r="AT60" i="1"/>
  <c r="AT67" i="1"/>
  <c r="AT74" i="1"/>
  <c r="AW83" i="1"/>
  <c r="AU83" i="1"/>
  <c r="AS83" i="1"/>
  <c r="AT86" i="1"/>
  <c r="AU89" i="1"/>
  <c r="AU100" i="1"/>
  <c r="AW108" i="1"/>
  <c r="AS3" i="1"/>
  <c r="AV6" i="1"/>
  <c r="AU14" i="1"/>
  <c r="AW16" i="1"/>
  <c r="AV19" i="1"/>
  <c r="AT22" i="1"/>
  <c r="AV23" i="1"/>
  <c r="AW47" i="1"/>
  <c r="AW59" i="1"/>
  <c r="AS66" i="1"/>
  <c r="AV77" i="1"/>
  <c r="AT77" i="1"/>
  <c r="AW78" i="1"/>
  <c r="AV80" i="1"/>
  <c r="AT83" i="1"/>
  <c r="AS89" i="1"/>
  <c r="AS97" i="1"/>
  <c r="AT100" i="1"/>
  <c r="AW101" i="1"/>
  <c r="AT104" i="1"/>
  <c r="AW106" i="1"/>
  <c r="AV74" i="1"/>
  <c r="AV86" i="1"/>
  <c r="AT89" i="1"/>
  <c r="AV100" i="1"/>
  <c r="AU48" i="1"/>
  <c r="AS48" i="1"/>
  <c r="AT75" i="1"/>
  <c r="AV31" i="1"/>
  <c r="AV60" i="1"/>
  <c r="AW110" i="1"/>
  <c r="AU110" i="1"/>
  <c r="AS110" i="1"/>
  <c r="AU3" i="1"/>
  <c r="AS6" i="1"/>
  <c r="AV25" i="1"/>
  <c r="AU26" i="1"/>
  <c r="AS30" i="1"/>
  <c r="AW37" i="1"/>
  <c r="AW38" i="1"/>
  <c r="AT42" i="1"/>
  <c r="AU44" i="1"/>
  <c r="AS56" i="1"/>
  <c r="AV58" i="1"/>
  <c r="AT59" i="1"/>
  <c r="AU66" i="1"/>
  <c r="AW72" i="1"/>
  <c r="AT73" i="1"/>
  <c r="AS77" i="1"/>
  <c r="AS80" i="1"/>
  <c r="AV89" i="1"/>
  <c r="AW100" i="1"/>
  <c r="AT103" i="1"/>
  <c r="AT110" i="1"/>
  <c r="AS90" i="1"/>
  <c r="AD13" i="1"/>
  <c r="AV8" i="1"/>
  <c r="AT8" i="1"/>
  <c r="AW13" i="1"/>
  <c r="AV17" i="1"/>
  <c r="AT17" i="1"/>
  <c r="AW18" i="1"/>
  <c r="AS41" i="1"/>
  <c r="AS50" i="1"/>
  <c r="AT69" i="1"/>
  <c r="AT94" i="1"/>
  <c r="AU98" i="1"/>
  <c r="AV102" i="1"/>
  <c r="AU103" i="1"/>
  <c r="AV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3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ID#AAAA4ukZtNg
tc={A39D1EFB-B055-4466-8F07-E4E37053B53A}    (2023-09-07 18:29:21)
[Threaded comment]
Your version of Excel allows you to read this threaded comment; however, any edits to it will get removed if the file is opened in a newer version of Excel. Learn more: https://go.microsoft.com/fwlink/?linkid=870924
Comment:
    Not sure if the dash is an abbreviation or intentional</t>
        </r>
      </text>
    </comment>
    <comment ref="B2250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ID#AAAA4ukZtNI
tc={611B9DE8-8A73-4B8F-9BC9-5B9AC57C1BEF}    (2023-09-07 18:29:21)
[Threaded comment]
Your version of Excel allows you to read this threaded comment; however, any edits to it will get removed if the file is opened in a newer version of Excel. Learn more: https://go.microsoft.com/fwlink/?linkid=870924
Comment:
    Cannot say for sure if it is 16 or 15</t>
        </r>
      </text>
    </comment>
    <comment ref="M2305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ID#AAAA4ukZtNY
tc={0D7C4F1A-EFF5-419D-890B-C1E24A882A1A}    (2023-09-07 18:29:21)
[Threaded comment]
Your version of Excel allows you to read this threaded comment; however, any edits to it will get removed if the file is opened in a newer version of Excel. Learn more: https://go.microsoft.com/fwlink/?linkid=870924
Comment:
    Canopy column all NA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MJGNdkTs8CCtg2SM6pUXcIgrMQ=="/>
    </ext>
  </extLst>
</comments>
</file>

<file path=xl/sharedStrings.xml><?xml version="1.0" encoding="utf-8"?>
<sst xmlns="http://schemas.openxmlformats.org/spreadsheetml/2006/main" count="19585" uniqueCount="1001">
  <si>
    <t>Grove</t>
  </si>
  <si>
    <t>Date</t>
  </si>
  <si>
    <t>PlotNo</t>
  </si>
  <si>
    <t>Easting</t>
  </si>
  <si>
    <t>Northing</t>
  </si>
  <si>
    <t>Elev_m</t>
  </si>
  <si>
    <t>Slope</t>
  </si>
  <si>
    <t>Aspect</t>
  </si>
  <si>
    <t>TreesPerHa</t>
  </si>
  <si>
    <t>LgTreesPerHa&gt;71cmDBH</t>
  </si>
  <si>
    <t>%SEGItrees</t>
  </si>
  <si>
    <t>%ABCOtrees</t>
  </si>
  <si>
    <t>%CADEtrees</t>
  </si>
  <si>
    <t>%PineTrees</t>
  </si>
  <si>
    <t>%ShTolTrees</t>
  </si>
  <si>
    <t>%SEGI.BA</t>
  </si>
  <si>
    <t>%ABCO.BA</t>
  </si>
  <si>
    <t>%CADE.BA</t>
  </si>
  <si>
    <t>%Pine.BA</t>
  </si>
  <si>
    <t>%ShTol.BA</t>
  </si>
  <si>
    <t>TreeBA.m2ha</t>
  </si>
  <si>
    <t>SnagsPerHa</t>
  </si>
  <si>
    <t>SnagBA.m2ha</t>
  </si>
  <si>
    <t>ShrbSp</t>
  </si>
  <si>
    <t>BrGrdCvr%</t>
  </si>
  <si>
    <t>LitterCvr%</t>
  </si>
  <si>
    <t>RockCvr%</t>
  </si>
  <si>
    <t>WeedCvr%</t>
  </si>
  <si>
    <t>CWDcvr%</t>
  </si>
  <si>
    <t>SEGIsdlgsPerHa</t>
  </si>
  <si>
    <t>ABCOsdlgsPerHa</t>
  </si>
  <si>
    <t>CADEsdlgsPerHa</t>
  </si>
  <si>
    <t>PineSdlgsPerHa</t>
  </si>
  <si>
    <t>HdwSmStmsPerHa</t>
  </si>
  <si>
    <t>%SEGIsdls</t>
  </si>
  <si>
    <t>%ABCOsdls</t>
  </si>
  <si>
    <t>%CADEsdls</t>
  </si>
  <si>
    <t>%HdwSdls</t>
  </si>
  <si>
    <t>SEGIsaplPerHa</t>
  </si>
  <si>
    <t>ABCOsaplPerHa</t>
  </si>
  <si>
    <t>CADEsaplPerHa</t>
  </si>
  <si>
    <t>HrdwLgRespPerHa</t>
  </si>
  <si>
    <t>Notes</t>
  </si>
  <si>
    <t>Cunningham</t>
  </si>
  <si>
    <t>TU1</t>
  </si>
  <si>
    <t>Yes</t>
  </si>
  <si>
    <t>CHFO</t>
  </si>
  <si>
    <t>SH2</t>
  </si>
  <si>
    <t>Cut stumps outside of plot pre-fire</t>
  </si>
  <si>
    <t>GS2</t>
  </si>
  <si>
    <t>N/A</t>
  </si>
  <si>
    <t>TL1</t>
  </si>
  <si>
    <t>CEIN</t>
  </si>
  <si>
    <t>TL3</t>
  </si>
  <si>
    <t>Pine regen includes PIPO/PIJE and possibly PILA</t>
  </si>
  <si>
    <t>TU5</t>
  </si>
  <si>
    <t>DeerCrk</t>
  </si>
  <si>
    <t>NB9</t>
  </si>
  <si>
    <t>CECO</t>
  </si>
  <si>
    <t>SB2</t>
  </si>
  <si>
    <t>SB1</t>
  </si>
  <si>
    <t>Check SEGI seedling count; Hardwood small stems consist of CONU</t>
  </si>
  <si>
    <t>LongMeadow</t>
  </si>
  <si>
    <t>Moved plot center 10 m north; Rock is asphalt from trail (understory cvr); here as elsewhere, 23 cones --- "5" or more (understory cvr)</t>
  </si>
  <si>
    <t>Moved plot center 5 m north</t>
  </si>
  <si>
    <t xml:space="preserve"> </t>
  </si>
  <si>
    <t>TL4</t>
  </si>
  <si>
    <t>Javad (rest is unreadable on data sheet)</t>
  </si>
  <si>
    <t>Packsaddle</t>
  </si>
  <si>
    <t>SB4</t>
  </si>
  <si>
    <t>Peyrone</t>
  </si>
  <si>
    <t>Abma seedlings on data sheet assumed to be Abco</t>
  </si>
  <si>
    <t>Check hardcopy data sheets for seedling counts</t>
  </si>
  <si>
    <t>RedHill</t>
  </si>
  <si>
    <t>8 Conu sprout clumps in large plot</t>
  </si>
  <si>
    <t>Seedling count for Abco could be 231 rather than 731</t>
  </si>
  <si>
    <t>1 Conu clump in large plot</t>
  </si>
  <si>
    <t>StarvationCrk</t>
  </si>
  <si>
    <t>Hardwood small stems consist of CONU only</t>
  </si>
  <si>
    <t>TreeNo</t>
  </si>
  <si>
    <t>InPlot</t>
  </si>
  <si>
    <t>Dist.m</t>
  </si>
  <si>
    <t>Azimuth</t>
  </si>
  <si>
    <t>Species</t>
  </si>
  <si>
    <t>Status</t>
  </si>
  <si>
    <t>DBH.cm</t>
  </si>
  <si>
    <t>Diam.type</t>
  </si>
  <si>
    <t>Torch%</t>
  </si>
  <si>
    <t>Scorch%</t>
  </si>
  <si>
    <t>CanPos</t>
  </si>
  <si>
    <t>Health</t>
  </si>
  <si>
    <t>DecayClass</t>
  </si>
  <si>
    <t>WT.tag.no</t>
  </si>
  <si>
    <t>ABCO</t>
  </si>
  <si>
    <t>L</t>
  </si>
  <si>
    <t>D</t>
  </si>
  <si>
    <t>SEGI</t>
  </si>
  <si>
    <t>C</t>
  </si>
  <si>
    <t>QUKE</t>
  </si>
  <si>
    <t>Basal sprouts</t>
  </si>
  <si>
    <t>B</t>
  </si>
  <si>
    <t>S</t>
  </si>
  <si>
    <t>I</t>
  </si>
  <si>
    <t>Contains zero cones</t>
  </si>
  <si>
    <t>Split below DBH</t>
  </si>
  <si>
    <t>UNK</t>
  </si>
  <si>
    <t>CADE</t>
  </si>
  <si>
    <t>Noted with a 3.0 m circumference on monarch data sheet but need to confirm this measurement is circumference and not DBH with Peter</t>
  </si>
  <si>
    <t>PIJE</t>
  </si>
  <si>
    <t>PILA</t>
  </si>
  <si>
    <t>Bark mising, DBH estimated</t>
  </si>
  <si>
    <t>PIPO</t>
  </si>
  <si>
    <t>Damage from previous fire</t>
  </si>
  <si>
    <t>Diameter listed as 500.3 but recorded as 50.3 cm due to canopy position as 'I' (intermediate)</t>
  </si>
  <si>
    <t>Downed</t>
  </si>
  <si>
    <t>Broken top</t>
  </si>
  <si>
    <t>Tree top is missing</t>
  </si>
  <si>
    <t>Tree recorded as live but changed to dead because the top (crown) was missing</t>
  </si>
  <si>
    <t>F</t>
  </si>
  <si>
    <t>Some crown fading</t>
  </si>
  <si>
    <t>top of canopy was fading; no green left; tree dying; 40% fading, 60% scorch, 1% torch</t>
  </si>
  <si>
    <t>very tops of canopy is bright green but ~60% fading; 1% live</t>
  </si>
  <si>
    <t>10% scorch, 0% torch; 90% fading</t>
  </si>
  <si>
    <t>could have been dead before fire, we were unsure</t>
  </si>
  <si>
    <t>20% fading</t>
  </si>
  <si>
    <t>1% fading</t>
  </si>
  <si>
    <t>20% fading, 25% scorch</t>
  </si>
  <si>
    <t>1% fading, 30% scorch</t>
  </si>
  <si>
    <t>500-1000</t>
  </si>
  <si>
    <t>for SEGI WT "DBH" = circumfrence "wealth condition" = cone class</t>
  </si>
  <si>
    <t>20% fading, 20% scorch</t>
  </si>
  <si>
    <t>25% fading, 30% alive (green)</t>
  </si>
  <si>
    <t>dbh estimate</t>
  </si>
  <si>
    <t xml:space="preserve">lots of sap coming out - big old yellow/orange always. Never white </t>
  </si>
  <si>
    <t>fallen tree</t>
  </si>
  <si>
    <t>dead clumps of needles dispersed throughout canopy-not scorch, beetles probably</t>
  </si>
  <si>
    <t>M,B</t>
  </si>
  <si>
    <t>estimated DBH, cut stump</t>
  </si>
  <si>
    <t>unsure about ID, estimated DBH</t>
  </si>
  <si>
    <t>estimated DBH (bark all burnt off)</t>
  </si>
  <si>
    <t>cut stump</t>
  </si>
  <si>
    <t>split tree</t>
  </si>
  <si>
    <t>broken bole, DBH estimate</t>
  </si>
  <si>
    <t>(cannot read)</t>
  </si>
  <si>
    <t>minor beetle damage</t>
  </si>
  <si>
    <t>DBH estimate due to  ….(cannot read)</t>
  </si>
  <si>
    <t>blown off top</t>
  </si>
  <si>
    <t xml:space="preserve">broken bole, DBH estimate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</si>
  <si>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ogl</t>
  </si>
  <si>
    <t>broken sp…(cannot read)</t>
  </si>
  <si>
    <t xml:space="preserve">B/F </t>
  </si>
  <si>
    <t>s</t>
  </si>
  <si>
    <t>estimated dbh</t>
  </si>
  <si>
    <t>M</t>
  </si>
  <si>
    <t>B/M</t>
  </si>
  <si>
    <t>out of plot</t>
  </si>
  <si>
    <t>few beetle holes</t>
  </si>
  <si>
    <t>minor beetle in tree(?)</t>
  </si>
  <si>
    <t>minor beetle infest</t>
  </si>
  <si>
    <t>minor beetle infestation</t>
  </si>
  <si>
    <t>B/F/M</t>
  </si>
  <si>
    <t>F/M</t>
  </si>
  <si>
    <t>estimated DBH</t>
  </si>
  <si>
    <t>could be a PILA or PIPO, it was severley burnt and hard to ID</t>
  </si>
  <si>
    <t>not too severe for beetles</t>
  </si>
  <si>
    <t>yellowing not beetles</t>
  </si>
  <si>
    <t>ditch with old stump</t>
  </si>
  <si>
    <t>Downed log</t>
  </si>
  <si>
    <t>dbh 101.7</t>
  </si>
  <si>
    <t>Plantation</t>
  </si>
  <si>
    <t>PIPO plantation</t>
  </si>
  <si>
    <t>&gt;1000 cones</t>
  </si>
  <si>
    <t>connected to base of tree 3</t>
  </si>
  <si>
    <t>CONU</t>
  </si>
  <si>
    <t>sprouting from base</t>
  </si>
  <si>
    <t>DBH = circumfrence</t>
  </si>
  <si>
    <t>DBH estimate</t>
  </si>
  <si>
    <t xml:space="preserve">DBH estimate </t>
  </si>
  <si>
    <t>NONE</t>
  </si>
  <si>
    <t>monarch, so DBH = circumference</t>
  </si>
  <si>
    <t>estimateDBH</t>
  </si>
  <si>
    <t>basal resprouting</t>
  </si>
  <si>
    <t>note illegible</t>
  </si>
  <si>
    <t>resprouting</t>
  </si>
  <si>
    <t>QUCH</t>
  </si>
  <si>
    <t>downed</t>
  </si>
  <si>
    <t>&gt;1000</t>
  </si>
  <si>
    <t>DBH = circ, health = cone class</t>
  </si>
  <si>
    <t>resprouting from bole</t>
  </si>
  <si>
    <t xml:space="preserve">top half fallen with needles </t>
  </si>
  <si>
    <t>shares bole with tree #16</t>
  </si>
  <si>
    <t>sprouting from bole</t>
  </si>
  <si>
    <t>resprouts at the bole</t>
  </si>
  <si>
    <t>estimate DBH</t>
  </si>
  <si>
    <t>sprouting brom bole</t>
  </si>
  <si>
    <t>cut stump, estimated DBH</t>
  </si>
  <si>
    <t>estimated DBH (missing lots of bark)</t>
  </si>
  <si>
    <t>none</t>
  </si>
  <si>
    <t>epic sprouting</t>
  </si>
  <si>
    <t>some fading</t>
  </si>
  <si>
    <t>B,M</t>
  </si>
  <si>
    <t>some fading; epic sprouting</t>
  </si>
  <si>
    <t>F,B</t>
  </si>
  <si>
    <t>fading in canopy</t>
  </si>
  <si>
    <t>trace fading</t>
  </si>
  <si>
    <t>fading</t>
  </si>
  <si>
    <t>B,F</t>
  </si>
  <si>
    <t>green powdery fungus</t>
  </si>
  <si>
    <t>no signs of scorch/torch</t>
  </si>
  <si>
    <t>health = cones</t>
  </si>
  <si>
    <t>resprouts from bole</t>
  </si>
  <si>
    <t>11 and 12 shared a bole but split below DBH</t>
  </si>
  <si>
    <t>splits slightly above DBH</t>
  </si>
  <si>
    <t>30 and 31 share a bole</t>
  </si>
  <si>
    <t>splits below DBH in to another</t>
  </si>
  <si>
    <t>fading 5%</t>
  </si>
  <si>
    <t>SALA</t>
  </si>
  <si>
    <t>fading needles</t>
  </si>
  <si>
    <t>estimted DBH</t>
  </si>
  <si>
    <t>PREM</t>
  </si>
  <si>
    <t>ABMA</t>
  </si>
  <si>
    <t>resprouts from base</t>
  </si>
  <si>
    <t>resprouting from base</t>
  </si>
  <si>
    <t>partially fallen</t>
  </si>
  <si>
    <t>broken off just above DBH</t>
  </si>
  <si>
    <t>log with needles next to stump</t>
  </si>
  <si>
    <t>sprouts from bole</t>
  </si>
  <si>
    <t>marked in blue paint</t>
  </si>
  <si>
    <t>Monarch.No</t>
  </si>
  <si>
    <t>TopoPos</t>
  </si>
  <si>
    <t>%LiveCrwn</t>
  </si>
  <si>
    <t>%DeadCrwn</t>
  </si>
  <si>
    <t>%FadCrwn</t>
  </si>
  <si>
    <t>EpicSpr</t>
  </si>
  <si>
    <t>Beetles</t>
  </si>
  <si>
    <t>Photo</t>
  </si>
  <si>
    <t>ConeClass</t>
  </si>
  <si>
    <t>ScortchHt</t>
  </si>
  <si>
    <t>TorchHt</t>
  </si>
  <si>
    <t>CatFace</t>
  </si>
  <si>
    <t>FuelModel</t>
  </si>
  <si>
    <t>DistPlotCntr.m</t>
  </si>
  <si>
    <t>C001</t>
  </si>
  <si>
    <t>U</t>
  </si>
  <si>
    <t>Downed tree (log)</t>
  </si>
  <si>
    <t>C002</t>
  </si>
  <si>
    <t>Javad @ 15 m 293 degrees</t>
  </si>
  <si>
    <t>C003</t>
  </si>
  <si>
    <t>C004</t>
  </si>
  <si>
    <t>Javad @ 15 m 30 degrees</t>
  </si>
  <si>
    <t>C005</t>
  </si>
  <si>
    <t>GS1</t>
  </si>
  <si>
    <t>Javad @ 15 m 152 degrees</t>
  </si>
  <si>
    <t>C006</t>
  </si>
  <si>
    <t>C007</t>
  </si>
  <si>
    <t>C008</t>
  </si>
  <si>
    <t>C009</t>
  </si>
  <si>
    <t>Offset 13 degrees</t>
  </si>
  <si>
    <t>C010</t>
  </si>
  <si>
    <t>Offset 193 degrees, small beetle holes</t>
  </si>
  <si>
    <t>C011</t>
  </si>
  <si>
    <t>Offset335 degrees</t>
  </si>
  <si>
    <t>C012</t>
  </si>
  <si>
    <t>C013</t>
  </si>
  <si>
    <t>LM022</t>
  </si>
  <si>
    <t>no fading but sparsely distributed clumps of dead needles (not too severe) thorugh the whole canopy; some upper branches with needles were scorched bbut some lower hanging branches had green needles</t>
  </si>
  <si>
    <t>LM023</t>
  </si>
  <si>
    <t>LM024</t>
  </si>
  <si>
    <t>fading is localized to the lower part of the canopy</t>
  </si>
  <si>
    <t>LM025</t>
  </si>
  <si>
    <t>LM026</t>
  </si>
  <si>
    <t>scorched areas were located randonly throughout the tree, especially in the live canopy; difficult to differentiate between scorch vs torch at the top of the canopy</t>
  </si>
  <si>
    <t>LM027</t>
  </si>
  <si>
    <t xml:space="preserve"> lower hanging branches had green needles</t>
  </si>
  <si>
    <t>LM028</t>
  </si>
  <si>
    <t>LM029</t>
  </si>
  <si>
    <t>LM030</t>
  </si>
  <si>
    <t>LM031</t>
  </si>
  <si>
    <t>LM032</t>
  </si>
  <si>
    <t>LM033</t>
  </si>
  <si>
    <t>LM034</t>
  </si>
  <si>
    <t>LM035</t>
  </si>
  <si>
    <t>LM036</t>
  </si>
  <si>
    <t>small clumps (only noticable with binoculars) of dead needles dispersed throughout canopy (even at very top)</t>
  </si>
  <si>
    <t>LM037</t>
  </si>
  <si>
    <t>LM038</t>
  </si>
  <si>
    <t>LM039</t>
  </si>
  <si>
    <t>LM040</t>
  </si>
  <si>
    <t>LM041</t>
  </si>
  <si>
    <t>LM042</t>
  </si>
  <si>
    <t>Tree splits into 2 above DBH; assesed beetle infestation based on pin-sized holes in bark, tree looked healthy otherwise</t>
  </si>
  <si>
    <t>LM008</t>
  </si>
  <si>
    <t>top gone, most likely from lightning (charring on top branches)</t>
  </si>
  <si>
    <t>LM009</t>
  </si>
  <si>
    <t>LM010</t>
  </si>
  <si>
    <t>TU2</t>
  </si>
  <si>
    <t>LM011</t>
  </si>
  <si>
    <t>TU3</t>
  </si>
  <si>
    <t>LM012</t>
  </si>
  <si>
    <t>TU4</t>
  </si>
  <si>
    <t>LM013</t>
  </si>
  <si>
    <t>LM014</t>
  </si>
  <si>
    <t>LM015</t>
  </si>
  <si>
    <t>LM016</t>
  </si>
  <si>
    <t>Javad @ 2.5 m 15 degrees</t>
  </si>
  <si>
    <t>LM017</t>
  </si>
  <si>
    <t>few borer holes/bark beetles</t>
  </si>
  <si>
    <t>LM018</t>
  </si>
  <si>
    <t>beetle holes on trunk but very healthy looking canopy-just some dead branches</t>
  </si>
  <si>
    <t>LM019</t>
  </si>
  <si>
    <t>LM020</t>
  </si>
  <si>
    <t>very few beetle holes on trunk bark; very few beetle holes on trunk bark</t>
  </si>
  <si>
    <t>LM021</t>
  </si>
  <si>
    <t>LM001</t>
  </si>
  <si>
    <t>LM002</t>
  </si>
  <si>
    <t>LM003</t>
  </si>
  <si>
    <t>LM004</t>
  </si>
  <si>
    <t>has 2 SEGIs sprouting from base (both more 1(?) DBH)</t>
  </si>
  <si>
    <t>LM005</t>
  </si>
  <si>
    <t>LM006</t>
  </si>
  <si>
    <t>LM007</t>
  </si>
  <si>
    <t>DC001</t>
  </si>
  <si>
    <t>DC002</t>
  </si>
  <si>
    <t>DC003</t>
  </si>
  <si>
    <t>DC004</t>
  </si>
  <si>
    <t>split above DBH</t>
  </si>
  <si>
    <t>DC005</t>
  </si>
  <si>
    <t>DC006</t>
  </si>
  <si>
    <t>DC007</t>
  </si>
  <si>
    <t>TL1 but the … nearby (illegible)</t>
  </si>
  <si>
    <t>DC0AC</t>
  </si>
  <si>
    <t>DC0AD</t>
  </si>
  <si>
    <t>DC0AE</t>
  </si>
  <si>
    <t>DC0AF</t>
  </si>
  <si>
    <t>DC0AG</t>
  </si>
  <si>
    <t>splits into two above DBH</t>
  </si>
  <si>
    <t>DC0AH</t>
  </si>
  <si>
    <t>DC0AI</t>
  </si>
  <si>
    <t>DC00V</t>
  </si>
  <si>
    <t>DC00W</t>
  </si>
  <si>
    <t>DC00X</t>
  </si>
  <si>
    <t>DC00Y</t>
  </si>
  <si>
    <t>DC00Z</t>
  </si>
  <si>
    <t>SEGI included in overstory (WT 760)</t>
  </si>
  <si>
    <t>DC0AA</t>
  </si>
  <si>
    <t>SEGI included in overstory (WT 759)</t>
  </si>
  <si>
    <t>DC0AB</t>
  </si>
  <si>
    <t>DC015</t>
  </si>
  <si>
    <t>offset 46 degrees</t>
  </si>
  <si>
    <t>DC016</t>
  </si>
  <si>
    <t>offset 349 degrees</t>
  </si>
  <si>
    <t>DC017</t>
  </si>
  <si>
    <t>offset 318 degrees</t>
  </si>
  <si>
    <t>DC018</t>
  </si>
  <si>
    <t>offset 329 degrees</t>
  </si>
  <si>
    <t>DC019</t>
  </si>
  <si>
    <t>offset 321 degrees</t>
  </si>
  <si>
    <t>DC020</t>
  </si>
  <si>
    <t>offset 36 degrees</t>
  </si>
  <si>
    <t>DC021</t>
  </si>
  <si>
    <t>offset 335 degrees; top of tree has some scorch</t>
  </si>
  <si>
    <t>DC008</t>
  </si>
  <si>
    <t>JAVAD offset 90 degrees; (second note is illegible)</t>
  </si>
  <si>
    <t>DC009</t>
  </si>
  <si>
    <t>DC010</t>
  </si>
  <si>
    <t>DC011</t>
  </si>
  <si>
    <t>DC012</t>
  </si>
  <si>
    <t>DC013</t>
  </si>
  <si>
    <t>broken off top</t>
  </si>
  <si>
    <t>DC014</t>
  </si>
  <si>
    <t>DC00A</t>
  </si>
  <si>
    <t>DC00B</t>
  </si>
  <si>
    <t>DC00C</t>
  </si>
  <si>
    <t>snag, probably fell a long time ago because there was no trace of the rest of the tree (snag condition 5)</t>
  </si>
  <si>
    <t>DC00D</t>
  </si>
  <si>
    <t>DC00E</t>
  </si>
  <si>
    <t>scorch and torch reached all the way to the top of the canopy</t>
  </si>
  <si>
    <t>DC00F</t>
  </si>
  <si>
    <t>DC00G</t>
  </si>
  <si>
    <t>DC00H</t>
  </si>
  <si>
    <t>TL2</t>
  </si>
  <si>
    <t>DC00J</t>
  </si>
  <si>
    <t>DC00K</t>
  </si>
  <si>
    <t>DC00L</t>
  </si>
  <si>
    <t>TL5</t>
  </si>
  <si>
    <t>DC00M</t>
  </si>
  <si>
    <t>DC00N</t>
  </si>
  <si>
    <t>DC00O</t>
  </si>
  <si>
    <t>DC00P</t>
  </si>
  <si>
    <t>DC00Q</t>
  </si>
  <si>
    <t>DC00R</t>
  </si>
  <si>
    <t>JAVAD offset 7 degrees</t>
  </si>
  <si>
    <t>DC00S</t>
  </si>
  <si>
    <t>DC00T</t>
  </si>
  <si>
    <t>DC00U</t>
  </si>
  <si>
    <t>one photo for DC008, DC009, DC010</t>
  </si>
  <si>
    <t>downed SEGI, cannot get cone class and AFHTLC, circ = diameter estimate</t>
  </si>
  <si>
    <t>top blown off, don't know cone class</t>
  </si>
  <si>
    <t>falled sequoia, downed before fire</t>
  </si>
  <si>
    <t>P036</t>
  </si>
  <si>
    <t>SB3</t>
  </si>
  <si>
    <t>upper part of main trunk blown off, top broke off and fell post-fire, main trunk was hollow; scorch and torch were probably higher before top fell off</t>
  </si>
  <si>
    <t>P037</t>
  </si>
  <si>
    <t>P038</t>
  </si>
  <si>
    <t>P039</t>
  </si>
  <si>
    <t>P040</t>
  </si>
  <si>
    <t>P041</t>
  </si>
  <si>
    <t>P042</t>
  </si>
  <si>
    <t>P001</t>
  </si>
  <si>
    <t>P002</t>
  </si>
  <si>
    <t>P003</t>
  </si>
  <si>
    <t>missing top/leader</t>
  </si>
  <si>
    <t>P004</t>
  </si>
  <si>
    <t>downed sequoia, likely before fire, no branches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</si>
  <si>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</si>
  <si>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</si>
  <si>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</si>
  <si>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</si>
  <si>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</si>
  <si>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</si>
  <si>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</si>
  <si>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</si>
  <si>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</si>
  <si>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</si>
  <si>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top blown off</t>
  </si>
  <si>
    <t>P00A</t>
  </si>
  <si>
    <t>P00B</t>
  </si>
  <si>
    <t>missing top of crown, many seedlings underneath</t>
  </si>
  <si>
    <t>P00C</t>
  </si>
  <si>
    <t>P00D</t>
  </si>
  <si>
    <t>one photo for P00A-E</t>
  </si>
  <si>
    <t>P00E</t>
  </si>
  <si>
    <t>P00F</t>
  </si>
  <si>
    <t>P00G</t>
  </si>
  <si>
    <t>P015</t>
  </si>
  <si>
    <t>abnormally small cones</t>
  </si>
  <si>
    <t>P016</t>
  </si>
  <si>
    <t>P017</t>
  </si>
  <si>
    <t>P018</t>
  </si>
  <si>
    <t>P019</t>
  </si>
  <si>
    <t>fallen sequoia</t>
  </si>
  <si>
    <t>P020</t>
  </si>
  <si>
    <t>missing large part of top, down before fire</t>
  </si>
  <si>
    <t>P021</t>
  </si>
  <si>
    <t>P022</t>
  </si>
  <si>
    <t>P023</t>
  </si>
  <si>
    <t>P024</t>
  </si>
  <si>
    <t>aggressive lean</t>
  </si>
  <si>
    <t>P025</t>
  </si>
  <si>
    <t xml:space="preserve">dead fine branches within canopy </t>
  </si>
  <si>
    <t>P026</t>
  </si>
  <si>
    <t>P027</t>
  </si>
  <si>
    <t>P028</t>
  </si>
  <si>
    <t>Offset 84 degrees east</t>
  </si>
  <si>
    <t>P029</t>
  </si>
  <si>
    <t>no branches left on trunk; fallen tree, fell before fire</t>
  </si>
  <si>
    <t>P030</t>
  </si>
  <si>
    <t>P031</t>
  </si>
  <si>
    <t>P032</t>
  </si>
  <si>
    <t>split into 4 tunks above DBH</t>
  </si>
  <si>
    <t>P033</t>
  </si>
  <si>
    <t>P034</t>
  </si>
  <si>
    <t>P035</t>
  </si>
  <si>
    <t>P00H</t>
  </si>
  <si>
    <t>P00I</t>
  </si>
  <si>
    <t>JAVAD offset by 44 degrees</t>
  </si>
  <si>
    <t>P00J</t>
  </si>
  <si>
    <t>WT 646</t>
  </si>
  <si>
    <t>P00K</t>
  </si>
  <si>
    <t>trees P00K-N in the same photo</t>
  </si>
  <si>
    <t>P00L</t>
  </si>
  <si>
    <t>P00M</t>
  </si>
  <si>
    <t>P00N</t>
  </si>
  <si>
    <t>P0AJ</t>
  </si>
  <si>
    <t>seedling mats at base (SEGI)</t>
  </si>
  <si>
    <t>P0AK</t>
  </si>
  <si>
    <t>P0AL</t>
  </si>
  <si>
    <t>P0AM</t>
  </si>
  <si>
    <t>P0AN</t>
  </si>
  <si>
    <t>P0AO</t>
  </si>
  <si>
    <t>top fallen off</t>
  </si>
  <si>
    <t>P00O</t>
  </si>
  <si>
    <t>P00P</t>
  </si>
  <si>
    <t>P00Q</t>
  </si>
  <si>
    <t>JAVAD offset by 24 degrees</t>
  </si>
  <si>
    <t>P00R</t>
  </si>
  <si>
    <t>P00S</t>
  </si>
  <si>
    <t>lots of ants crawling on bole, tons of seedlings on north side</t>
  </si>
  <si>
    <t>P00T</t>
  </si>
  <si>
    <t>same photo for P00S and P00T</t>
  </si>
  <si>
    <t>P00U</t>
  </si>
  <si>
    <t>P00V</t>
  </si>
  <si>
    <t>P00W</t>
  </si>
  <si>
    <t>P00X</t>
  </si>
  <si>
    <t>P00Y</t>
  </si>
  <si>
    <t>P00Z</t>
  </si>
  <si>
    <t>WT 650</t>
  </si>
  <si>
    <t>P0AA</t>
  </si>
  <si>
    <t>one photo for P0AA and P0AB</t>
  </si>
  <si>
    <t>P0AB</t>
  </si>
  <si>
    <t>P0AC</t>
  </si>
  <si>
    <t>mats of seedlings at base at water source (SEGI)</t>
  </si>
  <si>
    <t>P0AD</t>
  </si>
  <si>
    <t>P0AE</t>
  </si>
  <si>
    <t>lots of seedlings at base (SEGI)</t>
  </si>
  <si>
    <t>P0AF</t>
  </si>
  <si>
    <t>P0AG</t>
  </si>
  <si>
    <t>fallen uphill, dead before fire; circ = estimated diameter</t>
  </si>
  <si>
    <t>P0AH</t>
  </si>
  <si>
    <t>Mats of seedlings at base (SEGI)</t>
  </si>
  <si>
    <t>P0AI</t>
  </si>
  <si>
    <t>SC012</t>
  </si>
  <si>
    <t>cut stumps near base</t>
  </si>
  <si>
    <t>SC013</t>
  </si>
  <si>
    <t>SC014</t>
  </si>
  <si>
    <t>SC015</t>
  </si>
  <si>
    <t>SC016</t>
  </si>
  <si>
    <t>cut stumps arount tree, before and after fire</t>
  </si>
  <si>
    <t>SC017</t>
  </si>
  <si>
    <t>blown out bole (rest of note is illegible)</t>
  </si>
  <si>
    <t>SC018</t>
  </si>
  <si>
    <t>SC0H</t>
  </si>
  <si>
    <t>SC0I</t>
  </si>
  <si>
    <t>fallen, dead before fire</t>
  </si>
  <si>
    <t>S0J</t>
  </si>
  <si>
    <t>Offset 12 degrees; stump, dead before fire</t>
  </si>
  <si>
    <t>SC0K</t>
  </si>
  <si>
    <t>Offset 319 degrees</t>
  </si>
  <si>
    <t>SC0L</t>
  </si>
  <si>
    <t>SC0A</t>
  </si>
  <si>
    <t>SC0B</t>
  </si>
  <si>
    <t>SC0C</t>
  </si>
  <si>
    <t>no branches left to determine PF-HTCL; likely dead before fire, no organic matter around except one ~1m diameter SEGI log</t>
  </si>
  <si>
    <t>SC0D</t>
  </si>
  <si>
    <t>little bit of litter present as well as understory vegetation</t>
  </si>
  <si>
    <t>SC0E</t>
  </si>
  <si>
    <t>top is missing</t>
  </si>
  <si>
    <t>SC0F</t>
  </si>
  <si>
    <t>SC0G</t>
  </si>
  <si>
    <t>all of these trees were entirely torches so cone class accounts for all the cones we saw on the trees, not considering viability</t>
  </si>
  <si>
    <t>SC007</t>
  </si>
  <si>
    <t>accounted for cones on tree, not for viability</t>
  </si>
  <si>
    <t>SC001</t>
  </si>
  <si>
    <t>SC002</t>
  </si>
  <si>
    <t>also a moderate number of coarse woody fuels of various diameters</t>
  </si>
  <si>
    <t>SC003</t>
  </si>
  <si>
    <t>SC004</t>
  </si>
  <si>
    <t>SC005</t>
  </si>
  <si>
    <t>Offset JAVAD by 35 degrees</t>
  </si>
  <si>
    <t>SC006</t>
  </si>
  <si>
    <t>SC008</t>
  </si>
  <si>
    <t>SC009</t>
  </si>
  <si>
    <t>SC010</t>
  </si>
  <si>
    <t>Offset 1 m N</t>
  </si>
  <si>
    <t>SC011</t>
  </si>
  <si>
    <t>Offset 4 m N</t>
  </si>
  <si>
    <t>PE00A</t>
  </si>
  <si>
    <t>PE00B</t>
  </si>
  <si>
    <t>PE00C</t>
  </si>
  <si>
    <t>PE00D</t>
  </si>
  <si>
    <t>PE00E</t>
  </si>
  <si>
    <t>PE00F</t>
  </si>
  <si>
    <t>PE00G</t>
  </si>
  <si>
    <t>PE00H</t>
  </si>
  <si>
    <t>PE00I</t>
  </si>
  <si>
    <t>PE00J</t>
  </si>
  <si>
    <t>PE00K</t>
  </si>
  <si>
    <t>PE00M</t>
  </si>
  <si>
    <t>PE00N</t>
  </si>
  <si>
    <t>PE00L</t>
  </si>
  <si>
    <t>JAVAD Offset 298 degrees</t>
  </si>
  <si>
    <t>PE015</t>
  </si>
  <si>
    <t>PE016</t>
  </si>
  <si>
    <t>PE017</t>
  </si>
  <si>
    <t>PE018</t>
  </si>
  <si>
    <t>PE019</t>
  </si>
  <si>
    <t>PE020</t>
  </si>
  <si>
    <t>PE021</t>
  </si>
  <si>
    <t>PE008</t>
  </si>
  <si>
    <t>59.9; JAVAD Offset 80 degrees</t>
  </si>
  <si>
    <t>PE009</t>
  </si>
  <si>
    <t>PE010</t>
  </si>
  <si>
    <t>55.3; JAVAD Offset 90 degrees</t>
  </si>
  <si>
    <t>PE011</t>
  </si>
  <si>
    <t>PE012</t>
  </si>
  <si>
    <t>PE013</t>
  </si>
  <si>
    <t>PE014</t>
  </si>
  <si>
    <t>Offset JAVAD by 270 degrees</t>
  </si>
  <si>
    <t>Offset JAVAD by 90 degrees</t>
  </si>
  <si>
    <t>PE022</t>
  </si>
  <si>
    <t>PE023</t>
  </si>
  <si>
    <t>PE024</t>
  </si>
  <si>
    <t>very top bloom off</t>
  </si>
  <si>
    <t>PE00O</t>
  </si>
  <si>
    <t>PE00P</t>
  </si>
  <si>
    <t>PE00Q</t>
  </si>
  <si>
    <t>PE00R</t>
  </si>
  <si>
    <t>PE00S</t>
  </si>
  <si>
    <t>JAVAD Offset 223 degrees</t>
  </si>
  <si>
    <t>PE00T</t>
  </si>
  <si>
    <t>JAVAD Offset 193 degrees</t>
  </si>
  <si>
    <t>PE00U</t>
  </si>
  <si>
    <t>just one small beetle hole; JAVAD Offset 107 degrees</t>
  </si>
  <si>
    <t>PE00V</t>
  </si>
  <si>
    <t>PE00W</t>
  </si>
  <si>
    <t>PE00X</t>
  </si>
  <si>
    <t>PE00Y</t>
  </si>
  <si>
    <t>JAVAD Offset 286 degrees</t>
  </si>
  <si>
    <t>PE00Z</t>
  </si>
  <si>
    <t>JAVAD Offset 13 degrees</t>
  </si>
  <si>
    <t>PE00AB</t>
  </si>
  <si>
    <t>JAVAD Offset 19 degrees; &lt; 10 m from creek</t>
  </si>
  <si>
    <t>&lt; 5 m from creek</t>
  </si>
  <si>
    <t>RED050</t>
  </si>
  <si>
    <t>may have fungus near base; pics from (the rest of the note is illegible)</t>
  </si>
  <si>
    <t>RED051</t>
  </si>
  <si>
    <t>RED052</t>
  </si>
  <si>
    <t>RED053</t>
  </si>
  <si>
    <t>JAVAD Offset to 54 degrees</t>
  </si>
  <si>
    <t>RED054</t>
  </si>
  <si>
    <t>RED055</t>
  </si>
  <si>
    <t>JAVAD Offset to 294 degrees; pair of spotted owl resting in canopy</t>
  </si>
  <si>
    <t>RED056</t>
  </si>
  <si>
    <t>some fungus</t>
  </si>
  <si>
    <t>RED043</t>
  </si>
  <si>
    <t>RED044</t>
  </si>
  <si>
    <t>RED045</t>
  </si>
  <si>
    <t>RED046</t>
  </si>
  <si>
    <t>Splits into 2 boles above DBH</t>
  </si>
  <si>
    <t>RED047</t>
  </si>
  <si>
    <t>only one small beetle hole found; double checked from 2 sides and underneeth, some seedlings near base, but very few cones (some of the note is illegible)</t>
  </si>
  <si>
    <t>RED048</t>
  </si>
  <si>
    <t>JAVAD Offset to 52 degrees</t>
  </si>
  <si>
    <t>RED049</t>
  </si>
  <si>
    <t>RED057</t>
  </si>
  <si>
    <t>RED058</t>
  </si>
  <si>
    <t>RED059</t>
  </si>
  <si>
    <t>RED060</t>
  </si>
  <si>
    <t>RED061</t>
  </si>
  <si>
    <t>RED062</t>
  </si>
  <si>
    <t>RED063</t>
  </si>
  <si>
    <t>RED064</t>
  </si>
  <si>
    <t>RED065</t>
  </si>
  <si>
    <t>RED066</t>
  </si>
  <si>
    <t>top blown off; Offset to 238 degrees</t>
  </si>
  <si>
    <t>RED067</t>
  </si>
  <si>
    <t>Offset 33 degrees</t>
  </si>
  <si>
    <t>RED068</t>
  </si>
  <si>
    <t>Offset to 145 degrees</t>
  </si>
  <si>
    <t>RED069</t>
  </si>
  <si>
    <t>RED070</t>
  </si>
  <si>
    <t>RED008</t>
  </si>
  <si>
    <t>JAVAD Offset 205 degrees</t>
  </si>
  <si>
    <t>RED009</t>
  </si>
  <si>
    <t>countless seedlings aroung base (&gt;10,000 w/m 20m)</t>
  </si>
  <si>
    <t>RED010</t>
  </si>
  <si>
    <t>JAVAD Offset 273 degrees; 1000s of seedlings around base</t>
  </si>
  <si>
    <t>RED011</t>
  </si>
  <si>
    <t>JAVAD Offset 137 degrees</t>
  </si>
  <si>
    <t>RED012</t>
  </si>
  <si>
    <t>RED013</t>
  </si>
  <si>
    <t>JAVAD Offset 152 degrees</t>
  </si>
  <si>
    <t>RED014</t>
  </si>
  <si>
    <t>JAVAD Offset 254 degrees</t>
  </si>
  <si>
    <t>RED001</t>
  </si>
  <si>
    <t>JAVAD Offset 279 degrees</t>
  </si>
  <si>
    <t>RED002</t>
  </si>
  <si>
    <t>JAVAD Offset 285 degrees</t>
  </si>
  <si>
    <t>RED003</t>
  </si>
  <si>
    <t>JAVAD Offset 171 degrees</t>
  </si>
  <si>
    <t>RED004</t>
  </si>
  <si>
    <t>JAVAD Offset 255 degrees</t>
  </si>
  <si>
    <t>RED005</t>
  </si>
  <si>
    <t>JAVAD Offset 308 degrees; 1000s of seedlings by base (005, 006, 007)</t>
  </si>
  <si>
    <t>RED006</t>
  </si>
  <si>
    <t>JAVAD Offset 57 degrees; (rest of note is illegible)</t>
  </si>
  <si>
    <t>RED007</t>
  </si>
  <si>
    <t>JAVAD Offset 239 degrees; sorry for bad photo-no good angles, it's the large sequoia straight behind the small one in foreground</t>
  </si>
  <si>
    <t>RED015</t>
  </si>
  <si>
    <t>RED016</t>
  </si>
  <si>
    <t>RED017</t>
  </si>
  <si>
    <t>RED018</t>
  </si>
  <si>
    <t>RED019</t>
  </si>
  <si>
    <t>RED020</t>
  </si>
  <si>
    <t>RED021</t>
  </si>
  <si>
    <t>Canopy blown off</t>
  </si>
  <si>
    <t>RED071</t>
  </si>
  <si>
    <t>RED072</t>
  </si>
  <si>
    <t>RED073</t>
  </si>
  <si>
    <t>RED074</t>
  </si>
  <si>
    <t>RED075</t>
  </si>
  <si>
    <t>RED076</t>
  </si>
  <si>
    <t>splits into 2 above DBH</t>
  </si>
  <si>
    <t>RED077</t>
  </si>
  <si>
    <t>RED078</t>
  </si>
  <si>
    <t>RED079</t>
  </si>
  <si>
    <t>RED080</t>
  </si>
  <si>
    <t>RED081</t>
  </si>
  <si>
    <t>RED082</t>
  </si>
  <si>
    <t>RED083</t>
  </si>
  <si>
    <t>RED084</t>
  </si>
  <si>
    <t>RED029</t>
  </si>
  <si>
    <t>RED030</t>
  </si>
  <si>
    <t>RED031</t>
  </si>
  <si>
    <t>RED032</t>
  </si>
  <si>
    <t>fallen after fire, shattered bole in plot</t>
  </si>
  <si>
    <t>RED033</t>
  </si>
  <si>
    <t>RED034</t>
  </si>
  <si>
    <t>top blown off after fire</t>
  </si>
  <si>
    <t>RED035</t>
  </si>
  <si>
    <t>RED085</t>
  </si>
  <si>
    <t>top struck by lightning</t>
  </si>
  <si>
    <t>RED086</t>
  </si>
  <si>
    <t>60cm ABMA log resting against base</t>
  </si>
  <si>
    <t>RED087</t>
  </si>
  <si>
    <t>RED088</t>
  </si>
  <si>
    <t>RED089</t>
  </si>
  <si>
    <t>RED090</t>
  </si>
  <si>
    <t>RED091</t>
  </si>
  <si>
    <t>RED092</t>
  </si>
  <si>
    <t>RED093</t>
  </si>
  <si>
    <t>in photo, 043 is in center (note illegible)</t>
  </si>
  <si>
    <t>RED094</t>
  </si>
  <si>
    <t>(note illegible)</t>
  </si>
  <si>
    <t>RED095</t>
  </si>
  <si>
    <t>bigger cones than average (note illegible)</t>
  </si>
  <si>
    <t>RED096</t>
  </si>
  <si>
    <t>RED097</t>
  </si>
  <si>
    <t>RED098</t>
  </si>
  <si>
    <t>RED036</t>
  </si>
  <si>
    <t>JAVAD Offset to 318 degrees</t>
  </si>
  <si>
    <t>RED037</t>
  </si>
  <si>
    <t>RED038</t>
  </si>
  <si>
    <t>RED039</t>
  </si>
  <si>
    <t>RED040</t>
  </si>
  <si>
    <t>JAVAD Offset to 217 degrees</t>
  </si>
  <si>
    <t>RED041</t>
  </si>
  <si>
    <t>RED042</t>
  </si>
  <si>
    <t>RED022</t>
  </si>
  <si>
    <t>RED023</t>
  </si>
  <si>
    <t>RED024</t>
  </si>
  <si>
    <t>RED025</t>
  </si>
  <si>
    <t>JAVAD Offset 256 degrees</t>
  </si>
  <si>
    <t>RED026</t>
  </si>
  <si>
    <t>RED027</t>
  </si>
  <si>
    <t>RED028</t>
  </si>
  <si>
    <t>Litter4</t>
  </si>
  <si>
    <t>Litter8</t>
  </si>
  <si>
    <t>Litter12</t>
  </si>
  <si>
    <t>Duff4</t>
  </si>
  <si>
    <t>Duff8</t>
  </si>
  <si>
    <t>Duff12</t>
  </si>
  <si>
    <t>Fuel4</t>
  </si>
  <si>
    <t>Fuel8</t>
  </si>
  <si>
    <t>Fuel12</t>
  </si>
  <si>
    <t>LitterAvg</t>
  </si>
  <si>
    <t>DuffAvg</t>
  </si>
  <si>
    <t>1Hr</t>
  </si>
  <si>
    <t>10Hr</t>
  </si>
  <si>
    <t>100Hr</t>
  </si>
  <si>
    <t>N</t>
  </si>
  <si>
    <t>E</t>
  </si>
  <si>
    <t>W</t>
  </si>
  <si>
    <t>Plot</t>
  </si>
  <si>
    <t>S/R</t>
  </si>
  <si>
    <t>No CWD</t>
  </si>
  <si>
    <t>R</t>
  </si>
  <si>
    <t>Diameter in cm</t>
  </si>
  <si>
    <t>12m -&gt; little creek, no litte only fuel</t>
  </si>
  <si>
    <t>Javad:Time: 11:36;  East 0356492; North: 3977254; Elev: 1917</t>
  </si>
  <si>
    <t>No CWD; Javad:Time: 3:07;  East 0356483; North: 3976856; Elev: 2004</t>
  </si>
  <si>
    <t>No CWD; Javad:Time: 8:51;  East 0356940; North: 3976848; Elev: 1991</t>
  </si>
  <si>
    <t>No CWD; Javad:Time: 10:32;  East 0356500; North: 3977069; Elev: 1943</t>
  </si>
  <si>
    <t>No CWD; cannot read notes</t>
  </si>
  <si>
    <t>No CWD; rock along trans…(unable to read) @ 12m Litter/Duff/FBM measurement</t>
  </si>
  <si>
    <t>No CWD; stump along trans…(unable to read) @8m Litter/Duff/FBM measurement</t>
  </si>
  <si>
    <t>Diameter type: D = DBH on tree, C = cut stump; S = snag diamter where DBH was not possible</t>
  </si>
  <si>
    <t>Cone classes: 0: 0 cones, 1: 1 – 100, 2: 101 – 500, 3: 501 – 1000, and 4: &gt;1000</t>
  </si>
  <si>
    <t>SEGIsdlgsPerHa.Small</t>
  </si>
  <si>
    <t>SEGIsdlgsPerHa.Large</t>
  </si>
  <si>
    <t>SEGIsdlgsPerHa.Lg</t>
  </si>
  <si>
    <t>SEGIsdlgsPerHa.Sm</t>
  </si>
  <si>
    <t>FireSev.RAVG</t>
  </si>
  <si>
    <t>FS.RAVG.4class</t>
  </si>
  <si>
    <t>DBH recorded as "9.1(C )"</t>
  </si>
  <si>
    <t>DBH recorded as "10.8(C )"</t>
  </si>
  <si>
    <t>DBH recorded as "12.0 (c )"</t>
  </si>
  <si>
    <t>%PineSdls</t>
  </si>
  <si>
    <t>Plot coordinates extracted from geodatabase not field estimated</t>
  </si>
  <si>
    <t>SEGI seedlings exceeded 1000 count in small plot, so minimal value was used; Northing may actually be 3982829 (10 m to the north)</t>
  </si>
  <si>
    <t>RdNBR</t>
  </si>
  <si>
    <t>Recorded coordinates erroneous; corrected coordinates entered which may be incorrect</t>
  </si>
  <si>
    <t>Northing moved 1000 m south due to likely error in field recording</t>
  </si>
  <si>
    <t>Northing moved 1000 m south due to likely error in field recording; # of cones includes those in scorched areas of canopy; there was also an epicormic sprout but probably from a previous fire because it was scorched</t>
  </si>
  <si>
    <t>Northing moved 1000 m south due to likely error in field recording; random clumps of dead needles high up in the canopy and some dead branches (mainly identified the presence to beetles due to holes on fallen SEGI branches directly below tree)</t>
  </si>
  <si>
    <t>Northing moved 200 south because of assumed field data entry error; no scaffold branches, top blon off; green needles on right side of photo</t>
  </si>
  <si>
    <t>Long Meadow Plots 16 and 17 - Tree Data Missing</t>
  </si>
  <si>
    <t>Tree data for Long Meadow Plot 13 is missing</t>
  </si>
  <si>
    <t>Tree Data Missing for Plot; Notes indecipherable on data sheet</t>
  </si>
  <si>
    <t>Tree Data Missing for plot; Offset plot (rest is unreadable on data sheet)</t>
  </si>
  <si>
    <t>Tree Data Missing for plot</t>
  </si>
  <si>
    <t>Offset 355 degrees (Javad only); plot Northing assumed to be 30 m south from recorded location (need to confirm in field)</t>
  </si>
  <si>
    <t>Moved center 10 m west? From center point; Northing assumed to be 20 m south from recorded location (need to confirm in field)</t>
  </si>
  <si>
    <t>Plot Easting is offset 98 m to the east due to cliff (noted as 69 m offset to the east in the field data sheet)</t>
  </si>
  <si>
    <t>Plot offset 300 m to the east within grove boundary but not recorded on field data sheet</t>
  </si>
  <si>
    <t>PE00AA</t>
  </si>
  <si>
    <t>JAVAD Offset 122 degrees; coordinates almost illegible on field data sheet</t>
  </si>
  <si>
    <t>Easting could be 354859 or other coordinate</t>
  </si>
  <si>
    <t>RAVG Fire Severity Classes (RdNBR range): (1) Unchanged (&lt;69), (2) Low (69-316), (3) Moderate (316-640), (4) High (&gt;640)</t>
  </si>
  <si>
    <t>No?</t>
  </si>
  <si>
    <t>Height.m</t>
  </si>
  <si>
    <t>Sev.Field</t>
  </si>
  <si>
    <t>Diameter.cm.Intersect</t>
  </si>
  <si>
    <t>RdNBR_RAVG</t>
  </si>
  <si>
    <t>LitterDpt.cm</t>
  </si>
  <si>
    <t>DuffDpt.cm</t>
  </si>
  <si>
    <t>FuelDpt.cm</t>
  </si>
  <si>
    <t>RegenPlotSize.Ha</t>
  </si>
  <si>
    <t>FuelMdl.Postfire</t>
  </si>
  <si>
    <t>Notes:</t>
  </si>
  <si>
    <t>Status - Refers to status of tree, with 0 = dead and 1 = live</t>
  </si>
  <si>
    <t>Moved plot 5 m south in the field; Northing assumed to be 20 m north of recorded location (need to confirm in the field)</t>
  </si>
  <si>
    <t>Easting assumed to be 20 m to the east from recorded location (need to confirm in the field)</t>
  </si>
  <si>
    <t>Cells highlights: Yellow = one or more numbers in the hard copy data sheet was difficult to read and may be incorrect (and adjusted); Orange = coordinates were not recorded on hard copy data sheet, so the location was assumed to be identical to the geodatabase coordinates (i.e., not field-derived)</t>
  </si>
  <si>
    <t>Assumed to be DC00Z monarch SEGI for purposes of estimating DBH</t>
  </si>
  <si>
    <t>Assumed to be DC0AA monarch SEGI for purposes of estimating DBH</t>
  </si>
  <si>
    <t>%Hdw.BA</t>
  </si>
  <si>
    <t>Assumed to be monarch PE00C for purposes of dbh estimation (near plot center)</t>
  </si>
  <si>
    <t>Assumed to be monarch PE00K for purposes of dbh estimation (near plot center)</t>
  </si>
  <si>
    <t>Several trees in Redhill plot 6 were erroneously identified as ABMA and changed to ABCO</t>
  </si>
  <si>
    <t>SeverityClassBAloss</t>
  </si>
  <si>
    <t>LM050</t>
  </si>
  <si>
    <t>LM051</t>
  </si>
  <si>
    <t>LM052</t>
  </si>
  <si>
    <t>LM068</t>
  </si>
  <si>
    <t>LM067</t>
  </si>
  <si>
    <t>LM069</t>
  </si>
  <si>
    <t>LM070</t>
  </si>
  <si>
    <t>Offset by 28 degrees</t>
  </si>
  <si>
    <t>Offset by 90 degress</t>
  </si>
  <si>
    <t>Offset by 10 degrees</t>
  </si>
  <si>
    <t>LM071</t>
  </si>
  <si>
    <t>LM072</t>
  </si>
  <si>
    <t>LM073</t>
  </si>
  <si>
    <t>LM074</t>
  </si>
  <si>
    <t>LM075</t>
  </si>
  <si>
    <t>LM076</t>
  </si>
  <si>
    <t>LM077</t>
  </si>
  <si>
    <t>LM043</t>
  </si>
  <si>
    <t>LM044</t>
  </si>
  <si>
    <t>LM078</t>
  </si>
  <si>
    <t>LM079</t>
  </si>
  <si>
    <t>LM080</t>
  </si>
  <si>
    <t>LM0XXa</t>
  </si>
  <si>
    <t>LM0XXb</t>
  </si>
  <si>
    <t>c</t>
  </si>
  <si>
    <t>LM143</t>
  </si>
  <si>
    <t>LM144</t>
  </si>
  <si>
    <t>LM145</t>
  </si>
  <si>
    <t>LM146</t>
  </si>
  <si>
    <t>LM147</t>
  </si>
  <si>
    <t>LM148</t>
  </si>
  <si>
    <t>Has a broken top likely due to lightning strike</t>
  </si>
  <si>
    <t>LM115</t>
  </si>
  <si>
    <t>LM113</t>
  </si>
  <si>
    <t>LM116</t>
  </si>
  <si>
    <t>LM117</t>
  </si>
  <si>
    <t>LM118</t>
  </si>
  <si>
    <t>LM119</t>
  </si>
  <si>
    <t>LM120</t>
  </si>
  <si>
    <t>LM121</t>
  </si>
  <si>
    <t>Torch and scorch dispersed through tree canopy</t>
  </si>
  <si>
    <t>Two photos taken from two different angles</t>
  </si>
  <si>
    <t>Top struck by lightning, no spire (i.e., deadtop)</t>
  </si>
  <si>
    <t>LML</t>
  </si>
  <si>
    <t>LMM</t>
  </si>
  <si>
    <t>LMN</t>
  </si>
  <si>
    <t>LMO</t>
  </si>
  <si>
    <t>LMP</t>
  </si>
  <si>
    <t>LMQ</t>
  </si>
  <si>
    <t>LMR</t>
  </si>
  <si>
    <t>LM136</t>
  </si>
  <si>
    <t>LM137</t>
  </si>
  <si>
    <t>LM138</t>
  </si>
  <si>
    <t>LM139</t>
  </si>
  <si>
    <t>LM140</t>
  </si>
  <si>
    <t>LM141</t>
  </si>
  <si>
    <t>LM142</t>
  </si>
  <si>
    <t>LM108</t>
  </si>
  <si>
    <t>LM109</t>
  </si>
  <si>
    <t>LM110</t>
  </si>
  <si>
    <t>LM111</t>
  </si>
  <si>
    <t>LM112</t>
  </si>
  <si>
    <t>LM114</t>
  </si>
  <si>
    <t>Crown contains a few fading clumps of needles</t>
  </si>
  <si>
    <t>Offset 106 degrees</t>
  </si>
  <si>
    <t>Reduced dead crown % from 45 to 35% due to summed error of total crown; scorch mainly localized in top of canopy (top of torch appeared higher than top of scorch); heavy beetle infestation</t>
  </si>
  <si>
    <t>LM122</t>
  </si>
  <si>
    <t>LM123</t>
  </si>
  <si>
    <t>LM124</t>
  </si>
  <si>
    <t>LM125</t>
  </si>
  <si>
    <t>LM126</t>
  </si>
  <si>
    <t>LM127</t>
  </si>
  <si>
    <t>LM128</t>
  </si>
  <si>
    <t>Shares base of bole with LM127</t>
  </si>
  <si>
    <t>Shares base of bole with LM126</t>
  </si>
  <si>
    <t>Tree was codominant until top broke off; additional notes difficult to decipher</t>
  </si>
  <si>
    <t>Witness tree 606 (tree data for plot 16 is missing)</t>
  </si>
  <si>
    <t>Witness tree 607 (tree data for plot 16 is missing)</t>
  </si>
  <si>
    <t>Fading crown noted (tree circumference data was recorded in tree plot data which is missing)</t>
  </si>
  <si>
    <t>LM129</t>
  </si>
  <si>
    <t>LM130</t>
  </si>
  <si>
    <t>LM131</t>
  </si>
  <si>
    <t>LM132</t>
  </si>
  <si>
    <t>LM133</t>
  </si>
  <si>
    <t>LM134</t>
  </si>
  <si>
    <t>LM135</t>
  </si>
  <si>
    <t>DBH (and circumference) based on the average of all large SEGI (LM131 to 135); bole splits into two stems above DBH</t>
  </si>
  <si>
    <t>LMS</t>
  </si>
  <si>
    <t>LMT</t>
  </si>
  <si>
    <t>LMU</t>
  </si>
  <si>
    <t>LMV</t>
  </si>
  <si>
    <t>LMW</t>
  </si>
  <si>
    <t>LMX</t>
  </si>
  <si>
    <t>LMY</t>
  </si>
  <si>
    <t>LM101</t>
  </si>
  <si>
    <t>LM102</t>
  </si>
  <si>
    <t>LM103</t>
  </si>
  <si>
    <t>LM104</t>
  </si>
  <si>
    <t>LM105</t>
  </si>
  <si>
    <t>LM106</t>
  </si>
  <si>
    <t>LM107</t>
  </si>
  <si>
    <t>Notes difficult to decipher</t>
  </si>
  <si>
    <t>Split top; rest of notes difficult to decipher</t>
  </si>
  <si>
    <t>Offset 15 degrees; Small clumps of fading needles throughout crown</t>
  </si>
  <si>
    <t>Offset 11 degrees; Bole splits into two stems above DBH</t>
  </si>
  <si>
    <t>LMAG</t>
  </si>
  <si>
    <t>LMAH</t>
  </si>
  <si>
    <t>LMAI</t>
  </si>
  <si>
    <t>LMAJ</t>
  </si>
  <si>
    <t>LMAK</t>
  </si>
  <si>
    <t>LMAL</t>
  </si>
  <si>
    <t>LMAM</t>
  </si>
  <si>
    <t>Top "blown off"</t>
  </si>
  <si>
    <t>Offset 2 degrees</t>
  </si>
  <si>
    <t>LMAN</t>
  </si>
  <si>
    <t>LMAO</t>
  </si>
  <si>
    <t>LMAP</t>
  </si>
  <si>
    <t>LMAQ</t>
  </si>
  <si>
    <t>LMAR</t>
  </si>
  <si>
    <t>LM095</t>
  </si>
  <si>
    <t>LM096</t>
  </si>
  <si>
    <t>LM097</t>
  </si>
  <si>
    <t>LM098</t>
  </si>
  <si>
    <t>LM099</t>
  </si>
  <si>
    <t>LM100</t>
  </si>
  <si>
    <t>Top of tree is missing</t>
  </si>
  <si>
    <t>Offset 356 degrees</t>
  </si>
  <si>
    <t>Appeared to have a full crown pre-fire</t>
  </si>
  <si>
    <t>More than half of tree missing; bottom half (undecipherable); not much live crown pre-fire</t>
  </si>
  <si>
    <t>Witness tree</t>
  </si>
  <si>
    <t>NOTE that monarch SEGI data are missing for 5 plots in Long Meadow Grove (plot no. 4, 6, 7, 10, 11 and possiblly part of plot 3)</t>
  </si>
  <si>
    <t>Under Monarch tab, Status2 is the same as Status except that monarchs with &lt;15% live crown are considered to be likelly dead (code 0) in the long-term</t>
  </si>
  <si>
    <t>FuelDptAvg</t>
  </si>
  <si>
    <t>CorrectionFactor</t>
  </si>
  <si>
    <t>100Hr.tons/ac</t>
  </si>
  <si>
    <t>1Hr.tons/ac</t>
  </si>
  <si>
    <t>10Hr.tons/ac</t>
  </si>
  <si>
    <t>Northness</t>
  </si>
  <si>
    <t>Elev.m</t>
  </si>
  <si>
    <t>Diameter^2</t>
  </si>
  <si>
    <t>SumSqDiamSound</t>
  </si>
  <si>
    <t>SumSqDiamRotten</t>
  </si>
  <si>
    <t>1000Hr</t>
  </si>
  <si>
    <t>Could be 95 cm diameter</t>
  </si>
  <si>
    <t>Could be 75 cm diameter</t>
  </si>
  <si>
    <t>Could be 170 cm diameter</t>
  </si>
  <si>
    <t>%CrwnDamage</t>
  </si>
  <si>
    <t>Notes are indesipherable but may state that tree has a broken top</t>
  </si>
  <si>
    <t>Crown Scorch</t>
  </si>
  <si>
    <t>Crown Torch</t>
  </si>
  <si>
    <t>DeadBeforeFire</t>
  </si>
  <si>
    <t>%HdwTree</t>
  </si>
  <si>
    <t>Tree species recorded as 'bac' but assumed to be ABCO</t>
  </si>
  <si>
    <t>Herb Cvr</t>
  </si>
  <si>
    <t>Shrub Cvr</t>
  </si>
  <si>
    <t>FM.Rating</t>
  </si>
  <si>
    <t>Could tree dbh may actually be circumference?</t>
  </si>
  <si>
    <t>SurfFuels.TonsPerAc</t>
  </si>
  <si>
    <t>DeerCreek</t>
  </si>
  <si>
    <t>StarvationCreek</t>
  </si>
  <si>
    <t>Circ.m</t>
  </si>
  <si>
    <t>Pre-fire.HTLC</t>
  </si>
  <si>
    <t>Post-fire.HTLC</t>
  </si>
  <si>
    <t>Light gray cells indicate where values were missing on the hard copy data sheet or where calculations were not possible</t>
  </si>
  <si>
    <t>Missing Data:</t>
  </si>
  <si>
    <t>1. Regeneration data from Long Meadow Grove plots 1, 5, 12</t>
  </si>
  <si>
    <t>2. Tree data from Long Meadow Grove plots 13, 16, 17</t>
  </si>
  <si>
    <t>3. Plot coordinate and slope and aspect data for Long Meadow Grove plots 1-3, 6, 10, 11, 14, 15, 18-22.</t>
  </si>
  <si>
    <t>4. Understory/ground cover data for Cunningham Grove plots 2-7 and 9-15 and Long Meadow 9-11 and 13-22 (Note: some of these data are likely on the hard copy data sheets).</t>
  </si>
  <si>
    <t xml:space="preserve">Under Monarch tab, Fuel model rating of 1 includes fuel models TU1, TU2, TL1, TL2, SB1, SB2, GS1, and NB9; rating of 2 includes TU3, TL3; rating of 3 includes TU4, TU5, TL4, and TL5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</si>
</sst>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C00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4">
    <xf numFmtId="0" fontId="0" fillId="0" borderId="0" xfId="0"/>
    <xf numFmtId="0" fontId="14" fillId="0" borderId="0" xfId="0" applyFont="1"/>
    <xf numFmtId="0" fontId="15" fillId="2" borderId="1" xfId="0" applyFont="1" applyFill="1" applyBorder="1"/>
    <xf numFmtId="14" fontId="15" fillId="0" borderId="0" xfId="0" applyNumberFormat="1" applyFont="1"/>
    <xf numFmtId="9" fontId="15" fillId="0" borderId="0" xfId="0" applyNumberFormat="1" applyFont="1"/>
    <xf numFmtId="164" fontId="15" fillId="0" borderId="0" xfId="0" applyNumberFormat="1" applyFont="1"/>
    <xf numFmtId="1" fontId="15" fillId="0" borderId="0" xfId="0" applyNumberFormat="1" applyFont="1"/>
    <xf numFmtId="165" fontId="15" fillId="0" borderId="0" xfId="0" applyNumberFormat="1" applyFont="1"/>
    <xf numFmtId="1" fontId="15" fillId="2" borderId="1" xfId="0" applyNumberFormat="1" applyFont="1" applyFill="1" applyBorder="1"/>
    <xf numFmtId="0" fontId="16" fillId="0" borderId="0" xfId="0" applyFont="1"/>
    <xf numFmtId="0" fontId="15" fillId="0" borderId="0" xfId="0" applyFont="1"/>
    <xf numFmtId="0" fontId="17" fillId="0" borderId="0" xfId="0" applyFont="1"/>
    <xf numFmtId="1" fontId="14" fillId="0" borderId="0" xfId="0" applyNumberFormat="1" applyFont="1"/>
    <xf numFmtId="0" fontId="15" fillId="0" borderId="1" xfId="0" applyFont="1" applyBorder="1"/>
    <xf numFmtId="1" fontId="15" fillId="0" borderId="1" xfId="0" applyNumberFormat="1" applyFont="1" applyBorder="1"/>
    <xf numFmtId="1" fontId="0" fillId="0" borderId="0" xfId="0" applyNumberFormat="1"/>
    <xf numFmtId="0" fontId="15" fillId="5" borderId="1" xfId="0" applyFont="1" applyFill="1" applyBorder="1"/>
    <xf numFmtId="0" fontId="14" fillId="0" borderId="1" xfId="0" applyFont="1" applyBorder="1"/>
    <xf numFmtId="9" fontId="15" fillId="6" borderId="0" xfId="0" applyNumberFormat="1" applyFont="1" applyFill="1"/>
    <xf numFmtId="0" fontId="15" fillId="2" borderId="0" xfId="0" applyFont="1" applyFill="1"/>
    <xf numFmtId="0" fontId="0" fillId="0" borderId="1" xfId="0" applyBorder="1"/>
    <xf numFmtId="164" fontId="15" fillId="2" borderId="0" xfId="0" applyNumberFormat="1" applyFont="1" applyFill="1"/>
    <xf numFmtId="0" fontId="15" fillId="5" borderId="0" xfId="0" applyFont="1" applyFill="1"/>
    <xf numFmtId="1" fontId="0" fillId="7" borderId="0" xfId="0" applyNumberFormat="1" applyFill="1"/>
    <xf numFmtId="0" fontId="0" fillId="6" borderId="0" xfId="0" applyFill="1"/>
    <xf numFmtId="0" fontId="14" fillId="6" borderId="0" xfId="0" applyFont="1" applyFill="1"/>
    <xf numFmtId="0" fontId="13" fillId="0" borderId="0" xfId="0" applyFont="1"/>
    <xf numFmtId="0" fontId="18" fillId="0" borderId="1" xfId="0" applyFont="1" applyBorder="1"/>
    <xf numFmtId="164" fontId="15" fillId="0" borderId="1" xfId="0" applyNumberFormat="1" applyFont="1" applyBorder="1"/>
    <xf numFmtId="0" fontId="15" fillId="3" borderId="0" xfId="0" applyFont="1" applyFill="1"/>
    <xf numFmtId="0" fontId="14" fillId="4" borderId="0" xfId="0" applyFont="1" applyFill="1"/>
    <xf numFmtId="0" fontId="0" fillId="4" borderId="0" xfId="0" applyFill="1"/>
    <xf numFmtId="0" fontId="20" fillId="0" borderId="0" xfId="0" applyFont="1"/>
    <xf numFmtId="2" fontId="15" fillId="0" borderId="0" xfId="0" applyNumberFormat="1" applyFont="1"/>
    <xf numFmtId="166" fontId="14" fillId="0" borderId="0" xfId="0" applyNumberFormat="1" applyFont="1"/>
    <xf numFmtId="2" fontId="15" fillId="4" borderId="0" xfId="0" applyNumberFormat="1" applyFont="1" applyFill="1"/>
    <xf numFmtId="0" fontId="19" fillId="0" borderId="0" xfId="0" applyFont="1"/>
    <xf numFmtId="0" fontId="21" fillId="0" borderId="0" xfId="0" applyFont="1"/>
    <xf numFmtId="0" fontId="12" fillId="0" borderId="0" xfId="0" applyFont="1"/>
    <xf numFmtId="0" fontId="22" fillId="0" borderId="0" xfId="0" applyFon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0" fontId="11" fillId="0" borderId="0" xfId="0" applyFont="1"/>
    <xf numFmtId="0" fontId="15" fillId="8" borderId="0" xfId="0" applyFont="1" applyFill="1"/>
    <xf numFmtId="0" fontId="14" fillId="9" borderId="0" xfId="0" applyFont="1" applyFill="1"/>
    <xf numFmtId="164" fontId="14" fillId="9" borderId="0" xfId="0" applyNumberFormat="1" applyFont="1" applyFill="1"/>
    <xf numFmtId="0" fontId="11" fillId="6" borderId="0" xfId="0" applyFont="1" applyFill="1"/>
    <xf numFmtId="2" fontId="0" fillId="0" borderId="0" xfId="0" applyNumberFormat="1"/>
    <xf numFmtId="9" fontId="0" fillId="0" borderId="0" xfId="0" applyNumberFormat="1"/>
    <xf numFmtId="0" fontId="10" fillId="0" borderId="0" xfId="0" applyFont="1"/>
    <xf numFmtId="2" fontId="14" fillId="0" borderId="0" xfId="0" applyNumberFormat="1" applyFont="1"/>
    <xf numFmtId="164" fontId="14" fillId="0" borderId="0" xfId="0" applyNumberFormat="1" applyFont="1"/>
    <xf numFmtId="2" fontId="19" fillId="0" borderId="0" xfId="0" applyNumberFormat="1" applyFont="1"/>
    <xf numFmtId="164" fontId="19" fillId="0" borderId="0" xfId="0" applyNumberFormat="1" applyFont="1"/>
    <xf numFmtId="0" fontId="9" fillId="0" borderId="0" xfId="0" applyFont="1"/>
    <xf numFmtId="166" fontId="15" fillId="0" borderId="0" xfId="0" applyNumberFormat="1" applyFont="1"/>
    <xf numFmtId="0" fontId="15" fillId="4" borderId="0" xfId="0" applyFont="1" applyFill="1"/>
    <xf numFmtId="16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9" fontId="5" fillId="0" borderId="0" xfId="1" applyFont="1"/>
    <xf numFmtId="10" fontId="0" fillId="0" borderId="0" xfId="0" applyNumberFormat="1"/>
    <xf numFmtId="0" fontId="0" fillId="0" borderId="0" xfId="1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4" borderId="1" xfId="0" applyFill="1" applyBorder="1"/>
    <xf numFmtId="0" fontId="1" fillId="0" borderId="0" xfId="0" applyFont="1"/>
    <xf numFmtId="0" fontId="14" fillId="0" borderId="0" xfId="0" applyFont="1" applyBorder="1"/>
    <xf numFmtId="0" fontId="0" fillId="0" borderId="0" xfId="0" applyBorder="1"/>
    <xf numFmtId="0" fontId="15" fillId="0" borderId="0" xfId="0" applyFont="1" applyBorder="1"/>
    <xf numFmtId="0" fontId="15" fillId="2" borderId="0" xfId="0" applyFont="1" applyFill="1" applyBorder="1"/>
  </cellXfs>
  <cellStyles count="2">
    <cellStyle name="Normal" xfId="0" builtinId="0"/>
    <cellStyle name="Percent" xfId="1" builtinId="5"/>
  </cellStyles>
  <dxfs count="1">
    <dxf>
      <font>
        <color rgb="FFC00000"/>
      </font>
      <fill>
        <patternFill patternType="none"/>
      </fill>
    </dxf>
  </dxfs>
  <tableStyles count="0" defaultTableStyle="TableStyleMedium2" defaultPivotStyle="PivotStyleLight16"/>
  <colors>
    <mruColors>
      <color rgb="FFFF99FF"/>
      <color rgb="FFFFFFCC"/>
      <color rgb="FFFB03E9"/>
      <color rgb="FF00FF00"/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RegenPlotSizeComp!$B$1</c:f>
              <c:strCache>
                <c:ptCount val="1"/>
                <c:pt idx="0">
                  <c:v>SEGIsdlgsPerHa.Small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64756446991404"/>
                  <c:y val="6.13874432226570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RegenPlotSizeComp!$A$2:$A$36</c:f>
              <c:numCache>
                <c:formatCode>General</c:formatCode>
                <c:ptCount val="35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  <c:pt idx="21" formatCode="0">
                  <c:v>1670</c:v>
                </c:pt>
                <c:pt idx="22" formatCode="0">
                  <c:v>1810</c:v>
                </c:pt>
                <c:pt idx="23" formatCode="0">
                  <c:v>1960</c:v>
                </c:pt>
                <c:pt idx="24" formatCode="0">
                  <c:v>2270</c:v>
                </c:pt>
                <c:pt idx="25" formatCode="0">
                  <c:v>2320</c:v>
                </c:pt>
                <c:pt idx="26" formatCode="0">
                  <c:v>3170</c:v>
                </c:pt>
                <c:pt idx="27" formatCode="0">
                  <c:v>3270</c:v>
                </c:pt>
                <c:pt idx="28" formatCode="0">
                  <c:v>3590</c:v>
                </c:pt>
                <c:pt idx="29" formatCode="0">
                  <c:v>4610</c:v>
                </c:pt>
                <c:pt idx="30" formatCode="0">
                  <c:v>4620</c:v>
                </c:pt>
                <c:pt idx="31" formatCode="0">
                  <c:v>6500.1299999999992</c:v>
                </c:pt>
                <c:pt idx="32" formatCode="0">
                  <c:v>9470</c:v>
                </c:pt>
                <c:pt idx="33" formatCode="0">
                  <c:v>12220</c:v>
                </c:pt>
                <c:pt idx="34" formatCode="0">
                  <c:v>110000</c:v>
                </c:pt>
              </c:numCache>
            </c:numRef>
          </c:xVal>
          <c:yVal>
            <c:numRef>
              <c:f>RegenPlotSizeComp!$B$2:$B$36</c:f>
              <c:numCache>
                <c:formatCode>General</c:formatCode>
                <c:ptCount val="35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  <c:pt idx="21" formatCode="0">
                  <c:v>7000.1399999999994</c:v>
                </c:pt>
                <c:pt idx="22" formatCode="0">
                  <c:v>17000.34</c:v>
                </c:pt>
                <c:pt idx="23" formatCode="0">
                  <c:v>6166.79</c:v>
                </c:pt>
                <c:pt idx="24" formatCode="0">
                  <c:v>15666.98</c:v>
                </c:pt>
                <c:pt idx="25" formatCode="0">
                  <c:v>9500.1899999999987</c:v>
                </c:pt>
                <c:pt idx="26" formatCode="0">
                  <c:v>8000.16</c:v>
                </c:pt>
                <c:pt idx="27" formatCode="0">
                  <c:v>5166.7699999999995</c:v>
                </c:pt>
                <c:pt idx="28" formatCode="0">
                  <c:v>17333.68</c:v>
                </c:pt>
                <c:pt idx="29" formatCode="0">
                  <c:v>7333.48</c:v>
                </c:pt>
                <c:pt idx="30" formatCode="0">
                  <c:v>24000.48</c:v>
                </c:pt>
                <c:pt idx="31" formatCode="0">
                  <c:v>1120</c:v>
                </c:pt>
                <c:pt idx="32" formatCode="0">
                  <c:v>33667.339999999997</c:v>
                </c:pt>
                <c:pt idx="33" formatCode="0">
                  <c:v>29000.579999999998</c:v>
                </c:pt>
                <c:pt idx="34" formatCode="0">
                  <c:v>45167.57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BD1-BFDE-B1E73346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2112"/>
        <c:axId val="1642244192"/>
      </c:scatterChart>
      <c:valAx>
        <c:axId val="1585112112"/>
        <c:scaling>
          <c:orientation val="minMax"/>
          <c:max val="3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4192"/>
        <c:crosses val="autoZero"/>
        <c:crossBetween val="midCat"/>
      </c:valAx>
      <c:valAx>
        <c:axId val="164224419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RegenPlotSizeComp!$M$1</c:f>
              <c:strCache>
                <c:ptCount val="1"/>
                <c:pt idx="0">
                  <c:v>SEGIsdlgsPerHa.Sm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RegenPlotSizeComp!$L$2:$L$22</c:f>
              <c:numCache>
                <c:formatCode>General</c:formatCode>
                <c:ptCount val="21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</c:numCache>
            </c:numRef>
          </c:xVal>
          <c:yVal>
            <c:numRef>
              <c:f>RegenPlotSizeComp!$M$2:$M$22</c:f>
              <c:numCache>
                <c:formatCode>General</c:formatCode>
                <c:ptCount val="21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B-4141-A675-67FA2274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3552"/>
        <c:axId val="1662136160"/>
      </c:scatterChart>
      <c:valAx>
        <c:axId val="158511355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6160"/>
        <c:crosses val="autoZero"/>
        <c:crossBetween val="midCat"/>
      </c:valAx>
      <c:valAx>
        <c:axId val="16621361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38106</xdr:rowOff>
    </xdr:from>
    <xdr:to>
      <xdr:col>10</xdr:col>
      <xdr:colOff>579120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E5DC9-D122-6EFC-18E0-4A9DECB6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114306</xdr:rowOff>
    </xdr:from>
    <xdr:to>
      <xdr:col>21</xdr:col>
      <xdr:colOff>60960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45836-6D6B-01FE-B3F1-64F93B81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4140625" defaultRowHeight="15" customHeight="1" x14ac:dyDescent="0.3"/>
  <cols>
    <col min="1" max="1" width="12" customWidth="1"/>
    <col min="2" max="2" width="6.6640625" bestFit="1" customWidth="1"/>
    <col min="3" max="3" width="10.44140625" customWidth="1"/>
    <col min="4" max="4" width="7" bestFit="1" customWidth="1"/>
    <col min="5" max="5" width="8.109375" bestFit="1" customWidth="1"/>
    <col min="6" max="6" width="6.88671875" bestFit="1" customWidth="1"/>
    <col min="7" max="7" width="5.44140625" bestFit="1" customWidth="1"/>
    <col min="8" max="8" width="6.44140625" bestFit="1" customWidth="1"/>
    <col min="9" max="9" width="9.33203125" bestFit="1" customWidth="1"/>
    <col min="10" max="10" width="11.88671875" bestFit="1" customWidth="1"/>
    <col min="11" max="11" width="13.44140625" bestFit="1" customWidth="1"/>
    <col min="12" max="12" width="17" bestFit="1" customWidth="1"/>
    <col min="13" max="13" width="12.21875" bestFit="1" customWidth="1"/>
    <col min="14" max="14" width="10.33203125" bestFit="1" customWidth="1"/>
    <col min="15" max="15" width="10.44140625" bestFit="1" customWidth="1"/>
    <col min="16" max="16" width="21.44140625" bestFit="1" customWidth="1"/>
    <col min="17" max="17" width="12" bestFit="1" customWidth="1"/>
    <col min="18" max="18" width="12.109375" bestFit="1" customWidth="1"/>
    <col min="19" max="19" width="10.33203125" bestFit="1" customWidth="1"/>
    <col min="20" max="20" width="11.33203125" bestFit="1" customWidth="1"/>
    <col min="21" max="21" width="11" bestFit="1" customWidth="1"/>
    <col min="22" max="22" width="10.33203125" bestFit="1" customWidth="1"/>
    <col min="23" max="23" width="10.5546875" bestFit="1" customWidth="1"/>
    <col min="24" max="24" width="11.33203125" bestFit="1" customWidth="1"/>
    <col min="25" max="25" width="8.88671875" bestFit="1" customWidth="1"/>
    <col min="26" max="26" width="9.88671875" bestFit="1" customWidth="1"/>
    <col min="27" max="27" width="9.6640625" bestFit="1" customWidth="1"/>
    <col min="28" max="28" width="8.6640625" bestFit="1" customWidth="1"/>
    <col min="29" max="29" width="9.88671875" bestFit="1" customWidth="1"/>
    <col min="30" max="30" width="9.6640625" bestFit="1" customWidth="1"/>
    <col min="31" max="31" width="9.109375" customWidth="1"/>
    <col min="32" max="32" width="8.6640625" customWidth="1"/>
    <col min="33" max="33" width="6.44140625" customWidth="1"/>
    <col min="34" max="34" width="9.6640625" customWidth="1"/>
    <col min="35" max="35" width="9.33203125" customWidth="1"/>
    <col min="36" max="36" width="8.6640625" customWidth="1"/>
    <col min="37" max="37" width="9.6640625" customWidth="1"/>
    <col min="38" max="38" width="9" customWidth="1"/>
    <col min="39" max="39" width="15" bestFit="1" customWidth="1"/>
    <col min="40" max="40" width="13.5546875" customWidth="1"/>
    <col min="41" max="42" width="14.5546875" customWidth="1"/>
    <col min="43" max="43" width="13.44140625" customWidth="1"/>
    <col min="44" max="44" width="16" customWidth="1"/>
    <col min="45" max="45" width="9.33203125" customWidth="1"/>
    <col min="46" max="46" width="13.33203125" customWidth="1"/>
    <col min="47" max="47" width="12.6640625" customWidth="1"/>
    <col min="48" max="48" width="9.6640625" customWidth="1"/>
    <col min="49" max="49" width="11.33203125" customWidth="1"/>
    <col min="50" max="50" width="12.6640625" customWidth="1"/>
    <col min="51" max="51" width="14.5546875" customWidth="1"/>
    <col min="52" max="53" width="13.6640625" customWidth="1"/>
    <col min="54" max="54" width="11.21875" bestFit="1" customWidth="1"/>
    <col min="55" max="55" width="10.44140625" bestFit="1" customWidth="1"/>
    <col min="56" max="56" width="10.21875" bestFit="1" customWidth="1"/>
    <col min="57" max="57" width="5.44140625" customWidth="1"/>
    <col min="58" max="58" width="6.5546875" customWidth="1"/>
    <col min="59" max="59" width="6.109375" customWidth="1"/>
    <col min="60" max="60" width="6.6640625" customWidth="1"/>
    <col min="61" max="61" width="17.109375" customWidth="1"/>
    <col min="62" max="62" width="13.88671875" customWidth="1"/>
    <col min="63" max="63" width="8.6640625" customWidth="1"/>
  </cols>
  <sheetData>
    <row r="1" spans="1:63" ht="14.25" customHeight="1" x14ac:dyDescent="0.3">
      <c r="A1" s="1" t="s">
        <v>0</v>
      </c>
      <c r="B1" s="1" t="s">
        <v>2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968</v>
      </c>
      <c r="J1" t="s">
        <v>782</v>
      </c>
      <c r="K1" t="s">
        <v>783</v>
      </c>
      <c r="L1" s="43" t="s">
        <v>830</v>
      </c>
      <c r="M1" t="s">
        <v>813</v>
      </c>
      <c r="N1" s="1" t="s">
        <v>8</v>
      </c>
      <c r="O1" s="1" t="s">
        <v>21</v>
      </c>
      <c r="P1" s="1" t="s">
        <v>9</v>
      </c>
      <c r="Q1" s="1" t="s">
        <v>20</v>
      </c>
      <c r="R1" s="1" t="s">
        <v>22</v>
      </c>
      <c r="S1" s="1" t="s">
        <v>10</v>
      </c>
      <c r="T1" s="1" t="s">
        <v>11</v>
      </c>
      <c r="U1" s="1" t="s">
        <v>12</v>
      </c>
      <c r="V1" s="1" t="s">
        <v>13</v>
      </c>
      <c r="W1" t="s">
        <v>982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43" t="s">
        <v>826</v>
      </c>
      <c r="AD1" s="1" t="s">
        <v>19</v>
      </c>
      <c r="AE1" s="13" t="s">
        <v>984</v>
      </c>
      <c r="AF1" s="1" t="s">
        <v>985</v>
      </c>
      <c r="AG1" s="1" t="s">
        <v>23</v>
      </c>
      <c r="AH1" s="13" t="s">
        <v>24</v>
      </c>
      <c r="AI1" s="13" t="s">
        <v>25</v>
      </c>
      <c r="AJ1" s="13" t="s">
        <v>26</v>
      </c>
      <c r="AK1" s="13" t="s">
        <v>27</v>
      </c>
      <c r="AL1" s="1" t="s">
        <v>28</v>
      </c>
      <c r="AM1" t="s">
        <v>817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787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814</v>
      </c>
      <c r="BC1" t="s">
        <v>815</v>
      </c>
      <c r="BD1" t="s">
        <v>816</v>
      </c>
      <c r="BE1" s="1" t="s">
        <v>757</v>
      </c>
      <c r="BF1" t="s">
        <v>758</v>
      </c>
      <c r="BG1" t="s">
        <v>759</v>
      </c>
      <c r="BH1" s="55" t="s">
        <v>973</v>
      </c>
      <c r="BI1" s="67" t="s">
        <v>988</v>
      </c>
      <c r="BJ1" t="s">
        <v>818</v>
      </c>
      <c r="BK1" s="1" t="s">
        <v>42</v>
      </c>
    </row>
    <row r="2" spans="1:63" ht="14.25" customHeight="1" x14ac:dyDescent="0.3">
      <c r="A2" s="1" t="s">
        <v>43</v>
      </c>
      <c r="B2" s="1">
        <v>1</v>
      </c>
      <c r="C2" s="3">
        <v>44721</v>
      </c>
      <c r="D2">
        <v>358718</v>
      </c>
      <c r="E2">
        <v>3982907</v>
      </c>
      <c r="F2">
        <v>1908</v>
      </c>
      <c r="G2">
        <v>24</v>
      </c>
      <c r="H2">
        <v>48</v>
      </c>
      <c r="I2">
        <f t="shared" ref="I2:I31" si="0">ABS(180-H2)</f>
        <v>132</v>
      </c>
      <c r="J2">
        <v>2</v>
      </c>
      <c r="K2">
        <v>2</v>
      </c>
      <c r="L2" s="10">
        <v>3</v>
      </c>
      <c r="M2" s="1">
        <v>295</v>
      </c>
      <c r="N2" s="1">
        <f>5*20</f>
        <v>100</v>
      </c>
      <c r="O2" s="1">
        <f>9*20</f>
        <v>180</v>
      </c>
      <c r="P2" s="1">
        <v>0</v>
      </c>
      <c r="Q2" s="1">
        <v>5.5</v>
      </c>
      <c r="R2" s="1">
        <v>12.61</v>
      </c>
      <c r="S2" s="4">
        <v>0.25</v>
      </c>
      <c r="T2" s="4">
        <v>0.25</v>
      </c>
      <c r="U2" s="4">
        <v>0</v>
      </c>
      <c r="V2" s="4">
        <v>0</v>
      </c>
      <c r="W2" s="4">
        <v>0.5</v>
      </c>
      <c r="X2" s="4">
        <f>T2+U2</f>
        <v>0.25</v>
      </c>
      <c r="Y2" s="4">
        <f>1.96/Q2</f>
        <v>0.35636363636363638</v>
      </c>
      <c r="Z2" s="4">
        <f>2.5/Q2</f>
        <v>0.45454545454545453</v>
      </c>
      <c r="AA2" s="4">
        <v>0</v>
      </c>
      <c r="AB2" s="4">
        <v>0</v>
      </c>
      <c r="AC2" s="4">
        <f>1.04/Q2</f>
        <v>0.18909090909090909</v>
      </c>
      <c r="AD2" s="4">
        <f>Z2+AA2</f>
        <v>0.45454545454545453</v>
      </c>
      <c r="AE2">
        <v>2.2999999999999998</v>
      </c>
      <c r="AF2" s="1">
        <v>13.4</v>
      </c>
      <c r="AG2" s="1" t="s">
        <v>46</v>
      </c>
      <c r="AH2">
        <v>32.299999999999997</v>
      </c>
      <c r="AI2">
        <v>38.6</v>
      </c>
      <c r="AJ2">
        <v>12.1</v>
      </c>
      <c r="AK2" s="1">
        <v>0</v>
      </c>
      <c r="AL2" s="1">
        <v>13.3</v>
      </c>
      <c r="AM2" s="33">
        <v>0.1</v>
      </c>
      <c r="AN2" s="6">
        <v>0</v>
      </c>
      <c r="AO2" s="6">
        <f>1*166.67</f>
        <v>166.67</v>
      </c>
      <c r="AP2" s="6">
        <f>16*166.67</f>
        <v>2666.72</v>
      </c>
      <c r="AQ2" s="6">
        <v>80</v>
      </c>
      <c r="AR2" s="6">
        <v>30</v>
      </c>
      <c r="AS2" s="4">
        <f t="shared" ref="AS2:AS8" si="1">AN2/SUM(AM2:AR2)</f>
        <v>0</v>
      </c>
      <c r="AT2" s="4">
        <f t="shared" ref="AT2:AT8" si="2">AO2/SUM(AM2:AR2)</f>
        <v>5.6623260143571066E-2</v>
      </c>
      <c r="AU2" s="4">
        <f t="shared" ref="AU2:AU8" si="3">AP2/SUM(AM2:AR2)</f>
        <v>0.90597216229713706</v>
      </c>
      <c r="AV2" s="4">
        <f t="shared" ref="AV2:AV8" si="4">AQ2/SUM(AM2:AR2)</f>
        <v>2.7178621296488185E-2</v>
      </c>
      <c r="AW2" s="4">
        <f>(AR2+BA2)/SUM(AM2:AR2)</f>
        <v>1.6986638310305117E-2</v>
      </c>
      <c r="AX2" s="6">
        <v>0</v>
      </c>
      <c r="AY2" s="6">
        <v>0</v>
      </c>
      <c r="AZ2" s="6">
        <v>0</v>
      </c>
      <c r="BA2" s="6">
        <v>20</v>
      </c>
      <c r="BB2" s="52">
        <v>0.18333333333333332</v>
      </c>
      <c r="BC2" s="52">
        <v>0</v>
      </c>
      <c r="BD2" s="52">
        <v>10.6</v>
      </c>
      <c r="BE2" s="51">
        <v>0.22333145452321176</v>
      </c>
      <c r="BF2" s="51">
        <v>1.8800609818081631</v>
      </c>
      <c r="BG2" s="51">
        <v>2.95820097122688</v>
      </c>
      <c r="BH2" s="51">
        <v>19.521099826239251</v>
      </c>
      <c r="BI2" s="51">
        <v>24.582693233797507</v>
      </c>
      <c r="BJ2" t="s">
        <v>44</v>
      </c>
    </row>
    <row r="3" spans="1:63" ht="14.25" customHeight="1" x14ac:dyDescent="0.3">
      <c r="A3" s="1" t="s">
        <v>43</v>
      </c>
      <c r="B3" s="1">
        <v>2</v>
      </c>
      <c r="C3" s="3">
        <v>44722</v>
      </c>
      <c r="D3">
        <v>358720</v>
      </c>
      <c r="E3">
        <v>3982953</v>
      </c>
      <c r="F3">
        <v>1894</v>
      </c>
      <c r="G3">
        <v>34</v>
      </c>
      <c r="H3">
        <v>32</v>
      </c>
      <c r="I3">
        <f t="shared" si="0"/>
        <v>148</v>
      </c>
      <c r="J3">
        <v>2</v>
      </c>
      <c r="K3">
        <v>2</v>
      </c>
      <c r="L3" s="43">
        <v>3</v>
      </c>
      <c r="M3" s="1">
        <v>336</v>
      </c>
      <c r="N3" s="1">
        <f>1*20</f>
        <v>20</v>
      </c>
      <c r="O3" s="1">
        <f>21*20</f>
        <v>420</v>
      </c>
      <c r="P3" s="1">
        <f>1*20</f>
        <v>20</v>
      </c>
      <c r="Q3" s="1">
        <v>11.22</v>
      </c>
      <c r="R3" s="1">
        <v>18.2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f>T3+U3</f>
        <v>0</v>
      </c>
      <c r="Y3" s="4">
        <v>1</v>
      </c>
      <c r="Z3" s="4">
        <v>0</v>
      </c>
      <c r="AA3" s="4">
        <v>0</v>
      </c>
      <c r="AB3" s="4">
        <v>0</v>
      </c>
      <c r="AC3" s="4">
        <v>0</v>
      </c>
      <c r="AD3" s="4">
        <f>Z3+AA3</f>
        <v>0</v>
      </c>
      <c r="AE3">
        <v>26.3</v>
      </c>
      <c r="AF3" s="1">
        <v>33.799999999999997</v>
      </c>
      <c r="AG3" s="1" t="s">
        <v>46</v>
      </c>
      <c r="AH3" s="24"/>
      <c r="AI3" s="24"/>
      <c r="AJ3" s="24"/>
      <c r="AK3" s="1">
        <v>1.3</v>
      </c>
      <c r="AL3" s="1">
        <v>1.7</v>
      </c>
      <c r="AM3" s="33">
        <v>0.1</v>
      </c>
      <c r="AN3" s="1">
        <v>90</v>
      </c>
      <c r="AO3" s="6">
        <f>3*166.67</f>
        <v>500.01</v>
      </c>
      <c r="AP3" s="6">
        <f>13*166.67</f>
        <v>2166.71</v>
      </c>
      <c r="AQ3" s="1">
        <v>60</v>
      </c>
      <c r="AR3" s="1">
        <v>20</v>
      </c>
      <c r="AS3" s="4">
        <f t="shared" si="1"/>
        <v>3.1725664652674471E-2</v>
      </c>
      <c r="AT3" s="4">
        <f t="shared" si="2"/>
        <v>0.17625721758870846</v>
      </c>
      <c r="AU3" s="4">
        <f t="shared" si="3"/>
        <v>0.76378127621773673</v>
      </c>
      <c r="AV3" s="4">
        <f t="shared" si="4"/>
        <v>2.1150443101782983E-2</v>
      </c>
      <c r="AW3" s="4">
        <f t="shared" ref="AW3:AW8" si="5">AR3/SUM(AM3:AR3)</f>
        <v>7.050147700594327E-3</v>
      </c>
      <c r="AX3" s="1">
        <v>0</v>
      </c>
      <c r="AY3" s="1">
        <v>0</v>
      </c>
      <c r="AZ3" s="1">
        <v>0</v>
      </c>
      <c r="BA3" s="1">
        <v>0</v>
      </c>
      <c r="BB3" s="52">
        <v>0.25</v>
      </c>
      <c r="BC3" s="52">
        <v>0</v>
      </c>
      <c r="BD3" s="52">
        <v>3.4000000000000004</v>
      </c>
      <c r="BE3" s="51">
        <v>0.34234265520701496</v>
      </c>
      <c r="BF3" s="51">
        <v>2.1158411588984616</v>
      </c>
      <c r="BG3" s="51">
        <v>2.0947505623629015</v>
      </c>
      <c r="BH3" s="51">
        <v>6.60045237650918</v>
      </c>
      <c r="BI3" s="51">
        <v>11.153386752977557</v>
      </c>
      <c r="BJ3" t="s">
        <v>47</v>
      </c>
      <c r="BK3" s="1" t="s">
        <v>48</v>
      </c>
    </row>
    <row r="4" spans="1:63" ht="14.25" customHeight="1" x14ac:dyDescent="0.3">
      <c r="A4" s="1" t="s">
        <v>43</v>
      </c>
      <c r="B4" s="1">
        <v>3</v>
      </c>
      <c r="C4" s="3">
        <v>44738</v>
      </c>
      <c r="D4">
        <v>358435</v>
      </c>
      <c r="E4" s="31">
        <v>3982993</v>
      </c>
      <c r="F4">
        <v>1816</v>
      </c>
      <c r="G4">
        <v>18</v>
      </c>
      <c r="H4">
        <v>341</v>
      </c>
      <c r="I4">
        <f t="shared" si="0"/>
        <v>161</v>
      </c>
      <c r="J4">
        <v>2</v>
      </c>
      <c r="K4">
        <v>2</v>
      </c>
      <c r="L4" s="43">
        <v>3</v>
      </c>
      <c r="M4" s="1">
        <v>282</v>
      </c>
      <c r="N4" s="1">
        <v>60</v>
      </c>
      <c r="O4" s="1">
        <v>140</v>
      </c>
      <c r="P4" s="1">
        <v>0</v>
      </c>
      <c r="Q4" s="1">
        <v>5.99</v>
      </c>
      <c r="R4" s="1">
        <v>3.24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f>T4+U4</f>
        <v>1</v>
      </c>
      <c r="Y4" s="4">
        <v>0</v>
      </c>
      <c r="Z4" s="4">
        <v>0</v>
      </c>
      <c r="AA4" s="4">
        <f>5.99/Q4</f>
        <v>1</v>
      </c>
      <c r="AB4" s="4">
        <v>0</v>
      </c>
      <c r="AC4" s="4"/>
      <c r="AD4" s="4">
        <f>Z4+AA4</f>
        <v>1</v>
      </c>
      <c r="AE4">
        <v>73.5</v>
      </c>
      <c r="AF4" s="1">
        <v>0</v>
      </c>
      <c r="AG4" s="1" t="s">
        <v>50</v>
      </c>
      <c r="AH4" s="24"/>
      <c r="AI4" s="24"/>
      <c r="AJ4" s="24"/>
      <c r="AK4" s="1">
        <v>0</v>
      </c>
      <c r="AL4" s="1">
        <v>0.8</v>
      </c>
      <c r="AM4" s="33">
        <v>0.1</v>
      </c>
      <c r="AN4" s="1">
        <v>430</v>
      </c>
      <c r="AO4" s="1">
        <v>0</v>
      </c>
      <c r="AP4" s="6">
        <f>14*166.67</f>
        <v>2333.3799999999997</v>
      </c>
      <c r="AQ4" s="1">
        <v>0</v>
      </c>
      <c r="AR4" s="1">
        <v>260</v>
      </c>
      <c r="AS4" s="4">
        <f t="shared" si="1"/>
        <v>0.14222022305422893</v>
      </c>
      <c r="AT4" s="4">
        <f t="shared" si="2"/>
        <v>0</v>
      </c>
      <c r="AU4" s="4">
        <f t="shared" si="3"/>
        <v>0.77175307923320147</v>
      </c>
      <c r="AV4" s="4">
        <f t="shared" si="4"/>
        <v>0</v>
      </c>
      <c r="AW4" s="4">
        <f t="shared" si="5"/>
        <v>8.5993623242091907E-2</v>
      </c>
      <c r="AX4" s="1">
        <v>0</v>
      </c>
      <c r="AY4" s="1">
        <v>0</v>
      </c>
      <c r="AZ4" s="1">
        <v>0</v>
      </c>
      <c r="BA4" s="1">
        <v>0</v>
      </c>
      <c r="BB4" s="52">
        <v>1.5833333333333333</v>
      </c>
      <c r="BC4" s="52">
        <v>0</v>
      </c>
      <c r="BD4" s="52">
        <v>6.25</v>
      </c>
      <c r="BE4" s="1">
        <v>3.2800022129396783E-2</v>
      </c>
      <c r="BF4" s="51">
        <v>0.37150546674130475</v>
      </c>
      <c r="BG4" s="51">
        <v>1.7536471047975208</v>
      </c>
      <c r="BH4" s="51">
        <v>7.4995616179845994</v>
      </c>
      <c r="BI4" s="51">
        <v>9.6575142116528223</v>
      </c>
      <c r="BJ4" t="s">
        <v>49</v>
      </c>
      <c r="BK4" s="31" t="s">
        <v>821</v>
      </c>
    </row>
    <row r="5" spans="1:63" ht="14.25" customHeight="1" x14ac:dyDescent="0.3">
      <c r="A5" s="1" t="s">
        <v>43</v>
      </c>
      <c r="B5" s="1">
        <v>4</v>
      </c>
      <c r="C5" s="3">
        <v>44726</v>
      </c>
      <c r="D5">
        <v>358629</v>
      </c>
      <c r="E5" s="31">
        <v>3983009</v>
      </c>
      <c r="F5">
        <v>1854</v>
      </c>
      <c r="G5">
        <v>33</v>
      </c>
      <c r="H5">
        <v>15</v>
      </c>
      <c r="I5">
        <f t="shared" si="0"/>
        <v>165</v>
      </c>
      <c r="J5">
        <v>2</v>
      </c>
      <c r="K5">
        <v>2</v>
      </c>
      <c r="L5" s="43">
        <v>3</v>
      </c>
      <c r="M5" s="26">
        <v>265</v>
      </c>
      <c r="N5" s="1">
        <f>1*20</f>
        <v>20</v>
      </c>
      <c r="O5" s="1">
        <f>7*20</f>
        <v>140</v>
      </c>
      <c r="P5" s="1">
        <f>1*20</f>
        <v>20</v>
      </c>
      <c r="Q5" s="1">
        <v>14.33</v>
      </c>
      <c r="R5" s="1">
        <v>15.87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f>T5+U5</f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f>Z5+AA5</f>
        <v>0</v>
      </c>
      <c r="AE5">
        <v>12.2</v>
      </c>
      <c r="AF5" s="1">
        <v>4</v>
      </c>
      <c r="AG5" s="1" t="s">
        <v>52</v>
      </c>
      <c r="AH5" s="24"/>
      <c r="AI5" s="24"/>
      <c r="AJ5" s="24"/>
      <c r="AK5" s="1">
        <v>0</v>
      </c>
      <c r="AL5" s="1">
        <v>9.6</v>
      </c>
      <c r="AM5" s="33">
        <v>0.1</v>
      </c>
      <c r="AN5" s="1">
        <v>80</v>
      </c>
      <c r="AO5" s="1">
        <v>0</v>
      </c>
      <c r="AP5" s="6">
        <f>8*166.67</f>
        <v>1333.36</v>
      </c>
      <c r="AQ5" s="1">
        <v>0</v>
      </c>
      <c r="AR5" s="1">
        <v>120</v>
      </c>
      <c r="AS5" s="4">
        <f t="shared" si="1"/>
        <v>5.2169603380590304E-2</v>
      </c>
      <c r="AT5" s="4">
        <f t="shared" si="2"/>
        <v>0</v>
      </c>
      <c r="AU5" s="4">
        <f t="shared" si="3"/>
        <v>0.86951077954429856</v>
      </c>
      <c r="AV5" s="4">
        <f t="shared" si="4"/>
        <v>0</v>
      </c>
      <c r="AW5" s="4">
        <f t="shared" si="5"/>
        <v>7.8254405070885463E-2</v>
      </c>
      <c r="AX5" s="1">
        <v>0</v>
      </c>
      <c r="AY5" s="1">
        <v>0</v>
      </c>
      <c r="AZ5" s="1">
        <v>0</v>
      </c>
      <c r="BA5" s="1">
        <v>0</v>
      </c>
      <c r="BB5" s="52">
        <v>0.30833333333333335</v>
      </c>
      <c r="BC5" s="52">
        <v>0</v>
      </c>
      <c r="BD5" s="52">
        <v>8.0916666666666668</v>
      </c>
      <c r="BE5" s="1">
        <v>0.5068127049778276</v>
      </c>
      <c r="BF5" s="51">
        <v>1.9251182316230961</v>
      </c>
      <c r="BG5" s="51">
        <v>0.60581935135283904</v>
      </c>
      <c r="BH5" s="51">
        <v>17.425234455309571</v>
      </c>
      <c r="BI5" s="51">
        <v>20.462984743263334</v>
      </c>
      <c r="BJ5" t="s">
        <v>51</v>
      </c>
      <c r="BK5" s="30" t="s">
        <v>801</v>
      </c>
    </row>
    <row r="6" spans="1:63" ht="14.25" customHeight="1" x14ac:dyDescent="0.3">
      <c r="A6" s="1" t="s">
        <v>43</v>
      </c>
      <c r="B6" s="1">
        <v>5</v>
      </c>
      <c r="C6" s="3">
        <v>44724</v>
      </c>
      <c r="D6">
        <v>358669</v>
      </c>
      <c r="E6">
        <v>3983001</v>
      </c>
      <c r="F6">
        <v>1876</v>
      </c>
      <c r="G6">
        <v>24</v>
      </c>
      <c r="H6">
        <v>4</v>
      </c>
      <c r="I6">
        <f t="shared" si="0"/>
        <v>176</v>
      </c>
      <c r="J6">
        <v>2</v>
      </c>
      <c r="K6">
        <v>2</v>
      </c>
      <c r="L6" s="43">
        <v>1</v>
      </c>
      <c r="M6" s="26">
        <v>275</v>
      </c>
      <c r="N6" s="1">
        <f>4*20</f>
        <v>80</v>
      </c>
      <c r="O6" s="1">
        <f>12*20</f>
        <v>240</v>
      </c>
      <c r="P6" s="1">
        <f>1*20</f>
        <v>20</v>
      </c>
      <c r="Q6" s="1">
        <v>191</v>
      </c>
      <c r="R6" s="1">
        <v>14.27</v>
      </c>
      <c r="S6" s="4">
        <v>0.25</v>
      </c>
      <c r="T6" s="4">
        <v>0.75</v>
      </c>
      <c r="U6" s="4">
        <v>0</v>
      </c>
      <c r="V6" s="4">
        <v>0</v>
      </c>
      <c r="W6" s="4">
        <v>0</v>
      </c>
      <c r="X6" s="4">
        <f>T6+U6</f>
        <v>0.75</v>
      </c>
      <c r="Y6" s="4">
        <f>185.88/191</f>
        <v>0.97319371727748694</v>
      </c>
      <c r="Z6" s="4">
        <f>5.12/191</f>
        <v>2.6806282722513088E-2</v>
      </c>
      <c r="AA6" s="4">
        <v>0</v>
      </c>
      <c r="AB6" s="4">
        <v>0</v>
      </c>
      <c r="AC6" s="4">
        <v>0</v>
      </c>
      <c r="AD6" s="4">
        <f>Z6+AA6</f>
        <v>2.6806282722513088E-2</v>
      </c>
      <c r="AE6">
        <v>1</v>
      </c>
      <c r="AF6" s="1">
        <v>0</v>
      </c>
      <c r="AG6" s="1" t="s">
        <v>50</v>
      </c>
      <c r="AH6" s="24"/>
      <c r="AI6" s="24"/>
      <c r="AJ6" s="24"/>
      <c r="AK6" s="1">
        <v>0</v>
      </c>
      <c r="AL6" s="1">
        <v>7</v>
      </c>
      <c r="AM6" s="33">
        <v>0.1</v>
      </c>
      <c r="AN6" s="1">
        <v>0</v>
      </c>
      <c r="AO6" s="1">
        <v>0</v>
      </c>
      <c r="AP6" s="6">
        <f>5*166.67</f>
        <v>833.34999999999991</v>
      </c>
      <c r="AQ6" s="6">
        <f>2*166.67</f>
        <v>333.34</v>
      </c>
      <c r="AR6" s="6">
        <f>2*166.67</f>
        <v>333.34</v>
      </c>
      <c r="AS6" s="4">
        <f t="shared" si="1"/>
        <v>0</v>
      </c>
      <c r="AT6" s="4">
        <f t="shared" si="2"/>
        <v>0</v>
      </c>
      <c r="AU6" s="4">
        <f t="shared" si="3"/>
        <v>0.55551852172811689</v>
      </c>
      <c r="AV6" s="4">
        <f t="shared" si="4"/>
        <v>0.22220740869124675</v>
      </c>
      <c r="AW6" s="4">
        <f t="shared" si="5"/>
        <v>0.22220740869124675</v>
      </c>
      <c r="AX6" s="1">
        <v>0</v>
      </c>
      <c r="AY6" s="1">
        <v>0</v>
      </c>
      <c r="AZ6" s="1">
        <v>0</v>
      </c>
      <c r="BA6" s="1">
        <v>0</v>
      </c>
      <c r="BB6" s="52">
        <v>0.89166666666666661</v>
      </c>
      <c r="BC6" s="52">
        <v>0</v>
      </c>
      <c r="BD6" s="52">
        <v>5.2</v>
      </c>
      <c r="BE6" s="1">
        <v>0.30481725549789718</v>
      </c>
      <c r="BF6" s="51">
        <v>1.9552634210804896</v>
      </c>
      <c r="BG6" s="51">
        <v>1.47910048561344</v>
      </c>
      <c r="BH6" s="51">
        <v>2.2618491599970971</v>
      </c>
      <c r="BI6" s="51">
        <v>6.0010303221889236</v>
      </c>
      <c r="BJ6" t="s">
        <v>51</v>
      </c>
    </row>
    <row r="7" spans="1:63" ht="14.25" customHeight="1" x14ac:dyDescent="0.3">
      <c r="A7" s="1" t="s">
        <v>43</v>
      </c>
      <c r="B7" s="1">
        <v>6</v>
      </c>
      <c r="C7" s="3">
        <v>44723</v>
      </c>
      <c r="D7">
        <v>358724</v>
      </c>
      <c r="E7">
        <v>3983011</v>
      </c>
      <c r="F7">
        <v>1887</v>
      </c>
      <c r="G7">
        <v>20</v>
      </c>
      <c r="H7">
        <v>311</v>
      </c>
      <c r="I7">
        <f t="shared" si="0"/>
        <v>131</v>
      </c>
      <c r="J7">
        <v>2</v>
      </c>
      <c r="K7">
        <v>2</v>
      </c>
      <c r="L7" s="43">
        <v>4</v>
      </c>
      <c r="M7" s="26">
        <v>223</v>
      </c>
      <c r="N7" s="1">
        <v>0</v>
      </c>
      <c r="O7" s="1">
        <f>6*20</f>
        <v>120</v>
      </c>
      <c r="P7" s="1">
        <v>0</v>
      </c>
      <c r="Q7" s="1">
        <v>0</v>
      </c>
      <c r="R7" s="1">
        <v>17.48</v>
      </c>
      <c r="S7" s="1"/>
      <c r="T7" s="1"/>
      <c r="U7" s="1"/>
      <c r="V7" s="4"/>
      <c r="W7" s="4"/>
      <c r="X7" s="4"/>
      <c r="Y7" s="1"/>
      <c r="Z7" s="1"/>
      <c r="AA7" s="1"/>
      <c r="AB7" s="4"/>
      <c r="AC7" s="4"/>
      <c r="AD7" s="1"/>
      <c r="AE7">
        <v>51</v>
      </c>
      <c r="AF7" s="1">
        <v>0</v>
      </c>
      <c r="AG7" s="1" t="s">
        <v>50</v>
      </c>
      <c r="AH7" s="24"/>
      <c r="AI7" s="24"/>
      <c r="AJ7" s="24"/>
      <c r="AK7" s="1">
        <v>0.2</v>
      </c>
      <c r="AL7" s="1">
        <v>3</v>
      </c>
      <c r="AM7" s="33">
        <v>0.1</v>
      </c>
      <c r="AN7" s="1">
        <v>0</v>
      </c>
      <c r="AO7" s="1">
        <v>10</v>
      </c>
      <c r="AP7" s="6">
        <v>130</v>
      </c>
      <c r="AQ7" s="1">
        <v>20</v>
      </c>
      <c r="AR7" s="6">
        <f>2*166.67</f>
        <v>333.34</v>
      </c>
      <c r="AS7" s="4">
        <f t="shared" si="1"/>
        <v>0</v>
      </c>
      <c r="AT7" s="4">
        <f t="shared" si="2"/>
        <v>2.0265888456549936E-2</v>
      </c>
      <c r="AU7" s="4">
        <f t="shared" si="3"/>
        <v>0.26345654993514916</v>
      </c>
      <c r="AV7" s="4">
        <f t="shared" si="4"/>
        <v>4.0531776913099872E-2</v>
      </c>
      <c r="AW7" s="4">
        <f t="shared" si="5"/>
        <v>0.67554312581063558</v>
      </c>
      <c r="AX7" s="1">
        <v>0</v>
      </c>
      <c r="AY7" s="1">
        <v>0</v>
      </c>
      <c r="AZ7" s="1">
        <v>0</v>
      </c>
      <c r="BA7" s="1">
        <v>0</v>
      </c>
      <c r="BB7" s="52">
        <v>0.33333333333333337</v>
      </c>
      <c r="BC7" s="52">
        <v>0</v>
      </c>
      <c r="BD7" s="52">
        <v>5.625</v>
      </c>
      <c r="BE7" s="1">
        <v>0.17358097235345243</v>
      </c>
      <c r="BF7" s="51">
        <v>0.67116667659559881</v>
      </c>
      <c r="BG7" s="51">
        <v>1.1733933300697159</v>
      </c>
      <c r="BH7" s="51">
        <v>8.3779780492914071</v>
      </c>
      <c r="BI7" s="51">
        <v>10.396119028310174</v>
      </c>
      <c r="BJ7" t="s">
        <v>49</v>
      </c>
    </row>
    <row r="8" spans="1:63" ht="14.25" customHeight="1" x14ac:dyDescent="0.3">
      <c r="A8" s="1" t="s">
        <v>43</v>
      </c>
      <c r="B8" s="1">
        <v>7</v>
      </c>
      <c r="C8" s="3">
        <v>44735</v>
      </c>
      <c r="D8">
        <v>358478</v>
      </c>
      <c r="E8">
        <v>3983067</v>
      </c>
      <c r="F8">
        <v>1892</v>
      </c>
      <c r="G8">
        <v>9</v>
      </c>
      <c r="H8">
        <v>18</v>
      </c>
      <c r="I8">
        <f t="shared" si="0"/>
        <v>162</v>
      </c>
      <c r="J8">
        <v>3</v>
      </c>
      <c r="K8">
        <v>3</v>
      </c>
      <c r="L8" s="43">
        <v>4</v>
      </c>
      <c r="M8" s="26">
        <v>462</v>
      </c>
      <c r="N8" s="1">
        <v>0</v>
      </c>
      <c r="O8" s="1">
        <f>13*20</f>
        <v>260</v>
      </c>
      <c r="P8" s="1">
        <v>0</v>
      </c>
      <c r="Q8" s="1">
        <v>0</v>
      </c>
      <c r="R8" s="1">
        <v>35.520000000000003</v>
      </c>
      <c r="S8" s="1"/>
      <c r="T8" s="1"/>
      <c r="U8" s="1"/>
      <c r="V8" s="4"/>
      <c r="W8" s="4"/>
      <c r="X8" s="4"/>
      <c r="Y8" s="1"/>
      <c r="Z8" s="1"/>
      <c r="AA8" s="1"/>
      <c r="AB8" s="4"/>
      <c r="AC8" s="4"/>
      <c r="AD8" s="1"/>
      <c r="AE8">
        <v>11.1</v>
      </c>
      <c r="AF8" s="1">
        <v>0</v>
      </c>
      <c r="AG8" s="1" t="s">
        <v>50</v>
      </c>
      <c r="AH8" s="24"/>
      <c r="AI8" s="24"/>
      <c r="AJ8" s="24"/>
      <c r="AK8" s="1">
        <v>0</v>
      </c>
      <c r="AL8" s="1">
        <v>9.6999999999999993</v>
      </c>
      <c r="AM8" s="34">
        <v>6.0000000000000001E-3</v>
      </c>
      <c r="AN8" s="12">
        <f>7*166.67</f>
        <v>1166.6899999999998</v>
      </c>
      <c r="AO8" s="1">
        <v>0</v>
      </c>
      <c r="AP8" s="6">
        <f>76*166.67</f>
        <v>12666.919999999998</v>
      </c>
      <c r="AQ8" s="1">
        <v>30</v>
      </c>
      <c r="AR8" s="6">
        <f>5*166.67</f>
        <v>833.34999999999991</v>
      </c>
      <c r="AS8" s="4">
        <f t="shared" si="1"/>
        <v>7.938305089635507E-2</v>
      </c>
      <c r="AT8" s="4">
        <f t="shared" si="2"/>
        <v>0</v>
      </c>
      <c r="AU8" s="4">
        <f t="shared" si="3"/>
        <v>0.86187312401756933</v>
      </c>
      <c r="AV8" s="4">
        <f t="shared" si="4"/>
        <v>2.0412376268680219E-3</v>
      </c>
      <c r="AW8" s="4">
        <f t="shared" si="5"/>
        <v>5.6702179211682191E-2</v>
      </c>
      <c r="AX8" s="1">
        <v>0</v>
      </c>
      <c r="AY8" s="1">
        <v>0</v>
      </c>
      <c r="AZ8" s="1">
        <v>0</v>
      </c>
      <c r="BA8" s="1">
        <v>0</v>
      </c>
      <c r="BB8" s="52">
        <v>0.40833333333333344</v>
      </c>
      <c r="BC8" s="52">
        <v>0</v>
      </c>
      <c r="BD8" s="52">
        <v>7.6416666666666657</v>
      </c>
      <c r="BE8" s="1">
        <v>8.2502534868809735E-2</v>
      </c>
      <c r="BF8" s="51">
        <v>1.4684291920443888</v>
      </c>
      <c r="BG8" s="51">
        <v>2.8881434592522006</v>
      </c>
      <c r="BH8" s="51">
        <v>36.481396852853571</v>
      </c>
      <c r="BI8" s="51">
        <v>40.920472039018968</v>
      </c>
      <c r="BJ8" t="s">
        <v>49</v>
      </c>
    </row>
    <row r="9" spans="1:63" ht="14.25" customHeight="1" x14ac:dyDescent="0.3">
      <c r="A9" s="1" t="s">
        <v>43</v>
      </c>
      <c r="B9" s="1">
        <v>8</v>
      </c>
      <c r="C9" s="3">
        <v>44726</v>
      </c>
      <c r="D9" s="31">
        <v>358518</v>
      </c>
      <c r="E9">
        <v>3983044</v>
      </c>
      <c r="F9">
        <v>1877</v>
      </c>
      <c r="G9">
        <v>21</v>
      </c>
      <c r="H9">
        <v>350</v>
      </c>
      <c r="I9">
        <f t="shared" si="0"/>
        <v>170</v>
      </c>
      <c r="J9" s="6">
        <v>1</v>
      </c>
      <c r="K9" s="6">
        <v>1</v>
      </c>
      <c r="L9" s="10"/>
      <c r="M9" s="26">
        <v>103</v>
      </c>
      <c r="N9" s="1">
        <v>0</v>
      </c>
      <c r="O9" s="1">
        <v>0</v>
      </c>
      <c r="P9" s="1">
        <v>0</v>
      </c>
      <c r="Q9" s="1">
        <v>0</v>
      </c>
      <c r="R9" s="5">
        <v>0</v>
      </c>
      <c r="S9" s="1"/>
      <c r="T9" s="1"/>
      <c r="U9" s="1"/>
      <c r="V9" s="4"/>
      <c r="W9" s="4"/>
      <c r="X9" s="4"/>
      <c r="Y9" s="1"/>
      <c r="Z9" s="1"/>
      <c r="AA9" s="1"/>
      <c r="AB9" s="4"/>
      <c r="AC9" s="4"/>
      <c r="AD9" s="1"/>
      <c r="AE9" s="5">
        <v>9.6999999999999993</v>
      </c>
      <c r="AF9" s="1">
        <v>14.8</v>
      </c>
      <c r="AG9" s="1" t="s">
        <v>52</v>
      </c>
      <c r="AH9">
        <v>32.299999999999997</v>
      </c>
      <c r="AI9">
        <v>47.1</v>
      </c>
      <c r="AJ9">
        <v>1.1000000000000001</v>
      </c>
      <c r="AK9" s="1">
        <v>0</v>
      </c>
      <c r="AL9" s="5">
        <v>1.9</v>
      </c>
      <c r="AM9" s="33">
        <v>0.1</v>
      </c>
      <c r="AN9" s="1">
        <v>0</v>
      </c>
      <c r="AO9" s="1">
        <v>0</v>
      </c>
      <c r="AP9" s="6">
        <v>0</v>
      </c>
      <c r="AQ9" s="1">
        <v>0</v>
      </c>
      <c r="AR9" s="1">
        <v>0</v>
      </c>
      <c r="AS9" s="18"/>
      <c r="AT9" s="18"/>
      <c r="AU9" s="18"/>
      <c r="AV9" s="18"/>
      <c r="AW9" s="18"/>
      <c r="AX9" s="1">
        <v>0</v>
      </c>
      <c r="AY9" s="1">
        <v>0</v>
      </c>
      <c r="AZ9" s="1">
        <v>0</v>
      </c>
      <c r="BA9" s="1">
        <v>0</v>
      </c>
      <c r="BB9" s="52">
        <v>1.9499999999999997</v>
      </c>
      <c r="BC9" s="52">
        <v>0.35000000000000003</v>
      </c>
      <c r="BD9" s="52">
        <v>4.95</v>
      </c>
      <c r="BE9" s="1">
        <v>0.22190149145252977</v>
      </c>
      <c r="BF9" s="51">
        <v>1.7933022614506617</v>
      </c>
      <c r="BG9" s="51">
        <v>3.233185982808684</v>
      </c>
      <c r="BH9" s="51">
        <v>7.3285792033583554</v>
      </c>
      <c r="BI9" s="51">
        <v>12.57696893907023</v>
      </c>
      <c r="BJ9" t="s">
        <v>53</v>
      </c>
      <c r="BK9" s="31" t="s">
        <v>822</v>
      </c>
    </row>
    <row r="10" spans="1:63" ht="14.25" customHeight="1" x14ac:dyDescent="0.3">
      <c r="A10" s="1" t="s">
        <v>43</v>
      </c>
      <c r="B10" s="1">
        <v>9</v>
      </c>
      <c r="C10" s="3">
        <v>44726</v>
      </c>
      <c r="D10">
        <v>358552</v>
      </c>
      <c r="E10">
        <v>3983056</v>
      </c>
      <c r="F10">
        <v>1882</v>
      </c>
      <c r="G10">
        <v>16</v>
      </c>
      <c r="H10">
        <v>357</v>
      </c>
      <c r="I10">
        <f t="shared" si="0"/>
        <v>177</v>
      </c>
      <c r="J10">
        <v>1</v>
      </c>
      <c r="K10">
        <v>1</v>
      </c>
      <c r="L10" s="43">
        <v>2</v>
      </c>
      <c r="M10" s="26">
        <v>158</v>
      </c>
      <c r="N10" s="1">
        <v>20</v>
      </c>
      <c r="O10" s="1">
        <f>16*20</f>
        <v>320</v>
      </c>
      <c r="P10" s="1">
        <v>20</v>
      </c>
      <c r="Q10" s="1">
        <v>232.83</v>
      </c>
      <c r="R10" s="1">
        <v>25.42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f t="shared" ref="X10:X16" si="6">T10+U10</f>
        <v>0</v>
      </c>
      <c r="Y10" s="4">
        <v>1</v>
      </c>
      <c r="Z10" s="4">
        <v>0</v>
      </c>
      <c r="AA10" s="4">
        <v>0</v>
      </c>
      <c r="AB10" s="4">
        <v>0</v>
      </c>
      <c r="AC10" s="7">
        <v>0</v>
      </c>
      <c r="AD10" s="4">
        <f t="shared" ref="AD10:AD16" si="7">Z10+AA10</f>
        <v>0</v>
      </c>
      <c r="AE10">
        <v>0.8</v>
      </c>
      <c r="AF10" s="1">
        <v>24</v>
      </c>
      <c r="AG10" s="1" t="s">
        <v>52</v>
      </c>
      <c r="AH10" s="24"/>
      <c r="AI10" s="24"/>
      <c r="AJ10" s="24"/>
      <c r="AK10" s="1">
        <v>0</v>
      </c>
      <c r="AL10" s="1">
        <v>6.3</v>
      </c>
      <c r="AM10" s="33">
        <v>0.1</v>
      </c>
      <c r="AN10" s="1">
        <v>80</v>
      </c>
      <c r="AO10" s="1">
        <v>0</v>
      </c>
      <c r="AP10" s="6">
        <v>80</v>
      </c>
      <c r="AQ10" s="1">
        <v>60</v>
      </c>
      <c r="AR10" s="1">
        <v>80</v>
      </c>
      <c r="AS10" s="4">
        <f t="shared" ref="AS10:AS31" si="8">AN10/SUM(AM10:AR10)</f>
        <v>0.26657780739753412</v>
      </c>
      <c r="AT10" s="4">
        <f t="shared" ref="AT10:AT31" si="9">AO10/SUM(AM10:AR10)</f>
        <v>0</v>
      </c>
      <c r="AU10" s="4">
        <f t="shared" ref="AU10:AU31" si="10">AP10/SUM(AM10:AR10)</f>
        <v>0.26657780739753412</v>
      </c>
      <c r="AV10" s="4">
        <f t="shared" ref="AV10:AV31" si="11">AQ10/SUM(AM10:AR10)</f>
        <v>0.19993335554815059</v>
      </c>
      <c r="AW10" s="4">
        <f t="shared" ref="AW10:AW31" si="12">AR10/SUM(AM10:AR10)</f>
        <v>0.26657780739753412</v>
      </c>
      <c r="AX10" s="1">
        <v>0</v>
      </c>
      <c r="AY10" s="1">
        <v>0</v>
      </c>
      <c r="AZ10" s="1">
        <v>0</v>
      </c>
      <c r="BA10" s="1">
        <v>0</v>
      </c>
      <c r="BB10" s="52">
        <v>2.4249999999999998</v>
      </c>
      <c r="BC10" s="52">
        <v>0.41666666666666663</v>
      </c>
      <c r="BD10" s="52">
        <v>16.675000000000001</v>
      </c>
      <c r="BE10" s="1">
        <v>0.26153458759791881</v>
      </c>
      <c r="BF10" s="51">
        <v>1.4811198701521484</v>
      </c>
      <c r="BG10" s="51">
        <v>2.0391726628473079</v>
      </c>
      <c r="BH10" s="51">
        <v>5.3425032939038903</v>
      </c>
      <c r="BI10" s="51">
        <v>9.1243304145012658</v>
      </c>
      <c r="BJ10" t="s">
        <v>53</v>
      </c>
    </row>
    <row r="11" spans="1:63" ht="14.25" customHeight="1" x14ac:dyDescent="0.3">
      <c r="A11" s="1" t="s">
        <v>43</v>
      </c>
      <c r="B11" s="1">
        <v>10</v>
      </c>
      <c r="C11" s="3">
        <v>44725</v>
      </c>
      <c r="D11">
        <v>358618</v>
      </c>
      <c r="E11">
        <v>3983059</v>
      </c>
      <c r="F11">
        <v>1862</v>
      </c>
      <c r="G11">
        <v>23</v>
      </c>
      <c r="H11">
        <v>38</v>
      </c>
      <c r="I11">
        <f t="shared" si="0"/>
        <v>142</v>
      </c>
      <c r="J11">
        <v>1</v>
      </c>
      <c r="K11">
        <v>1</v>
      </c>
      <c r="L11" s="43">
        <v>3</v>
      </c>
      <c r="M11" s="26">
        <v>52</v>
      </c>
      <c r="N11" s="1">
        <f>6*20</f>
        <v>120</v>
      </c>
      <c r="O11" s="1">
        <f>20*20</f>
        <v>400</v>
      </c>
      <c r="P11" s="1">
        <f>4*20</f>
        <v>80</v>
      </c>
      <c r="Q11" s="1">
        <v>63.1</v>
      </c>
      <c r="R11" s="1">
        <v>38.01</v>
      </c>
      <c r="S11" s="4">
        <v>0.33</v>
      </c>
      <c r="T11" s="4">
        <v>0</v>
      </c>
      <c r="U11" s="4">
        <v>0.66700000000000004</v>
      </c>
      <c r="V11" s="4">
        <v>0</v>
      </c>
      <c r="W11" s="4">
        <v>0</v>
      </c>
      <c r="X11" s="4">
        <f t="shared" si="6"/>
        <v>0.66700000000000004</v>
      </c>
      <c r="Y11" s="4">
        <f>14.35/63.1</f>
        <v>0.22741679873217113</v>
      </c>
      <c r="Z11" s="4">
        <v>0</v>
      </c>
      <c r="AA11" s="4">
        <f>48.75/Q11</f>
        <v>0.77258320126782887</v>
      </c>
      <c r="AB11" s="4">
        <v>0</v>
      </c>
      <c r="AC11" s="4">
        <v>0</v>
      </c>
      <c r="AD11" s="4">
        <f t="shared" si="7"/>
        <v>0.77258320126782887</v>
      </c>
      <c r="AE11">
        <v>24.6</v>
      </c>
      <c r="AF11" s="1">
        <v>4</v>
      </c>
      <c r="AG11" s="1" t="s">
        <v>52</v>
      </c>
      <c r="AH11" s="24"/>
      <c r="AI11" s="24"/>
      <c r="AJ11" s="24"/>
      <c r="AK11" s="1">
        <v>0</v>
      </c>
      <c r="AL11" s="1">
        <v>3.3</v>
      </c>
      <c r="AM11" s="33">
        <v>0.1</v>
      </c>
      <c r="AN11" s="1">
        <v>80</v>
      </c>
      <c r="AO11" s="1">
        <v>0</v>
      </c>
      <c r="AP11" s="6">
        <v>80</v>
      </c>
      <c r="AQ11" s="1">
        <v>0</v>
      </c>
      <c r="AR11" s="1">
        <v>100</v>
      </c>
      <c r="AS11" s="4">
        <f t="shared" si="8"/>
        <v>0.30757400999615531</v>
      </c>
      <c r="AT11" s="4">
        <f t="shared" si="9"/>
        <v>0</v>
      </c>
      <c r="AU11" s="4">
        <f t="shared" si="10"/>
        <v>0.30757400999615531</v>
      </c>
      <c r="AV11" s="4">
        <f t="shared" si="11"/>
        <v>0</v>
      </c>
      <c r="AW11" s="4">
        <f t="shared" si="12"/>
        <v>0.38446751249519412</v>
      </c>
      <c r="AX11" s="1">
        <v>0</v>
      </c>
      <c r="AY11" s="1">
        <v>0</v>
      </c>
      <c r="AZ11" s="1">
        <v>0</v>
      </c>
      <c r="BA11" s="1">
        <v>0</v>
      </c>
      <c r="BB11" s="52">
        <v>1.1083333333333334</v>
      </c>
      <c r="BC11" s="52">
        <v>0.41666666666666663</v>
      </c>
      <c r="BD11" s="52">
        <v>7.0166666666666675</v>
      </c>
      <c r="BE11" s="1">
        <v>0.15959779471251401</v>
      </c>
      <c r="BF11" s="51">
        <v>1.7258085070057185</v>
      </c>
      <c r="BG11" s="51">
        <v>2.9516204937751995</v>
      </c>
      <c r="BH11" s="51">
        <v>2.1940239986300929</v>
      </c>
      <c r="BI11" s="51">
        <v>7.0310507941235247</v>
      </c>
      <c r="BJ11" t="s">
        <v>44</v>
      </c>
    </row>
    <row r="12" spans="1:63" ht="14.25" customHeight="1" x14ac:dyDescent="0.3">
      <c r="A12" s="1" t="s">
        <v>43</v>
      </c>
      <c r="B12" s="1">
        <v>11</v>
      </c>
      <c r="C12" s="3">
        <v>44724</v>
      </c>
      <c r="D12">
        <v>358664</v>
      </c>
      <c r="E12">
        <v>3983066</v>
      </c>
      <c r="F12">
        <v>1822</v>
      </c>
      <c r="G12">
        <v>8</v>
      </c>
      <c r="H12">
        <v>14</v>
      </c>
      <c r="I12">
        <f t="shared" si="0"/>
        <v>166</v>
      </c>
      <c r="J12">
        <v>1.5</v>
      </c>
      <c r="K12">
        <v>2</v>
      </c>
      <c r="L12" s="43">
        <v>4</v>
      </c>
      <c r="M12" s="26">
        <v>87</v>
      </c>
      <c r="N12" s="1">
        <v>40</v>
      </c>
      <c r="O12" s="1">
        <f>19*20</f>
        <v>380</v>
      </c>
      <c r="P12" s="1">
        <v>0</v>
      </c>
      <c r="Q12" s="1">
        <v>6.53</v>
      </c>
      <c r="R12" s="1">
        <v>64.739999999999995</v>
      </c>
      <c r="S12" s="4">
        <v>0.5</v>
      </c>
      <c r="T12" s="4">
        <v>0</v>
      </c>
      <c r="U12" s="4">
        <v>0.5</v>
      </c>
      <c r="V12" s="4">
        <v>0</v>
      </c>
      <c r="W12" s="4">
        <v>0</v>
      </c>
      <c r="X12" s="4">
        <f t="shared" si="6"/>
        <v>0.5</v>
      </c>
      <c r="Y12" s="4">
        <f>4.93/6.53</f>
        <v>0.75497702909647768</v>
      </c>
      <c r="Z12" s="4">
        <v>0</v>
      </c>
      <c r="AA12" s="4">
        <f>1.61/Q12</f>
        <v>0.24655436447166923</v>
      </c>
      <c r="AB12" s="4">
        <v>0</v>
      </c>
      <c r="AC12" s="4">
        <v>0</v>
      </c>
      <c r="AD12" s="4">
        <f t="shared" si="7"/>
        <v>0.24655436447166923</v>
      </c>
      <c r="AE12">
        <v>45.8</v>
      </c>
      <c r="AF12" s="1">
        <v>1</v>
      </c>
      <c r="AG12" s="1" t="s">
        <v>52</v>
      </c>
      <c r="AH12" s="24"/>
      <c r="AI12" s="24"/>
      <c r="AJ12" s="24"/>
      <c r="AK12" s="1">
        <v>0</v>
      </c>
      <c r="AL12" s="1">
        <v>12.1</v>
      </c>
      <c r="AM12" s="33">
        <v>0.1</v>
      </c>
      <c r="AN12" s="1">
        <v>0</v>
      </c>
      <c r="AO12" s="1">
        <v>0</v>
      </c>
      <c r="AP12" s="6">
        <f>8*166.67</f>
        <v>1333.36</v>
      </c>
      <c r="AQ12" s="1">
        <v>0</v>
      </c>
      <c r="AR12" s="1">
        <v>200</v>
      </c>
      <c r="AS12" s="4">
        <f t="shared" si="8"/>
        <v>0</v>
      </c>
      <c r="AT12" s="4">
        <f t="shared" si="9"/>
        <v>0</v>
      </c>
      <c r="AU12" s="4">
        <f t="shared" si="10"/>
        <v>0.86951077954429856</v>
      </c>
      <c r="AV12" s="4">
        <f t="shared" si="11"/>
        <v>0</v>
      </c>
      <c r="AW12" s="4">
        <f t="shared" si="12"/>
        <v>0.13042400845147575</v>
      </c>
      <c r="AX12" s="1">
        <v>0</v>
      </c>
      <c r="AY12" s="1">
        <v>0</v>
      </c>
      <c r="AZ12" s="1">
        <v>0</v>
      </c>
      <c r="BA12" s="1">
        <v>0</v>
      </c>
      <c r="BB12" s="52">
        <v>0.5083333333333333</v>
      </c>
      <c r="BC12" s="52">
        <v>0</v>
      </c>
      <c r="BD12" s="52">
        <v>10.758333333333333</v>
      </c>
      <c r="BE12" s="1">
        <v>0.15308974910965834</v>
      </c>
      <c r="BF12" s="51">
        <v>1.1737524269693853</v>
      </c>
      <c r="BG12" s="51">
        <v>3.4628486818762649</v>
      </c>
      <c r="BH12" s="51">
        <v>18.114025367320917</v>
      </c>
      <c r="BI12" s="51">
        <v>22.903716225276227</v>
      </c>
      <c r="BJ12" t="s">
        <v>44</v>
      </c>
    </row>
    <row r="13" spans="1:63" ht="14.25" customHeight="1" x14ac:dyDescent="0.3">
      <c r="A13" s="1" t="s">
        <v>43</v>
      </c>
      <c r="B13" s="1">
        <v>12</v>
      </c>
      <c r="C13" s="3">
        <v>44738</v>
      </c>
      <c r="D13">
        <v>358577</v>
      </c>
      <c r="E13">
        <v>3983088</v>
      </c>
      <c r="F13">
        <v>1863</v>
      </c>
      <c r="G13">
        <v>19</v>
      </c>
      <c r="H13">
        <v>16</v>
      </c>
      <c r="I13">
        <f t="shared" si="0"/>
        <v>164</v>
      </c>
      <c r="J13">
        <v>2</v>
      </c>
      <c r="K13">
        <v>2</v>
      </c>
      <c r="L13" s="43">
        <v>3</v>
      </c>
      <c r="M13" s="26">
        <v>307</v>
      </c>
      <c r="N13" s="1">
        <v>40</v>
      </c>
      <c r="O13" s="1">
        <f>21*20</f>
        <v>420</v>
      </c>
      <c r="P13" s="1">
        <v>20</v>
      </c>
      <c r="Q13" s="1">
        <v>29.24</v>
      </c>
      <c r="R13" s="1">
        <v>40.42</v>
      </c>
      <c r="S13" s="4">
        <v>0</v>
      </c>
      <c r="T13" s="4">
        <f>1/2</f>
        <v>0.5</v>
      </c>
      <c r="U13" s="4">
        <f>1/2</f>
        <v>0.5</v>
      </c>
      <c r="V13" s="4">
        <v>0</v>
      </c>
      <c r="W13" s="4">
        <v>0</v>
      </c>
      <c r="X13" s="4">
        <f t="shared" si="6"/>
        <v>1</v>
      </c>
      <c r="Y13" s="4">
        <v>0</v>
      </c>
      <c r="Z13" s="4">
        <f>0.95/29.24</f>
        <v>3.2489740082079346E-2</v>
      </c>
      <c r="AA13" s="4">
        <f>28.29/Q13</f>
        <v>0.96751025991792072</v>
      </c>
      <c r="AB13" s="4">
        <v>0</v>
      </c>
      <c r="AC13" s="4">
        <v>0</v>
      </c>
      <c r="AD13" s="4">
        <f t="shared" si="7"/>
        <v>1</v>
      </c>
      <c r="AE13">
        <v>93.3</v>
      </c>
      <c r="AF13" s="1">
        <v>10.199999999999999</v>
      </c>
      <c r="AG13" s="1" t="s">
        <v>52</v>
      </c>
      <c r="AH13" s="24"/>
      <c r="AI13" s="24"/>
      <c r="AJ13" s="24"/>
      <c r="AK13" s="1">
        <v>5.4</v>
      </c>
      <c r="AL13" s="1">
        <v>3.8</v>
      </c>
      <c r="AM13" s="33">
        <v>0.1</v>
      </c>
      <c r="AN13" s="12">
        <f>39*166.67</f>
        <v>6500.1299999999992</v>
      </c>
      <c r="AO13" s="1">
        <v>0</v>
      </c>
      <c r="AP13" s="6">
        <f>48*166.67</f>
        <v>8000.16</v>
      </c>
      <c r="AQ13" s="1">
        <v>40</v>
      </c>
      <c r="AR13" s="1">
        <v>0</v>
      </c>
      <c r="AS13" s="4">
        <f t="shared" si="8"/>
        <v>0.44703959109762526</v>
      </c>
      <c r="AT13" s="4">
        <f t="shared" si="9"/>
        <v>0</v>
      </c>
      <c r="AU13" s="4">
        <f t="shared" si="10"/>
        <v>0.5502025736586158</v>
      </c>
      <c r="AV13" s="4">
        <f t="shared" si="11"/>
        <v>2.7509578491360961E-3</v>
      </c>
      <c r="AW13" s="4">
        <f t="shared" si="12"/>
        <v>0</v>
      </c>
      <c r="AX13" s="1">
        <v>0</v>
      </c>
      <c r="AY13" s="1">
        <v>0</v>
      </c>
      <c r="AZ13" s="1">
        <v>0</v>
      </c>
      <c r="BA13" s="1">
        <v>0</v>
      </c>
      <c r="BB13" s="52">
        <v>3.4166666666666665</v>
      </c>
      <c r="BC13" s="52">
        <v>0</v>
      </c>
      <c r="BD13" s="52">
        <v>6</v>
      </c>
      <c r="BE13" s="1">
        <v>0.13740929840285698</v>
      </c>
      <c r="BF13" s="51">
        <v>2.8284964632034995</v>
      </c>
      <c r="BG13" s="51">
        <v>4.6847646043755944</v>
      </c>
      <c r="BH13" s="51">
        <v>3.2024447613148785</v>
      </c>
      <c r="BI13" s="51">
        <v>10.853115127296828</v>
      </c>
      <c r="BJ13" t="s">
        <v>49</v>
      </c>
      <c r="BK13" s="1" t="s">
        <v>54</v>
      </c>
    </row>
    <row r="14" spans="1:63" ht="14.25" customHeight="1" x14ac:dyDescent="0.3">
      <c r="A14" s="1" t="s">
        <v>43</v>
      </c>
      <c r="B14" s="1">
        <v>13</v>
      </c>
      <c r="C14" s="3">
        <v>44737</v>
      </c>
      <c r="D14">
        <v>358628</v>
      </c>
      <c r="E14">
        <v>3983106</v>
      </c>
      <c r="F14">
        <v>1881</v>
      </c>
      <c r="G14">
        <v>12</v>
      </c>
      <c r="H14">
        <v>328</v>
      </c>
      <c r="I14">
        <f t="shared" si="0"/>
        <v>148</v>
      </c>
      <c r="J14">
        <v>1</v>
      </c>
      <c r="K14">
        <v>1</v>
      </c>
      <c r="L14" s="43">
        <v>4</v>
      </c>
      <c r="M14" s="26">
        <v>181</v>
      </c>
      <c r="N14" s="1">
        <v>100</v>
      </c>
      <c r="O14" s="1">
        <f>26*20</f>
        <v>520</v>
      </c>
      <c r="P14" s="1">
        <v>20</v>
      </c>
      <c r="Q14" s="1">
        <v>14.26</v>
      </c>
      <c r="R14" s="1">
        <v>48.12</v>
      </c>
      <c r="S14" s="4">
        <v>0</v>
      </c>
      <c r="T14" s="4">
        <v>0.4</v>
      </c>
      <c r="U14" s="4">
        <v>0.6</v>
      </c>
      <c r="V14" s="4">
        <v>0</v>
      </c>
      <c r="W14" s="4">
        <v>0</v>
      </c>
      <c r="X14" s="4">
        <f t="shared" si="6"/>
        <v>1</v>
      </c>
      <c r="Y14" s="4">
        <v>0</v>
      </c>
      <c r="Z14" s="4">
        <f>2.51/Q14</f>
        <v>0.17601683029453014</v>
      </c>
      <c r="AA14" s="4">
        <f>11.75/Q14</f>
        <v>0.82398316970546981</v>
      </c>
      <c r="AB14" s="4">
        <v>0</v>
      </c>
      <c r="AC14" s="4"/>
      <c r="AD14" s="4">
        <f t="shared" si="7"/>
        <v>1</v>
      </c>
      <c r="AE14">
        <v>42.8</v>
      </c>
      <c r="AF14" s="1">
        <v>0.8</v>
      </c>
      <c r="AG14" s="1" t="s">
        <v>52</v>
      </c>
      <c r="AH14" s="24"/>
      <c r="AI14" s="24"/>
      <c r="AJ14" s="24"/>
      <c r="AK14" s="1">
        <v>0.04</v>
      </c>
      <c r="AL14" s="1">
        <v>8.6999999999999993</v>
      </c>
      <c r="AM14" s="33">
        <v>0.1</v>
      </c>
      <c r="AN14" s="12">
        <f>8*166.67</f>
        <v>1333.36</v>
      </c>
      <c r="AO14" s="1">
        <v>10</v>
      </c>
      <c r="AP14" s="6">
        <f>451*166.67</f>
        <v>75168.17</v>
      </c>
      <c r="AQ14" s="1">
        <v>210</v>
      </c>
      <c r="AR14" s="1">
        <f>2*20</f>
        <v>40</v>
      </c>
      <c r="AS14" s="4">
        <f t="shared" si="8"/>
        <v>1.7370136616431931E-2</v>
      </c>
      <c r="AT14" s="4">
        <f t="shared" si="9"/>
        <v>1.3027341915485639E-4</v>
      </c>
      <c r="AU14" s="4">
        <f t="shared" si="10"/>
        <v>0.97924145175135013</v>
      </c>
      <c r="AV14" s="4">
        <f t="shared" si="11"/>
        <v>2.7357418022519843E-3</v>
      </c>
      <c r="AW14" s="4">
        <f t="shared" si="12"/>
        <v>5.2109367661942556E-4</v>
      </c>
      <c r="AX14" s="1">
        <v>0</v>
      </c>
      <c r="AY14" s="1">
        <v>0</v>
      </c>
      <c r="AZ14" s="1">
        <v>0</v>
      </c>
      <c r="BA14" s="1">
        <v>0</v>
      </c>
      <c r="BB14" s="52">
        <v>2.35</v>
      </c>
      <c r="BC14" s="52">
        <v>0</v>
      </c>
      <c r="BD14" s="52">
        <v>16.766666666666666</v>
      </c>
      <c r="BE14" s="1">
        <v>0.33399542453966274</v>
      </c>
      <c r="BF14" s="51">
        <v>4.3453807736423844</v>
      </c>
      <c r="BG14" s="51">
        <v>3.476584748027042</v>
      </c>
      <c r="BH14" s="51">
        <v>35.731583557989666</v>
      </c>
      <c r="BI14" s="51">
        <v>43.887544504198758</v>
      </c>
      <c r="BJ14" t="s">
        <v>55</v>
      </c>
    </row>
    <row r="15" spans="1:63" ht="14.25" customHeight="1" x14ac:dyDescent="0.3">
      <c r="A15" s="1" t="s">
        <v>43</v>
      </c>
      <c r="B15" s="1">
        <v>14</v>
      </c>
      <c r="C15" s="3">
        <v>44736</v>
      </c>
      <c r="D15">
        <v>358574</v>
      </c>
      <c r="E15">
        <v>3983158</v>
      </c>
      <c r="F15">
        <v>1862</v>
      </c>
      <c r="G15">
        <v>17</v>
      </c>
      <c r="H15">
        <v>103</v>
      </c>
      <c r="I15">
        <f t="shared" si="0"/>
        <v>77</v>
      </c>
      <c r="J15">
        <v>2.5</v>
      </c>
      <c r="K15">
        <v>3</v>
      </c>
      <c r="L15" s="43">
        <v>4</v>
      </c>
      <c r="M15" s="26">
        <v>468</v>
      </c>
      <c r="N15" s="1">
        <v>60</v>
      </c>
      <c r="O15" s="1">
        <f>10*20</f>
        <v>200</v>
      </c>
      <c r="P15" s="1">
        <v>40</v>
      </c>
      <c r="Q15" s="1">
        <v>25.45</v>
      </c>
      <c r="R15" s="1">
        <v>87.84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f t="shared" si="6"/>
        <v>1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f t="shared" si="7"/>
        <v>1</v>
      </c>
      <c r="AE15">
        <v>34.5</v>
      </c>
      <c r="AF15" s="1">
        <v>0</v>
      </c>
      <c r="AG15" s="1" t="s">
        <v>50</v>
      </c>
      <c r="AH15" s="24"/>
      <c r="AI15" s="24"/>
      <c r="AJ15" s="24"/>
      <c r="AK15" s="1">
        <v>0</v>
      </c>
      <c r="AL15" s="1">
        <v>11</v>
      </c>
      <c r="AM15" s="33">
        <v>0.1</v>
      </c>
      <c r="AN15" s="12">
        <v>1670</v>
      </c>
      <c r="AO15" s="1">
        <v>0</v>
      </c>
      <c r="AP15" s="6">
        <f>324*166.67</f>
        <v>54001.079999999994</v>
      </c>
      <c r="AQ15" s="1">
        <v>0</v>
      </c>
      <c r="AR15" s="1">
        <v>50</v>
      </c>
      <c r="AS15" s="4">
        <f t="shared" si="8"/>
        <v>2.9970650298504091E-2</v>
      </c>
      <c r="AT15" s="4">
        <f t="shared" si="9"/>
        <v>0</v>
      </c>
      <c r="AU15" s="4">
        <f t="shared" si="10"/>
        <v>0.96913023019254085</v>
      </c>
      <c r="AV15" s="4">
        <f t="shared" si="11"/>
        <v>0</v>
      </c>
      <c r="AW15" s="4">
        <f t="shared" si="12"/>
        <v>8.973248592366494E-4</v>
      </c>
      <c r="AX15" s="1">
        <v>0</v>
      </c>
      <c r="AY15" s="1">
        <v>0</v>
      </c>
      <c r="AZ15" s="1">
        <v>0</v>
      </c>
      <c r="BA15" s="1">
        <v>0</v>
      </c>
      <c r="BB15" s="52">
        <v>0.63333333333333341</v>
      </c>
      <c r="BC15" s="52">
        <v>0</v>
      </c>
      <c r="BD15" s="52">
        <v>3.7666666666666666</v>
      </c>
      <c r="BE15" s="1">
        <v>3.2744376284590926E-2</v>
      </c>
      <c r="BF15" s="51">
        <v>0.96427552218109791</v>
      </c>
      <c r="BG15" s="51">
        <v>1.7506720100170108</v>
      </c>
      <c r="BH15" s="51">
        <v>5.3071494514366844</v>
      </c>
      <c r="BI15" s="51">
        <v>8.0548413599193829</v>
      </c>
      <c r="BJ15" t="s">
        <v>49</v>
      </c>
    </row>
    <row r="16" spans="1:63" ht="14.25" customHeight="1" x14ac:dyDescent="0.3">
      <c r="A16" s="1" t="s">
        <v>43</v>
      </c>
      <c r="B16" s="1">
        <v>15</v>
      </c>
      <c r="C16" s="3">
        <v>44736</v>
      </c>
      <c r="D16">
        <v>358606</v>
      </c>
      <c r="E16" s="31">
        <v>3983156</v>
      </c>
      <c r="F16">
        <v>1859</v>
      </c>
      <c r="G16">
        <v>8</v>
      </c>
      <c r="H16">
        <v>95</v>
      </c>
      <c r="I16">
        <f t="shared" si="0"/>
        <v>85</v>
      </c>
      <c r="J16">
        <v>1</v>
      </c>
      <c r="K16">
        <v>1</v>
      </c>
      <c r="L16" s="43">
        <v>4</v>
      </c>
      <c r="M16" s="26">
        <v>151</v>
      </c>
      <c r="N16" s="1">
        <f>12*20</f>
        <v>240</v>
      </c>
      <c r="O16" s="1">
        <f>30*20</f>
        <v>600</v>
      </c>
      <c r="P16" s="1">
        <v>0</v>
      </c>
      <c r="Q16" s="1">
        <v>12.56</v>
      </c>
      <c r="R16" s="1">
        <v>119.14</v>
      </c>
      <c r="S16" s="4">
        <v>0</v>
      </c>
      <c r="T16" s="4">
        <f>1/12</f>
        <v>8.3333333333333329E-2</v>
      </c>
      <c r="U16" s="4">
        <f>11/12</f>
        <v>0.91666666666666663</v>
      </c>
      <c r="V16" s="4">
        <v>0</v>
      </c>
      <c r="W16" s="4">
        <v>0</v>
      </c>
      <c r="X16" s="4">
        <f t="shared" si="6"/>
        <v>1</v>
      </c>
      <c r="Y16" s="4">
        <v>0</v>
      </c>
      <c r="Z16" s="4">
        <f>0.6/Q16</f>
        <v>4.7770700636942671E-2</v>
      </c>
      <c r="AA16" s="4">
        <f>11.96/Q16</f>
        <v>0.95222929936305734</v>
      </c>
      <c r="AB16" s="4">
        <v>0</v>
      </c>
      <c r="AC16" s="4">
        <v>0</v>
      </c>
      <c r="AD16" s="4">
        <f t="shared" si="7"/>
        <v>1</v>
      </c>
      <c r="AE16">
        <v>54.8</v>
      </c>
      <c r="AF16" s="1">
        <v>3.6</v>
      </c>
      <c r="AG16" s="1" t="s">
        <v>52</v>
      </c>
      <c r="AH16" s="24"/>
      <c r="AI16" s="24"/>
      <c r="AJ16" s="24"/>
      <c r="AK16" s="1">
        <v>0</v>
      </c>
      <c r="AL16" s="1">
        <v>4.8</v>
      </c>
      <c r="AM16" s="34">
        <v>6.0000000000000001E-3</v>
      </c>
      <c r="AN16" s="12">
        <f>42*166.67</f>
        <v>7000.1399999999994</v>
      </c>
      <c r="AO16" s="1">
        <v>0</v>
      </c>
      <c r="AP16" s="6">
        <f>206*166.67</f>
        <v>34334.019999999997</v>
      </c>
      <c r="AQ16" s="1">
        <v>120</v>
      </c>
      <c r="AR16" s="1">
        <v>150</v>
      </c>
      <c r="AS16" s="4">
        <f t="shared" si="8"/>
        <v>0.16825574631155929</v>
      </c>
      <c r="AT16" s="4">
        <f t="shared" si="9"/>
        <v>0</v>
      </c>
      <c r="AU16" s="4">
        <f t="shared" si="10"/>
        <v>0.82525437476621932</v>
      </c>
      <c r="AV16" s="4">
        <f t="shared" si="11"/>
        <v>2.8843265359531547E-3</v>
      </c>
      <c r="AW16" s="4">
        <f t="shared" si="12"/>
        <v>3.6054081699414429E-3</v>
      </c>
      <c r="AX16" s="1">
        <v>0</v>
      </c>
      <c r="AY16" s="1">
        <v>0</v>
      </c>
      <c r="AZ16" s="1">
        <v>0</v>
      </c>
      <c r="BA16" s="1">
        <v>0</v>
      </c>
      <c r="BB16" s="52">
        <v>0.6166666666666667</v>
      </c>
      <c r="BC16" s="52">
        <v>0</v>
      </c>
      <c r="BD16" s="52">
        <v>6.1749999999999998</v>
      </c>
      <c r="BE16" s="1">
        <v>0.31501159912948928</v>
      </c>
      <c r="BF16" s="51">
        <v>2.274145327253184</v>
      </c>
      <c r="BG16" s="51">
        <v>3.1742779583865763</v>
      </c>
      <c r="BH16" s="51">
        <v>5.2357984073899191</v>
      </c>
      <c r="BI16" s="51">
        <v>10.999233292159168</v>
      </c>
      <c r="BJ16" t="s">
        <v>44</v>
      </c>
      <c r="BK16" s="31" t="s">
        <v>802</v>
      </c>
    </row>
    <row r="17" spans="1:63" ht="14.25" customHeight="1" x14ac:dyDescent="0.3">
      <c r="A17" s="1" t="s">
        <v>56</v>
      </c>
      <c r="B17" s="1">
        <v>1</v>
      </c>
      <c r="C17" s="3">
        <v>44794</v>
      </c>
      <c r="D17">
        <v>354757</v>
      </c>
      <c r="E17">
        <v>3970555</v>
      </c>
      <c r="F17">
        <v>1773</v>
      </c>
      <c r="G17">
        <v>15</v>
      </c>
      <c r="H17">
        <v>17</v>
      </c>
      <c r="I17">
        <f t="shared" si="0"/>
        <v>163</v>
      </c>
      <c r="J17">
        <v>4</v>
      </c>
      <c r="K17">
        <v>4</v>
      </c>
      <c r="L17" s="43">
        <v>4</v>
      </c>
      <c r="M17" s="26">
        <v>1043</v>
      </c>
      <c r="N17">
        <v>0</v>
      </c>
      <c r="O17">
        <f>25*20</f>
        <v>500</v>
      </c>
      <c r="P17">
        <v>0</v>
      </c>
      <c r="Q17">
        <v>0</v>
      </c>
      <c r="R17">
        <v>85.45</v>
      </c>
      <c r="AD17" s="4"/>
      <c r="AE17" s="1">
        <v>1.5</v>
      </c>
      <c r="AF17" s="1">
        <v>1.29</v>
      </c>
      <c r="AG17" s="1" t="s">
        <v>58</v>
      </c>
      <c r="AH17" s="1">
        <v>63.8</v>
      </c>
      <c r="AI17" s="1">
        <v>14.4</v>
      </c>
      <c r="AJ17" s="1">
        <v>20</v>
      </c>
      <c r="AK17" s="1">
        <v>0</v>
      </c>
      <c r="AL17" s="1">
        <v>0</v>
      </c>
      <c r="AM17" s="33">
        <v>0.1</v>
      </c>
      <c r="AN17" s="6">
        <v>50</v>
      </c>
      <c r="AO17" s="6">
        <f>1*166.67</f>
        <v>166.67</v>
      </c>
      <c r="AP17" s="1">
        <f>4*166.67</f>
        <v>666.68</v>
      </c>
      <c r="AQ17" s="1">
        <v>0</v>
      </c>
      <c r="AR17" s="1">
        <v>0</v>
      </c>
      <c r="AS17" s="4">
        <f t="shared" si="8"/>
        <v>5.6596298602071431E-2</v>
      </c>
      <c r="AT17" s="4">
        <f t="shared" si="9"/>
        <v>0.18865810176014489</v>
      </c>
      <c r="AU17" s="4">
        <f t="shared" si="10"/>
        <v>0.75463240704057954</v>
      </c>
      <c r="AV17" s="4">
        <f t="shared" si="11"/>
        <v>0</v>
      </c>
      <c r="AW17" s="4">
        <f t="shared" si="12"/>
        <v>0</v>
      </c>
      <c r="AX17" s="1">
        <v>0</v>
      </c>
      <c r="AY17" s="1">
        <v>0</v>
      </c>
      <c r="AZ17" s="1">
        <v>0</v>
      </c>
      <c r="BA17" s="1">
        <v>0</v>
      </c>
      <c r="BB17" s="52">
        <v>0.29166666666666669</v>
      </c>
      <c r="BC17" s="52">
        <v>0</v>
      </c>
      <c r="BD17" s="52">
        <v>0.625</v>
      </c>
      <c r="BE17" s="51">
        <v>2.6707400643017933E-2</v>
      </c>
      <c r="BF17" s="51">
        <v>0.22183196162506699</v>
      </c>
      <c r="BG17" s="51">
        <v>0</v>
      </c>
      <c r="BH17" s="51">
        <v>36.481396852853571</v>
      </c>
      <c r="BI17" s="51">
        <v>36.729936215121654</v>
      </c>
      <c r="BJ17" t="s">
        <v>57</v>
      </c>
    </row>
    <row r="18" spans="1:63" ht="14.25" customHeight="1" x14ac:dyDescent="0.3">
      <c r="A18" s="1" t="s">
        <v>56</v>
      </c>
      <c r="B18" s="1">
        <v>2</v>
      </c>
      <c r="C18" s="3">
        <v>44794</v>
      </c>
      <c r="D18">
        <v>354761</v>
      </c>
      <c r="E18">
        <v>3970663</v>
      </c>
      <c r="F18">
        <v>1772</v>
      </c>
      <c r="G18">
        <v>11</v>
      </c>
      <c r="H18">
        <v>23</v>
      </c>
      <c r="I18">
        <f t="shared" si="0"/>
        <v>157</v>
      </c>
      <c r="J18">
        <v>4</v>
      </c>
      <c r="K18">
        <v>4</v>
      </c>
      <c r="L18" s="43">
        <v>4</v>
      </c>
      <c r="M18" s="26">
        <v>981</v>
      </c>
      <c r="N18">
        <v>0</v>
      </c>
      <c r="O18">
        <f>21*20</f>
        <v>420</v>
      </c>
      <c r="P18">
        <v>0</v>
      </c>
      <c r="Q18">
        <v>0</v>
      </c>
      <c r="R18">
        <v>666.78</v>
      </c>
      <c r="AD18" s="4"/>
      <c r="AE18" s="1">
        <v>0.3</v>
      </c>
      <c r="AF18" s="1">
        <v>0</v>
      </c>
      <c r="AG18" s="1" t="s">
        <v>50</v>
      </c>
      <c r="AH18" s="1">
        <v>47.3</v>
      </c>
      <c r="AI18" s="1">
        <v>29.6</v>
      </c>
      <c r="AJ18" s="1">
        <v>1</v>
      </c>
      <c r="AK18" s="1">
        <v>0</v>
      </c>
      <c r="AL18" s="1">
        <v>1.7</v>
      </c>
      <c r="AM18" s="34">
        <v>6.0000000000000001E-3</v>
      </c>
      <c r="AN18" s="6">
        <f>103*166.67</f>
        <v>17167.009999999998</v>
      </c>
      <c r="AO18" s="6">
        <f>1*166.67</f>
        <v>166.67</v>
      </c>
      <c r="AP18" s="1">
        <v>0</v>
      </c>
      <c r="AQ18" s="1">
        <v>0</v>
      </c>
      <c r="AR18" s="1">
        <v>0</v>
      </c>
      <c r="AS18" s="4">
        <f t="shared" si="8"/>
        <v>0.9903842725661467</v>
      </c>
      <c r="AT18" s="4">
        <f t="shared" si="9"/>
        <v>9.6153812870499681E-3</v>
      </c>
      <c r="AU18" s="4">
        <f t="shared" si="10"/>
        <v>0</v>
      </c>
      <c r="AV18" s="4">
        <f t="shared" si="11"/>
        <v>0</v>
      </c>
      <c r="AW18" s="4">
        <f t="shared" si="12"/>
        <v>0</v>
      </c>
      <c r="AX18" s="1">
        <v>0</v>
      </c>
      <c r="AY18" s="1">
        <v>0</v>
      </c>
      <c r="AZ18" s="1">
        <v>0</v>
      </c>
      <c r="BA18" s="1">
        <v>0</v>
      </c>
      <c r="BB18" s="52">
        <v>2.7916666666666665</v>
      </c>
      <c r="BC18" s="52">
        <v>0</v>
      </c>
      <c r="BD18" s="52">
        <v>4.6666666666666661</v>
      </c>
      <c r="BE18" s="51">
        <v>0.31885477236135024</v>
      </c>
      <c r="BF18" s="51">
        <v>6.7681620168505159</v>
      </c>
      <c r="BG18" s="51">
        <v>3.1832544277559798</v>
      </c>
      <c r="BH18" s="51">
        <v>7.3285792033583554</v>
      </c>
      <c r="BI18" s="51">
        <v>17.598850420326201</v>
      </c>
      <c r="BJ18" t="s">
        <v>59</v>
      </c>
    </row>
    <row r="19" spans="1:63" ht="14.25" customHeight="1" x14ac:dyDescent="0.3">
      <c r="A19" s="1" t="s">
        <v>56</v>
      </c>
      <c r="B19" s="1">
        <v>3</v>
      </c>
      <c r="C19" s="3">
        <v>44771</v>
      </c>
      <c r="D19">
        <v>354659</v>
      </c>
      <c r="E19">
        <v>3970761</v>
      </c>
      <c r="F19">
        <v>1748</v>
      </c>
      <c r="G19">
        <v>15</v>
      </c>
      <c r="H19">
        <v>26</v>
      </c>
      <c r="I19">
        <f t="shared" si="0"/>
        <v>154</v>
      </c>
      <c r="J19">
        <v>4</v>
      </c>
      <c r="K19">
        <v>4</v>
      </c>
      <c r="L19" s="43">
        <v>4</v>
      </c>
      <c r="M19" s="26">
        <v>928</v>
      </c>
      <c r="N19">
        <v>0</v>
      </c>
      <c r="O19">
        <f>31*20</f>
        <v>620</v>
      </c>
      <c r="P19">
        <v>0</v>
      </c>
      <c r="Q19">
        <v>0</v>
      </c>
      <c r="R19">
        <v>96.21</v>
      </c>
      <c r="AD19" s="4"/>
      <c r="AE19" s="1">
        <v>9.3000000000000007</v>
      </c>
      <c r="AF19" s="1">
        <v>0</v>
      </c>
      <c r="AG19" s="1" t="s">
        <v>50</v>
      </c>
      <c r="AH19" s="1">
        <v>32.700000000000003</v>
      </c>
      <c r="AI19" s="1">
        <v>64.2</v>
      </c>
      <c r="AJ19" s="1">
        <v>0</v>
      </c>
      <c r="AK19" s="1">
        <v>0</v>
      </c>
      <c r="AL19" s="1">
        <v>0.2</v>
      </c>
      <c r="AM19" s="34">
        <v>6.0000000000000001E-3</v>
      </c>
      <c r="AN19" s="6">
        <f>94*166.67</f>
        <v>15666.98</v>
      </c>
      <c r="AO19" s="6">
        <f>4*166.67</f>
        <v>666.68</v>
      </c>
      <c r="AP19" s="1">
        <f>2*166.67</f>
        <v>333.34</v>
      </c>
      <c r="AQ19" s="1">
        <v>10</v>
      </c>
      <c r="AR19" s="1">
        <v>0</v>
      </c>
      <c r="AS19" s="4">
        <f t="shared" si="8"/>
        <v>0.93943601147592093</v>
      </c>
      <c r="AT19" s="4">
        <f t="shared" si="9"/>
        <v>3.9976000488337056E-2</v>
      </c>
      <c r="AU19" s="4">
        <f t="shared" si="10"/>
        <v>1.9988000244168528E-2</v>
      </c>
      <c r="AV19" s="4">
        <f t="shared" si="11"/>
        <v>5.9962801476476065E-4</v>
      </c>
      <c r="AW19" s="4">
        <f t="shared" si="12"/>
        <v>0</v>
      </c>
      <c r="AX19" s="1">
        <v>0</v>
      </c>
      <c r="AY19" s="1">
        <v>0</v>
      </c>
      <c r="AZ19" s="1">
        <v>0</v>
      </c>
      <c r="BA19" s="1">
        <v>0</v>
      </c>
      <c r="BB19" s="52">
        <v>1.5999999999999999</v>
      </c>
      <c r="BC19" s="52">
        <v>0</v>
      </c>
      <c r="BD19" s="52">
        <v>1.8416666666666666</v>
      </c>
      <c r="BE19" s="51">
        <v>5.9349779206706518E-2</v>
      </c>
      <c r="BF19" s="51">
        <v>0.44366392325013398</v>
      </c>
      <c r="BG19" s="51">
        <v>0.29086978679511993</v>
      </c>
      <c r="BH19" s="51">
        <v>3.2024447613148785</v>
      </c>
      <c r="BI19" s="51">
        <v>3.9963282505668389</v>
      </c>
      <c r="BJ19" t="s">
        <v>53</v>
      </c>
    </row>
    <row r="20" spans="1:63" ht="14.25" customHeight="1" x14ac:dyDescent="0.3">
      <c r="A20" s="1" t="s">
        <v>56</v>
      </c>
      <c r="B20" s="1">
        <v>4</v>
      </c>
      <c r="C20" s="3">
        <v>44769</v>
      </c>
      <c r="D20">
        <v>354759</v>
      </c>
      <c r="E20">
        <v>3970759</v>
      </c>
      <c r="F20">
        <v>1734</v>
      </c>
      <c r="G20">
        <v>11</v>
      </c>
      <c r="H20">
        <v>289</v>
      </c>
      <c r="I20">
        <f t="shared" si="0"/>
        <v>109</v>
      </c>
      <c r="J20">
        <v>4</v>
      </c>
      <c r="K20">
        <v>4</v>
      </c>
      <c r="L20" s="43">
        <v>4</v>
      </c>
      <c r="M20" s="26">
        <v>938</v>
      </c>
      <c r="N20">
        <v>0</v>
      </c>
      <c r="O20">
        <f>24*20</f>
        <v>480</v>
      </c>
      <c r="P20">
        <v>0</v>
      </c>
      <c r="Q20">
        <v>0</v>
      </c>
      <c r="R20">
        <v>21.5</v>
      </c>
      <c r="AD20" s="4"/>
      <c r="AE20" s="1">
        <v>9.4</v>
      </c>
      <c r="AF20" s="1">
        <v>0.04</v>
      </c>
      <c r="AG20" s="1" t="s">
        <v>52</v>
      </c>
      <c r="AH20" s="1">
        <v>32.4</v>
      </c>
      <c r="AI20" s="1">
        <v>52.3</v>
      </c>
      <c r="AJ20" s="1">
        <v>0.3</v>
      </c>
      <c r="AK20" s="1">
        <v>0</v>
      </c>
      <c r="AL20" s="1">
        <v>6.8</v>
      </c>
      <c r="AM20" s="34">
        <v>6.0000000000000001E-3</v>
      </c>
      <c r="AN20" s="6">
        <f>1063*166.67</f>
        <v>177170.21</v>
      </c>
      <c r="AO20" s="6">
        <f>14*166.67</f>
        <v>2333.3799999999997</v>
      </c>
      <c r="AP20" s="1">
        <f>6*166.67</f>
        <v>1000.02</v>
      </c>
      <c r="AQ20" s="1">
        <v>30</v>
      </c>
      <c r="AR20" s="1">
        <v>0</v>
      </c>
      <c r="AS20" s="4">
        <f t="shared" si="8"/>
        <v>0.98136964143010363</v>
      </c>
      <c r="AT20" s="4">
        <f t="shared" si="9"/>
        <v>1.2924905907828268E-2</v>
      </c>
      <c r="AU20" s="4">
        <f t="shared" si="10"/>
        <v>5.5392453890692585E-3</v>
      </c>
      <c r="AV20" s="4">
        <f t="shared" si="11"/>
        <v>1.6617403819131393E-4</v>
      </c>
      <c r="AW20" s="4">
        <f t="shared" si="12"/>
        <v>0</v>
      </c>
      <c r="AX20" s="1">
        <v>0</v>
      </c>
      <c r="AY20" s="1">
        <v>0</v>
      </c>
      <c r="AZ20" s="1">
        <v>0</v>
      </c>
      <c r="BA20" s="1">
        <v>0</v>
      </c>
      <c r="BB20" s="52">
        <v>1.3666666666666665</v>
      </c>
      <c r="BC20" s="52">
        <v>0</v>
      </c>
      <c r="BD20" s="52">
        <v>2.6083333333333338</v>
      </c>
      <c r="BE20" s="51">
        <v>8.2666052093683398E-2</v>
      </c>
      <c r="BF20" s="51">
        <v>1.029937698216383</v>
      </c>
      <c r="BG20" s="51">
        <v>1.7363205969578073</v>
      </c>
      <c r="BH20" s="51">
        <v>35.731583557989666</v>
      </c>
      <c r="BI20" s="51">
        <v>38.580507905257541</v>
      </c>
      <c r="BJ20" t="s">
        <v>60</v>
      </c>
    </row>
    <row r="21" spans="1:63" ht="14.25" customHeight="1" x14ac:dyDescent="0.3">
      <c r="A21" s="1" t="s">
        <v>56</v>
      </c>
      <c r="B21" s="1">
        <v>5</v>
      </c>
      <c r="C21" s="3">
        <v>44795</v>
      </c>
      <c r="D21">
        <v>354457</v>
      </c>
      <c r="E21">
        <v>3970856</v>
      </c>
      <c r="F21">
        <v>1714</v>
      </c>
      <c r="G21">
        <v>17</v>
      </c>
      <c r="H21">
        <v>29</v>
      </c>
      <c r="I21">
        <f t="shared" si="0"/>
        <v>151</v>
      </c>
      <c r="J21">
        <v>4</v>
      </c>
      <c r="K21">
        <v>4</v>
      </c>
      <c r="L21" s="43">
        <v>3</v>
      </c>
      <c r="M21" s="26">
        <v>725</v>
      </c>
      <c r="N21">
        <f>4*20</f>
        <v>80</v>
      </c>
      <c r="O21">
        <f>18*20</f>
        <v>360</v>
      </c>
      <c r="P21">
        <v>60</v>
      </c>
      <c r="Q21">
        <v>38.090000000000003</v>
      </c>
      <c r="R21">
        <v>36.4</v>
      </c>
      <c r="S21" s="40">
        <v>0.25</v>
      </c>
      <c r="T21" s="40">
        <v>0.5</v>
      </c>
      <c r="U21" s="40">
        <v>0.25</v>
      </c>
      <c r="V21" s="40">
        <v>0</v>
      </c>
      <c r="W21" s="40">
        <v>0</v>
      </c>
      <c r="X21" s="4">
        <f>T21+U21</f>
        <v>0.75</v>
      </c>
      <c r="Y21" s="40">
        <f>9.77/Q21</f>
        <v>0.25649776844316091</v>
      </c>
      <c r="Z21" s="40">
        <f>16.7/Q21</f>
        <v>0.43843528485166705</v>
      </c>
      <c r="AA21" s="40">
        <f>11.62/Q21</f>
        <v>0.30506694670517193</v>
      </c>
      <c r="AB21" s="40">
        <v>0</v>
      </c>
      <c r="AC21" s="40">
        <v>0</v>
      </c>
      <c r="AD21" s="4">
        <f>Z21+AA21</f>
        <v>0.74350223155683892</v>
      </c>
      <c r="AE21" s="1">
        <v>5.5</v>
      </c>
      <c r="AF21" s="1">
        <v>0</v>
      </c>
      <c r="AG21" s="1" t="s">
        <v>50</v>
      </c>
      <c r="AH21" s="1">
        <v>50</v>
      </c>
      <c r="AI21" s="1">
        <v>40.4</v>
      </c>
      <c r="AJ21" s="1">
        <v>0</v>
      </c>
      <c r="AK21" s="1">
        <v>0</v>
      </c>
      <c r="AL21" s="1">
        <v>1.3</v>
      </c>
      <c r="AM21" s="34">
        <v>6.0000000000000001E-3</v>
      </c>
      <c r="AN21" s="6">
        <f>176*166.67</f>
        <v>29333.919999999998</v>
      </c>
      <c r="AO21" s="6">
        <f>120*166.67</f>
        <v>20000.399999999998</v>
      </c>
      <c r="AP21" s="1">
        <f>224*166.67</f>
        <v>37334.079999999994</v>
      </c>
      <c r="AQ21" s="1">
        <v>0</v>
      </c>
      <c r="AR21" s="1">
        <v>0</v>
      </c>
      <c r="AS21" s="4">
        <f t="shared" si="8"/>
        <v>0.33846151503005606</v>
      </c>
      <c r="AT21" s="4">
        <f t="shared" si="9"/>
        <v>0.23076921479322005</v>
      </c>
      <c r="AU21" s="4">
        <f t="shared" si="10"/>
        <v>0.43076920094734406</v>
      </c>
      <c r="AV21" s="4">
        <f t="shared" si="11"/>
        <v>0</v>
      </c>
      <c r="AW21" s="4">
        <f t="shared" si="12"/>
        <v>0</v>
      </c>
      <c r="AX21" s="1">
        <v>0</v>
      </c>
      <c r="AY21" s="1">
        <v>0</v>
      </c>
      <c r="AZ21" s="1">
        <v>0</v>
      </c>
      <c r="BA21" s="1">
        <v>0</v>
      </c>
      <c r="BB21" s="52">
        <v>2.2833333333333332</v>
      </c>
      <c r="BC21" s="52">
        <v>0</v>
      </c>
      <c r="BD21" s="52">
        <v>2.3583333333333334</v>
      </c>
      <c r="BE21" s="51">
        <v>5.3581706647512432E-2</v>
      </c>
      <c r="BF21" s="51">
        <v>0.29670016067110705</v>
      </c>
      <c r="BG21" s="51">
        <v>0</v>
      </c>
      <c r="BH21" s="51">
        <v>5.3071494514366844</v>
      </c>
      <c r="BI21" s="51">
        <v>5.6574313187553038</v>
      </c>
      <c r="BJ21" t="s">
        <v>51</v>
      </c>
    </row>
    <row r="22" spans="1:63" ht="14.25" customHeight="1" x14ac:dyDescent="0.3">
      <c r="A22" s="1" t="s">
        <v>56</v>
      </c>
      <c r="B22" s="1">
        <v>6</v>
      </c>
      <c r="C22" s="3">
        <v>44795</v>
      </c>
      <c r="D22">
        <v>354556</v>
      </c>
      <c r="E22">
        <v>3970861</v>
      </c>
      <c r="F22">
        <v>1712</v>
      </c>
      <c r="G22">
        <v>22</v>
      </c>
      <c r="H22">
        <v>26</v>
      </c>
      <c r="I22">
        <f t="shared" si="0"/>
        <v>154</v>
      </c>
      <c r="J22">
        <v>4</v>
      </c>
      <c r="K22">
        <v>4</v>
      </c>
      <c r="L22" s="43">
        <v>4</v>
      </c>
      <c r="M22" s="26">
        <v>886</v>
      </c>
      <c r="N22">
        <v>0</v>
      </c>
      <c r="O22">
        <f>17*20</f>
        <v>340</v>
      </c>
      <c r="P22">
        <v>0</v>
      </c>
      <c r="Q22">
        <v>0</v>
      </c>
      <c r="R22">
        <v>26.65</v>
      </c>
      <c r="AD22" s="4"/>
      <c r="AE22" s="1">
        <v>1</v>
      </c>
      <c r="AF22" s="1">
        <v>0</v>
      </c>
      <c r="AG22" s="1" t="s">
        <v>50</v>
      </c>
      <c r="AH22" s="1">
        <v>44.2</v>
      </c>
      <c r="AI22" s="1">
        <v>31.2</v>
      </c>
      <c r="AJ22" s="1">
        <v>35.700000000000003</v>
      </c>
      <c r="AK22" s="1">
        <v>0</v>
      </c>
      <c r="AL22" s="1">
        <v>0.8</v>
      </c>
      <c r="AM22" s="33">
        <v>0.1</v>
      </c>
      <c r="AN22" s="6">
        <v>1530</v>
      </c>
      <c r="AO22" s="6">
        <f>26*166.67</f>
        <v>4333.42</v>
      </c>
      <c r="AP22" s="1">
        <f>27*166.67</f>
        <v>4500.0899999999992</v>
      </c>
      <c r="AQ22" s="1">
        <v>20</v>
      </c>
      <c r="AR22" s="1">
        <v>0</v>
      </c>
      <c r="AS22" s="4">
        <f t="shared" si="8"/>
        <v>0.14734759876382106</v>
      </c>
      <c r="AT22" s="4">
        <f t="shared" si="9"/>
        <v>0.41733270028439046</v>
      </c>
      <c r="AU22" s="4">
        <f t="shared" si="10"/>
        <v>0.43338395798763618</v>
      </c>
      <c r="AV22" s="4">
        <f t="shared" si="11"/>
        <v>1.9261124021414517E-3</v>
      </c>
      <c r="AW22" s="4">
        <f t="shared" si="12"/>
        <v>0</v>
      </c>
      <c r="AX22" s="1">
        <v>0</v>
      </c>
      <c r="AY22" s="1">
        <v>0</v>
      </c>
      <c r="AZ22" s="1">
        <v>0</v>
      </c>
      <c r="BA22" s="1">
        <v>0</v>
      </c>
      <c r="BB22" s="52">
        <v>2.416666666666667</v>
      </c>
      <c r="BC22" s="52">
        <v>0</v>
      </c>
      <c r="BD22" s="52">
        <v>2.9166666666666665</v>
      </c>
      <c r="BE22" s="51">
        <v>0.23437730837907322</v>
      </c>
      <c r="BF22" s="51">
        <v>1.4226180466556606</v>
      </c>
      <c r="BG22" s="51">
        <v>0.58906125190714931</v>
      </c>
      <c r="BH22" s="51">
        <v>5.2357984073899191</v>
      </c>
      <c r="BI22" s="51">
        <v>7.4818550143318028</v>
      </c>
      <c r="BJ22" t="s">
        <v>51</v>
      </c>
    </row>
    <row r="23" spans="1:63" ht="14.25" customHeight="1" x14ac:dyDescent="0.3">
      <c r="A23" s="1" t="s">
        <v>56</v>
      </c>
      <c r="B23" s="1">
        <v>7</v>
      </c>
      <c r="C23" s="3">
        <v>44794</v>
      </c>
      <c r="D23">
        <v>354656</v>
      </c>
      <c r="E23">
        <v>3970844</v>
      </c>
      <c r="F23">
        <v>1715</v>
      </c>
      <c r="G23">
        <v>18</v>
      </c>
      <c r="H23">
        <v>18</v>
      </c>
      <c r="I23">
        <f t="shared" si="0"/>
        <v>162</v>
      </c>
      <c r="J23">
        <v>4</v>
      </c>
      <c r="K23">
        <v>4</v>
      </c>
      <c r="L23" s="43">
        <v>4</v>
      </c>
      <c r="M23" s="26">
        <v>912</v>
      </c>
      <c r="N23">
        <v>0</v>
      </c>
      <c r="O23">
        <f>24*20</f>
        <v>480</v>
      </c>
      <c r="P23">
        <v>0</v>
      </c>
      <c r="Q23">
        <v>0</v>
      </c>
      <c r="R23">
        <v>45.46</v>
      </c>
      <c r="AD23" s="4"/>
      <c r="AE23" s="1">
        <v>11.3</v>
      </c>
      <c r="AF23" s="1">
        <v>1.5</v>
      </c>
      <c r="AG23" s="1" t="s">
        <v>52</v>
      </c>
      <c r="AH23" s="1">
        <v>73.5</v>
      </c>
      <c r="AI23" s="1">
        <v>27.7</v>
      </c>
      <c r="AJ23" s="1">
        <v>0.6</v>
      </c>
      <c r="AK23" s="1">
        <v>0</v>
      </c>
      <c r="AL23" s="1">
        <v>0.6</v>
      </c>
      <c r="AM23" s="34">
        <v>6.0000000000000001E-3</v>
      </c>
      <c r="AN23" s="6">
        <f>42*166.67</f>
        <v>7000.1399999999994</v>
      </c>
      <c r="AO23" s="6">
        <f>4*166.67</f>
        <v>666.68</v>
      </c>
      <c r="AP23" s="1">
        <f>11*166.67</f>
        <v>1833.37</v>
      </c>
      <c r="AQ23" s="1">
        <v>0</v>
      </c>
      <c r="AR23" s="1">
        <v>0</v>
      </c>
      <c r="AS23" s="4">
        <f t="shared" si="8"/>
        <v>0.73684163989879781</v>
      </c>
      <c r="AT23" s="4">
        <f t="shared" si="9"/>
        <v>7.0175394276075984E-2</v>
      </c>
      <c r="AU23" s="4">
        <f t="shared" si="10"/>
        <v>0.19298233425920897</v>
      </c>
      <c r="AV23" s="4">
        <f t="shared" si="11"/>
        <v>0</v>
      </c>
      <c r="AW23" s="4">
        <f t="shared" si="12"/>
        <v>0</v>
      </c>
      <c r="AX23" s="1">
        <v>0</v>
      </c>
      <c r="AY23" s="1">
        <v>0</v>
      </c>
      <c r="AZ23" s="1">
        <v>0</v>
      </c>
      <c r="BA23" s="1">
        <v>0</v>
      </c>
      <c r="BB23" s="52">
        <v>0.88333333333333319</v>
      </c>
      <c r="BC23" s="52">
        <v>8.3333333333333332E-3</v>
      </c>
      <c r="BD23" s="52">
        <v>2.375</v>
      </c>
      <c r="BE23" s="51">
        <v>0.13418190871116861</v>
      </c>
      <c r="BF23" s="51">
        <v>1.1888174935721751</v>
      </c>
      <c r="BG23" s="51">
        <v>0.58454903493250687</v>
      </c>
      <c r="BH23" s="51">
        <v>0</v>
      </c>
      <c r="BI23" s="51">
        <v>1.9075484372158507</v>
      </c>
      <c r="BJ23" t="s">
        <v>51</v>
      </c>
    </row>
    <row r="24" spans="1:63" ht="14.25" customHeight="1" x14ac:dyDescent="0.3">
      <c r="A24" s="1" t="s">
        <v>56</v>
      </c>
      <c r="B24" s="1">
        <v>8</v>
      </c>
      <c r="C24" s="3">
        <v>44794</v>
      </c>
      <c r="D24">
        <v>354760</v>
      </c>
      <c r="E24">
        <v>3970856</v>
      </c>
      <c r="F24">
        <v>1702</v>
      </c>
      <c r="G24">
        <v>21</v>
      </c>
      <c r="H24">
        <v>348</v>
      </c>
      <c r="I24">
        <f t="shared" si="0"/>
        <v>168</v>
      </c>
      <c r="J24">
        <v>4</v>
      </c>
      <c r="K24">
        <v>4</v>
      </c>
      <c r="L24" s="43">
        <v>4</v>
      </c>
      <c r="M24" s="26">
        <v>1007</v>
      </c>
      <c r="N24">
        <v>0</v>
      </c>
      <c r="O24">
        <f>23*20</f>
        <v>460</v>
      </c>
      <c r="P24">
        <v>0</v>
      </c>
      <c r="Q24">
        <v>0</v>
      </c>
      <c r="R24">
        <v>88.16</v>
      </c>
      <c r="AD24" s="4"/>
      <c r="AE24" s="1">
        <v>5.7</v>
      </c>
      <c r="AF24" s="1">
        <v>8.7899999999999991</v>
      </c>
      <c r="AG24" s="1" t="s">
        <v>52</v>
      </c>
      <c r="AH24" s="1">
        <v>44.4</v>
      </c>
      <c r="AI24" s="1">
        <v>45.6</v>
      </c>
      <c r="AJ24" s="1">
        <v>5.4</v>
      </c>
      <c r="AK24" s="1">
        <v>0</v>
      </c>
      <c r="AL24" s="1">
        <v>1</v>
      </c>
      <c r="AM24" s="34">
        <v>6.0000000000000001E-3</v>
      </c>
      <c r="AN24" s="6">
        <f>6*166.67</f>
        <v>1000.02</v>
      </c>
      <c r="AO24" s="6">
        <f>3*166.67</f>
        <v>500.01</v>
      </c>
      <c r="AP24" s="1">
        <v>0</v>
      </c>
      <c r="AQ24" s="6">
        <f>1*2166.67</f>
        <v>2166.67</v>
      </c>
      <c r="AR24" s="1">
        <v>0</v>
      </c>
      <c r="AS24" s="4">
        <f t="shared" si="8"/>
        <v>0.27272980162576438</v>
      </c>
      <c r="AT24" s="4">
        <f t="shared" si="9"/>
        <v>0.13636490081288219</v>
      </c>
      <c r="AU24" s="4">
        <f t="shared" si="10"/>
        <v>0</v>
      </c>
      <c r="AV24" s="4">
        <f t="shared" si="11"/>
        <v>0.5909036612152706</v>
      </c>
      <c r="AW24" s="4">
        <f t="shared" si="12"/>
        <v>0</v>
      </c>
      <c r="AX24" s="1">
        <v>0</v>
      </c>
      <c r="AY24" s="1">
        <v>0</v>
      </c>
      <c r="AZ24" s="1">
        <v>0</v>
      </c>
      <c r="BA24" s="1">
        <v>0</v>
      </c>
      <c r="BB24" s="52">
        <v>1.5916666666666668</v>
      </c>
      <c r="BC24" s="52">
        <v>0</v>
      </c>
      <c r="BD24" s="52">
        <v>2.5</v>
      </c>
      <c r="BE24" s="51">
        <v>0.14093743376039053</v>
      </c>
      <c r="BF24" s="51">
        <v>1.6438604063297728</v>
      </c>
      <c r="BG24" s="51">
        <v>0.29392599843715311</v>
      </c>
      <c r="BH24" s="51">
        <v>2.6211228678593108</v>
      </c>
      <c r="BI24" s="51">
        <v>4.6998467063866274</v>
      </c>
      <c r="BJ24" t="s">
        <v>53</v>
      </c>
    </row>
    <row r="25" spans="1:63" ht="14.25" customHeight="1" x14ac:dyDescent="0.3">
      <c r="A25" s="1" t="s">
        <v>56</v>
      </c>
      <c r="B25" s="1">
        <v>9</v>
      </c>
      <c r="C25" s="3">
        <v>44795</v>
      </c>
      <c r="D25">
        <v>354560</v>
      </c>
      <c r="E25">
        <v>3970962</v>
      </c>
      <c r="F25">
        <v>1685</v>
      </c>
      <c r="G25">
        <v>14</v>
      </c>
      <c r="H25">
        <v>19</v>
      </c>
      <c r="I25">
        <f t="shared" si="0"/>
        <v>161</v>
      </c>
      <c r="J25">
        <v>4</v>
      </c>
      <c r="K25">
        <v>4</v>
      </c>
      <c r="L25" s="43">
        <v>4</v>
      </c>
      <c r="M25" s="26">
        <v>779</v>
      </c>
      <c r="N25">
        <v>20</v>
      </c>
      <c r="O25">
        <f>15*20</f>
        <v>300</v>
      </c>
      <c r="P25">
        <v>0</v>
      </c>
      <c r="Q25">
        <v>0</v>
      </c>
      <c r="R25">
        <v>46.79</v>
      </c>
      <c r="S25" s="40"/>
      <c r="T25" s="40"/>
      <c r="U25" s="40"/>
      <c r="V25" s="40"/>
      <c r="W25" s="40">
        <v>0</v>
      </c>
      <c r="X25" s="4"/>
      <c r="Y25" s="40"/>
      <c r="Z25" s="40"/>
      <c r="AA25" s="40"/>
      <c r="AB25" s="40"/>
      <c r="AC25" s="40"/>
      <c r="AD25" s="4"/>
      <c r="AE25" s="1">
        <v>4.2</v>
      </c>
      <c r="AF25" s="1">
        <v>1.96</v>
      </c>
      <c r="AG25" s="1" t="s">
        <v>52</v>
      </c>
      <c r="AH25" s="1">
        <v>46</v>
      </c>
      <c r="AI25" s="1">
        <v>49.4</v>
      </c>
      <c r="AJ25" s="1">
        <v>0.3</v>
      </c>
      <c r="AK25" s="1">
        <v>0.46</v>
      </c>
      <c r="AL25" s="1">
        <v>0.4</v>
      </c>
      <c r="AM25" s="34">
        <v>6.0000000000000001E-3</v>
      </c>
      <c r="AN25" s="6">
        <f>49*166.67</f>
        <v>8166.829999999999</v>
      </c>
      <c r="AO25" s="6">
        <f>25*166.67</f>
        <v>4166.75</v>
      </c>
      <c r="AP25" s="1">
        <f>45*166.67</f>
        <v>7500.15</v>
      </c>
      <c r="AQ25" s="1">
        <v>0</v>
      </c>
      <c r="AR25" s="1">
        <v>0</v>
      </c>
      <c r="AS25" s="4">
        <f t="shared" si="8"/>
        <v>0.4117645813174079</v>
      </c>
      <c r="AT25" s="4">
        <f t="shared" si="9"/>
        <v>0.21008397005990201</v>
      </c>
      <c r="AU25" s="4">
        <f t="shared" si="10"/>
        <v>0.37815114610782358</v>
      </c>
      <c r="AV25" s="4">
        <f t="shared" si="11"/>
        <v>0</v>
      </c>
      <c r="AW25" s="4">
        <f t="shared" si="12"/>
        <v>0</v>
      </c>
      <c r="AX25" s="1">
        <v>0</v>
      </c>
      <c r="AY25" s="1">
        <v>0</v>
      </c>
      <c r="AZ25" s="1">
        <v>0</v>
      </c>
      <c r="BA25" s="1">
        <v>0</v>
      </c>
      <c r="BB25" s="52">
        <v>3.25</v>
      </c>
      <c r="BC25" s="52">
        <v>0</v>
      </c>
      <c r="BD25" s="52">
        <v>1.6749999999999998</v>
      </c>
      <c r="BE25" s="51">
        <v>0.13631077867355235</v>
      </c>
      <c r="BF25" s="51">
        <v>0.51687337315987059</v>
      </c>
      <c r="BG25" s="51">
        <v>0.58091402705926387</v>
      </c>
      <c r="BH25" s="51">
        <v>1.6712271785901123</v>
      </c>
      <c r="BI25" s="51">
        <v>2.9053253574827993</v>
      </c>
      <c r="BJ25" t="s">
        <v>51</v>
      </c>
    </row>
    <row r="26" spans="1:63" ht="14.25" customHeight="1" x14ac:dyDescent="0.3">
      <c r="A26" s="1" t="s">
        <v>56</v>
      </c>
      <c r="B26" s="1">
        <v>10</v>
      </c>
      <c r="C26" s="3">
        <v>44768</v>
      </c>
      <c r="D26">
        <v>354654</v>
      </c>
      <c r="E26">
        <v>3970960</v>
      </c>
      <c r="F26">
        <v>1674</v>
      </c>
      <c r="G26">
        <v>24</v>
      </c>
      <c r="H26">
        <v>6</v>
      </c>
      <c r="I26">
        <f t="shared" si="0"/>
        <v>174</v>
      </c>
      <c r="J26">
        <v>4</v>
      </c>
      <c r="K26">
        <v>4</v>
      </c>
      <c r="L26" s="43">
        <v>4</v>
      </c>
      <c r="M26" s="26">
        <v>923</v>
      </c>
      <c r="N26">
        <v>0</v>
      </c>
      <c r="O26">
        <f>16*20</f>
        <v>320</v>
      </c>
      <c r="P26">
        <v>0</v>
      </c>
      <c r="Q26">
        <v>0</v>
      </c>
      <c r="R26">
        <v>76.59</v>
      </c>
      <c r="AD26" s="4"/>
      <c r="AE26" s="1">
        <v>23.3</v>
      </c>
      <c r="AF26" s="1">
        <v>0</v>
      </c>
      <c r="AG26" s="1" t="s">
        <v>50</v>
      </c>
      <c r="AH26" s="1">
        <v>56</v>
      </c>
      <c r="AI26" s="1">
        <v>27.3</v>
      </c>
      <c r="AJ26" s="1">
        <v>1.3</v>
      </c>
      <c r="AK26" s="1">
        <v>0</v>
      </c>
      <c r="AL26" s="1">
        <v>1.3</v>
      </c>
      <c r="AM26" s="33">
        <v>0.1</v>
      </c>
      <c r="AN26" s="14">
        <v>2320</v>
      </c>
      <c r="AO26" s="6">
        <f>3*166.67</f>
        <v>500.01</v>
      </c>
      <c r="AP26" s="1">
        <f>3*166.67</f>
        <v>500.01</v>
      </c>
      <c r="AQ26" s="1">
        <v>0</v>
      </c>
      <c r="AR26" s="1">
        <v>650</v>
      </c>
      <c r="AS26" s="4">
        <f t="shared" si="8"/>
        <v>0.58436520810454096</v>
      </c>
      <c r="AT26" s="4">
        <f t="shared" si="9"/>
        <v>0.12594329642428945</v>
      </c>
      <c r="AU26" s="4">
        <f t="shared" si="10"/>
        <v>0.12594329642428945</v>
      </c>
      <c r="AV26" s="4">
        <f t="shared" si="11"/>
        <v>0</v>
      </c>
      <c r="AW26" s="4">
        <f t="shared" si="12"/>
        <v>0.16372301089135846</v>
      </c>
      <c r="AX26" s="1">
        <v>0</v>
      </c>
      <c r="AY26" s="1">
        <v>0</v>
      </c>
      <c r="AZ26" s="1">
        <v>0</v>
      </c>
      <c r="BA26" s="1">
        <v>0</v>
      </c>
      <c r="BB26" s="52">
        <v>1.1916666666666664</v>
      </c>
      <c r="BC26" s="52">
        <v>0</v>
      </c>
      <c r="BD26" s="52">
        <v>1.2749999999999999</v>
      </c>
      <c r="BE26" s="51">
        <v>5.7341859945148968E-2</v>
      </c>
      <c r="BF26" s="51">
        <v>7.5202439272326504E-2</v>
      </c>
      <c r="BG26" s="51">
        <v>0.59164019424537606</v>
      </c>
      <c r="BH26" s="51">
        <v>10.723189149788526</v>
      </c>
      <c r="BI26" s="51">
        <v>11.447373643251378</v>
      </c>
      <c r="BJ26" t="s">
        <v>60</v>
      </c>
      <c r="BK26" s="2" t="s">
        <v>61</v>
      </c>
    </row>
    <row r="27" spans="1:63" ht="14.25" customHeight="1" x14ac:dyDescent="0.3">
      <c r="A27" s="1" t="s">
        <v>56</v>
      </c>
      <c r="B27" s="1">
        <v>11</v>
      </c>
      <c r="C27" s="3">
        <v>44768</v>
      </c>
      <c r="D27">
        <v>354765</v>
      </c>
      <c r="E27">
        <v>3970963</v>
      </c>
      <c r="F27">
        <v>1671</v>
      </c>
      <c r="G27">
        <v>23</v>
      </c>
      <c r="H27">
        <v>288</v>
      </c>
      <c r="I27">
        <f t="shared" si="0"/>
        <v>108</v>
      </c>
      <c r="J27">
        <v>4</v>
      </c>
      <c r="K27">
        <v>4</v>
      </c>
      <c r="L27" s="43">
        <v>4</v>
      </c>
      <c r="M27" s="26">
        <v>770</v>
      </c>
      <c r="N27">
        <v>0</v>
      </c>
      <c r="O27">
        <f>15*20</f>
        <v>300</v>
      </c>
      <c r="P27">
        <v>0</v>
      </c>
      <c r="Q27">
        <v>0</v>
      </c>
      <c r="R27">
        <v>26.98</v>
      </c>
      <c r="AD27" s="4"/>
      <c r="AE27" s="1">
        <v>38.1</v>
      </c>
      <c r="AF27" s="1">
        <v>4.88</v>
      </c>
      <c r="AG27" s="1" t="s">
        <v>58</v>
      </c>
      <c r="AH27" s="1">
        <v>32.5</v>
      </c>
      <c r="AI27" s="1">
        <v>18.100000000000001</v>
      </c>
      <c r="AJ27" s="1">
        <v>1</v>
      </c>
      <c r="AK27" s="1">
        <v>0</v>
      </c>
      <c r="AL27" s="1">
        <v>5</v>
      </c>
      <c r="AM27" s="34">
        <v>6.0000000000000001E-3</v>
      </c>
      <c r="AN27" s="6">
        <f>144*166.67</f>
        <v>24000.48</v>
      </c>
      <c r="AO27" s="6">
        <f>9*166.67</f>
        <v>1500.03</v>
      </c>
      <c r="AP27" s="1">
        <v>220</v>
      </c>
      <c r="AQ27" s="1">
        <v>0</v>
      </c>
      <c r="AR27" s="1">
        <v>0</v>
      </c>
      <c r="AS27" s="4">
        <f t="shared" si="8"/>
        <v>0.93312591395911337</v>
      </c>
      <c r="AT27" s="4">
        <f t="shared" si="9"/>
        <v>5.8320369622444586E-2</v>
      </c>
      <c r="AU27" s="4">
        <f t="shared" si="10"/>
        <v>8.5534831416290407E-3</v>
      </c>
      <c r="AV27" s="4">
        <f t="shared" si="11"/>
        <v>0</v>
      </c>
      <c r="AW27" s="4">
        <f t="shared" si="12"/>
        <v>0</v>
      </c>
      <c r="AX27" s="1">
        <v>0</v>
      </c>
      <c r="AY27" s="1">
        <v>0</v>
      </c>
      <c r="AZ27" s="1">
        <v>0</v>
      </c>
      <c r="BA27" s="1">
        <v>0</v>
      </c>
      <c r="BB27" s="52">
        <v>0.99166666666666659</v>
      </c>
      <c r="BC27" s="52">
        <v>0</v>
      </c>
      <c r="BD27" s="52">
        <v>4.0250000000000004</v>
      </c>
      <c r="BE27" s="51">
        <v>0.1744321453187323</v>
      </c>
      <c r="BF27" s="51">
        <v>1.046803516289367</v>
      </c>
      <c r="BG27" s="51">
        <v>0.29516204937751994</v>
      </c>
      <c r="BH27" s="51">
        <v>9.3809794845067191</v>
      </c>
      <c r="BI27" s="51">
        <v>10.897377195492339</v>
      </c>
      <c r="BJ27" t="s">
        <v>44</v>
      </c>
    </row>
    <row r="28" spans="1:63" ht="14.25" customHeight="1" x14ac:dyDescent="0.3">
      <c r="A28" s="1" t="s">
        <v>56</v>
      </c>
      <c r="B28" s="1">
        <v>12</v>
      </c>
      <c r="C28" s="3">
        <v>44795</v>
      </c>
      <c r="D28">
        <v>354458</v>
      </c>
      <c r="E28">
        <v>3971064</v>
      </c>
      <c r="F28">
        <v>1663</v>
      </c>
      <c r="G28">
        <v>20</v>
      </c>
      <c r="H28">
        <v>316</v>
      </c>
      <c r="I28">
        <f t="shared" si="0"/>
        <v>136</v>
      </c>
      <c r="J28">
        <v>4</v>
      </c>
      <c r="K28">
        <v>4</v>
      </c>
      <c r="L28" s="43">
        <v>4</v>
      </c>
      <c r="M28" s="26">
        <v>1009</v>
      </c>
      <c r="N28">
        <v>0</v>
      </c>
      <c r="O28">
        <f>16*20</f>
        <v>320</v>
      </c>
      <c r="P28">
        <v>0</v>
      </c>
      <c r="Q28">
        <v>0</v>
      </c>
      <c r="R28">
        <v>57.36</v>
      </c>
      <c r="AD28" s="4"/>
      <c r="AE28" s="1">
        <v>3</v>
      </c>
      <c r="AF28" s="1">
        <v>6.58</v>
      </c>
      <c r="AG28" s="1" t="s">
        <v>52</v>
      </c>
      <c r="AH28" s="1">
        <v>69.400000000000006</v>
      </c>
      <c r="AI28" s="1">
        <v>11.5</v>
      </c>
      <c r="AJ28" s="1">
        <v>0.2</v>
      </c>
      <c r="AK28" s="1">
        <v>0</v>
      </c>
      <c r="AL28" s="1">
        <v>1.7</v>
      </c>
      <c r="AM28" s="34">
        <v>6.0000000000000001E-3</v>
      </c>
      <c r="AN28" s="6">
        <f>3*166.67</f>
        <v>500.01</v>
      </c>
      <c r="AO28" s="6">
        <v>0</v>
      </c>
      <c r="AP28" s="1">
        <f>1*166.67</f>
        <v>166.67</v>
      </c>
      <c r="AQ28" s="1">
        <v>0</v>
      </c>
      <c r="AR28" s="1">
        <v>0</v>
      </c>
      <c r="AS28" s="4">
        <f t="shared" si="8"/>
        <v>0.74999325019574437</v>
      </c>
      <c r="AT28" s="4">
        <f t="shared" si="9"/>
        <v>0</v>
      </c>
      <c r="AU28" s="4">
        <f t="shared" si="10"/>
        <v>0.24999775006524813</v>
      </c>
      <c r="AV28" s="4">
        <f t="shared" si="11"/>
        <v>0</v>
      </c>
      <c r="AW28" s="4">
        <f t="shared" si="12"/>
        <v>0</v>
      </c>
      <c r="AX28" s="1">
        <v>0</v>
      </c>
      <c r="AY28" s="1">
        <v>0</v>
      </c>
      <c r="AZ28" s="1">
        <v>0</v>
      </c>
      <c r="BA28" s="1">
        <v>0</v>
      </c>
      <c r="BB28" s="52">
        <v>0.47499999999999998</v>
      </c>
      <c r="BC28" s="52">
        <v>0</v>
      </c>
      <c r="BD28" s="52">
        <v>0.95</v>
      </c>
      <c r="BE28" s="51">
        <v>5.0877181551873984E-2</v>
      </c>
      <c r="BF28" s="51">
        <v>0.44744445106373254</v>
      </c>
      <c r="BG28" s="51">
        <v>0.58669666503485796</v>
      </c>
      <c r="BH28" s="51">
        <v>1.8682599134308369</v>
      </c>
      <c r="BI28" s="51">
        <v>2.9532782110813014</v>
      </c>
      <c r="BJ28" t="s">
        <v>51</v>
      </c>
    </row>
    <row r="29" spans="1:63" ht="14.25" customHeight="1" x14ac:dyDescent="0.3">
      <c r="A29" s="1" t="s">
        <v>56</v>
      </c>
      <c r="B29" s="13">
        <v>13</v>
      </c>
      <c r="C29" s="3">
        <v>44768</v>
      </c>
      <c r="D29">
        <v>354654</v>
      </c>
      <c r="E29">
        <v>3971055</v>
      </c>
      <c r="F29">
        <v>1645</v>
      </c>
      <c r="G29">
        <v>20</v>
      </c>
      <c r="H29">
        <v>111</v>
      </c>
      <c r="I29">
        <f t="shared" si="0"/>
        <v>69</v>
      </c>
      <c r="J29">
        <v>4</v>
      </c>
      <c r="K29">
        <v>4</v>
      </c>
      <c r="L29" s="43">
        <v>4</v>
      </c>
      <c r="M29" s="13">
        <v>794</v>
      </c>
      <c r="N29">
        <v>0</v>
      </c>
      <c r="O29">
        <f>24*20</f>
        <v>480</v>
      </c>
      <c r="P29">
        <v>0</v>
      </c>
      <c r="Q29">
        <v>0</v>
      </c>
      <c r="R29">
        <v>64.13</v>
      </c>
      <c r="AD29" s="4"/>
      <c r="AE29" s="1">
        <v>6</v>
      </c>
      <c r="AF29" s="1">
        <v>0</v>
      </c>
      <c r="AG29" s="1" t="s">
        <v>50</v>
      </c>
      <c r="AH29" s="1">
        <v>44.8</v>
      </c>
      <c r="AI29" s="1">
        <v>42.9</v>
      </c>
      <c r="AJ29" s="1">
        <v>1.2</v>
      </c>
      <c r="AK29" s="1">
        <v>0</v>
      </c>
      <c r="AL29" s="1">
        <v>0</v>
      </c>
      <c r="AM29" s="34">
        <v>6.0000000000000001E-3</v>
      </c>
      <c r="AN29" s="6">
        <f>174*166.67</f>
        <v>29000.579999999998</v>
      </c>
      <c r="AO29" s="6">
        <f>41*166.67</f>
        <v>6833.4699999999993</v>
      </c>
      <c r="AP29">
        <f>9*166.67</f>
        <v>1500.03</v>
      </c>
      <c r="AQ29">
        <v>0</v>
      </c>
      <c r="AR29">
        <f>9*166.67</f>
        <v>1500.03</v>
      </c>
      <c r="AS29" s="4">
        <f t="shared" si="8"/>
        <v>0.74678100049966378</v>
      </c>
      <c r="AT29" s="4">
        <f t="shared" si="9"/>
        <v>0.17596563804877136</v>
      </c>
      <c r="AU29" s="4">
        <f t="shared" si="10"/>
        <v>3.8626603474120544E-2</v>
      </c>
      <c r="AV29" s="4">
        <f t="shared" si="11"/>
        <v>0</v>
      </c>
      <c r="AW29" s="4">
        <f t="shared" si="12"/>
        <v>3.8626603474120544E-2</v>
      </c>
      <c r="AX29">
        <v>0</v>
      </c>
      <c r="AY29">
        <v>0</v>
      </c>
      <c r="AZ29">
        <v>0</v>
      </c>
      <c r="BA29">
        <v>0</v>
      </c>
      <c r="BB29" s="52">
        <v>3.0083333333333333</v>
      </c>
      <c r="BC29" s="52">
        <v>0</v>
      </c>
      <c r="BD29" s="52">
        <v>3.583333333333333</v>
      </c>
      <c r="BE29" s="51">
        <v>0.18277735497596931</v>
      </c>
      <c r="BF29" s="51">
        <v>0.82148964601542007</v>
      </c>
      <c r="BG29" s="51">
        <v>0.29392599843715311</v>
      </c>
      <c r="BH29" s="51">
        <v>0</v>
      </c>
      <c r="BI29" s="51">
        <v>1.2981929994285426</v>
      </c>
      <c r="BJ29" t="s">
        <v>51</v>
      </c>
    </row>
    <row r="30" spans="1:63" ht="14.25" customHeight="1" x14ac:dyDescent="0.3">
      <c r="A30" s="1" t="s">
        <v>56</v>
      </c>
      <c r="B30" s="13">
        <v>14</v>
      </c>
      <c r="C30" s="3">
        <v>45133</v>
      </c>
      <c r="D30">
        <v>354756</v>
      </c>
      <c r="E30">
        <v>3971056</v>
      </c>
      <c r="F30">
        <v>1642</v>
      </c>
      <c r="G30">
        <v>21</v>
      </c>
      <c r="H30">
        <v>251</v>
      </c>
      <c r="I30">
        <f t="shared" si="0"/>
        <v>71</v>
      </c>
      <c r="J30">
        <v>3</v>
      </c>
      <c r="K30">
        <v>3</v>
      </c>
      <c r="L30" s="43">
        <v>4</v>
      </c>
      <c r="M30" s="13">
        <v>634</v>
      </c>
      <c r="N30">
        <v>0</v>
      </c>
      <c r="O30">
        <f>17*20</f>
        <v>340</v>
      </c>
      <c r="P30">
        <v>0</v>
      </c>
      <c r="Q30">
        <v>0</v>
      </c>
      <c r="R30">
        <v>24.4</v>
      </c>
      <c r="AD30" s="4"/>
      <c r="AE30" s="1">
        <v>19</v>
      </c>
      <c r="AF30" s="1">
        <v>0</v>
      </c>
      <c r="AG30" s="1" t="s">
        <v>50</v>
      </c>
      <c r="AH30" s="1">
        <v>35.799999999999997</v>
      </c>
      <c r="AI30" s="1">
        <v>50</v>
      </c>
      <c r="AJ30" s="1">
        <v>2.5</v>
      </c>
      <c r="AK30" s="1">
        <v>0</v>
      </c>
      <c r="AL30" s="1">
        <v>2.1</v>
      </c>
      <c r="AM30" s="34">
        <v>6.0000000000000001E-3</v>
      </c>
      <c r="AN30" s="6">
        <f>44*166.67</f>
        <v>7333.48</v>
      </c>
      <c r="AO30" s="6">
        <f>100*166.67</f>
        <v>16667</v>
      </c>
      <c r="AP30" s="1">
        <f>58*166.67</f>
        <v>9666.8599999999988</v>
      </c>
      <c r="AQ30" s="1">
        <v>30</v>
      </c>
      <c r="AR30" s="1">
        <v>0</v>
      </c>
      <c r="AS30" s="4">
        <f t="shared" si="8"/>
        <v>0.21762782149074886</v>
      </c>
      <c r="AT30" s="4">
        <f t="shared" si="9"/>
        <v>0.49460868520624746</v>
      </c>
      <c r="AU30" s="4">
        <f t="shared" si="10"/>
        <v>0.2868730374196235</v>
      </c>
      <c r="AV30" s="4">
        <f t="shared" si="11"/>
        <v>8.9027782781468906E-4</v>
      </c>
      <c r="AW30" s="4">
        <f t="shared" si="12"/>
        <v>0</v>
      </c>
      <c r="AX30" s="1">
        <v>0</v>
      </c>
      <c r="AY30" s="1">
        <v>0</v>
      </c>
      <c r="AZ30" s="1">
        <v>0</v>
      </c>
      <c r="BA30" s="1">
        <v>0</v>
      </c>
      <c r="BB30" s="52">
        <v>1.0250000000000001</v>
      </c>
      <c r="BC30" s="52">
        <v>0</v>
      </c>
      <c r="BD30" s="52">
        <v>1.1083333333333334</v>
      </c>
      <c r="BE30" s="51">
        <v>6.8834593599840677E-2</v>
      </c>
      <c r="BF30" s="51">
        <v>0.52304649292310967</v>
      </c>
      <c r="BG30" s="51">
        <v>0.29392599843715311</v>
      </c>
      <c r="BH30" s="51">
        <v>5.8170012450666908</v>
      </c>
      <c r="BI30" s="51">
        <v>6.7028083300267944</v>
      </c>
      <c r="BJ30" t="s">
        <v>44</v>
      </c>
    </row>
    <row r="31" spans="1:63" ht="14.25" customHeight="1" x14ac:dyDescent="0.3">
      <c r="A31" s="1" t="s">
        <v>56</v>
      </c>
      <c r="B31" s="1">
        <v>15</v>
      </c>
      <c r="C31" s="3">
        <v>44795</v>
      </c>
      <c r="D31">
        <v>354565</v>
      </c>
      <c r="E31">
        <v>3971346</v>
      </c>
      <c r="F31">
        <v>1592</v>
      </c>
      <c r="G31">
        <v>18</v>
      </c>
      <c r="H31">
        <v>6</v>
      </c>
      <c r="I31">
        <f t="shared" si="0"/>
        <v>174</v>
      </c>
      <c r="J31">
        <v>2</v>
      </c>
      <c r="K31">
        <v>2</v>
      </c>
      <c r="L31" s="43">
        <v>3</v>
      </c>
      <c r="M31" s="1">
        <v>292</v>
      </c>
      <c r="N31">
        <f>8*20</f>
        <v>160</v>
      </c>
      <c r="O31">
        <f>20*20</f>
        <v>400</v>
      </c>
      <c r="P31">
        <v>20</v>
      </c>
      <c r="Q31">
        <v>37.61</v>
      </c>
      <c r="R31">
        <v>32.79</v>
      </c>
      <c r="S31" s="40">
        <v>0</v>
      </c>
      <c r="T31" s="40">
        <v>0.25</v>
      </c>
      <c r="U31" s="40">
        <v>0.75</v>
      </c>
      <c r="V31" s="40">
        <v>0</v>
      </c>
      <c r="W31" s="40">
        <v>0</v>
      </c>
      <c r="X31" s="4">
        <f t="shared" ref="X31:X39" si="13">T31+U31</f>
        <v>1</v>
      </c>
      <c r="Y31" s="40">
        <v>0</v>
      </c>
      <c r="Z31" s="40">
        <f>6.27/Q31</f>
        <v>0.166710981122042</v>
      </c>
      <c r="AA31" s="40">
        <f>31.35/Q31</f>
        <v>0.83355490561021006</v>
      </c>
      <c r="AB31" s="40">
        <v>0</v>
      </c>
      <c r="AC31" s="40">
        <v>0</v>
      </c>
      <c r="AD31" s="4">
        <f t="shared" ref="AD31:AD39" si="14">Z31+AA31</f>
        <v>1.000265886732252</v>
      </c>
      <c r="AE31" s="1">
        <v>7.5</v>
      </c>
      <c r="AF31" s="1">
        <v>0.83</v>
      </c>
      <c r="AG31" s="1">
        <v>0.3</v>
      </c>
      <c r="AH31" s="1">
        <v>38</v>
      </c>
      <c r="AI31" s="1">
        <v>27.9</v>
      </c>
      <c r="AJ31" s="1">
        <v>0</v>
      </c>
      <c r="AK31" s="1">
        <v>0</v>
      </c>
      <c r="AM31" s="34">
        <v>6.0000000000000001E-3</v>
      </c>
      <c r="AN31" s="6">
        <f>7*166.67</f>
        <v>1166.6899999999998</v>
      </c>
      <c r="AO31" s="6">
        <f>14*166.67</f>
        <v>2333.3799999999997</v>
      </c>
      <c r="AP31" s="1">
        <f>329*166.67</f>
        <v>54834.429999999993</v>
      </c>
      <c r="AQ31" s="1">
        <v>0</v>
      </c>
      <c r="AR31" s="1">
        <v>0</v>
      </c>
      <c r="AS31" s="4">
        <f t="shared" si="8"/>
        <v>1.9999997942898494E-2</v>
      </c>
      <c r="AT31" s="4">
        <f t="shared" si="9"/>
        <v>3.9999995885796988E-2</v>
      </c>
      <c r="AU31" s="4">
        <f t="shared" si="10"/>
        <v>0.93999990331622929</v>
      </c>
      <c r="AV31" s="4">
        <f t="shared" si="11"/>
        <v>0</v>
      </c>
      <c r="AW31" s="4">
        <f t="shared" si="12"/>
        <v>0</v>
      </c>
      <c r="AX31" s="1">
        <v>0</v>
      </c>
      <c r="AY31" s="1">
        <v>0</v>
      </c>
      <c r="AZ31" s="1">
        <v>0</v>
      </c>
      <c r="BA31" s="1">
        <v>0</v>
      </c>
      <c r="BB31" s="52">
        <v>1.4770833333333333</v>
      </c>
      <c r="BC31" s="52">
        <v>0.16666666666666669</v>
      </c>
      <c r="BD31" s="52">
        <v>4.4291666666666671</v>
      </c>
      <c r="BE31" s="51">
        <v>0.14227023888965173</v>
      </c>
      <c r="BF31" s="51">
        <v>0.973945785874056</v>
      </c>
      <c r="BG31" s="51">
        <v>1.0140965835124482</v>
      </c>
      <c r="BH31" s="51">
        <v>3.4892501324370038</v>
      </c>
      <c r="BI31" s="51">
        <v>5.6195627407131594</v>
      </c>
      <c r="BJ31" t="s">
        <v>53</v>
      </c>
    </row>
    <row r="32" spans="1:63" ht="14.25" customHeight="1" x14ac:dyDescent="0.3">
      <c r="A32" s="1" t="s">
        <v>62</v>
      </c>
      <c r="B32" s="9">
        <v>1</v>
      </c>
      <c r="C32" s="3">
        <v>44749</v>
      </c>
      <c r="D32" s="23">
        <v>355448.37721300003</v>
      </c>
      <c r="E32" s="23">
        <v>3982411.4615509999</v>
      </c>
      <c r="F32">
        <v>1950</v>
      </c>
      <c r="G32" s="24"/>
      <c r="H32" s="24"/>
      <c r="I32" s="24"/>
      <c r="J32">
        <v>1</v>
      </c>
      <c r="K32">
        <v>1</v>
      </c>
      <c r="L32" s="43">
        <v>2</v>
      </c>
      <c r="M32" s="36">
        <v>109</v>
      </c>
      <c r="N32">
        <f>16*20</f>
        <v>320</v>
      </c>
      <c r="O32">
        <f>13*20</f>
        <v>260</v>
      </c>
      <c r="P32">
        <v>40</v>
      </c>
      <c r="Q32">
        <v>43.12</v>
      </c>
      <c r="R32">
        <v>5.2</v>
      </c>
      <c r="S32" s="40">
        <f>1/17</f>
        <v>5.8823529411764705E-2</v>
      </c>
      <c r="T32" s="40">
        <f>15/17</f>
        <v>0.88235294117647056</v>
      </c>
      <c r="U32" s="40">
        <f>1/17</f>
        <v>5.8823529411764705E-2</v>
      </c>
      <c r="V32" s="40">
        <v>0</v>
      </c>
      <c r="W32" s="40">
        <v>0</v>
      </c>
      <c r="X32" s="4">
        <f t="shared" si="13"/>
        <v>0.94117647058823528</v>
      </c>
      <c r="Y32" s="42">
        <f>0.04/Q32</f>
        <v>9.2764378478664205E-4</v>
      </c>
      <c r="Z32" s="42">
        <f>42.51/Q32</f>
        <v>0.98585343228200373</v>
      </c>
      <c r="AA32" s="42">
        <f>0.62/Q32</f>
        <v>1.4378478664192951E-2</v>
      </c>
      <c r="AB32" s="40">
        <v>0</v>
      </c>
      <c r="AC32" s="40">
        <v>0</v>
      </c>
      <c r="AD32" s="4">
        <f t="shared" si="14"/>
        <v>1.0002319109461966</v>
      </c>
      <c r="AE32" s="1">
        <v>0</v>
      </c>
      <c r="AF32" s="1">
        <v>0.4</v>
      </c>
      <c r="AG32" s="1" t="s">
        <v>50</v>
      </c>
      <c r="AH32" s="1">
        <v>5.8</v>
      </c>
      <c r="AI32" s="1">
        <v>50</v>
      </c>
      <c r="AM32" s="22"/>
      <c r="AN32" s="16"/>
      <c r="AO32" s="16"/>
      <c r="AP32" s="16"/>
      <c r="AQ32" s="16"/>
      <c r="AR32" s="16"/>
      <c r="AS32" s="18"/>
      <c r="AT32" s="18"/>
      <c r="AU32" s="18"/>
      <c r="AV32" s="18"/>
      <c r="AW32" s="18"/>
      <c r="AX32" s="25"/>
      <c r="AY32" s="25"/>
      <c r="AZ32" s="25"/>
      <c r="BA32" s="25"/>
      <c r="BB32" s="52">
        <v>1.6166666666666667</v>
      </c>
      <c r="BC32" s="52">
        <v>0</v>
      </c>
      <c r="BD32" s="52">
        <v>10.691666666666666</v>
      </c>
      <c r="BE32" s="52">
        <v>0.17945216892712562</v>
      </c>
      <c r="BF32" s="52">
        <v>0.58643869232836543</v>
      </c>
      <c r="BG32" s="52">
        <v>0.28835559158670404</v>
      </c>
      <c r="BH32" s="51">
        <v>0</v>
      </c>
      <c r="BI32" s="51">
        <v>1.0542464528421951</v>
      </c>
      <c r="BJ32" s="24"/>
      <c r="BK32" t="s">
        <v>788</v>
      </c>
    </row>
    <row r="33" spans="1:63" ht="14.25" customHeight="1" x14ac:dyDescent="0.3">
      <c r="A33" s="1" t="s">
        <v>62</v>
      </c>
      <c r="B33" s="1">
        <v>2</v>
      </c>
      <c r="C33" s="3">
        <v>44749</v>
      </c>
      <c r="D33" s="23">
        <v>355648.37721300003</v>
      </c>
      <c r="E33" s="23">
        <v>3982611.4615509999</v>
      </c>
      <c r="F33">
        <v>1922</v>
      </c>
      <c r="G33" s="24"/>
      <c r="H33" s="24"/>
      <c r="I33" s="24"/>
      <c r="J33">
        <v>1</v>
      </c>
      <c r="K33">
        <v>1</v>
      </c>
      <c r="L33" s="43">
        <v>2</v>
      </c>
      <c r="M33" s="1">
        <v>146</v>
      </c>
      <c r="N33">
        <f>14*20</f>
        <v>280</v>
      </c>
      <c r="O33">
        <f>21*20</f>
        <v>420</v>
      </c>
      <c r="P33">
        <v>0</v>
      </c>
      <c r="Q33">
        <v>38.159999999999997</v>
      </c>
      <c r="R33">
        <v>7.09</v>
      </c>
      <c r="S33" s="62">
        <v>0</v>
      </c>
      <c r="T33" s="40">
        <f>8/13</f>
        <v>0.61538461538461542</v>
      </c>
      <c r="U33" s="40">
        <f>4/13</f>
        <v>0.30769230769230771</v>
      </c>
      <c r="V33" s="40">
        <f>1/13</f>
        <v>7.6923076923076927E-2</v>
      </c>
      <c r="W33" s="40">
        <v>0</v>
      </c>
      <c r="X33" s="4">
        <f t="shared" si="13"/>
        <v>0.92307692307692313</v>
      </c>
      <c r="Y33" s="40">
        <v>0</v>
      </c>
      <c r="Z33" s="40">
        <f>30.87/Q33</f>
        <v>0.80896226415094352</v>
      </c>
      <c r="AA33" s="40">
        <f>4.11/Q33</f>
        <v>0.10770440251572329</v>
      </c>
      <c r="AB33" s="40">
        <f>3.18/Q33</f>
        <v>8.3333333333333343E-2</v>
      </c>
      <c r="AC33" s="40">
        <v>0</v>
      </c>
      <c r="AD33" s="4">
        <f t="shared" si="14"/>
        <v>0.91666666666666685</v>
      </c>
      <c r="AE33" s="1">
        <v>0</v>
      </c>
      <c r="AF33" s="1">
        <v>0</v>
      </c>
      <c r="AG33" s="1" t="s">
        <v>50</v>
      </c>
      <c r="AH33" s="1">
        <v>10.4</v>
      </c>
      <c r="AI33" s="1">
        <v>42.1</v>
      </c>
      <c r="AJ33">
        <v>6.9</v>
      </c>
      <c r="AK33">
        <v>0</v>
      </c>
      <c r="AM33" s="34">
        <v>6.0000000000000001E-3</v>
      </c>
      <c r="AN33" s="6">
        <f>104*166.67</f>
        <v>17333.68</v>
      </c>
      <c r="AO33" s="6">
        <f>153*166.67</f>
        <v>25500.51</v>
      </c>
      <c r="AP33" s="1">
        <f>125*166.67</f>
        <v>20833.75</v>
      </c>
      <c r="AQ33" s="1">
        <f>(645+19)*166.67</f>
        <v>110668.87999999999</v>
      </c>
      <c r="AR33" s="1">
        <f>12*166.67</f>
        <v>2000.04</v>
      </c>
      <c r="AS33" s="4">
        <f>AN33/SUM(AM33:AR33)</f>
        <v>9.8298673403892742E-2</v>
      </c>
      <c r="AT33" s="4">
        <f>AO33/SUM(AM33:AR33)</f>
        <v>0.14461247144995759</v>
      </c>
      <c r="AU33" s="4">
        <f>AP33/SUM(AM33:AR33)</f>
        <v>0.1181474439950634</v>
      </c>
      <c r="AV33" s="4">
        <f>AQ33/SUM(AM33:AR33)</f>
        <v>0.62759922250177669</v>
      </c>
      <c r="AW33" s="4">
        <f>AR33/SUM(AM33:AR33)</f>
        <v>1.1342154623526085E-2</v>
      </c>
      <c r="AX33" s="1">
        <v>0</v>
      </c>
      <c r="AY33" s="1">
        <v>0</v>
      </c>
      <c r="AZ33" s="1">
        <v>0</v>
      </c>
      <c r="BA33" s="1">
        <v>0</v>
      </c>
      <c r="BB33" s="52">
        <v>1.9166666666666667</v>
      </c>
      <c r="BC33" s="52">
        <v>8.3333333333333329E-2</v>
      </c>
      <c r="BD33" s="52">
        <v>3</v>
      </c>
      <c r="BE33" s="52">
        <v>0.10296435922048192</v>
      </c>
      <c r="BF33" s="52">
        <v>0.51313385578731974</v>
      </c>
      <c r="BG33" s="52">
        <v>0</v>
      </c>
      <c r="BH33" s="51">
        <v>6.6299873677876837</v>
      </c>
      <c r="BI33" s="51">
        <v>7.2460855827954855</v>
      </c>
      <c r="BJ33" s="24"/>
      <c r="BK33" t="s">
        <v>788</v>
      </c>
    </row>
    <row r="34" spans="1:63" ht="14.25" customHeight="1" x14ac:dyDescent="0.3">
      <c r="A34" s="1" t="s">
        <v>62</v>
      </c>
      <c r="B34" s="1">
        <v>3</v>
      </c>
      <c r="C34" s="3">
        <v>44748</v>
      </c>
      <c r="D34" s="23">
        <v>355848.37721300003</v>
      </c>
      <c r="E34" s="23">
        <v>3982611.4615509999</v>
      </c>
      <c r="F34">
        <v>1912</v>
      </c>
      <c r="G34" s="24"/>
      <c r="H34" s="24"/>
      <c r="I34" s="24"/>
      <c r="J34">
        <v>2</v>
      </c>
      <c r="K34">
        <v>2</v>
      </c>
      <c r="L34" s="43">
        <v>3</v>
      </c>
      <c r="M34" s="1">
        <v>338</v>
      </c>
      <c r="N34">
        <f>12*20</f>
        <v>240</v>
      </c>
      <c r="O34">
        <f>8*20</f>
        <v>160</v>
      </c>
      <c r="P34">
        <v>20</v>
      </c>
      <c r="Q34">
        <v>77.52</v>
      </c>
      <c r="R34">
        <v>26.38</v>
      </c>
      <c r="S34" s="40">
        <v>0</v>
      </c>
      <c r="T34" s="40">
        <f>5/12</f>
        <v>0.41666666666666669</v>
      </c>
      <c r="U34" s="40">
        <f>6/12</f>
        <v>0.5</v>
      </c>
      <c r="V34" s="40">
        <f>1/12</f>
        <v>8.3333333333333329E-2</v>
      </c>
      <c r="W34" s="40">
        <v>0</v>
      </c>
      <c r="X34" s="4">
        <f t="shared" si="13"/>
        <v>0.91666666666666674</v>
      </c>
      <c r="Y34" s="40">
        <v>0</v>
      </c>
      <c r="Z34" s="40">
        <f>15.03/Q34</f>
        <v>0.19388544891640866</v>
      </c>
      <c r="AA34" s="40">
        <f>60.78/Q34</f>
        <v>0.78405572755417963</v>
      </c>
      <c r="AB34" s="40">
        <f>1.71/Q34</f>
        <v>2.2058823529411766E-2</v>
      </c>
      <c r="AC34" s="40">
        <v>0</v>
      </c>
      <c r="AD34" s="4">
        <f t="shared" si="14"/>
        <v>0.97794117647058831</v>
      </c>
      <c r="AE34" s="1">
        <v>0</v>
      </c>
      <c r="AF34" s="1">
        <v>0</v>
      </c>
      <c r="AG34" s="1" t="s">
        <v>50</v>
      </c>
      <c r="AH34" s="1">
        <v>70</v>
      </c>
      <c r="AI34" s="1">
        <v>35.4</v>
      </c>
      <c r="AM34" s="34">
        <v>6.0000000000000001E-3</v>
      </c>
      <c r="AN34" s="6">
        <f>11*167.67</f>
        <v>1844.37</v>
      </c>
      <c r="AO34" s="6">
        <v>0</v>
      </c>
      <c r="AP34" s="1">
        <f>23*166.67</f>
        <v>3833.41</v>
      </c>
      <c r="AQ34" s="1">
        <f>(78+58)*166.67</f>
        <v>22667.119999999999</v>
      </c>
      <c r="AR34" s="1">
        <v>10</v>
      </c>
      <c r="AS34" s="4">
        <f>AN34/SUM(AM34:AR34)</f>
        <v>6.5045886591900526E-2</v>
      </c>
      <c r="AT34" s="4">
        <f>AO34/SUM(AM34:AR34)</f>
        <v>0</v>
      </c>
      <c r="AU34" s="4">
        <f>AP34/SUM(AM34:AR34)</f>
        <v>0.13519388849322936</v>
      </c>
      <c r="AV34" s="4">
        <f>AQ34/SUM(AM34:AR34)</f>
        <v>0.79940734065561703</v>
      </c>
      <c r="AW34" s="4">
        <f>AR34/SUM(AM34:AR34)</f>
        <v>3.5267265565965905E-4</v>
      </c>
      <c r="AX34" s="1">
        <v>0</v>
      </c>
      <c r="AY34" s="1">
        <v>0</v>
      </c>
      <c r="AZ34" s="1">
        <v>0</v>
      </c>
      <c r="BA34" s="1">
        <v>0</v>
      </c>
      <c r="BB34" s="52">
        <v>1.25</v>
      </c>
      <c r="BC34" s="52">
        <v>0.58333333333333337</v>
      </c>
      <c r="BD34" s="52">
        <v>2.4166666666666665</v>
      </c>
      <c r="BE34" s="52">
        <v>0.16768481358764198</v>
      </c>
      <c r="BF34" s="52">
        <v>1.4660967308209134</v>
      </c>
      <c r="BG34" s="52">
        <v>2.0184891411069286</v>
      </c>
      <c r="BH34" s="51">
        <v>8.0018671068662428</v>
      </c>
      <c r="BI34" s="51">
        <v>11.654137792381727</v>
      </c>
      <c r="BJ34" s="24"/>
      <c r="BK34" t="s">
        <v>788</v>
      </c>
    </row>
    <row r="35" spans="1:63" ht="14.25" customHeight="1" x14ac:dyDescent="0.3">
      <c r="A35" s="1" t="s">
        <v>62</v>
      </c>
      <c r="B35" s="1">
        <v>4</v>
      </c>
      <c r="C35" s="3">
        <v>44740</v>
      </c>
      <c r="D35">
        <v>356049</v>
      </c>
      <c r="E35">
        <v>3982633</v>
      </c>
      <c r="F35">
        <v>1893</v>
      </c>
      <c r="G35">
        <v>6</v>
      </c>
      <c r="H35">
        <v>34</v>
      </c>
      <c r="I35">
        <f>ABS(180-H35)</f>
        <v>146</v>
      </c>
      <c r="J35">
        <v>1</v>
      </c>
      <c r="K35">
        <v>1</v>
      </c>
      <c r="L35" s="43">
        <v>4</v>
      </c>
      <c r="M35" s="26">
        <v>-27</v>
      </c>
      <c r="N35">
        <f>10*20</f>
        <v>200</v>
      </c>
      <c r="O35">
        <f>13*20</f>
        <v>260</v>
      </c>
      <c r="P35">
        <v>0</v>
      </c>
      <c r="Q35">
        <v>22.04</v>
      </c>
      <c r="R35">
        <v>87.96</v>
      </c>
      <c r="S35" s="40">
        <v>0</v>
      </c>
      <c r="T35" s="40">
        <f>7/10</f>
        <v>0.7</v>
      </c>
      <c r="U35" s="40">
        <f>1/10</f>
        <v>0.1</v>
      </c>
      <c r="V35" s="40">
        <v>0</v>
      </c>
      <c r="W35" s="40">
        <f>1/10</f>
        <v>0.1</v>
      </c>
      <c r="X35" s="4">
        <f t="shared" si="13"/>
        <v>0.79999999999999993</v>
      </c>
      <c r="Y35" s="40">
        <v>0</v>
      </c>
      <c r="Z35" s="40">
        <f>18.18/Q35</f>
        <v>0.82486388384754994</v>
      </c>
      <c r="AA35" s="40">
        <f>0.82/Q35</f>
        <v>3.720508166969147E-2</v>
      </c>
      <c r="AB35" s="40">
        <f>2.6/Q35</f>
        <v>0.11796733212341198</v>
      </c>
      <c r="AC35" s="40">
        <f>0.43/Q35</f>
        <v>1.9509981851179675E-2</v>
      </c>
      <c r="AD35" s="4">
        <f t="shared" si="14"/>
        <v>0.86206896551724144</v>
      </c>
      <c r="AE35" s="1">
        <v>3.6</v>
      </c>
      <c r="AF35" s="1">
        <v>0.42</v>
      </c>
      <c r="AG35" s="1" t="s">
        <v>50</v>
      </c>
      <c r="AH35" s="1">
        <v>4.0999999999999996</v>
      </c>
      <c r="AI35" s="1">
        <v>54.4</v>
      </c>
      <c r="AJ35" s="1">
        <v>8.3000000000000007</v>
      </c>
      <c r="AK35" s="1">
        <v>0</v>
      </c>
      <c r="AL35" s="1">
        <v>15.2</v>
      </c>
      <c r="AM35" s="33">
        <v>0.1</v>
      </c>
      <c r="AN35" s="1">
        <v>0</v>
      </c>
      <c r="AO35" s="1">
        <v>0</v>
      </c>
      <c r="AP35" s="1">
        <v>0</v>
      </c>
      <c r="AQ35" s="1">
        <v>0</v>
      </c>
      <c r="AR35" s="1">
        <v>10</v>
      </c>
      <c r="AS35" s="4">
        <f>AN35/SUM(AM35:AR35)</f>
        <v>0</v>
      </c>
      <c r="AT35" s="4">
        <f>AO35/SUM(AM35:AR35)</f>
        <v>0</v>
      </c>
      <c r="AU35" s="4">
        <f>AP35/SUM(AM35:AR35)</f>
        <v>0</v>
      </c>
      <c r="AV35" s="4">
        <f>AQ35/SUM(AM35:AR35)</f>
        <v>0</v>
      </c>
      <c r="AW35" s="4">
        <f>AR35/SUM(AM35:AR35)</f>
        <v>0.99009900990099009</v>
      </c>
      <c r="AX35" s="1">
        <v>0</v>
      </c>
      <c r="AY35" s="1">
        <v>20</v>
      </c>
      <c r="AZ35" s="1">
        <v>0</v>
      </c>
      <c r="BA35" s="1">
        <v>1</v>
      </c>
      <c r="BB35" s="54">
        <v>0.65</v>
      </c>
      <c r="BC35" s="54">
        <v>0.16666666666666666</v>
      </c>
      <c r="BD35" s="54">
        <v>6.45</v>
      </c>
      <c r="BE35" s="53">
        <v>4.4099030218215284E-2</v>
      </c>
      <c r="BF35" s="53">
        <v>1.1721184862371536</v>
      </c>
      <c r="BG35" s="53">
        <v>0.28816901402489409</v>
      </c>
      <c r="BH35" s="51">
        <v>26.887007595318909</v>
      </c>
      <c r="BI35" s="51">
        <v>28.391394125799174</v>
      </c>
      <c r="BJ35" t="s">
        <v>51</v>
      </c>
      <c r="BK35" s="1" t="s">
        <v>63</v>
      </c>
    </row>
    <row r="36" spans="1:63" ht="14.25" customHeight="1" x14ac:dyDescent="0.3">
      <c r="A36" s="1" t="s">
        <v>62</v>
      </c>
      <c r="B36" s="9">
        <v>5</v>
      </c>
      <c r="C36" s="3">
        <v>44738</v>
      </c>
      <c r="D36">
        <v>356260</v>
      </c>
      <c r="E36">
        <v>3982626</v>
      </c>
      <c r="F36">
        <v>1892</v>
      </c>
      <c r="G36">
        <v>3</v>
      </c>
      <c r="H36">
        <v>346</v>
      </c>
      <c r="I36">
        <f>ABS(180-H36)</f>
        <v>166</v>
      </c>
      <c r="J36">
        <v>1</v>
      </c>
      <c r="K36">
        <v>1</v>
      </c>
      <c r="L36" s="43">
        <v>3</v>
      </c>
      <c r="M36" s="36">
        <v>175</v>
      </c>
      <c r="N36">
        <f>15*20</f>
        <v>300</v>
      </c>
      <c r="O36">
        <f>25*20</f>
        <v>500</v>
      </c>
      <c r="P36">
        <v>20</v>
      </c>
      <c r="Q36">
        <v>41.78</v>
      </c>
      <c r="R36">
        <v>115.78</v>
      </c>
      <c r="S36" s="40">
        <v>0</v>
      </c>
      <c r="T36" s="40">
        <f>2/15</f>
        <v>0.13333333333333333</v>
      </c>
      <c r="U36" s="40">
        <f>12/15</f>
        <v>0.8</v>
      </c>
      <c r="V36" s="40">
        <v>0</v>
      </c>
      <c r="W36" s="40">
        <f>1/15</f>
        <v>6.6666666666666666E-2</v>
      </c>
      <c r="X36" s="4">
        <f t="shared" si="13"/>
        <v>0.93333333333333335</v>
      </c>
      <c r="Y36" s="40">
        <v>0</v>
      </c>
      <c r="Z36" s="40">
        <f>4.34/Q36</f>
        <v>0.10387745332695068</v>
      </c>
      <c r="AA36" s="40">
        <f>28.01/Q36</f>
        <v>0.67041646720919101</v>
      </c>
      <c r="AB36" s="40">
        <v>0</v>
      </c>
      <c r="AC36" s="40">
        <f>9.43/Q36</f>
        <v>0.22570607946385829</v>
      </c>
      <c r="AD36" s="4">
        <f t="shared" si="14"/>
        <v>0.77429392053614166</v>
      </c>
      <c r="AE36" s="1">
        <v>11.5</v>
      </c>
      <c r="AF36" s="1">
        <v>9.3800000000000008</v>
      </c>
      <c r="AG36" s="1" t="s">
        <v>50</v>
      </c>
      <c r="AH36" s="1">
        <v>19</v>
      </c>
      <c r="AI36" s="1">
        <v>48.2</v>
      </c>
      <c r="AJ36" s="1">
        <v>0.3</v>
      </c>
      <c r="AK36" s="1">
        <v>2.21</v>
      </c>
      <c r="AL36" s="1">
        <v>6.7</v>
      </c>
      <c r="AM36" s="22"/>
      <c r="AN36" s="16"/>
      <c r="AO36" s="16"/>
      <c r="AP36" s="16"/>
      <c r="AQ36" s="16"/>
      <c r="AR36" s="16"/>
      <c r="AS36" s="18"/>
      <c r="AT36" s="18"/>
      <c r="AU36" s="18"/>
      <c r="AV36" s="18"/>
      <c r="AW36" s="18"/>
      <c r="AX36" s="24"/>
      <c r="AY36" s="24"/>
      <c r="AZ36" s="24"/>
      <c r="BA36" s="24"/>
      <c r="BB36" s="54">
        <v>2.3833333333333333</v>
      </c>
      <c r="BC36" s="54">
        <v>0.83333333333333337</v>
      </c>
      <c r="BD36" s="54">
        <v>9.7083333333333339</v>
      </c>
      <c r="BE36" s="53">
        <v>7.9271406231655128E-2</v>
      </c>
      <c r="BF36" s="53">
        <v>1.755811110704784</v>
      </c>
      <c r="BG36" s="53">
        <v>0.86334336080657836</v>
      </c>
      <c r="BH36" s="51">
        <v>51.143615130169159</v>
      </c>
      <c r="BI36" s="51">
        <v>53.842041007912179</v>
      </c>
      <c r="BJ36" t="s">
        <v>44</v>
      </c>
      <c r="BK36" s="1" t="s">
        <v>64</v>
      </c>
    </row>
    <row r="37" spans="1:63" ht="14.25" customHeight="1" x14ac:dyDescent="0.3">
      <c r="A37" s="1" t="s">
        <v>62</v>
      </c>
      <c r="B37" s="1">
        <v>6</v>
      </c>
      <c r="C37" s="3">
        <v>44750</v>
      </c>
      <c r="D37" s="23">
        <v>355648.37721300003</v>
      </c>
      <c r="E37" s="23">
        <v>3982811.4615509999</v>
      </c>
      <c r="F37">
        <v>1962</v>
      </c>
      <c r="G37" s="24"/>
      <c r="H37" s="24"/>
      <c r="I37" s="24"/>
      <c r="J37">
        <v>2.5</v>
      </c>
      <c r="K37">
        <v>3</v>
      </c>
      <c r="L37" s="43">
        <v>3</v>
      </c>
      <c r="M37" s="26">
        <v>476</v>
      </c>
      <c r="N37">
        <f>12*20</f>
        <v>240</v>
      </c>
      <c r="O37">
        <f>9*20</f>
        <v>180</v>
      </c>
      <c r="P37">
        <v>40</v>
      </c>
      <c r="Q37">
        <v>39.74</v>
      </c>
      <c r="R37">
        <v>19.36</v>
      </c>
      <c r="S37" s="40">
        <v>0</v>
      </c>
      <c r="T37" s="40">
        <f>8/12</f>
        <v>0.66666666666666663</v>
      </c>
      <c r="U37" s="40">
        <f>1/12</f>
        <v>8.3333333333333329E-2</v>
      </c>
      <c r="V37" s="40">
        <f>3/12</f>
        <v>0.25</v>
      </c>
      <c r="W37" s="40">
        <v>0</v>
      </c>
      <c r="X37" s="4">
        <f t="shared" si="13"/>
        <v>0.75</v>
      </c>
      <c r="Y37" s="40">
        <v>0</v>
      </c>
      <c r="Z37" s="40">
        <f>12.13/Q37</f>
        <v>0.30523402113739306</v>
      </c>
      <c r="AA37" s="40">
        <f>0.65/Q37</f>
        <v>1.6356316054353295E-2</v>
      </c>
      <c r="AB37" s="40">
        <f>26.96/Q37</f>
        <v>0.67840966280825366</v>
      </c>
      <c r="AC37" s="40">
        <v>0</v>
      </c>
      <c r="AD37" s="4">
        <f t="shared" si="14"/>
        <v>0.32159033719174634</v>
      </c>
      <c r="AM37" s="34">
        <v>6.0000000000000001E-3</v>
      </c>
      <c r="AN37" s="12">
        <f>23*166.67</f>
        <v>3833.41</v>
      </c>
      <c r="AO37" s="1">
        <f>47*166.67</f>
        <v>7833.49</v>
      </c>
      <c r="AP37" s="1">
        <f>13*166.67</f>
        <v>2166.71</v>
      </c>
      <c r="AQ37" s="1">
        <f>530</f>
        <v>530</v>
      </c>
      <c r="AS37" s="4">
        <f>AN37/SUM(AM37:AR37)</f>
        <v>0.26688335304981703</v>
      </c>
      <c r="AT37" s="4">
        <f>AO37/SUM(AM37:AR37)</f>
        <v>0.54537033014527825</v>
      </c>
      <c r="AU37" s="4">
        <f>AP37/SUM(AM37:AR37)</f>
        <v>0.15084711259337483</v>
      </c>
      <c r="AV37" s="4">
        <f>AQ37/SUM(AM37:AR37)</f>
        <v>3.6898786489418828E-2</v>
      </c>
      <c r="AW37" s="4">
        <f>AR37/SUM(AM37:AR37)</f>
        <v>0</v>
      </c>
      <c r="AX37" s="1">
        <v>0</v>
      </c>
      <c r="AY37" s="1">
        <v>0</v>
      </c>
      <c r="AZ37" s="1">
        <v>0</v>
      </c>
      <c r="BA37" s="1">
        <v>0</v>
      </c>
      <c r="BB37" s="54">
        <v>3.2583333333333333</v>
      </c>
      <c r="BC37" s="54">
        <v>0</v>
      </c>
      <c r="BD37" s="54">
        <v>8.591666666666665</v>
      </c>
      <c r="BE37" s="54">
        <v>4.9929076456457853E-2</v>
      </c>
      <c r="BF37" s="54">
        <v>1.0245812410736963</v>
      </c>
      <c r="BG37" s="54">
        <v>2.5909356195238926</v>
      </c>
      <c r="BH37" s="51">
        <v>5.614968167516488</v>
      </c>
      <c r="BI37" s="51">
        <v>9.2804141045705357</v>
      </c>
      <c r="BJ37" s="24"/>
      <c r="BK37" t="s">
        <v>788</v>
      </c>
    </row>
    <row r="38" spans="1:63" ht="14.25" customHeight="1" x14ac:dyDescent="0.3">
      <c r="A38" s="1" t="s">
        <v>62</v>
      </c>
      <c r="B38" s="1">
        <v>7</v>
      </c>
      <c r="C38" s="3">
        <v>44740</v>
      </c>
      <c r="D38">
        <v>356041</v>
      </c>
      <c r="E38">
        <v>3982819</v>
      </c>
      <c r="F38">
        <v>1900</v>
      </c>
      <c r="G38">
        <v>2</v>
      </c>
      <c r="H38">
        <v>137</v>
      </c>
      <c r="I38">
        <f>ABS(180-H38)</f>
        <v>43</v>
      </c>
      <c r="J38">
        <v>1</v>
      </c>
      <c r="K38">
        <v>1</v>
      </c>
      <c r="L38" s="43">
        <v>3</v>
      </c>
      <c r="M38" s="26">
        <v>-73</v>
      </c>
      <c r="N38">
        <f>4*20</f>
        <v>80</v>
      </c>
      <c r="O38">
        <v>80</v>
      </c>
      <c r="P38">
        <v>0</v>
      </c>
      <c r="Q38">
        <v>16.64</v>
      </c>
      <c r="R38">
        <v>39.43</v>
      </c>
      <c r="S38" s="40">
        <v>0</v>
      </c>
      <c r="T38" s="40">
        <f>4/4</f>
        <v>1</v>
      </c>
      <c r="U38" s="40">
        <v>0</v>
      </c>
      <c r="V38" s="40">
        <v>0</v>
      </c>
      <c r="W38" s="40">
        <v>0</v>
      </c>
      <c r="X38" s="4">
        <f t="shared" si="13"/>
        <v>1</v>
      </c>
      <c r="Y38" s="40">
        <v>0</v>
      </c>
      <c r="Z38" s="40">
        <f>16.64/Q38</f>
        <v>1</v>
      </c>
      <c r="AA38" s="40">
        <v>0</v>
      </c>
      <c r="AB38" s="40">
        <v>0</v>
      </c>
      <c r="AC38" s="40">
        <v>0</v>
      </c>
      <c r="AD38" s="4">
        <f t="shared" si="14"/>
        <v>1</v>
      </c>
      <c r="AE38" s="1">
        <v>0</v>
      </c>
      <c r="AF38" s="1">
        <v>0</v>
      </c>
      <c r="AG38" s="1" t="s">
        <v>50</v>
      </c>
      <c r="AH38" s="5">
        <v>19.3</v>
      </c>
      <c r="AI38" s="1">
        <v>61.5</v>
      </c>
      <c r="AJ38" s="1">
        <v>0.9</v>
      </c>
      <c r="AK38" s="1">
        <v>0</v>
      </c>
      <c r="AL38" s="1">
        <v>1.7</v>
      </c>
      <c r="AM38" s="34">
        <v>6.0000000000000001E-3</v>
      </c>
      <c r="AN38" s="12">
        <f>1001*166.67</f>
        <v>166836.66999999998</v>
      </c>
      <c r="AO38" s="1">
        <f>201*166.67</f>
        <v>33500.67</v>
      </c>
      <c r="AP38" s="1">
        <f>2*166.67</f>
        <v>333.34</v>
      </c>
      <c r="AQ38" s="1">
        <v>0</v>
      </c>
      <c r="AR38" s="1">
        <f>40</f>
        <v>40</v>
      </c>
      <c r="AS38" s="4">
        <f>AN38/SUM(AM38:AR38)</f>
        <v>0.83122963368278269</v>
      </c>
      <c r="AT38" s="4">
        <f>AO38/SUM(AM38:AR38)</f>
        <v>0.1669102461241152</v>
      </c>
      <c r="AU38" s="4">
        <f>AP38/SUM(AM38:AR38)</f>
        <v>1.6607984688966687E-3</v>
      </c>
      <c r="AV38" s="4">
        <f>AQ38/SUM(AM38:AR38)</f>
        <v>0</v>
      </c>
      <c r="AW38" s="4">
        <f>AR38/SUM(AM38:AR38)</f>
        <v>1.9929183043099164E-4</v>
      </c>
      <c r="AX38" s="1">
        <v>0</v>
      </c>
      <c r="AY38" s="1">
        <v>0</v>
      </c>
      <c r="AZ38" s="1">
        <v>0</v>
      </c>
      <c r="BA38" s="1">
        <v>0</v>
      </c>
      <c r="BB38" s="54">
        <v>2.1666666666666665</v>
      </c>
      <c r="BC38" s="54">
        <v>0</v>
      </c>
      <c r="BD38" s="54">
        <v>3.375</v>
      </c>
      <c r="BE38" s="53">
        <v>0.22601383285030216</v>
      </c>
      <c r="BF38" s="53">
        <v>1.3165293733839187</v>
      </c>
      <c r="BG38" s="53">
        <v>1.4385461535104196</v>
      </c>
      <c r="BH38" s="1">
        <v>4.0753708895917766</v>
      </c>
      <c r="BI38" s="51">
        <v>7.0564602493364168</v>
      </c>
      <c r="BJ38" t="s">
        <v>53</v>
      </c>
      <c r="BK38" s="1" t="s">
        <v>789</v>
      </c>
    </row>
    <row r="39" spans="1:63" ht="14.25" customHeight="1" x14ac:dyDescent="0.3">
      <c r="A39" s="1" t="s">
        <v>62</v>
      </c>
      <c r="B39" s="1">
        <v>8</v>
      </c>
      <c r="C39" s="3">
        <v>44739</v>
      </c>
      <c r="D39">
        <v>356258</v>
      </c>
      <c r="E39">
        <v>3982830</v>
      </c>
      <c r="F39">
        <v>1890</v>
      </c>
      <c r="G39">
        <v>8</v>
      </c>
      <c r="H39">
        <v>119</v>
      </c>
      <c r="I39">
        <f>ABS(180-H39)</f>
        <v>61</v>
      </c>
      <c r="J39">
        <v>1</v>
      </c>
      <c r="K39">
        <v>1</v>
      </c>
      <c r="L39" s="43">
        <v>3</v>
      </c>
      <c r="M39" s="26">
        <v>69</v>
      </c>
      <c r="N39">
        <f>21*20</f>
        <v>420</v>
      </c>
      <c r="O39">
        <f>11*20</f>
        <v>220</v>
      </c>
      <c r="P39">
        <v>0</v>
      </c>
      <c r="Q39">
        <v>33.51</v>
      </c>
      <c r="R39">
        <v>16.21</v>
      </c>
      <c r="S39">
        <v>0</v>
      </c>
      <c r="T39" s="40">
        <f>16/21</f>
        <v>0.76190476190476186</v>
      </c>
      <c r="U39" s="40">
        <f>3/21</f>
        <v>0.14285714285714285</v>
      </c>
      <c r="V39" s="40">
        <f>1/21</f>
        <v>4.7619047619047616E-2</v>
      </c>
      <c r="W39" s="40">
        <f>1/21</f>
        <v>4.7619047619047616E-2</v>
      </c>
      <c r="X39" s="4">
        <f t="shared" si="13"/>
        <v>0.90476190476190466</v>
      </c>
      <c r="Y39" s="40">
        <v>0</v>
      </c>
      <c r="Z39" s="40">
        <f>28.57/Q39</f>
        <v>0.85258131900925105</v>
      </c>
      <c r="AA39" s="40">
        <f>2.53/Q39</f>
        <v>7.5499850790808717E-2</v>
      </c>
      <c r="AB39" s="40">
        <f>0.33/Q39</f>
        <v>9.847806624888095E-3</v>
      </c>
      <c r="AC39" s="40">
        <f>2.08/Q39</f>
        <v>6.2071023575052231E-2</v>
      </c>
      <c r="AD39" s="4">
        <f t="shared" si="14"/>
        <v>0.92808116980005972</v>
      </c>
      <c r="AE39" s="1">
        <v>0.5</v>
      </c>
      <c r="AG39" s="1" t="s">
        <v>50</v>
      </c>
      <c r="AH39" s="1">
        <v>3.4</v>
      </c>
      <c r="AI39" s="1">
        <v>86.7</v>
      </c>
      <c r="AJ39" s="1">
        <v>1.3</v>
      </c>
      <c r="AK39" s="1">
        <v>0</v>
      </c>
      <c r="AL39" s="1">
        <v>17.3</v>
      </c>
      <c r="AM39" s="33">
        <v>0.1</v>
      </c>
      <c r="AN39" s="1">
        <v>0</v>
      </c>
      <c r="AO39" s="1">
        <v>50</v>
      </c>
      <c r="AP39" s="1">
        <f>4*166.67</f>
        <v>666.68</v>
      </c>
      <c r="AQ39" s="1">
        <v>0</v>
      </c>
      <c r="AR39" s="1">
        <f>4*166.67</f>
        <v>666.68</v>
      </c>
      <c r="AS39" s="4">
        <f>AN39/SUM(AM39:AR39)</f>
        <v>0</v>
      </c>
      <c r="AT39" s="4">
        <f>AO39/SUM(AM39:AR39)</f>
        <v>3.6141268992236852E-2</v>
      </c>
      <c r="AU39" s="4">
        <f>AP39/SUM(AM39:AR39)</f>
        <v>0.48189322423488928</v>
      </c>
      <c r="AV39" s="4">
        <f>AQ39/SUM(AM39:AR39)</f>
        <v>0</v>
      </c>
      <c r="AW39" s="4">
        <f>AR39/SUM(AM39:AR39)</f>
        <v>0.48189322423488928</v>
      </c>
      <c r="AX39" s="1">
        <v>0</v>
      </c>
      <c r="AY39" s="1">
        <v>20</v>
      </c>
      <c r="AZ39" s="1">
        <v>0</v>
      </c>
      <c r="BA39" s="1">
        <v>0</v>
      </c>
      <c r="BB39" s="54">
        <v>2.4249999999999998</v>
      </c>
      <c r="BC39" s="54">
        <v>3.3333333333333335</v>
      </c>
      <c r="BD39" s="54">
        <v>13.675000000000001</v>
      </c>
      <c r="BE39" s="53">
        <v>0.2060823545706939</v>
      </c>
      <c r="BF39" s="53">
        <v>1.247111953654972</v>
      </c>
      <c r="BG39" s="53">
        <v>1.1542828939587551</v>
      </c>
      <c r="BH39" s="1">
        <v>36.10174858007759</v>
      </c>
      <c r="BI39" s="51">
        <v>38.70922578226201</v>
      </c>
      <c r="BJ39" t="s">
        <v>44</v>
      </c>
    </row>
    <row r="40" spans="1:63" ht="14.25" customHeight="1" x14ac:dyDescent="0.3">
      <c r="A40" s="1" t="s">
        <v>62</v>
      </c>
      <c r="B40" s="1">
        <v>9</v>
      </c>
      <c r="C40" s="3">
        <v>44754</v>
      </c>
      <c r="D40">
        <v>355245</v>
      </c>
      <c r="E40">
        <v>3983019</v>
      </c>
      <c r="F40">
        <v>2075</v>
      </c>
      <c r="G40">
        <v>16</v>
      </c>
      <c r="H40">
        <v>123</v>
      </c>
      <c r="I40">
        <f>ABS(180-H40)</f>
        <v>57</v>
      </c>
      <c r="J40">
        <v>4</v>
      </c>
      <c r="K40">
        <v>4</v>
      </c>
      <c r="L40" s="43">
        <v>4</v>
      </c>
      <c r="M40" s="26">
        <v>1073</v>
      </c>
      <c r="N40">
        <v>0</v>
      </c>
      <c r="O40">
        <f>17*20</f>
        <v>340</v>
      </c>
      <c r="P40">
        <v>0</v>
      </c>
      <c r="Q40">
        <v>0</v>
      </c>
      <c r="R40">
        <v>54.06</v>
      </c>
      <c r="T40" s="40"/>
      <c r="U40" s="40"/>
      <c r="V40" s="40"/>
      <c r="W40" s="40"/>
      <c r="X40" s="4"/>
      <c r="Y40" s="40"/>
      <c r="Z40" s="40"/>
      <c r="AA40" s="40"/>
      <c r="AB40" s="40"/>
      <c r="AC40" s="40"/>
      <c r="AD40" s="4"/>
      <c r="AM40" s="33">
        <v>0.1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4"/>
      <c r="AT40" s="4"/>
      <c r="AU40" s="4"/>
      <c r="AV40" s="4"/>
      <c r="AW40" s="4"/>
      <c r="AX40" s="1">
        <v>0</v>
      </c>
      <c r="AY40" s="1">
        <v>0</v>
      </c>
      <c r="AZ40" s="1">
        <v>0</v>
      </c>
      <c r="BA40" s="1">
        <v>0</v>
      </c>
      <c r="BB40" s="54">
        <v>5.8333333333333334E-2</v>
      </c>
      <c r="BC40" s="54">
        <v>0</v>
      </c>
      <c r="BD40" s="54">
        <v>0.30833333333333335</v>
      </c>
      <c r="BE40" s="54">
        <v>1.4859919749881753E-2</v>
      </c>
      <c r="BF40" s="54">
        <v>0.22216798052282224</v>
      </c>
      <c r="BG40" s="54">
        <v>0</v>
      </c>
      <c r="BH40" s="1">
        <v>18.707458896734874</v>
      </c>
      <c r="BI40" s="51">
        <v>18.944486797007578</v>
      </c>
      <c r="BJ40" t="s">
        <v>59</v>
      </c>
      <c r="BK40" s="1"/>
    </row>
    <row r="41" spans="1:63" ht="14.25" customHeight="1" x14ac:dyDescent="0.3">
      <c r="A41" s="1" t="s">
        <v>62</v>
      </c>
      <c r="B41" s="1">
        <v>10</v>
      </c>
      <c r="C41" s="3">
        <v>44748</v>
      </c>
      <c r="D41" s="23">
        <v>355848.37721300003</v>
      </c>
      <c r="E41" s="23">
        <v>3983011.4615509999</v>
      </c>
      <c r="F41">
        <v>1956</v>
      </c>
      <c r="G41" s="24"/>
      <c r="H41" s="24"/>
      <c r="I41" s="24"/>
      <c r="J41">
        <v>2.5</v>
      </c>
      <c r="K41">
        <v>3</v>
      </c>
      <c r="L41" s="43">
        <v>3</v>
      </c>
      <c r="M41" s="26">
        <v>425</v>
      </c>
      <c r="N41">
        <f>3*20</f>
        <v>60</v>
      </c>
      <c r="O41">
        <f>18*20</f>
        <v>360</v>
      </c>
      <c r="P41">
        <v>20</v>
      </c>
      <c r="Q41">
        <v>26.33</v>
      </c>
      <c r="R41">
        <v>36.08</v>
      </c>
      <c r="S41" s="40">
        <v>0</v>
      </c>
      <c r="T41" s="40">
        <f>1/3</f>
        <v>0.33333333333333331</v>
      </c>
      <c r="U41" s="40">
        <v>0</v>
      </c>
      <c r="V41" s="40">
        <f>2/3</f>
        <v>0.66666666666666663</v>
      </c>
      <c r="W41" s="40">
        <v>0</v>
      </c>
      <c r="X41" s="4">
        <f>T41+U41</f>
        <v>0.33333333333333331</v>
      </c>
      <c r="Y41" s="40">
        <v>0</v>
      </c>
      <c r="Z41" s="40">
        <f>7.26/Q41</f>
        <v>0.27573110520319027</v>
      </c>
      <c r="AA41" s="40">
        <v>0</v>
      </c>
      <c r="AB41" s="40">
        <f>19.07/Q41</f>
        <v>0.72426889479680978</v>
      </c>
      <c r="AC41" s="40">
        <v>0</v>
      </c>
      <c r="AD41" s="4">
        <f>Z41+AA41</f>
        <v>0.27573110520319027</v>
      </c>
      <c r="AK41" s="1" t="s">
        <v>65</v>
      </c>
      <c r="AM41" s="34">
        <v>6.0000000000000001E-3</v>
      </c>
      <c r="AN41" s="12">
        <f>271*166.67</f>
        <v>45167.57</v>
      </c>
      <c r="AO41" s="1">
        <v>0</v>
      </c>
      <c r="AP41" s="1">
        <f>7*166.67</f>
        <v>1166.6899999999998</v>
      </c>
      <c r="AQ41" s="1">
        <f>9*166.67</f>
        <v>1500.03</v>
      </c>
      <c r="AR41" s="1">
        <v>10</v>
      </c>
      <c r="AS41" s="4">
        <f>AN41/SUM(AM41:AR41)</f>
        <v>0.94405339353305562</v>
      </c>
      <c r="AT41" s="4">
        <f>AO41/SUM(AM41:AR41)</f>
        <v>0</v>
      </c>
      <c r="AU41" s="4">
        <f>AP41/SUM(AM41:AR41)</f>
        <v>2.4385143006388887E-2</v>
      </c>
      <c r="AV41" s="4">
        <f>AQ41/SUM(AM41:AR41)</f>
        <v>3.1352326722500004E-2</v>
      </c>
      <c r="AW41" s="4">
        <f>AR41/SUM(AM41:AR41)</f>
        <v>2.090113312567082E-4</v>
      </c>
      <c r="AX41" s="1">
        <v>0</v>
      </c>
      <c r="AY41" s="1">
        <v>0</v>
      </c>
      <c r="AZ41" s="1">
        <v>0</v>
      </c>
      <c r="BA41" s="1">
        <v>0</v>
      </c>
      <c r="BB41" s="54">
        <v>3.8499999999999996</v>
      </c>
      <c r="BC41" s="54">
        <v>0</v>
      </c>
      <c r="BD41" s="54">
        <v>4.9999999999999991</v>
      </c>
      <c r="BE41" s="54">
        <v>2.9492944972153587E-2</v>
      </c>
      <c r="BF41" s="54">
        <v>0.51443431885854785</v>
      </c>
      <c r="BG41" s="54">
        <v>0.86725916059089259</v>
      </c>
      <c r="BH41" s="1">
        <v>22.82458974550682</v>
      </c>
      <c r="BI41" s="51">
        <v>24.235776169928414</v>
      </c>
      <c r="BJ41" s="24"/>
      <c r="BK41" t="s">
        <v>788</v>
      </c>
    </row>
    <row r="42" spans="1:63" ht="14.25" customHeight="1" x14ac:dyDescent="0.3">
      <c r="A42" s="1" t="s">
        <v>62</v>
      </c>
      <c r="B42" s="1">
        <v>11</v>
      </c>
      <c r="C42" s="3">
        <v>44748</v>
      </c>
      <c r="D42" s="23">
        <v>356248.37721300003</v>
      </c>
      <c r="E42" s="23">
        <v>3983011.4615509999</v>
      </c>
      <c r="F42">
        <v>1919</v>
      </c>
      <c r="G42" s="24"/>
      <c r="H42" s="24"/>
      <c r="I42" s="24"/>
      <c r="J42">
        <v>3</v>
      </c>
      <c r="K42">
        <v>3</v>
      </c>
      <c r="L42" s="43">
        <v>3</v>
      </c>
      <c r="M42" s="26">
        <v>489</v>
      </c>
      <c r="N42">
        <f>5*20</f>
        <v>100</v>
      </c>
      <c r="O42">
        <f>23*20</f>
        <v>460</v>
      </c>
      <c r="P42">
        <v>20</v>
      </c>
      <c r="Q42">
        <v>17.329999999999998</v>
      </c>
      <c r="R42">
        <v>34.700000000000003</v>
      </c>
      <c r="S42" s="40">
        <v>0</v>
      </c>
      <c r="T42" s="40">
        <f>2/5</f>
        <v>0.4</v>
      </c>
      <c r="U42" s="40">
        <f>1/5</f>
        <v>0.2</v>
      </c>
      <c r="V42" s="40">
        <f>2/5</f>
        <v>0.4</v>
      </c>
      <c r="W42" s="40">
        <v>0</v>
      </c>
      <c r="X42" s="4">
        <f>T42+U42</f>
        <v>0.60000000000000009</v>
      </c>
      <c r="Y42" s="40">
        <v>0</v>
      </c>
      <c r="Z42" s="40">
        <f>2.33/Q42</f>
        <v>0.13444893248701675</v>
      </c>
      <c r="AA42" s="40">
        <f>0.9/Q42</f>
        <v>5.1933064050779E-2</v>
      </c>
      <c r="AB42" s="40">
        <f>14.1/Q42</f>
        <v>0.81361800346220436</v>
      </c>
      <c r="AC42" s="40">
        <v>0</v>
      </c>
      <c r="AD42" s="4">
        <f>Z42+AA42</f>
        <v>0.18638199653779575</v>
      </c>
      <c r="AM42" s="34">
        <v>6.0000000000000001E-3</v>
      </c>
      <c r="AN42" s="6">
        <f>202*166.67</f>
        <v>33667.339999999997</v>
      </c>
      <c r="AO42" s="6">
        <v>0</v>
      </c>
      <c r="AP42" s="1">
        <f>33*166.67</f>
        <v>5500.11</v>
      </c>
      <c r="AQ42" s="1">
        <f>101*166.67</f>
        <v>16833.669999999998</v>
      </c>
      <c r="AR42" s="1">
        <v>90</v>
      </c>
      <c r="AS42" s="4">
        <f>AN42/SUM(AM42:AR42)</f>
        <v>0.60022578259527182</v>
      </c>
      <c r="AT42" s="4">
        <f>AO42/SUM(AM42:AR42)</f>
        <v>0</v>
      </c>
      <c r="AU42" s="4">
        <f>AP42/SUM(AM42:AR42)</f>
        <v>9.8056687255663216E-2</v>
      </c>
      <c r="AV42" s="4">
        <f>AQ42/SUM(AM42:AR42)</f>
        <v>0.30011289129763591</v>
      </c>
      <c r="AW42" s="4">
        <f>AR42/SUM(AM42:AR42)</f>
        <v>1.6045318826368364E-3</v>
      </c>
      <c r="AX42" s="1">
        <v>0</v>
      </c>
      <c r="AY42" s="1">
        <v>0</v>
      </c>
      <c r="AZ42" s="1">
        <v>0</v>
      </c>
      <c r="BA42" s="1">
        <v>0</v>
      </c>
      <c r="BB42" s="54">
        <v>1.3666666666666669</v>
      </c>
      <c r="BC42" s="54">
        <v>0</v>
      </c>
      <c r="BD42" s="54">
        <v>1.7750000000000001</v>
      </c>
      <c r="BE42" s="54">
        <v>0.13271825237469115</v>
      </c>
      <c r="BF42" s="54">
        <v>1.0288686377170955</v>
      </c>
      <c r="BG42" s="54">
        <v>2.6017774817726775</v>
      </c>
      <c r="BH42" s="1">
        <v>0.4601963757348016</v>
      </c>
      <c r="BI42" s="51">
        <v>4.223560747599266</v>
      </c>
      <c r="BJ42" s="24"/>
      <c r="BK42" t="s">
        <v>788</v>
      </c>
    </row>
    <row r="43" spans="1:63" ht="14.25" customHeight="1" x14ac:dyDescent="0.3">
      <c r="A43" s="1" t="s">
        <v>62</v>
      </c>
      <c r="B43" s="9">
        <v>12</v>
      </c>
      <c r="C43" s="3">
        <v>44739</v>
      </c>
      <c r="D43">
        <v>356472</v>
      </c>
      <c r="E43">
        <v>3983015</v>
      </c>
      <c r="F43">
        <v>1929</v>
      </c>
      <c r="G43">
        <v>8</v>
      </c>
      <c r="H43">
        <v>274</v>
      </c>
      <c r="I43">
        <f>ABS(180-H43)</f>
        <v>94</v>
      </c>
      <c r="J43">
        <v>2.5</v>
      </c>
      <c r="K43">
        <v>3</v>
      </c>
      <c r="L43" s="43">
        <v>4</v>
      </c>
      <c r="M43" s="36">
        <v>287</v>
      </c>
      <c r="N43">
        <v>60</v>
      </c>
      <c r="O43">
        <f>11*20</f>
        <v>220</v>
      </c>
      <c r="P43">
        <v>0</v>
      </c>
      <c r="Q43">
        <v>0.59</v>
      </c>
      <c r="R43">
        <v>53.25</v>
      </c>
      <c r="S43" s="40">
        <v>0</v>
      </c>
      <c r="T43" s="40">
        <v>0</v>
      </c>
      <c r="U43" s="40">
        <f>2/3</f>
        <v>0.66666666666666663</v>
      </c>
      <c r="V43" s="40">
        <f>1/3</f>
        <v>0.33333333333333331</v>
      </c>
      <c r="W43" s="40">
        <v>0</v>
      </c>
      <c r="X43" s="4">
        <f>T43+U43</f>
        <v>0.66666666666666663</v>
      </c>
      <c r="Y43" s="40">
        <v>0</v>
      </c>
      <c r="Z43" s="40">
        <v>0</v>
      </c>
      <c r="AA43" s="40">
        <f>0.43/Q43</f>
        <v>0.72881355932203395</v>
      </c>
      <c r="AB43" s="40">
        <f>0.16/Q43</f>
        <v>0.2711864406779661</v>
      </c>
      <c r="AC43" s="40">
        <v>0</v>
      </c>
      <c r="AD43" s="4">
        <f>Z43+AA43</f>
        <v>0.72881355932203395</v>
      </c>
      <c r="AE43" s="1">
        <v>0.9</v>
      </c>
      <c r="AF43" s="1">
        <v>7.7</v>
      </c>
      <c r="AG43" s="1">
        <v>14.9</v>
      </c>
      <c r="AH43" s="1">
        <v>1.5</v>
      </c>
      <c r="AI43" s="1">
        <v>33.5</v>
      </c>
      <c r="AJ43" s="1">
        <v>1.5</v>
      </c>
      <c r="AK43" s="1">
        <v>7.5</v>
      </c>
      <c r="AL43" s="1">
        <v>1.8</v>
      </c>
      <c r="AM43" s="22"/>
      <c r="AN43" s="16"/>
      <c r="AO43" s="16"/>
      <c r="AP43" s="16"/>
      <c r="AQ43" s="16"/>
      <c r="AR43" s="16"/>
      <c r="AS43" s="18"/>
      <c r="AT43" s="18"/>
      <c r="AU43" s="18"/>
      <c r="AV43" s="18"/>
      <c r="AW43" s="18"/>
      <c r="AX43" s="24"/>
      <c r="AY43" s="24"/>
      <c r="AZ43" s="24"/>
      <c r="BA43" s="24"/>
      <c r="BB43" s="54">
        <v>1.625</v>
      </c>
      <c r="BC43" s="54">
        <v>0</v>
      </c>
      <c r="BD43" s="54">
        <v>8.9333333333333336</v>
      </c>
      <c r="BE43" s="53">
        <v>0.19430622002379716</v>
      </c>
      <c r="BF43" s="53">
        <v>3.5946168075937432</v>
      </c>
      <c r="BG43" s="53">
        <v>4.3285608523453307</v>
      </c>
      <c r="BH43" s="9">
        <v>23.267153273541517</v>
      </c>
      <c r="BI43" s="51">
        <v>31.384637153504386</v>
      </c>
      <c r="BJ43" t="s">
        <v>66</v>
      </c>
      <c r="BK43" s="1" t="s">
        <v>67</v>
      </c>
    </row>
    <row r="44" spans="1:63" ht="14.25" customHeight="1" x14ac:dyDescent="0.3">
      <c r="A44" s="1" t="s">
        <v>62</v>
      </c>
      <c r="B44" s="32">
        <v>13</v>
      </c>
      <c r="C44" s="3">
        <v>44752</v>
      </c>
      <c r="D44">
        <v>355251</v>
      </c>
      <c r="E44">
        <v>3983225</v>
      </c>
      <c r="F44">
        <v>2086</v>
      </c>
      <c r="G44">
        <v>10</v>
      </c>
      <c r="H44">
        <v>221</v>
      </c>
      <c r="I44">
        <f>ABS(180-H44)</f>
        <v>41</v>
      </c>
      <c r="J44">
        <v>4</v>
      </c>
      <c r="K44">
        <v>4</v>
      </c>
      <c r="L44" s="47"/>
      <c r="M44" s="26">
        <v>1121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M44" s="34">
        <v>6.0000000000000001E-3</v>
      </c>
      <c r="AN44" s="12">
        <f>3*166.67</f>
        <v>500.01</v>
      </c>
      <c r="AO44" s="1">
        <v>60</v>
      </c>
      <c r="AP44" s="1">
        <f>1*166.67</f>
        <v>166.67</v>
      </c>
      <c r="AQ44" s="1">
        <v>10</v>
      </c>
      <c r="AR44" s="1">
        <v>0</v>
      </c>
      <c r="AS44" s="4">
        <f t="shared" ref="AS44:AS75" si="15">AN44/SUM(AM44:AR44)</f>
        <v>0.678728793542975</v>
      </c>
      <c r="AT44" s="4">
        <f t="shared" ref="AT44:AT75" si="16">AO44/SUM(AM44:AR44)</f>
        <v>8.1445826308630828E-2</v>
      </c>
      <c r="AU44" s="4">
        <f t="shared" ref="AU44:AU75" si="17">AP44/SUM(AM44:AR44)</f>
        <v>0.22624293118099165</v>
      </c>
      <c r="AV44" s="4">
        <f t="shared" ref="AV44:AV75" si="18">AQ44/SUM(AM44:AR44)</f>
        <v>1.3574304384771804E-2</v>
      </c>
      <c r="AW44" s="4">
        <f t="shared" ref="AW44:AW75" si="19">AR44/SUM(AM44:AR44)</f>
        <v>0</v>
      </c>
      <c r="AX44" s="1">
        <v>0</v>
      </c>
      <c r="AY44" s="1">
        <v>0</v>
      </c>
      <c r="AZ44" s="1">
        <v>0</v>
      </c>
      <c r="BA44" s="1">
        <v>0</v>
      </c>
      <c r="BB44" s="54">
        <v>1.1666666666666667</v>
      </c>
      <c r="BC44" s="54">
        <v>0</v>
      </c>
      <c r="BD44" s="54">
        <v>8.1666666666666661</v>
      </c>
      <c r="BE44" s="53">
        <v>1.7695766983292151E-2</v>
      </c>
      <c r="BF44" s="53">
        <v>0.66141555281813291</v>
      </c>
      <c r="BG44" s="53">
        <v>1.7345183211817852</v>
      </c>
      <c r="BH44" s="36">
        <v>5.2554426108914347</v>
      </c>
      <c r="BI44" s="51">
        <v>7.6690722518746455</v>
      </c>
      <c r="BJ44" t="s">
        <v>49</v>
      </c>
      <c r="BK44" s="30" t="s">
        <v>798</v>
      </c>
    </row>
    <row r="45" spans="1:63" ht="14.25" customHeight="1" x14ac:dyDescent="0.3">
      <c r="A45" s="1" t="s">
        <v>62</v>
      </c>
      <c r="B45" s="1">
        <v>14</v>
      </c>
      <c r="C45" s="3">
        <v>44752</v>
      </c>
      <c r="D45" s="23">
        <v>355448.37721300003</v>
      </c>
      <c r="E45" s="23">
        <v>3983211.4615509999</v>
      </c>
      <c r="F45">
        <v>2069</v>
      </c>
      <c r="G45" s="24"/>
      <c r="H45" s="24"/>
      <c r="I45" s="24"/>
      <c r="J45">
        <v>4</v>
      </c>
      <c r="K45">
        <v>4</v>
      </c>
      <c r="L45" s="43">
        <v>4</v>
      </c>
      <c r="M45" s="26">
        <v>1207</v>
      </c>
      <c r="N45" s="43">
        <v>20</v>
      </c>
      <c r="O45">
        <f>22*20</f>
        <v>440</v>
      </c>
      <c r="P45">
        <v>0</v>
      </c>
      <c r="Q45">
        <v>0.15</v>
      </c>
      <c r="R45">
        <v>36.950000000000003</v>
      </c>
      <c r="S45" s="40">
        <f>1/1</f>
        <v>1</v>
      </c>
      <c r="T45" s="40">
        <v>0</v>
      </c>
      <c r="U45" s="40">
        <v>0</v>
      </c>
      <c r="V45" s="40">
        <v>0</v>
      </c>
      <c r="W45" s="40">
        <v>0</v>
      </c>
      <c r="X45" s="4">
        <f>T45+U45</f>
        <v>0</v>
      </c>
      <c r="Y45" s="40">
        <f>0.15/Q45</f>
        <v>1</v>
      </c>
      <c r="Z45" s="40">
        <v>0</v>
      </c>
      <c r="AA45" s="40">
        <v>0</v>
      </c>
      <c r="AB45" s="40">
        <v>0</v>
      </c>
      <c r="AC45" s="40">
        <v>0</v>
      </c>
      <c r="AD45" s="4">
        <f>Z45+AA45</f>
        <v>0</v>
      </c>
      <c r="AM45" s="33">
        <v>0.1</v>
      </c>
      <c r="AN45" s="1">
        <v>20</v>
      </c>
      <c r="AO45" s="1">
        <v>0</v>
      </c>
      <c r="AP45" s="1">
        <v>0</v>
      </c>
      <c r="AQ45" s="1">
        <v>0</v>
      </c>
      <c r="AR45" s="1">
        <v>0</v>
      </c>
      <c r="AS45" s="4">
        <f t="shared" si="15"/>
        <v>0.99502487562189046</v>
      </c>
      <c r="AT45" s="4">
        <f t="shared" si="16"/>
        <v>0</v>
      </c>
      <c r="AU45" s="4">
        <f t="shared" si="17"/>
        <v>0</v>
      </c>
      <c r="AV45" s="4">
        <f t="shared" si="18"/>
        <v>0</v>
      </c>
      <c r="AW45" s="4">
        <f t="shared" si="19"/>
        <v>0</v>
      </c>
      <c r="AX45" s="1">
        <v>0</v>
      </c>
      <c r="AY45" s="1">
        <v>0</v>
      </c>
      <c r="AZ45" s="1">
        <v>0</v>
      </c>
      <c r="BA45" s="1">
        <v>0</v>
      </c>
      <c r="BB45" s="54">
        <v>0.96666666666666679</v>
      </c>
      <c r="BC45" s="54">
        <v>0</v>
      </c>
      <c r="BD45" s="54">
        <v>1.8666666666666667</v>
      </c>
      <c r="BE45" s="53">
        <v>2.6543650474938226E-2</v>
      </c>
      <c r="BF45" s="53">
        <v>0.66141555281813269</v>
      </c>
      <c r="BG45" s="53">
        <v>0</v>
      </c>
      <c r="BH45" s="36">
        <v>0.7547220562050746</v>
      </c>
      <c r="BI45" s="51">
        <v>1.4426812594981455</v>
      </c>
      <c r="BJ45" s="24"/>
      <c r="BK45" t="s">
        <v>788</v>
      </c>
    </row>
    <row r="46" spans="1:63" ht="14.25" customHeight="1" x14ac:dyDescent="0.3">
      <c r="A46" s="1" t="s">
        <v>62</v>
      </c>
      <c r="B46" s="1">
        <v>15</v>
      </c>
      <c r="C46" s="3">
        <v>44751</v>
      </c>
      <c r="D46" s="23">
        <v>355648.37721300003</v>
      </c>
      <c r="E46" s="23">
        <v>3983211.4615509999</v>
      </c>
      <c r="F46">
        <v>2037</v>
      </c>
      <c r="G46" s="24"/>
      <c r="H46" s="24"/>
      <c r="I46" s="24"/>
      <c r="J46">
        <v>2.5</v>
      </c>
      <c r="K46">
        <v>3</v>
      </c>
      <c r="L46" s="43">
        <v>3</v>
      </c>
      <c r="M46" s="26">
        <v>494</v>
      </c>
      <c r="N46" s="43">
        <v>80</v>
      </c>
      <c r="O46">
        <f>24*20</f>
        <v>480</v>
      </c>
      <c r="P46">
        <v>20</v>
      </c>
      <c r="Q46">
        <v>31.61</v>
      </c>
      <c r="R46">
        <v>42.44</v>
      </c>
      <c r="S46" s="40">
        <v>0</v>
      </c>
      <c r="T46" s="40">
        <f>1/4</f>
        <v>0.25</v>
      </c>
      <c r="U46" s="40">
        <f>1/4</f>
        <v>0.25</v>
      </c>
      <c r="V46" s="40">
        <f>2/4</f>
        <v>0.5</v>
      </c>
      <c r="W46" s="40">
        <v>0</v>
      </c>
      <c r="X46" s="4">
        <f>T46+U46</f>
        <v>0.5</v>
      </c>
      <c r="Y46" s="40">
        <v>0</v>
      </c>
      <c r="Z46" s="40">
        <f>2.5/Q46</f>
        <v>7.9088895919012969E-2</v>
      </c>
      <c r="AA46" s="40">
        <f>19.95/Q46</f>
        <v>0.63112938943372354</v>
      </c>
      <c r="AB46" s="40">
        <f>7.84/Q46</f>
        <v>0.24802277760202468</v>
      </c>
      <c r="AC46" s="40">
        <v>0</v>
      </c>
      <c r="AD46" s="4">
        <f>Z46+AA46</f>
        <v>0.71021828535273657</v>
      </c>
      <c r="AM46" s="33">
        <v>0.1</v>
      </c>
      <c r="AN46" s="1">
        <v>780</v>
      </c>
      <c r="AO46" s="1">
        <v>10</v>
      </c>
      <c r="AP46" s="1">
        <f>7*166.67</f>
        <v>1166.6899999999998</v>
      </c>
      <c r="AQ46" s="1">
        <v>200</v>
      </c>
      <c r="AR46" s="1">
        <v>0</v>
      </c>
      <c r="AS46" s="4">
        <f t="shared" si="15"/>
        <v>0.36164856105601378</v>
      </c>
      <c r="AT46" s="4">
        <f t="shared" si="16"/>
        <v>4.6365200135386388E-3</v>
      </c>
      <c r="AU46" s="4">
        <f t="shared" si="17"/>
        <v>0.54093815345953933</v>
      </c>
      <c r="AV46" s="4">
        <f t="shared" si="18"/>
        <v>9.273040027077277E-2</v>
      </c>
      <c r="AW46" s="4">
        <f t="shared" si="19"/>
        <v>0</v>
      </c>
      <c r="AX46" s="1">
        <v>0</v>
      </c>
      <c r="AY46" s="1">
        <v>0</v>
      </c>
      <c r="AZ46" s="1">
        <v>0</v>
      </c>
      <c r="BA46" s="1">
        <v>0</v>
      </c>
      <c r="BB46" s="54">
        <v>2.333333333333333</v>
      </c>
      <c r="BC46" s="54">
        <v>0</v>
      </c>
      <c r="BD46" s="54">
        <v>21.5</v>
      </c>
      <c r="BE46" s="53">
        <v>7.0783067933168603E-2</v>
      </c>
      <c r="BF46" s="53">
        <v>0.2204718509393776</v>
      </c>
      <c r="BG46" s="53">
        <v>0.86725916059089259</v>
      </c>
      <c r="BH46" s="36">
        <v>51.611023538658003</v>
      </c>
      <c r="BI46" s="51">
        <v>52.76953761812144</v>
      </c>
      <c r="BJ46" s="24"/>
      <c r="BK46" t="s">
        <v>788</v>
      </c>
    </row>
    <row r="47" spans="1:63" ht="14.25" customHeight="1" x14ac:dyDescent="0.3">
      <c r="A47" s="1" t="s">
        <v>62</v>
      </c>
      <c r="B47" s="32">
        <v>16</v>
      </c>
      <c r="C47" s="3">
        <v>44753</v>
      </c>
      <c r="D47">
        <v>354844</v>
      </c>
      <c r="E47">
        <v>3983407</v>
      </c>
      <c r="F47">
        <v>2119</v>
      </c>
      <c r="G47">
        <v>19</v>
      </c>
      <c r="H47">
        <v>294</v>
      </c>
      <c r="I47">
        <f>ABS(180-H47)</f>
        <v>114</v>
      </c>
      <c r="J47">
        <v>1</v>
      </c>
      <c r="K47">
        <v>1</v>
      </c>
      <c r="L47" s="47"/>
      <c r="M47" s="26">
        <v>122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M47" s="34">
        <v>6.0000000000000001E-3</v>
      </c>
      <c r="AN47" s="12">
        <f>5*166.67</f>
        <v>833.34999999999991</v>
      </c>
      <c r="AO47" s="1">
        <f>4*166.67</f>
        <v>666.68</v>
      </c>
      <c r="AP47" s="1">
        <f>2*166.67</f>
        <v>333.34</v>
      </c>
      <c r="AQ47" s="1">
        <v>10</v>
      </c>
      <c r="AR47" s="1">
        <v>0</v>
      </c>
      <c r="AS47" s="4">
        <f t="shared" si="15"/>
        <v>0.45207814358004011</v>
      </c>
      <c r="AT47" s="4">
        <f t="shared" si="16"/>
        <v>0.36166251486403211</v>
      </c>
      <c r="AU47" s="4">
        <f t="shared" si="17"/>
        <v>0.18083125743201606</v>
      </c>
      <c r="AV47" s="4">
        <f t="shared" si="18"/>
        <v>5.4248292263759544E-3</v>
      </c>
      <c r="AW47" s="4">
        <f t="shared" si="19"/>
        <v>0</v>
      </c>
      <c r="AX47" s="1">
        <v>0</v>
      </c>
      <c r="AY47" s="1">
        <v>0</v>
      </c>
      <c r="AZ47" s="1">
        <v>0</v>
      </c>
      <c r="BA47" s="1">
        <v>0</v>
      </c>
      <c r="BB47" s="54">
        <v>2.916666666666667</v>
      </c>
      <c r="BC47" s="54">
        <v>0</v>
      </c>
      <c r="BD47" s="54">
        <v>4.3333333333333339</v>
      </c>
      <c r="BE47" s="53">
        <v>2.688442794838506E-2</v>
      </c>
      <c r="BF47" s="53">
        <v>0.37217058726361829</v>
      </c>
      <c r="BG47" s="53">
        <v>1.1711911510938988</v>
      </c>
      <c r="BH47" s="36">
        <v>3.2164292362551183</v>
      </c>
      <c r="BI47" s="51">
        <v>4.7866754025610208</v>
      </c>
      <c r="BJ47" t="s">
        <v>53</v>
      </c>
      <c r="BK47" s="30" t="s">
        <v>799</v>
      </c>
    </row>
    <row r="48" spans="1:63" ht="14.25" customHeight="1" x14ac:dyDescent="0.3">
      <c r="A48" s="1" t="s">
        <v>62</v>
      </c>
      <c r="B48" s="32">
        <v>17</v>
      </c>
      <c r="C48" s="3">
        <v>44752</v>
      </c>
      <c r="D48">
        <v>355249</v>
      </c>
      <c r="E48">
        <v>3983430</v>
      </c>
      <c r="F48">
        <v>2128</v>
      </c>
      <c r="G48">
        <v>16</v>
      </c>
      <c r="H48">
        <v>160</v>
      </c>
      <c r="I48">
        <f>ABS(180-H48)</f>
        <v>20</v>
      </c>
      <c r="J48">
        <v>2</v>
      </c>
      <c r="K48">
        <v>2</v>
      </c>
      <c r="L48" s="47"/>
      <c r="M48" s="26">
        <v>198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M48" s="33">
        <v>0.1</v>
      </c>
      <c r="AN48" s="1">
        <v>80</v>
      </c>
      <c r="AO48" s="1">
        <f>2*166.67</f>
        <v>333.34</v>
      </c>
      <c r="AP48" s="1">
        <v>110</v>
      </c>
      <c r="AQ48" s="1">
        <v>10</v>
      </c>
      <c r="AR48" s="1">
        <v>10</v>
      </c>
      <c r="AS48" s="4">
        <f t="shared" si="15"/>
        <v>0.14721036360959813</v>
      </c>
      <c r="AT48" s="4">
        <f t="shared" si="16"/>
        <v>0.61338878257029295</v>
      </c>
      <c r="AU48" s="4">
        <f t="shared" si="17"/>
        <v>0.20241424996319743</v>
      </c>
      <c r="AV48" s="4">
        <f t="shared" si="18"/>
        <v>1.8401295451199767E-2</v>
      </c>
      <c r="AW48" s="4">
        <f t="shared" si="19"/>
        <v>1.8401295451199767E-2</v>
      </c>
      <c r="AX48" s="1">
        <v>0</v>
      </c>
      <c r="AY48" s="1">
        <v>0</v>
      </c>
      <c r="AZ48" s="1">
        <v>0</v>
      </c>
      <c r="BA48" s="1">
        <v>0</v>
      </c>
      <c r="BB48" s="54">
        <v>2.0833333333333335</v>
      </c>
      <c r="BC48" s="54">
        <v>0</v>
      </c>
      <c r="BD48" s="54">
        <v>3</v>
      </c>
      <c r="BE48" s="53">
        <v>7.7271582699385111E-2</v>
      </c>
      <c r="BF48" s="53">
        <v>0.59244794806085932</v>
      </c>
      <c r="BG48" s="53">
        <v>0</v>
      </c>
      <c r="BH48" s="36">
        <v>0</v>
      </c>
      <c r="BI48" s="51">
        <v>0.66971953076024437</v>
      </c>
      <c r="BJ48" t="s">
        <v>51</v>
      </c>
      <c r="BK48" s="31" t="s">
        <v>800</v>
      </c>
    </row>
    <row r="49" spans="1:63" ht="14.25" customHeight="1" x14ac:dyDescent="0.3">
      <c r="A49" s="1" t="s">
        <v>62</v>
      </c>
      <c r="B49" s="1">
        <v>18</v>
      </c>
      <c r="C49" s="3">
        <v>44752</v>
      </c>
      <c r="D49" s="23">
        <v>355648.37721300003</v>
      </c>
      <c r="E49" s="23">
        <v>3983411.4615509999</v>
      </c>
      <c r="F49">
        <v>2081</v>
      </c>
      <c r="G49" s="24"/>
      <c r="H49" s="24"/>
      <c r="I49" s="24"/>
      <c r="J49">
        <v>2</v>
      </c>
      <c r="K49">
        <v>2</v>
      </c>
      <c r="L49" s="43">
        <v>3</v>
      </c>
      <c r="M49" s="26">
        <v>276</v>
      </c>
      <c r="N49" s="43">
        <v>20</v>
      </c>
      <c r="O49" s="43">
        <v>200</v>
      </c>
      <c r="P49">
        <v>20</v>
      </c>
      <c r="Q49">
        <v>15.36</v>
      </c>
      <c r="R49">
        <v>40.89</v>
      </c>
      <c r="S49" s="62">
        <v>0</v>
      </c>
      <c r="T49" s="40">
        <f>1/1</f>
        <v>1</v>
      </c>
      <c r="U49" s="40">
        <v>0</v>
      </c>
      <c r="V49" s="40">
        <v>0</v>
      </c>
      <c r="W49" s="40">
        <v>0</v>
      </c>
      <c r="X49" s="4">
        <f>T49+U49</f>
        <v>1</v>
      </c>
      <c r="Y49" s="40">
        <v>0</v>
      </c>
      <c r="Z49" s="40">
        <f>15.36/Q49</f>
        <v>1</v>
      </c>
      <c r="AA49" s="40">
        <v>0</v>
      </c>
      <c r="AB49" s="40">
        <v>0</v>
      </c>
      <c r="AC49" s="40">
        <v>0</v>
      </c>
      <c r="AD49" s="4">
        <f>Z49+AA49</f>
        <v>1</v>
      </c>
      <c r="AM49" s="33">
        <v>0.1</v>
      </c>
      <c r="AN49" s="1">
        <v>40</v>
      </c>
      <c r="AO49" s="1">
        <v>50</v>
      </c>
      <c r="AP49" s="1">
        <v>10</v>
      </c>
      <c r="AQ49" s="1">
        <v>0</v>
      </c>
      <c r="AR49" s="1">
        <v>0</v>
      </c>
      <c r="AS49" s="4">
        <f t="shared" si="15"/>
        <v>0.39960039960039961</v>
      </c>
      <c r="AT49" s="4">
        <f t="shared" si="16"/>
        <v>0.49950049950049952</v>
      </c>
      <c r="AU49" s="4">
        <f t="shared" si="17"/>
        <v>9.9900099900099903E-2</v>
      </c>
      <c r="AV49" s="4">
        <f t="shared" si="18"/>
        <v>0</v>
      </c>
      <c r="AW49" s="4">
        <f t="shared" si="19"/>
        <v>0</v>
      </c>
      <c r="AX49" s="1">
        <v>0</v>
      </c>
      <c r="AY49" s="1">
        <v>0</v>
      </c>
      <c r="AZ49" s="1">
        <v>0</v>
      </c>
      <c r="BA49" s="1">
        <v>0</v>
      </c>
      <c r="BB49" s="54">
        <v>1.2083333333333335</v>
      </c>
      <c r="BC49" s="54">
        <v>0</v>
      </c>
      <c r="BD49" s="54">
        <v>9.875</v>
      </c>
      <c r="BE49" s="53">
        <v>2.9492944972153587E-2</v>
      </c>
      <c r="BF49" s="53">
        <v>0.29396246791917013</v>
      </c>
      <c r="BG49" s="53">
        <v>0.28908638686363086</v>
      </c>
      <c r="BH49" s="36">
        <v>2.276821568947931</v>
      </c>
      <c r="BI49" s="51">
        <v>2.8893633687028855</v>
      </c>
      <c r="BJ49" s="24"/>
      <c r="BK49" t="s">
        <v>788</v>
      </c>
    </row>
    <row r="50" spans="1:63" ht="14.25" customHeight="1" x14ac:dyDescent="0.3">
      <c r="A50" s="1" t="s">
        <v>62</v>
      </c>
      <c r="B50" s="1">
        <v>19</v>
      </c>
      <c r="C50" s="3">
        <v>44751</v>
      </c>
      <c r="D50" s="23">
        <v>355848.37721300003</v>
      </c>
      <c r="E50" s="23">
        <v>3983411.4615509999</v>
      </c>
      <c r="F50">
        <v>2048</v>
      </c>
      <c r="G50" s="24"/>
      <c r="H50" s="24"/>
      <c r="I50" s="24"/>
      <c r="J50">
        <v>2.5</v>
      </c>
      <c r="K50">
        <v>3</v>
      </c>
      <c r="L50" s="43">
        <v>4</v>
      </c>
      <c r="M50" s="26">
        <v>368</v>
      </c>
      <c r="N50">
        <f>18*20</f>
        <v>360</v>
      </c>
      <c r="O50">
        <f>10*20</f>
        <v>200</v>
      </c>
      <c r="P50">
        <v>0</v>
      </c>
      <c r="Q50">
        <v>25.65</v>
      </c>
      <c r="R50">
        <v>87.02</v>
      </c>
      <c r="S50" s="40">
        <v>0</v>
      </c>
      <c r="T50" s="40">
        <f>1/18</f>
        <v>5.5555555555555552E-2</v>
      </c>
      <c r="U50" s="40">
        <v>0</v>
      </c>
      <c r="V50" s="40">
        <f>17/18</f>
        <v>0.94444444444444442</v>
      </c>
      <c r="W50" s="40">
        <v>0</v>
      </c>
      <c r="X50" s="4">
        <f>T50+U50</f>
        <v>5.5555555555555552E-2</v>
      </c>
      <c r="Y50" s="40">
        <v>0</v>
      </c>
      <c r="Z50" s="40">
        <f>3.69/Q50</f>
        <v>0.14385964912280702</v>
      </c>
      <c r="AA50" s="40">
        <v>0</v>
      </c>
      <c r="AB50" s="40">
        <f>21.96/Q50</f>
        <v>0.85614035087719309</v>
      </c>
      <c r="AC50" s="40">
        <v>0</v>
      </c>
      <c r="AD50" s="4">
        <f>Z50+AA50</f>
        <v>0.14385964912280702</v>
      </c>
      <c r="AM50" s="34">
        <v>6.0000000000000001E-3</v>
      </c>
      <c r="AN50" s="12">
        <f>36*166.67</f>
        <v>6000.12</v>
      </c>
      <c r="AO50" s="1">
        <f>10*166.67</f>
        <v>1666.6999999999998</v>
      </c>
      <c r="AP50" s="1">
        <f>5*166.67</f>
        <v>833.34999999999991</v>
      </c>
      <c r="AQ50" s="1">
        <f>(8*166.67)+30</f>
        <v>1363.36</v>
      </c>
      <c r="AR50" s="1">
        <v>80</v>
      </c>
      <c r="AS50" s="4">
        <f t="shared" si="15"/>
        <v>0.60341914586521328</v>
      </c>
      <c r="AT50" s="4">
        <f t="shared" si="16"/>
        <v>0.16761642940700369</v>
      </c>
      <c r="AU50" s="4">
        <f t="shared" si="17"/>
        <v>8.3808214703501846E-2</v>
      </c>
      <c r="AV50" s="4">
        <f t="shared" si="18"/>
        <v>0.13711017891422125</v>
      </c>
      <c r="AW50" s="4">
        <f t="shared" si="19"/>
        <v>8.0454277029821178E-3</v>
      </c>
      <c r="AX50" s="1">
        <v>0</v>
      </c>
      <c r="AY50" s="1">
        <v>0</v>
      </c>
      <c r="AZ50" s="1">
        <v>0</v>
      </c>
      <c r="BA50" s="1">
        <v>0</v>
      </c>
      <c r="BB50" s="54">
        <v>3.1833333333333331</v>
      </c>
      <c r="BC50" s="54">
        <v>0</v>
      </c>
      <c r="BD50" s="54">
        <v>3.1833333333333331</v>
      </c>
      <c r="BE50" s="53">
        <v>3.8340828463799659E-2</v>
      </c>
      <c r="BF50" s="53">
        <v>0.14698123395958507</v>
      </c>
      <c r="BG50" s="53">
        <v>0</v>
      </c>
      <c r="BH50" s="36">
        <v>0</v>
      </c>
      <c r="BI50" s="51">
        <v>0.18532206242338473</v>
      </c>
      <c r="BJ50" s="24"/>
      <c r="BK50" t="s">
        <v>788</v>
      </c>
    </row>
    <row r="51" spans="1:63" ht="14.25" customHeight="1" x14ac:dyDescent="0.3">
      <c r="A51" s="1" t="s">
        <v>62</v>
      </c>
      <c r="B51" s="1">
        <v>20</v>
      </c>
      <c r="C51" s="3">
        <v>44753</v>
      </c>
      <c r="D51" s="23">
        <v>355848.37721300003</v>
      </c>
      <c r="E51" s="23">
        <v>3983611.4615509999</v>
      </c>
      <c r="F51">
        <v>2080</v>
      </c>
      <c r="G51" s="24"/>
      <c r="H51" s="24"/>
      <c r="I51" s="24"/>
      <c r="J51">
        <v>4</v>
      </c>
      <c r="K51">
        <v>4</v>
      </c>
      <c r="L51" s="43">
        <v>4</v>
      </c>
      <c r="M51" s="26">
        <v>978</v>
      </c>
      <c r="N51" s="43">
        <v>0</v>
      </c>
      <c r="O51">
        <f>34*20</f>
        <v>680</v>
      </c>
      <c r="P51">
        <v>0</v>
      </c>
      <c r="Q51">
        <v>0</v>
      </c>
      <c r="R51">
        <v>46.55</v>
      </c>
      <c r="S51" s="40"/>
      <c r="T51" s="40"/>
      <c r="U51" s="40"/>
      <c r="V51" s="40"/>
      <c r="W51" s="40"/>
      <c r="X51" s="4"/>
      <c r="Y51" s="40"/>
      <c r="Z51" s="40"/>
      <c r="AA51" s="40"/>
      <c r="AB51" s="40"/>
      <c r="AC51" s="40"/>
      <c r="AD51" s="4"/>
      <c r="AM51" s="33">
        <v>0.1</v>
      </c>
      <c r="AN51" s="1">
        <v>230</v>
      </c>
      <c r="AO51" s="1">
        <v>0</v>
      </c>
      <c r="AP51" s="1">
        <v>0</v>
      </c>
      <c r="AQ51" s="1">
        <v>0</v>
      </c>
      <c r="AR51" s="1">
        <v>0</v>
      </c>
      <c r="AS51" s="4">
        <f t="shared" si="15"/>
        <v>0.99956540634506741</v>
      </c>
      <c r="AT51" s="4">
        <f t="shared" si="16"/>
        <v>0</v>
      </c>
      <c r="AU51" s="4">
        <f t="shared" si="17"/>
        <v>0</v>
      </c>
      <c r="AV51" s="4">
        <f t="shared" si="18"/>
        <v>0</v>
      </c>
      <c r="AW51" s="4">
        <f t="shared" si="19"/>
        <v>0</v>
      </c>
      <c r="AX51" s="1">
        <v>0</v>
      </c>
      <c r="AY51" s="1">
        <v>0</v>
      </c>
      <c r="AZ51" s="1">
        <v>0</v>
      </c>
      <c r="BA51" s="1">
        <v>0</v>
      </c>
      <c r="BB51" s="54">
        <v>1.5166666666666666</v>
      </c>
      <c r="BC51" s="54">
        <v>0</v>
      </c>
      <c r="BD51" s="54">
        <v>1.5166666666666666</v>
      </c>
      <c r="BE51" s="53">
        <v>5.8985889944307172E-3</v>
      </c>
      <c r="BF51" s="53">
        <v>0</v>
      </c>
      <c r="BG51" s="53">
        <v>0.28908638686363086</v>
      </c>
      <c r="BH51" s="36">
        <v>0</v>
      </c>
      <c r="BI51" s="51">
        <v>0.2949849758580616</v>
      </c>
      <c r="BJ51" s="24"/>
      <c r="BK51" t="s">
        <v>788</v>
      </c>
    </row>
    <row r="52" spans="1:63" ht="14.25" customHeight="1" x14ac:dyDescent="0.3">
      <c r="A52" s="1" t="s">
        <v>62</v>
      </c>
      <c r="B52" s="1">
        <v>21</v>
      </c>
      <c r="C52" s="3">
        <v>44751</v>
      </c>
      <c r="D52" s="23">
        <v>356048.37721300003</v>
      </c>
      <c r="E52" s="23">
        <v>3983611.4615509999</v>
      </c>
      <c r="F52">
        <v>2061</v>
      </c>
      <c r="G52" s="24"/>
      <c r="H52" s="24"/>
      <c r="I52" s="24"/>
      <c r="J52">
        <v>3.5</v>
      </c>
      <c r="K52">
        <v>4</v>
      </c>
      <c r="L52" s="43">
        <v>4</v>
      </c>
      <c r="M52" s="26">
        <v>630</v>
      </c>
      <c r="N52" s="43">
        <v>20</v>
      </c>
      <c r="O52">
        <f>11*20</f>
        <v>220</v>
      </c>
      <c r="P52">
        <v>20</v>
      </c>
      <c r="Q52">
        <v>12.5</v>
      </c>
      <c r="R52">
        <v>43.29</v>
      </c>
      <c r="S52" s="40">
        <v>0</v>
      </c>
      <c r="T52" s="40">
        <v>0</v>
      </c>
      <c r="U52" s="40">
        <f>1/1</f>
        <v>1</v>
      </c>
      <c r="V52" s="40">
        <v>0</v>
      </c>
      <c r="W52" s="40">
        <v>0</v>
      </c>
      <c r="X52" s="4">
        <f>T52+U52</f>
        <v>1</v>
      </c>
      <c r="Y52" s="40">
        <v>0</v>
      </c>
      <c r="Z52" s="40">
        <v>0</v>
      </c>
      <c r="AA52" s="40">
        <f>12.5/Q52</f>
        <v>1</v>
      </c>
      <c r="AB52" s="40">
        <v>0</v>
      </c>
      <c r="AC52" s="40">
        <v>0</v>
      </c>
      <c r="AD52" s="4">
        <f>Z52+AA52</f>
        <v>1</v>
      </c>
      <c r="AM52" s="34">
        <v>6.0000000000000001E-3</v>
      </c>
      <c r="AN52" s="12">
        <f>5*166.67</f>
        <v>833.34999999999991</v>
      </c>
      <c r="AO52" s="1">
        <v>10</v>
      </c>
      <c r="AP52" s="1">
        <v>20</v>
      </c>
      <c r="AQ52" s="1">
        <v>0</v>
      </c>
      <c r="AR52" s="1">
        <v>10</v>
      </c>
      <c r="AS52" s="4">
        <f t="shared" si="15"/>
        <v>0.9541927919428046</v>
      </c>
      <c r="AT52" s="4">
        <f t="shared" si="16"/>
        <v>1.1450084501623624E-2</v>
      </c>
      <c r="AU52" s="4">
        <f t="shared" si="17"/>
        <v>2.2900169003247248E-2</v>
      </c>
      <c r="AV52" s="4">
        <f t="shared" si="18"/>
        <v>0</v>
      </c>
      <c r="AW52" s="4">
        <f t="shared" si="19"/>
        <v>1.1450084501623624E-2</v>
      </c>
      <c r="AX52" s="1">
        <v>0</v>
      </c>
      <c r="AY52" s="1">
        <v>0</v>
      </c>
      <c r="AZ52" s="1">
        <v>0</v>
      </c>
      <c r="BA52" s="1">
        <v>0</v>
      </c>
      <c r="BB52" s="54">
        <v>2.7916666666666665</v>
      </c>
      <c r="BC52" s="54">
        <v>0.25</v>
      </c>
      <c r="BD52" s="54">
        <v>3.833333333333333</v>
      </c>
      <c r="BE52" s="53">
        <v>0.11797177988861435</v>
      </c>
      <c r="BF52" s="53">
        <v>1.3963217226160585</v>
      </c>
      <c r="BG52" s="53">
        <v>0.86725916059089259</v>
      </c>
      <c r="BH52" s="36">
        <v>3.1109274999672589</v>
      </c>
      <c r="BI52" s="51">
        <v>5.4924801630628242</v>
      </c>
      <c r="BJ52" s="24"/>
      <c r="BK52" t="s">
        <v>788</v>
      </c>
    </row>
    <row r="53" spans="1:63" ht="14.25" customHeight="1" x14ac:dyDescent="0.3">
      <c r="A53" s="1" t="s">
        <v>62</v>
      </c>
      <c r="B53" s="1">
        <v>22</v>
      </c>
      <c r="C53" s="3">
        <v>44753</v>
      </c>
      <c r="D53" s="23">
        <v>355848.37721300003</v>
      </c>
      <c r="E53" s="23">
        <v>3983811.4615509999</v>
      </c>
      <c r="F53">
        <v>2111</v>
      </c>
      <c r="G53" s="24"/>
      <c r="H53" s="24"/>
      <c r="I53" s="24"/>
      <c r="J53">
        <v>4</v>
      </c>
      <c r="K53">
        <v>4</v>
      </c>
      <c r="L53" s="43">
        <v>4</v>
      </c>
      <c r="M53" s="26">
        <v>1046</v>
      </c>
      <c r="N53" s="43">
        <v>0</v>
      </c>
      <c r="O53">
        <f>16*20</f>
        <v>320</v>
      </c>
      <c r="P53">
        <v>0</v>
      </c>
      <c r="Q53">
        <v>0</v>
      </c>
      <c r="R53">
        <v>27.45</v>
      </c>
      <c r="S53" s="40"/>
      <c r="T53" s="40"/>
      <c r="U53" s="40"/>
      <c r="V53" s="40"/>
      <c r="W53" s="40"/>
      <c r="X53" s="4"/>
      <c r="Y53" s="40"/>
      <c r="Z53" s="40"/>
      <c r="AA53" s="40"/>
      <c r="AB53" s="40"/>
      <c r="AC53" s="40"/>
      <c r="AD53" s="4"/>
      <c r="AM53" s="33">
        <v>0.1</v>
      </c>
      <c r="AN53" s="1">
        <v>1270</v>
      </c>
      <c r="AO53" s="1">
        <v>0</v>
      </c>
      <c r="AP53" s="1">
        <v>0</v>
      </c>
      <c r="AQ53" s="1">
        <v>10</v>
      </c>
      <c r="AR53" s="1">
        <v>0</v>
      </c>
      <c r="AS53" s="4">
        <f t="shared" si="15"/>
        <v>0.99210999140692135</v>
      </c>
      <c r="AT53" s="4">
        <f t="shared" si="16"/>
        <v>0</v>
      </c>
      <c r="AU53" s="4">
        <f t="shared" si="17"/>
        <v>0</v>
      </c>
      <c r="AV53" s="4">
        <f t="shared" si="18"/>
        <v>7.8118896961174916E-3</v>
      </c>
      <c r="AW53" s="4">
        <f t="shared" si="19"/>
        <v>0</v>
      </c>
      <c r="AX53" s="1">
        <v>0</v>
      </c>
      <c r="AY53" s="1">
        <v>0</v>
      </c>
      <c r="AZ53" s="1">
        <v>0</v>
      </c>
      <c r="BA53" s="1">
        <v>0</v>
      </c>
      <c r="BB53" s="54">
        <v>0.46666666666666673</v>
      </c>
      <c r="BC53" s="54">
        <v>0</v>
      </c>
      <c r="BD53" s="54">
        <v>0.94166666666666676</v>
      </c>
      <c r="BE53" s="53">
        <v>3.5391533966584308E-2</v>
      </c>
      <c r="BF53" s="53">
        <v>0.36745308489896272</v>
      </c>
      <c r="BG53" s="53">
        <v>0.57817277372726172</v>
      </c>
      <c r="BH53" s="36">
        <v>3.1332125589333271</v>
      </c>
      <c r="BI53" s="51">
        <v>4.114229951526136</v>
      </c>
      <c r="BJ53" s="24"/>
      <c r="BK53" t="s">
        <v>788</v>
      </c>
    </row>
    <row r="54" spans="1:63" ht="14.25" customHeight="1" x14ac:dyDescent="0.3">
      <c r="A54" s="1" t="s">
        <v>68</v>
      </c>
      <c r="B54" s="1">
        <v>1</v>
      </c>
      <c r="C54" s="3">
        <v>44767</v>
      </c>
      <c r="D54">
        <v>356282</v>
      </c>
      <c r="E54">
        <v>3976671</v>
      </c>
      <c r="F54">
        <v>2064</v>
      </c>
      <c r="G54">
        <v>10</v>
      </c>
      <c r="H54">
        <v>34</v>
      </c>
      <c r="I54">
        <f t="shared" ref="I54:I85" si="20">ABS(180-H54)</f>
        <v>146</v>
      </c>
      <c r="J54">
        <v>2</v>
      </c>
      <c r="K54">
        <v>2</v>
      </c>
      <c r="L54" s="43">
        <v>4</v>
      </c>
      <c r="M54" s="26">
        <v>358</v>
      </c>
      <c r="N54" s="43">
        <v>40</v>
      </c>
      <c r="O54">
        <f>16*20</f>
        <v>320</v>
      </c>
      <c r="P54">
        <v>20</v>
      </c>
      <c r="Q54">
        <v>13.32</v>
      </c>
      <c r="R54">
        <v>186.33</v>
      </c>
      <c r="S54" s="40">
        <v>0</v>
      </c>
      <c r="T54" s="40">
        <f>2/2</f>
        <v>1</v>
      </c>
      <c r="U54" s="40">
        <v>0</v>
      </c>
      <c r="V54" s="40">
        <v>0</v>
      </c>
      <c r="W54" s="40">
        <v>0</v>
      </c>
      <c r="X54" s="4">
        <f>T54+U54</f>
        <v>1</v>
      </c>
      <c r="Y54" s="40">
        <v>0</v>
      </c>
      <c r="Z54" s="40">
        <f>13.32/Q54</f>
        <v>1</v>
      </c>
      <c r="AA54" s="40">
        <v>0</v>
      </c>
      <c r="AB54" s="40">
        <v>0</v>
      </c>
      <c r="AC54" s="40">
        <v>0</v>
      </c>
      <c r="AD54" s="4">
        <f>Z54+AA54</f>
        <v>1</v>
      </c>
      <c r="AE54" s="1">
        <v>0</v>
      </c>
      <c r="AF54" s="1">
        <v>0</v>
      </c>
      <c r="AG54" s="1" t="s">
        <v>50</v>
      </c>
      <c r="AH54" s="1">
        <v>38.799999999999997</v>
      </c>
      <c r="AI54" s="1">
        <v>48.3</v>
      </c>
      <c r="AJ54" s="1">
        <v>2.9</v>
      </c>
      <c r="AK54" s="1">
        <v>0</v>
      </c>
      <c r="AL54" s="1">
        <v>6.5</v>
      </c>
      <c r="AM54" s="34">
        <v>6.0000000000000001E-3</v>
      </c>
      <c r="AN54" s="12">
        <f>31*166.67</f>
        <v>5166.7699999999995</v>
      </c>
      <c r="AO54" s="1">
        <f>563*166.67</f>
        <v>93835.209999999992</v>
      </c>
      <c r="AP54" s="1">
        <v>0</v>
      </c>
      <c r="AQ54" s="1">
        <v>0</v>
      </c>
      <c r="AR54" s="1">
        <v>10</v>
      </c>
      <c r="AS54" s="4">
        <f t="shared" si="15"/>
        <v>5.2183278093219945E-2</v>
      </c>
      <c r="AT54" s="4">
        <f t="shared" si="16"/>
        <v>0.94771566343492997</v>
      </c>
      <c r="AU54" s="4">
        <f t="shared" si="17"/>
        <v>0</v>
      </c>
      <c r="AV54" s="4">
        <f t="shared" si="18"/>
        <v>0</v>
      </c>
      <c r="AW54" s="4">
        <f t="shared" si="19"/>
        <v>1.0099787312618899E-4</v>
      </c>
      <c r="AX54" s="1">
        <v>0</v>
      </c>
      <c r="AY54" s="1">
        <v>0</v>
      </c>
      <c r="AZ54" s="1">
        <v>0</v>
      </c>
      <c r="BA54" s="1">
        <v>0</v>
      </c>
      <c r="BB54" s="52">
        <v>5.4666666666666677</v>
      </c>
      <c r="BC54" s="52">
        <v>0</v>
      </c>
      <c r="BD54" s="52">
        <v>5.6333333333333337</v>
      </c>
      <c r="BE54" s="51">
        <v>0.19760273131342904</v>
      </c>
      <c r="BF54" s="51">
        <v>0.80839678677771798</v>
      </c>
      <c r="BG54" s="51">
        <v>1.4454319343181543</v>
      </c>
      <c r="BH54" s="1">
        <v>14.172897881692553</v>
      </c>
      <c r="BI54" s="51">
        <v>16.624329334101855</v>
      </c>
      <c r="BJ54" t="s">
        <v>66</v>
      </c>
    </row>
    <row r="55" spans="1:63" ht="14.25" customHeight="1" x14ac:dyDescent="0.3">
      <c r="A55" s="1" t="s">
        <v>68</v>
      </c>
      <c r="B55" s="1">
        <v>2</v>
      </c>
      <c r="C55" s="3">
        <v>44767</v>
      </c>
      <c r="D55">
        <v>356479</v>
      </c>
      <c r="E55">
        <v>3976640</v>
      </c>
      <c r="F55">
        <v>2062</v>
      </c>
      <c r="G55">
        <v>23</v>
      </c>
      <c r="H55">
        <v>31</v>
      </c>
      <c r="I55">
        <f t="shared" si="20"/>
        <v>149</v>
      </c>
      <c r="J55">
        <v>2</v>
      </c>
      <c r="K55">
        <v>2</v>
      </c>
      <c r="L55" s="43">
        <v>3</v>
      </c>
      <c r="M55" s="26">
        <v>257</v>
      </c>
      <c r="N55" s="43">
        <v>40</v>
      </c>
      <c r="O55">
        <f>9*20</f>
        <v>180</v>
      </c>
      <c r="P55">
        <v>20</v>
      </c>
      <c r="Q55">
        <v>16.62</v>
      </c>
      <c r="R55">
        <v>25.22</v>
      </c>
      <c r="S55" s="40">
        <v>0</v>
      </c>
      <c r="T55" s="40">
        <f>1/2</f>
        <v>0.5</v>
      </c>
      <c r="U55" s="40">
        <v>0</v>
      </c>
      <c r="V55" s="40">
        <f>1/2</f>
        <v>0.5</v>
      </c>
      <c r="W55" s="40">
        <v>0</v>
      </c>
      <c r="X55" s="4">
        <f>T55+U55</f>
        <v>0.5</v>
      </c>
      <c r="Y55" s="40">
        <v>0</v>
      </c>
      <c r="Z55" s="40">
        <f>12.87/Q55</f>
        <v>0.77436823104693131</v>
      </c>
      <c r="AA55" s="40">
        <v>0</v>
      </c>
      <c r="AB55" s="40">
        <f>3.76/Q55</f>
        <v>0.22623345367027675</v>
      </c>
      <c r="AC55" s="40">
        <v>0</v>
      </c>
      <c r="AD55" s="4">
        <f>Z55+AA55</f>
        <v>0.77436823104693131</v>
      </c>
      <c r="AE55" s="1">
        <v>0</v>
      </c>
      <c r="AF55" s="1">
        <v>0</v>
      </c>
      <c r="AG55" s="1" t="s">
        <v>50</v>
      </c>
      <c r="AH55" s="1">
        <v>40.4</v>
      </c>
      <c r="AI55" s="1">
        <v>43.8</v>
      </c>
      <c r="AJ55" s="1">
        <v>0.6</v>
      </c>
      <c r="AK55" s="1">
        <v>0</v>
      </c>
      <c r="AL55" s="1">
        <v>0</v>
      </c>
      <c r="AM55" s="33">
        <v>0.1</v>
      </c>
      <c r="AN55" s="1">
        <v>70</v>
      </c>
      <c r="AO55" s="1">
        <f>9*166.67</f>
        <v>1500.03</v>
      </c>
      <c r="AP55" s="1">
        <v>20</v>
      </c>
      <c r="AQ55" s="1">
        <v>0</v>
      </c>
      <c r="AR55" s="1">
        <v>10</v>
      </c>
      <c r="AS55" s="4">
        <f t="shared" si="15"/>
        <v>4.3746445601294898E-2</v>
      </c>
      <c r="AT55" s="4">
        <f t="shared" si="16"/>
        <v>0.93744258279014836</v>
      </c>
      <c r="AU55" s="4">
        <f t="shared" si="17"/>
        <v>1.2498984457512827E-2</v>
      </c>
      <c r="AV55" s="4">
        <f t="shared" si="18"/>
        <v>0</v>
      </c>
      <c r="AW55" s="4">
        <f t="shared" si="19"/>
        <v>6.2494922287564137E-3</v>
      </c>
      <c r="AX55" s="1">
        <v>0</v>
      </c>
      <c r="AY55" s="1">
        <v>0</v>
      </c>
      <c r="AZ55" s="1">
        <v>0</v>
      </c>
      <c r="BA55" s="1">
        <v>0</v>
      </c>
      <c r="BB55" s="52">
        <v>1.0249999999999999</v>
      </c>
      <c r="BC55" s="52">
        <v>0</v>
      </c>
      <c r="BD55" s="52">
        <v>1.9416666666666667</v>
      </c>
      <c r="BE55" s="51">
        <v>0.10840604923868874</v>
      </c>
      <c r="BF55" s="51">
        <v>1.2755975921346616</v>
      </c>
      <c r="BG55" s="51">
        <v>2.0661343456426398</v>
      </c>
      <c r="BH55" s="1">
        <v>5.1162572473408376</v>
      </c>
      <c r="BI55" s="51">
        <v>8.5663952343568273</v>
      </c>
      <c r="BJ55" t="s">
        <v>51</v>
      </c>
    </row>
    <row r="56" spans="1:63" ht="14.25" customHeight="1" x14ac:dyDescent="0.3">
      <c r="A56" s="1" t="s">
        <v>68</v>
      </c>
      <c r="B56" s="1">
        <v>3</v>
      </c>
      <c r="C56" s="3">
        <v>44767</v>
      </c>
      <c r="D56">
        <v>356287</v>
      </c>
      <c r="E56">
        <v>3976883</v>
      </c>
      <c r="F56">
        <v>2046</v>
      </c>
      <c r="G56">
        <v>9</v>
      </c>
      <c r="H56">
        <v>35</v>
      </c>
      <c r="I56">
        <f t="shared" si="20"/>
        <v>145</v>
      </c>
      <c r="J56">
        <v>4</v>
      </c>
      <c r="K56">
        <v>4</v>
      </c>
      <c r="L56" s="43">
        <v>4</v>
      </c>
      <c r="M56" s="26">
        <v>698</v>
      </c>
      <c r="N56" s="43">
        <v>0</v>
      </c>
      <c r="O56">
        <f>21*20</f>
        <v>420</v>
      </c>
      <c r="P56">
        <v>0</v>
      </c>
      <c r="Q56">
        <v>0</v>
      </c>
      <c r="R56">
        <v>62.69</v>
      </c>
      <c r="S56" s="40"/>
      <c r="T56" s="40"/>
      <c r="U56" s="40"/>
      <c r="V56" s="40"/>
      <c r="W56" s="40"/>
      <c r="X56" s="4"/>
      <c r="Y56" s="40"/>
      <c r="Z56" s="40"/>
      <c r="AA56" s="40"/>
      <c r="AB56" s="40"/>
      <c r="AC56" s="40"/>
      <c r="AD56" s="4"/>
      <c r="AE56" s="1">
        <v>0</v>
      </c>
      <c r="AF56" s="1">
        <v>0</v>
      </c>
      <c r="AG56" s="1" t="s">
        <v>50</v>
      </c>
      <c r="AH56" s="1">
        <v>32.700000000000003</v>
      </c>
      <c r="AI56" s="1">
        <v>50.4</v>
      </c>
      <c r="AJ56" s="1">
        <v>5.8</v>
      </c>
      <c r="AK56" s="1">
        <v>0</v>
      </c>
      <c r="AL56" s="1">
        <v>2.1</v>
      </c>
      <c r="AM56" s="34">
        <v>6.0000000000000001E-3</v>
      </c>
      <c r="AN56" s="12">
        <f>34*166.67</f>
        <v>5666.78</v>
      </c>
      <c r="AO56" s="1">
        <f>51*166.67</f>
        <v>8500.17</v>
      </c>
      <c r="AP56" s="1">
        <v>0</v>
      </c>
      <c r="AQ56" s="1">
        <v>0</v>
      </c>
      <c r="AR56" s="1">
        <v>0</v>
      </c>
      <c r="AS56" s="4">
        <f t="shared" si="15"/>
        <v>0.39999983059169519</v>
      </c>
      <c r="AT56" s="4">
        <f t="shared" si="16"/>
        <v>0.59999974588754279</v>
      </c>
      <c r="AU56" s="4">
        <f t="shared" si="17"/>
        <v>0</v>
      </c>
      <c r="AV56" s="4">
        <f t="shared" si="18"/>
        <v>0</v>
      </c>
      <c r="AW56" s="4">
        <f t="shared" si="19"/>
        <v>0</v>
      </c>
      <c r="AX56" s="1">
        <v>0</v>
      </c>
      <c r="AY56" s="1">
        <v>0</v>
      </c>
      <c r="AZ56" s="1">
        <v>0</v>
      </c>
      <c r="BA56" s="1">
        <v>0</v>
      </c>
      <c r="BB56" s="52">
        <v>0.80833333333333324</v>
      </c>
      <c r="BC56" s="52">
        <v>0</v>
      </c>
      <c r="BD56" s="52">
        <v>4.5999999999999996</v>
      </c>
      <c r="BE56" s="51">
        <v>0.40072659793421878</v>
      </c>
      <c r="BF56" s="51">
        <v>1.6886935708510473</v>
      </c>
      <c r="BG56" s="51">
        <v>2.0217004214765404</v>
      </c>
      <c r="BH56" s="1">
        <v>28.448616455115825</v>
      </c>
      <c r="BI56" s="51">
        <v>32.559737045377631</v>
      </c>
      <c r="BJ56" t="s">
        <v>69</v>
      </c>
    </row>
    <row r="57" spans="1:63" ht="14.25" customHeight="1" x14ac:dyDescent="0.3">
      <c r="A57" s="1" t="s">
        <v>68</v>
      </c>
      <c r="B57" s="1">
        <v>4</v>
      </c>
      <c r="C57" s="3">
        <v>44763</v>
      </c>
      <c r="D57">
        <v>356483</v>
      </c>
      <c r="E57">
        <v>3976856</v>
      </c>
      <c r="F57">
        <v>2004</v>
      </c>
      <c r="G57">
        <v>23</v>
      </c>
      <c r="H57">
        <v>50</v>
      </c>
      <c r="I57">
        <f t="shared" si="20"/>
        <v>130</v>
      </c>
      <c r="J57">
        <v>2.5</v>
      </c>
      <c r="K57">
        <v>3</v>
      </c>
      <c r="L57" s="43">
        <v>3</v>
      </c>
      <c r="M57" s="26">
        <v>403</v>
      </c>
      <c r="N57" s="43">
        <v>60</v>
      </c>
      <c r="O57">
        <f>9*20</f>
        <v>180</v>
      </c>
      <c r="P57">
        <v>40</v>
      </c>
      <c r="Q57">
        <v>30.7</v>
      </c>
      <c r="R57">
        <v>64.03</v>
      </c>
      <c r="S57" s="40">
        <v>0</v>
      </c>
      <c r="T57" s="40">
        <f>2/3</f>
        <v>0.66666666666666663</v>
      </c>
      <c r="U57" s="40">
        <v>0</v>
      </c>
      <c r="V57" s="40">
        <f>1/3</f>
        <v>0.33333333333333331</v>
      </c>
      <c r="W57" s="40">
        <v>0</v>
      </c>
      <c r="X57" s="4">
        <f>T57+U57</f>
        <v>0.66666666666666663</v>
      </c>
      <c r="Y57" s="40">
        <v>0</v>
      </c>
      <c r="Z57" s="40">
        <f>25.77/Q57</f>
        <v>0.83941368078175893</v>
      </c>
      <c r="AA57" s="40">
        <v>0</v>
      </c>
      <c r="AB57" s="40">
        <f>4.93/Q57</f>
        <v>0.16058631921824104</v>
      </c>
      <c r="AC57" s="40">
        <v>0</v>
      </c>
      <c r="AD57" s="4">
        <f>Z57+AA57</f>
        <v>0.83941368078175893</v>
      </c>
      <c r="AE57" s="1">
        <v>27.1</v>
      </c>
      <c r="AF57" s="1">
        <v>0.83</v>
      </c>
      <c r="AG57" s="1" t="s">
        <v>50</v>
      </c>
      <c r="AH57" s="1">
        <v>25</v>
      </c>
      <c r="AI57" s="1">
        <v>36</v>
      </c>
      <c r="AJ57" s="1">
        <v>25.4</v>
      </c>
      <c r="AK57" s="1">
        <v>0</v>
      </c>
      <c r="AL57" s="1">
        <v>0</v>
      </c>
      <c r="AM57" s="33">
        <v>0.1</v>
      </c>
      <c r="AN57" s="1">
        <v>30</v>
      </c>
      <c r="AO57" s="1">
        <f>9*166.67</f>
        <v>1500.03</v>
      </c>
      <c r="AP57" s="1">
        <v>0</v>
      </c>
      <c r="AQ57" s="1">
        <v>30</v>
      </c>
      <c r="AR57" s="1">
        <v>10</v>
      </c>
      <c r="AS57" s="4">
        <f t="shared" si="15"/>
        <v>1.9106698171488988E-2</v>
      </c>
      <c r="AT57" s="4">
        <f t="shared" si="16"/>
        <v>0.95535401527262076</v>
      </c>
      <c r="AU57" s="4">
        <f t="shared" si="17"/>
        <v>0</v>
      </c>
      <c r="AV57" s="4">
        <f t="shared" si="18"/>
        <v>1.9106698171488988E-2</v>
      </c>
      <c r="AW57" s="4">
        <f t="shared" si="19"/>
        <v>6.3688993904963288E-3</v>
      </c>
      <c r="AX57" s="1">
        <v>0</v>
      </c>
      <c r="AY57" s="1">
        <v>0</v>
      </c>
      <c r="AZ57" s="1">
        <v>0</v>
      </c>
      <c r="BA57" s="1">
        <v>0</v>
      </c>
      <c r="BB57" s="52">
        <v>1.541666666666667</v>
      </c>
      <c r="BC57" s="52">
        <v>0</v>
      </c>
      <c r="BD57" s="52">
        <v>3.0166666666666666</v>
      </c>
      <c r="BE57" s="51">
        <v>0.1686316321490714</v>
      </c>
      <c r="BF57" s="51">
        <v>1.0504921346991332</v>
      </c>
      <c r="BG57" s="51">
        <v>0.59032409875503988</v>
      </c>
      <c r="BH57" s="1">
        <v>26.060494904499187</v>
      </c>
      <c r="BI57" s="51">
        <v>27.869942770102433</v>
      </c>
      <c r="BJ57" t="s">
        <v>51</v>
      </c>
    </row>
    <row r="58" spans="1:63" ht="14.25" customHeight="1" x14ac:dyDescent="0.3">
      <c r="A58" s="1" t="s">
        <v>68</v>
      </c>
      <c r="B58" s="1">
        <v>5</v>
      </c>
      <c r="C58" s="3">
        <v>44765</v>
      </c>
      <c r="D58">
        <v>356990</v>
      </c>
      <c r="E58">
        <v>3976848</v>
      </c>
      <c r="F58">
        <v>1991</v>
      </c>
      <c r="G58">
        <v>25</v>
      </c>
      <c r="H58">
        <v>316</v>
      </c>
      <c r="I58">
        <f t="shared" si="20"/>
        <v>136</v>
      </c>
      <c r="J58">
        <v>2</v>
      </c>
      <c r="K58">
        <v>2</v>
      </c>
      <c r="L58" s="43">
        <v>3</v>
      </c>
      <c r="M58" s="26">
        <v>362</v>
      </c>
      <c r="N58" s="43">
        <v>20</v>
      </c>
      <c r="O58">
        <f>10*20</f>
        <v>200</v>
      </c>
      <c r="P58">
        <v>20</v>
      </c>
      <c r="Q58">
        <v>24.23</v>
      </c>
      <c r="R58">
        <v>60.8</v>
      </c>
      <c r="S58" s="40">
        <f>1/1</f>
        <v>1</v>
      </c>
      <c r="T58" s="40">
        <v>0</v>
      </c>
      <c r="U58" s="40">
        <v>0</v>
      </c>
      <c r="V58" s="40">
        <v>0</v>
      </c>
      <c r="W58" s="40">
        <v>0</v>
      </c>
      <c r="X58" s="4">
        <f>T58+U58</f>
        <v>0</v>
      </c>
      <c r="Y58" s="40">
        <f>24.23/Q58</f>
        <v>1</v>
      </c>
      <c r="Z58" s="40">
        <v>0</v>
      </c>
      <c r="AA58" s="40">
        <v>0</v>
      </c>
      <c r="AB58" s="40">
        <v>0</v>
      </c>
      <c r="AC58" s="40">
        <v>0</v>
      </c>
      <c r="AD58" s="4">
        <f>Z58+AA58</f>
        <v>0</v>
      </c>
      <c r="AE58" s="1">
        <v>1.7</v>
      </c>
      <c r="AF58" s="1">
        <v>0.88</v>
      </c>
      <c r="AG58" s="1" t="s">
        <v>50</v>
      </c>
      <c r="AH58" s="1">
        <v>41.9</v>
      </c>
      <c r="AI58" s="1">
        <v>49.6</v>
      </c>
      <c r="AJ58" s="1">
        <v>5</v>
      </c>
      <c r="AK58" s="1">
        <v>0</v>
      </c>
      <c r="AL58" s="1">
        <v>0.8</v>
      </c>
      <c r="AM58" s="34">
        <v>6.0000000000000001E-3</v>
      </c>
      <c r="AN58" s="12">
        <f>48*166.67</f>
        <v>8000.16</v>
      </c>
      <c r="AO58" s="1">
        <f>77*166.67</f>
        <v>12833.589999999998</v>
      </c>
      <c r="AP58" s="1">
        <f>3*166.67</f>
        <v>500.01</v>
      </c>
      <c r="AQ58" s="1">
        <v>0</v>
      </c>
      <c r="AR58" s="1">
        <v>0</v>
      </c>
      <c r="AS58" s="4">
        <f t="shared" si="15"/>
        <v>0.37499989453338906</v>
      </c>
      <c r="AT58" s="4">
        <f t="shared" si="16"/>
        <v>0.60156233081397825</v>
      </c>
      <c r="AU58" s="4">
        <f t="shared" si="17"/>
        <v>2.3437493408336816E-2</v>
      </c>
      <c r="AV58" s="4">
        <f t="shared" si="18"/>
        <v>0</v>
      </c>
      <c r="AW58" s="4">
        <f t="shared" si="19"/>
        <v>0</v>
      </c>
      <c r="AX58" s="1">
        <v>0</v>
      </c>
      <c r="AY58" s="1">
        <v>0</v>
      </c>
      <c r="AZ58" s="1">
        <v>0</v>
      </c>
      <c r="BA58" s="1">
        <v>0</v>
      </c>
      <c r="BB58" s="52">
        <v>0.56666666666666665</v>
      </c>
      <c r="BC58" s="52">
        <v>0</v>
      </c>
      <c r="BD58" s="52">
        <v>1.2999999999999998</v>
      </c>
      <c r="BE58" s="51">
        <v>0.26014792980282192</v>
      </c>
      <c r="BF58" s="51">
        <v>1.507528987038846</v>
      </c>
      <c r="BG58" s="51">
        <v>1.1860183676919778</v>
      </c>
      <c r="BH58" s="1">
        <v>0</v>
      </c>
      <c r="BI58" s="51">
        <v>2.9536952845336457</v>
      </c>
      <c r="BJ58" t="s">
        <v>51</v>
      </c>
    </row>
    <row r="59" spans="1:63" ht="14.25" customHeight="1" x14ac:dyDescent="0.3">
      <c r="A59" s="1" t="s">
        <v>68</v>
      </c>
      <c r="B59" s="1">
        <v>6</v>
      </c>
      <c r="C59" s="3">
        <v>44763</v>
      </c>
      <c r="D59">
        <v>356288</v>
      </c>
      <c r="E59">
        <v>3977051</v>
      </c>
      <c r="F59">
        <v>1978</v>
      </c>
      <c r="G59">
        <v>28</v>
      </c>
      <c r="H59">
        <v>4</v>
      </c>
      <c r="I59">
        <f t="shared" si="20"/>
        <v>176</v>
      </c>
      <c r="J59">
        <v>4</v>
      </c>
      <c r="K59">
        <v>4</v>
      </c>
      <c r="L59" s="43">
        <v>4</v>
      </c>
      <c r="M59" s="26">
        <v>825</v>
      </c>
      <c r="N59" s="43">
        <v>0</v>
      </c>
      <c r="O59">
        <f>16*20</f>
        <v>320</v>
      </c>
      <c r="P59">
        <v>0</v>
      </c>
      <c r="Q59">
        <v>0</v>
      </c>
      <c r="R59">
        <v>46.14</v>
      </c>
      <c r="S59" s="40"/>
      <c r="T59" s="40"/>
      <c r="U59" s="40"/>
      <c r="V59" s="40"/>
      <c r="W59" s="40"/>
      <c r="X59" s="4"/>
      <c r="Y59" s="40"/>
      <c r="Z59" s="40"/>
      <c r="AA59" s="40"/>
      <c r="AB59" s="40"/>
      <c r="AC59" s="40"/>
      <c r="AD59" s="4"/>
      <c r="AE59" s="1">
        <v>0.3</v>
      </c>
      <c r="AF59" s="1">
        <v>4.46</v>
      </c>
      <c r="AG59" s="1" t="s">
        <v>58</v>
      </c>
      <c r="AH59" s="1">
        <v>49.6</v>
      </c>
      <c r="AI59" s="1">
        <v>37.700000000000003</v>
      </c>
      <c r="AJ59" s="1">
        <v>4.0999999999999996</v>
      </c>
      <c r="AK59" s="1">
        <v>0</v>
      </c>
      <c r="AL59" s="1">
        <v>2</v>
      </c>
      <c r="AM59" s="34">
        <v>6.0000000000000001E-3</v>
      </c>
      <c r="AN59" s="12">
        <f>3*166.67</f>
        <v>500.01</v>
      </c>
      <c r="AO59" s="1">
        <f>8*166.67</f>
        <v>1333.36</v>
      </c>
      <c r="AP59" s="1">
        <v>0</v>
      </c>
      <c r="AQ59" s="1">
        <v>0</v>
      </c>
      <c r="AR59" s="1">
        <f>2*166.67</f>
        <v>333.34</v>
      </c>
      <c r="AS59" s="4">
        <f t="shared" si="15"/>
        <v>0.23076859173052675</v>
      </c>
      <c r="AT59" s="4">
        <f t="shared" si="16"/>
        <v>0.61538291128140465</v>
      </c>
      <c r="AU59" s="4">
        <f t="shared" si="17"/>
        <v>0</v>
      </c>
      <c r="AV59" s="4">
        <f t="shared" si="18"/>
        <v>0</v>
      </c>
      <c r="AW59" s="4">
        <f t="shared" si="19"/>
        <v>0.15384572782035116</v>
      </c>
      <c r="AX59" s="1">
        <v>0</v>
      </c>
      <c r="AY59" s="1">
        <v>0</v>
      </c>
      <c r="AZ59" s="1">
        <v>0</v>
      </c>
      <c r="BA59" s="1">
        <v>0</v>
      </c>
      <c r="BB59" s="52">
        <v>0.6166666666666667</v>
      </c>
      <c r="BC59" s="52">
        <v>0</v>
      </c>
      <c r="BD59" s="52">
        <v>1.7833333333333332</v>
      </c>
      <c r="BE59" s="51">
        <v>9.1425774469184998E-2</v>
      </c>
      <c r="BF59" s="51">
        <v>7.5938348192984256E-2</v>
      </c>
      <c r="BG59" s="51">
        <v>0</v>
      </c>
      <c r="BH59" s="1">
        <v>0</v>
      </c>
      <c r="BI59" s="51">
        <v>0.16736412266216927</v>
      </c>
      <c r="BJ59" t="s">
        <v>51</v>
      </c>
    </row>
    <row r="60" spans="1:63" ht="14.25" customHeight="1" x14ac:dyDescent="0.3">
      <c r="A60" s="1" t="s">
        <v>68</v>
      </c>
      <c r="B60" s="1">
        <v>7</v>
      </c>
      <c r="C60" s="3">
        <v>44764</v>
      </c>
      <c r="D60">
        <v>356500</v>
      </c>
      <c r="E60">
        <v>3977069</v>
      </c>
      <c r="F60">
        <v>1943</v>
      </c>
      <c r="G60">
        <v>28</v>
      </c>
      <c r="H60">
        <v>29</v>
      </c>
      <c r="I60">
        <f t="shared" si="20"/>
        <v>151</v>
      </c>
      <c r="J60">
        <v>1.5</v>
      </c>
      <c r="K60">
        <v>2</v>
      </c>
      <c r="L60" s="43">
        <v>2</v>
      </c>
      <c r="M60" s="26">
        <v>182</v>
      </c>
      <c r="N60">
        <f>25*20</f>
        <v>500</v>
      </c>
      <c r="O60">
        <f>9*20</f>
        <v>180</v>
      </c>
      <c r="P60">
        <v>60</v>
      </c>
      <c r="Q60">
        <v>66.63</v>
      </c>
      <c r="R60">
        <v>19.07</v>
      </c>
      <c r="S60" s="40">
        <f>5/25</f>
        <v>0.2</v>
      </c>
      <c r="T60" s="40">
        <f>13/25</f>
        <v>0.52</v>
      </c>
      <c r="U60" s="40">
        <f>3/25</f>
        <v>0.12</v>
      </c>
      <c r="V60" s="40">
        <v>0</v>
      </c>
      <c r="W60" s="40">
        <f>4/25</f>
        <v>0.16</v>
      </c>
      <c r="X60" s="4">
        <f>T60+U60</f>
        <v>0.64</v>
      </c>
      <c r="Y60" s="40">
        <f>32.35/Q60</f>
        <v>0.48551703436890298</v>
      </c>
      <c r="Z60" s="40">
        <f>10.46/Q60</f>
        <v>0.15698634248836862</v>
      </c>
      <c r="AA60" s="40">
        <f>23.09/Q60</f>
        <v>0.34654059732853071</v>
      </c>
      <c r="AB60" s="40">
        <v>0</v>
      </c>
      <c r="AC60" s="42">
        <f>0.73/Q60</f>
        <v>1.0956025814197809E-2</v>
      </c>
      <c r="AD60" s="4">
        <f>Z60+AA60</f>
        <v>0.50352693981689933</v>
      </c>
      <c r="AE60" s="1">
        <v>9.4</v>
      </c>
      <c r="AF60" s="1">
        <v>1.46</v>
      </c>
      <c r="AG60" s="1" t="s">
        <v>50</v>
      </c>
      <c r="AH60" s="1">
        <v>19.399999999999999</v>
      </c>
      <c r="AI60" s="1">
        <v>58.5</v>
      </c>
      <c r="AJ60" s="1">
        <v>2.8</v>
      </c>
      <c r="AK60" s="1">
        <v>0</v>
      </c>
      <c r="AL60" s="1">
        <v>1.7</v>
      </c>
      <c r="AM60" s="33">
        <v>0.1</v>
      </c>
      <c r="AN60" s="1">
        <v>1940</v>
      </c>
      <c r="AO60" s="1">
        <f>51*166.67</f>
        <v>8500.17</v>
      </c>
      <c r="AP60" s="1">
        <f>49*166.67</f>
        <v>8166.829999999999</v>
      </c>
      <c r="AQ60" s="1">
        <v>80</v>
      </c>
      <c r="AR60" s="1">
        <f>350+(9*166.67)</f>
        <v>1850.03</v>
      </c>
      <c r="AS60" s="4">
        <f t="shared" si="15"/>
        <v>9.4463053016658138E-2</v>
      </c>
      <c r="AT60" s="4">
        <f t="shared" si="16"/>
        <v>0.41389278833020976</v>
      </c>
      <c r="AU60" s="4">
        <f t="shared" si="17"/>
        <v>0.39766169859177014</v>
      </c>
      <c r="AV60" s="4">
        <f t="shared" si="18"/>
        <v>3.8953836295529125E-3</v>
      </c>
      <c r="AW60" s="4">
        <f t="shared" si="19"/>
        <v>9.0082207202272183E-2</v>
      </c>
      <c r="AX60" s="1">
        <v>0</v>
      </c>
      <c r="AY60" s="1">
        <v>100</v>
      </c>
      <c r="AZ60" s="6">
        <v>40</v>
      </c>
      <c r="BA60" s="1">
        <v>10</v>
      </c>
      <c r="BB60" s="52">
        <v>1.7916666666666665</v>
      </c>
      <c r="BC60" s="52">
        <v>0</v>
      </c>
      <c r="BD60" s="52">
        <v>2.6083333333333329</v>
      </c>
      <c r="BE60" s="51">
        <v>0.58817248241842357</v>
      </c>
      <c r="BF60" s="51">
        <v>3.6450407132632447</v>
      </c>
      <c r="BG60" s="51">
        <v>2.0910043382377506</v>
      </c>
      <c r="BH60" s="1">
        <v>5.9698597069052894</v>
      </c>
      <c r="BI60" s="51">
        <v>12.294077240824709</v>
      </c>
      <c r="BJ60" t="s">
        <v>55</v>
      </c>
    </row>
    <row r="61" spans="1:63" ht="14.25" customHeight="1" x14ac:dyDescent="0.3">
      <c r="A61" s="1" t="s">
        <v>68</v>
      </c>
      <c r="B61" s="1">
        <v>8</v>
      </c>
      <c r="C61" s="3">
        <v>44766</v>
      </c>
      <c r="D61">
        <v>356887</v>
      </c>
      <c r="E61">
        <v>3977068</v>
      </c>
      <c r="F61">
        <v>1911</v>
      </c>
      <c r="G61">
        <v>18</v>
      </c>
      <c r="H61">
        <v>81</v>
      </c>
      <c r="I61">
        <f t="shared" si="20"/>
        <v>99</v>
      </c>
      <c r="J61">
        <v>1</v>
      </c>
      <c r="K61">
        <v>1</v>
      </c>
      <c r="L61" s="43">
        <v>3</v>
      </c>
      <c r="M61" s="26">
        <v>159</v>
      </c>
      <c r="N61">
        <f>14*20</f>
        <v>280</v>
      </c>
      <c r="O61">
        <f>11*20</f>
        <v>220</v>
      </c>
      <c r="P61">
        <v>20</v>
      </c>
      <c r="Q61">
        <v>32.880000000000003</v>
      </c>
      <c r="R61">
        <v>46.42</v>
      </c>
      <c r="S61" s="40">
        <v>0</v>
      </c>
      <c r="T61" s="40">
        <f>11/14</f>
        <v>0.7857142857142857</v>
      </c>
      <c r="U61" s="40">
        <v>0</v>
      </c>
      <c r="V61" s="40">
        <f>3/14</f>
        <v>0.21428571428571427</v>
      </c>
      <c r="W61" s="40">
        <v>0</v>
      </c>
      <c r="X61" s="4">
        <f>T61+U61</f>
        <v>0.7857142857142857</v>
      </c>
      <c r="Y61" s="40">
        <v>0</v>
      </c>
      <c r="Z61" s="40">
        <f>14.66/Q61</f>
        <v>0.44586374695863745</v>
      </c>
      <c r="AA61" s="40">
        <v>0</v>
      </c>
      <c r="AB61" s="40">
        <f>18.22/Q61</f>
        <v>0.55413625304136249</v>
      </c>
      <c r="AC61" s="40">
        <v>0</v>
      </c>
      <c r="AD61" s="4">
        <f>Z61+AA61</f>
        <v>0.44586374695863745</v>
      </c>
      <c r="AE61" s="1">
        <v>5</v>
      </c>
      <c r="AF61" s="1">
        <v>0</v>
      </c>
      <c r="AG61" s="1" t="s">
        <v>50</v>
      </c>
      <c r="AH61" s="1">
        <v>23.5</v>
      </c>
      <c r="AI61" s="1">
        <v>65.599999999999994</v>
      </c>
      <c r="AJ61" s="1">
        <v>3.2</v>
      </c>
      <c r="AK61" s="1">
        <v>0</v>
      </c>
      <c r="AM61" s="34">
        <v>6.0000000000000001E-3</v>
      </c>
      <c r="AN61" s="12">
        <f>1001*166.67</f>
        <v>166836.66999999998</v>
      </c>
      <c r="AO61" s="1">
        <f>92*166.67</f>
        <v>15333.64</v>
      </c>
      <c r="AP61" s="1">
        <f>6*166.67</f>
        <v>1000.02</v>
      </c>
      <c r="AQ61" s="1">
        <f>5*166.67</f>
        <v>833.34999999999991</v>
      </c>
      <c r="AR61" s="1">
        <v>70</v>
      </c>
      <c r="AS61" s="4">
        <f t="shared" si="15"/>
        <v>0.90635806575851363</v>
      </c>
      <c r="AT61" s="4">
        <f t="shared" si="16"/>
        <v>8.3301640409373892E-2</v>
      </c>
      <c r="AU61" s="4">
        <f t="shared" si="17"/>
        <v>5.4327156788722105E-3</v>
      </c>
      <c r="AV61" s="4">
        <f t="shared" si="18"/>
        <v>4.5272630657268416E-3</v>
      </c>
      <c r="AW61" s="4">
        <f t="shared" si="19"/>
        <v>3.8028249187121727E-4</v>
      </c>
      <c r="AX61" s="1">
        <v>0</v>
      </c>
      <c r="AY61" s="1">
        <v>40</v>
      </c>
      <c r="AZ61" s="1">
        <v>10</v>
      </c>
      <c r="BA61" s="1">
        <v>0</v>
      </c>
      <c r="BB61" s="52">
        <v>1.5166666666666668</v>
      </c>
      <c r="BC61" s="52">
        <v>0.16666666666666666</v>
      </c>
      <c r="BD61" s="52">
        <v>15.333333333333334</v>
      </c>
      <c r="BE61" s="51">
        <v>8.3490965420282726E-2</v>
      </c>
      <c r="BF61" s="51">
        <v>0.59440874678608757</v>
      </c>
      <c r="BG61" s="51">
        <v>0</v>
      </c>
      <c r="BH61" s="1">
        <v>30.500698491009324</v>
      </c>
      <c r="BI61" s="51">
        <v>31.178598203215692</v>
      </c>
      <c r="BJ61" t="s">
        <v>51</v>
      </c>
    </row>
    <row r="62" spans="1:63" ht="14.25" customHeight="1" x14ac:dyDescent="0.3">
      <c r="A62" s="1" t="s">
        <v>68</v>
      </c>
      <c r="B62" s="1">
        <v>9</v>
      </c>
      <c r="C62" s="3">
        <v>44764</v>
      </c>
      <c r="D62">
        <v>356283</v>
      </c>
      <c r="E62">
        <v>3977249</v>
      </c>
      <c r="F62">
        <v>1909</v>
      </c>
      <c r="G62">
        <v>21</v>
      </c>
      <c r="H62">
        <v>11</v>
      </c>
      <c r="I62">
        <f t="shared" si="20"/>
        <v>169</v>
      </c>
      <c r="J62">
        <v>4</v>
      </c>
      <c r="K62">
        <v>4</v>
      </c>
      <c r="L62" s="43">
        <v>4</v>
      </c>
      <c r="M62" s="26">
        <v>1040</v>
      </c>
      <c r="N62">
        <v>0</v>
      </c>
      <c r="O62">
        <f>12*20</f>
        <v>240</v>
      </c>
      <c r="P62">
        <v>0</v>
      </c>
      <c r="Q62">
        <v>0</v>
      </c>
      <c r="R62">
        <v>134.47</v>
      </c>
      <c r="S62" s="40"/>
      <c r="T62" s="40"/>
      <c r="U62" s="40"/>
      <c r="V62" s="40"/>
      <c r="W62" s="40"/>
      <c r="X62" s="4"/>
      <c r="Y62" s="40"/>
      <c r="Z62" s="40"/>
      <c r="AA62" s="40"/>
      <c r="AB62" s="40"/>
      <c r="AC62" s="40"/>
      <c r="AD62" s="4"/>
      <c r="AE62" s="1">
        <v>14.3</v>
      </c>
      <c r="AF62" s="1">
        <v>0.13</v>
      </c>
      <c r="AG62" s="1" t="s">
        <v>58</v>
      </c>
      <c r="AH62" s="1">
        <v>61.9</v>
      </c>
      <c r="AI62" s="1">
        <v>15.4</v>
      </c>
      <c r="AJ62" s="1">
        <v>8.4</v>
      </c>
      <c r="AK62" s="1">
        <v>0</v>
      </c>
      <c r="AL62" s="1">
        <v>10.7</v>
      </c>
      <c r="AM62" s="33">
        <v>0.1</v>
      </c>
      <c r="AN62" s="1">
        <v>180</v>
      </c>
      <c r="AO62" s="1">
        <v>30</v>
      </c>
      <c r="AP62" s="1">
        <v>0</v>
      </c>
      <c r="AQ62" s="1">
        <v>0</v>
      </c>
      <c r="AR62" s="1">
        <v>50</v>
      </c>
      <c r="AS62" s="4">
        <f t="shared" si="15"/>
        <v>0.69204152249134943</v>
      </c>
      <c r="AT62" s="4">
        <f t="shared" si="16"/>
        <v>0.11534025374855823</v>
      </c>
      <c r="AU62" s="4">
        <f t="shared" si="17"/>
        <v>0</v>
      </c>
      <c r="AV62" s="4">
        <f t="shared" si="18"/>
        <v>0</v>
      </c>
      <c r="AW62" s="4">
        <f t="shared" si="19"/>
        <v>0.19223375624759706</v>
      </c>
      <c r="AX62" s="1">
        <v>0</v>
      </c>
      <c r="AY62" s="1">
        <v>0</v>
      </c>
      <c r="AZ62" s="1">
        <v>0</v>
      </c>
      <c r="BA62" s="1">
        <v>0</v>
      </c>
      <c r="BB62" s="52">
        <v>0.39166666666666666</v>
      </c>
      <c r="BC62" s="52">
        <v>0</v>
      </c>
      <c r="BD62" s="52">
        <v>4.0333333333333332</v>
      </c>
      <c r="BE62" s="51">
        <v>8.3962726495551809E-2</v>
      </c>
      <c r="BF62" s="51">
        <v>0.5977674204835538</v>
      </c>
      <c r="BG62" s="51">
        <v>0</v>
      </c>
      <c r="BH62" s="1">
        <v>7.029948960437344</v>
      </c>
      <c r="BI62" s="51">
        <v>7.7116791074164492</v>
      </c>
      <c r="BJ62" t="s">
        <v>51</v>
      </c>
    </row>
    <row r="63" spans="1:63" ht="14.25" customHeight="1" x14ac:dyDescent="0.3">
      <c r="A63" s="1" t="s">
        <v>68</v>
      </c>
      <c r="B63" s="1">
        <v>10</v>
      </c>
      <c r="C63" s="3">
        <v>44765</v>
      </c>
      <c r="D63">
        <v>356492</v>
      </c>
      <c r="E63">
        <v>3977254</v>
      </c>
      <c r="F63">
        <v>1917</v>
      </c>
      <c r="G63">
        <v>26</v>
      </c>
      <c r="H63">
        <v>307</v>
      </c>
      <c r="I63">
        <f t="shared" si="20"/>
        <v>127</v>
      </c>
      <c r="J63">
        <v>3</v>
      </c>
      <c r="K63">
        <v>3</v>
      </c>
      <c r="L63" s="43">
        <v>4</v>
      </c>
      <c r="M63" s="26">
        <v>590</v>
      </c>
      <c r="N63">
        <v>0</v>
      </c>
      <c r="O63">
        <f>12*20</f>
        <v>240</v>
      </c>
      <c r="P63">
        <v>0</v>
      </c>
      <c r="Q63">
        <v>0</v>
      </c>
      <c r="R63">
        <v>49.13</v>
      </c>
      <c r="S63" s="40"/>
      <c r="T63" s="40"/>
      <c r="U63" s="40"/>
      <c r="V63" s="40"/>
      <c r="W63" s="40"/>
      <c r="X63" s="4">
        <f>T63+U63</f>
        <v>0</v>
      </c>
      <c r="Y63" s="40"/>
      <c r="Z63" s="40"/>
      <c r="AA63" s="40"/>
      <c r="AB63" s="40"/>
      <c r="AC63" s="40"/>
      <c r="AD63" s="4"/>
      <c r="AE63" s="1">
        <v>7.5</v>
      </c>
      <c r="AF63" s="1">
        <v>2.08</v>
      </c>
      <c r="AG63" s="1" t="s">
        <v>50</v>
      </c>
      <c r="AH63" s="1">
        <v>31.3</v>
      </c>
      <c r="AI63" s="1">
        <v>35.4</v>
      </c>
      <c r="AJ63" s="1">
        <v>22.4</v>
      </c>
      <c r="AK63" s="1">
        <v>0</v>
      </c>
      <c r="AL63" s="1">
        <v>6.9</v>
      </c>
      <c r="AM63" s="34">
        <v>6.0000000000000001E-3</v>
      </c>
      <c r="AN63" s="12">
        <f>102*166.67</f>
        <v>17000.34</v>
      </c>
      <c r="AO63" s="1">
        <f>139*166.67</f>
        <v>23167.129999999997</v>
      </c>
      <c r="AP63" s="1">
        <v>50</v>
      </c>
      <c r="AQ63" s="1">
        <v>10</v>
      </c>
      <c r="AR63" s="1">
        <v>240</v>
      </c>
      <c r="AS63" s="4">
        <f t="shared" si="15"/>
        <v>0.42009884678747944</v>
      </c>
      <c r="AT63" s="4">
        <f t="shared" si="16"/>
        <v>0.57248764415156506</v>
      </c>
      <c r="AU63" s="4">
        <f t="shared" si="17"/>
        <v>1.2355601322899409E-3</v>
      </c>
      <c r="AV63" s="4">
        <f t="shared" si="18"/>
        <v>2.4711202645798816E-4</v>
      </c>
      <c r="AW63" s="4">
        <f t="shared" si="19"/>
        <v>5.9306886349917163E-3</v>
      </c>
      <c r="AX63" s="1">
        <v>0</v>
      </c>
      <c r="AY63" s="1">
        <v>0</v>
      </c>
      <c r="AZ63" s="1">
        <v>0</v>
      </c>
      <c r="BA63" s="1">
        <v>0</v>
      </c>
      <c r="BB63" s="52">
        <v>0.40000000000000008</v>
      </c>
      <c r="BC63" s="52">
        <v>0</v>
      </c>
      <c r="BD63" s="52">
        <v>9.9249999999999989</v>
      </c>
      <c r="BE63" s="51">
        <v>0.3517383527735457</v>
      </c>
      <c r="BF63" s="51">
        <v>2.8711711780949685</v>
      </c>
      <c r="BG63" s="51">
        <v>2.0805074573758784</v>
      </c>
      <c r="BH63" s="1">
        <v>22.339446605045623</v>
      </c>
      <c r="BI63" s="51">
        <v>27.642863593290016</v>
      </c>
      <c r="BJ63" t="s">
        <v>51</v>
      </c>
    </row>
    <row r="64" spans="1:63" ht="14.25" customHeight="1" x14ac:dyDescent="0.3">
      <c r="A64" s="1" t="s">
        <v>68</v>
      </c>
      <c r="B64" s="1">
        <v>11</v>
      </c>
      <c r="C64" s="3">
        <v>44766</v>
      </c>
      <c r="D64">
        <v>356888</v>
      </c>
      <c r="E64">
        <v>3977252</v>
      </c>
      <c r="F64">
        <v>1882</v>
      </c>
      <c r="G64">
        <v>12</v>
      </c>
      <c r="H64">
        <v>325</v>
      </c>
      <c r="I64">
        <f t="shared" si="20"/>
        <v>145</v>
      </c>
      <c r="J64">
        <v>2</v>
      </c>
      <c r="K64">
        <v>2</v>
      </c>
      <c r="L64" s="43">
        <v>2</v>
      </c>
      <c r="M64" s="26">
        <v>213</v>
      </c>
      <c r="N64">
        <f>9*20</f>
        <v>180</v>
      </c>
      <c r="O64">
        <f>7*20</f>
        <v>140</v>
      </c>
      <c r="P64">
        <v>0</v>
      </c>
      <c r="Q64">
        <v>12.85</v>
      </c>
      <c r="R64">
        <v>2.78</v>
      </c>
      <c r="S64" s="40">
        <v>0</v>
      </c>
      <c r="T64" s="40">
        <f>8/9</f>
        <v>0.88888888888888884</v>
      </c>
      <c r="U64" s="40">
        <v>0</v>
      </c>
      <c r="V64" s="40">
        <f>1/9</f>
        <v>0.1111111111111111</v>
      </c>
      <c r="W64" s="40">
        <v>0</v>
      </c>
      <c r="X64" s="4">
        <f>T64+U64</f>
        <v>0.88888888888888884</v>
      </c>
      <c r="Y64" s="40">
        <v>0</v>
      </c>
      <c r="Z64" s="40">
        <f>9.03/Q64</f>
        <v>0.70272373540856026</v>
      </c>
      <c r="AA64" s="40">
        <v>0</v>
      </c>
      <c r="AB64" s="40">
        <f>3.82/Q64</f>
        <v>0.29727626459143969</v>
      </c>
      <c r="AC64" s="40">
        <v>0</v>
      </c>
      <c r="AD64" s="4">
        <f>Z64+AA64</f>
        <v>0.70272373540856026</v>
      </c>
      <c r="AE64" s="1">
        <v>14</v>
      </c>
      <c r="AF64" s="1">
        <v>0</v>
      </c>
      <c r="AG64" s="1" t="s">
        <v>50</v>
      </c>
      <c r="AH64" s="1">
        <v>20</v>
      </c>
      <c r="AI64" s="1">
        <v>66.7</v>
      </c>
      <c r="AJ64" s="1">
        <v>2</v>
      </c>
      <c r="AK64" s="1">
        <v>0</v>
      </c>
      <c r="AL64" s="1">
        <v>1</v>
      </c>
      <c r="AM64" s="34">
        <v>6.0000000000000001E-3</v>
      </c>
      <c r="AN64" s="12">
        <f>354*166.67</f>
        <v>59001.179999999993</v>
      </c>
      <c r="AO64" s="1">
        <f>130*166.67</f>
        <v>21667.1</v>
      </c>
      <c r="AP64" s="1">
        <f>18*166.67</f>
        <v>3000.06</v>
      </c>
      <c r="AQ64" s="1">
        <v>10</v>
      </c>
      <c r="AR64" s="1">
        <v>166.67</v>
      </c>
      <c r="AS64" s="4">
        <f t="shared" si="15"/>
        <v>0.70369334773577952</v>
      </c>
      <c r="AT64" s="4">
        <f t="shared" si="16"/>
        <v>0.25841846103291344</v>
      </c>
      <c r="AU64" s="4">
        <f t="shared" si="17"/>
        <v>3.5781017681480322E-2</v>
      </c>
      <c r="AV64" s="4">
        <f t="shared" si="18"/>
        <v>1.1926767358479604E-4</v>
      </c>
      <c r="AW64" s="4">
        <f t="shared" si="19"/>
        <v>1.9878343156377954E-3</v>
      </c>
      <c r="AX64" s="1">
        <v>0</v>
      </c>
      <c r="AY64" s="1">
        <v>30</v>
      </c>
      <c r="AZ64" s="1">
        <v>0</v>
      </c>
      <c r="BA64" s="1">
        <v>0</v>
      </c>
      <c r="BB64" s="52">
        <v>1.0249999999999999</v>
      </c>
      <c r="BC64" s="52">
        <v>0</v>
      </c>
      <c r="BD64" s="52">
        <v>1.2666666666666666</v>
      </c>
      <c r="BE64" s="51">
        <v>0.17143127985221629</v>
      </c>
      <c r="BF64" s="51">
        <v>0.14730104317431811</v>
      </c>
      <c r="BG64" s="51">
        <v>0.57943079133784037</v>
      </c>
      <c r="BH64" s="1">
        <v>0.22594497281474943</v>
      </c>
      <c r="BI64" s="51">
        <v>1.1241080871791242</v>
      </c>
      <c r="BJ64" t="s">
        <v>51</v>
      </c>
    </row>
    <row r="65" spans="1:63" ht="14.25" customHeight="1" x14ac:dyDescent="0.3">
      <c r="A65" s="1" t="s">
        <v>68</v>
      </c>
      <c r="B65" s="1">
        <v>12</v>
      </c>
      <c r="C65" s="3">
        <v>44764</v>
      </c>
      <c r="D65">
        <v>356285</v>
      </c>
      <c r="E65">
        <v>3977460</v>
      </c>
      <c r="F65">
        <v>1915</v>
      </c>
      <c r="G65">
        <v>13</v>
      </c>
      <c r="H65">
        <v>124</v>
      </c>
      <c r="I65">
        <f t="shared" si="20"/>
        <v>56</v>
      </c>
      <c r="J65">
        <v>4</v>
      </c>
      <c r="K65">
        <v>4</v>
      </c>
      <c r="L65" s="43">
        <v>4</v>
      </c>
      <c r="M65" s="26">
        <v>687</v>
      </c>
      <c r="N65">
        <v>0</v>
      </c>
      <c r="O65">
        <f>22*20</f>
        <v>440</v>
      </c>
      <c r="P65">
        <v>0</v>
      </c>
      <c r="Q65">
        <v>0</v>
      </c>
      <c r="R65">
        <v>64.23</v>
      </c>
      <c r="S65" s="40"/>
      <c r="T65" s="40"/>
      <c r="U65" s="40"/>
      <c r="V65" s="40"/>
      <c r="W65" s="40"/>
      <c r="X65" s="4"/>
      <c r="Y65" s="40"/>
      <c r="Z65" s="40"/>
      <c r="AA65" s="40"/>
      <c r="AB65" s="40"/>
      <c r="AC65" s="40"/>
      <c r="AD65" s="4"/>
      <c r="AE65" s="1">
        <v>0.8</v>
      </c>
      <c r="AF65" s="1">
        <v>0.04</v>
      </c>
      <c r="AG65" s="1" t="s">
        <v>58</v>
      </c>
      <c r="AH65" s="1">
        <v>45.1</v>
      </c>
      <c r="AI65" s="1">
        <v>27.5</v>
      </c>
      <c r="AJ65" s="1">
        <v>13.3</v>
      </c>
      <c r="AK65" s="1">
        <v>0</v>
      </c>
      <c r="AL65" s="1">
        <v>1.3</v>
      </c>
      <c r="AM65" s="33">
        <v>0.1</v>
      </c>
      <c r="AN65" s="1">
        <v>120</v>
      </c>
      <c r="AO65" s="1">
        <v>20</v>
      </c>
      <c r="AP65" s="1">
        <v>50</v>
      </c>
      <c r="AQ65" s="1">
        <v>0</v>
      </c>
      <c r="AR65" s="1">
        <v>330</v>
      </c>
      <c r="AS65" s="4">
        <f t="shared" si="15"/>
        <v>0.23072486060373004</v>
      </c>
      <c r="AT65" s="4">
        <f t="shared" si="16"/>
        <v>3.8454143433955007E-2</v>
      </c>
      <c r="AU65" s="4">
        <f t="shared" si="17"/>
        <v>9.6135358584887518E-2</v>
      </c>
      <c r="AV65" s="4">
        <f t="shared" si="18"/>
        <v>0</v>
      </c>
      <c r="AW65" s="4">
        <f t="shared" si="19"/>
        <v>0.63449336666025757</v>
      </c>
      <c r="AX65" s="1">
        <v>0</v>
      </c>
      <c r="AY65" s="1">
        <v>0</v>
      </c>
      <c r="AZ65" s="1">
        <v>0</v>
      </c>
      <c r="BA65" s="1">
        <v>0</v>
      </c>
      <c r="BB65" s="52">
        <v>1.1000000000000001</v>
      </c>
      <c r="BC65" s="52">
        <v>0</v>
      </c>
      <c r="BD65" s="52">
        <v>1.6833333333333336</v>
      </c>
      <c r="BE65" s="51">
        <v>0.10949601187810556</v>
      </c>
      <c r="BF65" s="51">
        <v>0.36870611000159603</v>
      </c>
      <c r="BG65" s="51">
        <v>0.29007217937553564</v>
      </c>
      <c r="BH65" s="1">
        <v>2.943663288894216</v>
      </c>
      <c r="BI65" s="51">
        <v>3.7119375901494531</v>
      </c>
      <c r="BJ65" t="s">
        <v>51</v>
      </c>
    </row>
    <row r="66" spans="1:63" ht="14.25" customHeight="1" x14ac:dyDescent="0.3">
      <c r="A66" s="1" t="s">
        <v>68</v>
      </c>
      <c r="B66" s="1">
        <v>13</v>
      </c>
      <c r="C66" s="3">
        <v>44766</v>
      </c>
      <c r="D66">
        <v>356485</v>
      </c>
      <c r="E66">
        <v>3977459</v>
      </c>
      <c r="F66">
        <v>1856</v>
      </c>
      <c r="G66">
        <v>22</v>
      </c>
      <c r="H66">
        <v>266</v>
      </c>
      <c r="I66">
        <f t="shared" si="20"/>
        <v>86</v>
      </c>
      <c r="J66">
        <v>2</v>
      </c>
      <c r="K66">
        <v>2</v>
      </c>
      <c r="L66" s="43">
        <v>3</v>
      </c>
      <c r="M66" s="26">
        <v>300</v>
      </c>
      <c r="N66">
        <f>7*20</f>
        <v>140</v>
      </c>
      <c r="O66">
        <f>17*20</f>
        <v>340</v>
      </c>
      <c r="P66">
        <v>20</v>
      </c>
      <c r="Q66">
        <v>33.549999999999997</v>
      </c>
      <c r="R66">
        <v>56.16</v>
      </c>
      <c r="S66" s="40">
        <v>0</v>
      </c>
      <c r="T66" s="40">
        <f>6/7</f>
        <v>0.8571428571428571</v>
      </c>
      <c r="U66" s="40">
        <f>1/7</f>
        <v>0.14285714285714285</v>
      </c>
      <c r="V66" s="40">
        <v>0</v>
      </c>
      <c r="W66" s="40">
        <v>0</v>
      </c>
      <c r="X66" s="4">
        <f>T66+U66</f>
        <v>1</v>
      </c>
      <c r="Y66" s="40">
        <v>0</v>
      </c>
      <c r="Z66" s="40">
        <f>30.93/Q66</f>
        <v>0.92190760059612531</v>
      </c>
      <c r="AA66" s="40">
        <f>2.61/Q66</f>
        <v>7.7794336810730252E-2</v>
      </c>
      <c r="AB66" s="40">
        <v>0</v>
      </c>
      <c r="AC66" s="40">
        <v>0</v>
      </c>
      <c r="AD66" s="4">
        <f>Z66+AA66</f>
        <v>0.99970193740685553</v>
      </c>
      <c r="AE66" s="1">
        <v>1.4</v>
      </c>
      <c r="AF66" s="1">
        <v>0.08</v>
      </c>
      <c r="AG66" s="1" t="s">
        <v>58</v>
      </c>
      <c r="AH66" s="1">
        <v>31.7</v>
      </c>
      <c r="AI66" s="1">
        <v>60.6</v>
      </c>
      <c r="AJ66" s="1">
        <v>2.7</v>
      </c>
      <c r="AK66" s="1">
        <v>0</v>
      </c>
      <c r="AL66" s="1">
        <v>2.4</v>
      </c>
      <c r="AM66" s="34">
        <v>6.0000000000000001E-3</v>
      </c>
      <c r="AN66" s="12">
        <f>5*166.67</f>
        <v>833.34999999999991</v>
      </c>
      <c r="AO66" s="1">
        <f>210*166.67</f>
        <v>35000.699999999997</v>
      </c>
      <c r="AP66" s="1">
        <f>64*166.67</f>
        <v>10666.88</v>
      </c>
      <c r="AQ66" s="1">
        <v>0</v>
      </c>
      <c r="AR66" s="1">
        <v>50</v>
      </c>
      <c r="AS66" s="4">
        <f t="shared" si="15"/>
        <v>1.7901895678316758E-2</v>
      </c>
      <c r="AT66" s="4">
        <f t="shared" si="16"/>
        <v>0.75187961848930385</v>
      </c>
      <c r="AU66" s="4">
        <f t="shared" si="17"/>
        <v>0.22914426468245452</v>
      </c>
      <c r="AV66" s="4">
        <f t="shared" si="18"/>
        <v>0</v>
      </c>
      <c r="AW66" s="4">
        <f t="shared" si="19"/>
        <v>1.0740922588538286E-3</v>
      </c>
      <c r="AX66" s="1">
        <v>0</v>
      </c>
      <c r="AY66" s="1">
        <v>0</v>
      </c>
      <c r="AZ66" s="1">
        <v>0</v>
      </c>
      <c r="BA66" s="1">
        <v>0</v>
      </c>
      <c r="BB66" s="52">
        <v>1.5583333333333333</v>
      </c>
      <c r="BC66" s="52">
        <v>0</v>
      </c>
      <c r="BD66" s="52">
        <v>3.0583333333333331</v>
      </c>
      <c r="BE66" s="51">
        <v>5.1082233877490321E-2</v>
      </c>
      <c r="BF66" s="51">
        <v>0.67387170631057614</v>
      </c>
      <c r="BG66" s="51">
        <v>0.88359187786072402</v>
      </c>
      <c r="BH66" s="1">
        <v>1.0890123667935672</v>
      </c>
      <c r="BI66" s="51">
        <v>2.6975581848423573</v>
      </c>
      <c r="BJ66" t="s">
        <v>51</v>
      </c>
    </row>
    <row r="67" spans="1:63" ht="14.25" customHeight="1" x14ac:dyDescent="0.3">
      <c r="A67" s="1" t="s">
        <v>68</v>
      </c>
      <c r="B67" s="1">
        <v>14</v>
      </c>
      <c r="C67" s="3">
        <v>44766</v>
      </c>
      <c r="D67">
        <v>356683</v>
      </c>
      <c r="E67">
        <v>3977460</v>
      </c>
      <c r="F67">
        <v>1882</v>
      </c>
      <c r="G67">
        <v>8</v>
      </c>
      <c r="H67">
        <v>87</v>
      </c>
      <c r="I67">
        <f t="shared" si="20"/>
        <v>93</v>
      </c>
      <c r="J67">
        <v>1</v>
      </c>
      <c r="K67">
        <v>1</v>
      </c>
      <c r="L67" s="43">
        <v>3</v>
      </c>
      <c r="M67" s="26">
        <v>190</v>
      </c>
      <c r="N67">
        <f>11*20</f>
        <v>220</v>
      </c>
      <c r="O67">
        <f>10*20</f>
        <v>200</v>
      </c>
      <c r="P67">
        <v>20</v>
      </c>
      <c r="Q67">
        <v>40.299999999999997</v>
      </c>
      <c r="R67">
        <v>26.88</v>
      </c>
      <c r="S67" s="40">
        <v>0</v>
      </c>
      <c r="T67" s="40">
        <f>6/11</f>
        <v>0.54545454545454541</v>
      </c>
      <c r="U67" s="40">
        <f>5/11</f>
        <v>0.45454545454545453</v>
      </c>
      <c r="V67" s="40">
        <v>0</v>
      </c>
      <c r="W67" s="40">
        <v>0</v>
      </c>
      <c r="X67" s="4">
        <f>T67+U67</f>
        <v>1</v>
      </c>
      <c r="Y67" s="40">
        <v>0</v>
      </c>
      <c r="Z67" s="40">
        <f>23.84/Q67</f>
        <v>0.59156327543424325</v>
      </c>
      <c r="AA67" s="40">
        <f>16.46/Q67</f>
        <v>0.40843672456575686</v>
      </c>
      <c r="AB67" s="40">
        <v>0</v>
      </c>
      <c r="AC67" s="40">
        <v>0</v>
      </c>
      <c r="AD67" s="4">
        <f>Z67+AA67</f>
        <v>1</v>
      </c>
      <c r="AE67" s="1">
        <v>15.7</v>
      </c>
      <c r="AF67" s="1">
        <v>0</v>
      </c>
      <c r="AG67" s="1" t="s">
        <v>50</v>
      </c>
      <c r="AH67" s="1">
        <v>12</v>
      </c>
      <c r="AI67" s="1">
        <v>82.7</v>
      </c>
      <c r="AJ67" s="1">
        <v>0</v>
      </c>
      <c r="AK67" s="1">
        <v>0</v>
      </c>
      <c r="AL67" s="1">
        <v>2.7</v>
      </c>
      <c r="AM67" s="34">
        <v>6.0000000000000001E-3</v>
      </c>
      <c r="AN67" s="12">
        <f>538*166.67</f>
        <v>89668.459999999992</v>
      </c>
      <c r="AO67" s="1">
        <f>237*166.67</f>
        <v>39500.789999999994</v>
      </c>
      <c r="AP67" s="1">
        <f>235*166.67</f>
        <v>39167.449999999997</v>
      </c>
      <c r="AQ67" s="1">
        <v>166.67</v>
      </c>
      <c r="AR67" s="1">
        <f>11*166.67</f>
        <v>1833.37</v>
      </c>
      <c r="AS67" s="4">
        <f t="shared" si="15"/>
        <v>0.52641876815000332</v>
      </c>
      <c r="AT67" s="4">
        <f t="shared" si="16"/>
        <v>0.23189823057909065</v>
      </c>
      <c r="AU67" s="4">
        <f t="shared" si="17"/>
        <v>0.22994128348559623</v>
      </c>
      <c r="AV67" s="4">
        <f t="shared" si="18"/>
        <v>9.7847354674721792E-4</v>
      </c>
      <c r="AW67" s="4">
        <f t="shared" si="19"/>
        <v>1.0763209014219399E-2</v>
      </c>
      <c r="AX67" s="1">
        <v>0</v>
      </c>
      <c r="AY67" s="1">
        <v>0</v>
      </c>
      <c r="AZ67" s="1">
        <v>0</v>
      </c>
      <c r="BA67" s="1">
        <v>0</v>
      </c>
      <c r="BB67" s="52">
        <v>2.5</v>
      </c>
      <c r="BC67" s="52">
        <v>0</v>
      </c>
      <c r="BD67" s="52">
        <v>3.75</v>
      </c>
      <c r="BE67" s="51">
        <v>0.42394084368828466</v>
      </c>
      <c r="BF67" s="51">
        <v>1.5405500603973183</v>
      </c>
      <c r="BG67" s="51">
        <v>0.86571217046906634</v>
      </c>
      <c r="BH67" s="1">
        <v>4.8270387071638634</v>
      </c>
      <c r="BI67" s="51">
        <v>7.6572417817185325</v>
      </c>
      <c r="BJ67" t="s">
        <v>53</v>
      </c>
    </row>
    <row r="68" spans="1:63" ht="14.25" customHeight="1" x14ac:dyDescent="0.3">
      <c r="A68" s="1" t="s">
        <v>68</v>
      </c>
      <c r="B68" s="1">
        <v>15</v>
      </c>
      <c r="C68" s="3">
        <v>44765</v>
      </c>
      <c r="D68">
        <v>356087</v>
      </c>
      <c r="E68">
        <v>3977659</v>
      </c>
      <c r="F68">
        <v>1927</v>
      </c>
      <c r="G68">
        <v>20</v>
      </c>
      <c r="H68">
        <v>120</v>
      </c>
      <c r="I68">
        <f t="shared" si="20"/>
        <v>60</v>
      </c>
      <c r="J68">
        <v>4</v>
      </c>
      <c r="K68">
        <v>4</v>
      </c>
      <c r="L68" s="43">
        <v>4</v>
      </c>
      <c r="M68" s="26">
        <v>787</v>
      </c>
      <c r="N68">
        <v>0</v>
      </c>
      <c r="O68">
        <f>19*20</f>
        <v>380</v>
      </c>
      <c r="P68">
        <v>0</v>
      </c>
      <c r="Q68">
        <v>0</v>
      </c>
      <c r="R68">
        <v>41.01</v>
      </c>
      <c r="S68" s="40"/>
      <c r="T68" s="40"/>
      <c r="U68" s="40"/>
      <c r="V68" s="40"/>
      <c r="W68" s="40"/>
      <c r="X68" s="4"/>
      <c r="Y68" s="40">
        <v>0</v>
      </c>
      <c r="Z68" s="40"/>
      <c r="AA68" s="40"/>
      <c r="AB68" s="40"/>
      <c r="AC68" s="40"/>
      <c r="AD68" s="4"/>
      <c r="AE68" s="1">
        <v>34.799999999999997</v>
      </c>
      <c r="AF68" s="1">
        <v>4.29</v>
      </c>
      <c r="AG68" s="1" t="s">
        <v>58</v>
      </c>
      <c r="AH68" s="1">
        <v>53.3</v>
      </c>
      <c r="AI68" s="1">
        <v>43.3</v>
      </c>
      <c r="AJ68" s="1">
        <v>1</v>
      </c>
      <c r="AK68" s="1">
        <v>0</v>
      </c>
      <c r="AL68" s="1">
        <v>0</v>
      </c>
      <c r="AM68" s="34">
        <v>6.0000000000000001E-3</v>
      </c>
      <c r="AN68" s="12">
        <f>6*166.67</f>
        <v>1000.02</v>
      </c>
      <c r="AO68" s="1">
        <f>43*166.67</f>
        <v>7166.8099999999995</v>
      </c>
      <c r="AP68" s="1">
        <f>5*166.67</f>
        <v>833.34999999999991</v>
      </c>
      <c r="AQ68" s="1">
        <v>0</v>
      </c>
      <c r="AR68" s="1">
        <v>10</v>
      </c>
      <c r="AS68" s="4">
        <f t="shared" si="15"/>
        <v>0.11098771989834616</v>
      </c>
      <c r="AT68" s="4">
        <f t="shared" si="16"/>
        <v>0.7954119926048141</v>
      </c>
      <c r="AU68" s="4">
        <f t="shared" si="17"/>
        <v>9.2489766581955124E-2</v>
      </c>
      <c r="AV68" s="4">
        <f t="shared" si="18"/>
        <v>0</v>
      </c>
      <c r="AW68" s="4">
        <f t="shared" si="19"/>
        <v>1.1098550018834241E-3</v>
      </c>
      <c r="AX68" s="1">
        <v>0</v>
      </c>
      <c r="AY68" s="1">
        <v>0</v>
      </c>
      <c r="AZ68" s="1">
        <v>0</v>
      </c>
      <c r="BA68" s="1">
        <v>0</v>
      </c>
      <c r="BB68" s="52">
        <v>1.6</v>
      </c>
      <c r="BC68" s="52">
        <v>0</v>
      </c>
      <c r="BD68" s="52">
        <v>1.9249999999999998</v>
      </c>
      <c r="BE68" s="51">
        <v>0.10175436310374798</v>
      </c>
      <c r="BF68" s="51">
        <v>0.29829630070915508</v>
      </c>
      <c r="BG68" s="51">
        <v>0.29334833251742898</v>
      </c>
      <c r="BH68" s="1">
        <v>0</v>
      </c>
      <c r="BI68" s="51">
        <v>0.69339899633033197</v>
      </c>
      <c r="BJ68" t="s">
        <v>51</v>
      </c>
    </row>
    <row r="69" spans="1:63" ht="14.25" customHeight="1" x14ac:dyDescent="0.3">
      <c r="A69" s="1" t="s">
        <v>68</v>
      </c>
      <c r="B69" s="1">
        <v>16</v>
      </c>
      <c r="C69" s="3">
        <v>44765</v>
      </c>
      <c r="D69">
        <v>356273</v>
      </c>
      <c r="E69">
        <v>3977656</v>
      </c>
      <c r="F69">
        <v>1904</v>
      </c>
      <c r="G69">
        <v>30</v>
      </c>
      <c r="H69">
        <v>19</v>
      </c>
      <c r="I69">
        <f t="shared" si="20"/>
        <v>161</v>
      </c>
      <c r="J69">
        <v>2.5</v>
      </c>
      <c r="K69">
        <v>3</v>
      </c>
      <c r="L69" s="43">
        <v>3</v>
      </c>
      <c r="M69" s="26">
        <v>441</v>
      </c>
      <c r="N69">
        <v>20</v>
      </c>
      <c r="O69">
        <f>8*20</f>
        <v>160</v>
      </c>
      <c r="P69">
        <v>20</v>
      </c>
      <c r="Q69">
        <v>9.68</v>
      </c>
      <c r="R69">
        <v>22.24</v>
      </c>
      <c r="S69" s="40">
        <v>0</v>
      </c>
      <c r="T69" s="40">
        <v>0</v>
      </c>
      <c r="U69" s="40">
        <v>0</v>
      </c>
      <c r="V69" s="40">
        <f>1/1</f>
        <v>1</v>
      </c>
      <c r="W69" s="40">
        <v>0</v>
      </c>
      <c r="X69" s="4">
        <f>T69+U69</f>
        <v>0</v>
      </c>
      <c r="Y69" s="40">
        <v>0</v>
      </c>
      <c r="Z69" s="40">
        <v>0</v>
      </c>
      <c r="AA69" s="40">
        <v>0</v>
      </c>
      <c r="AB69" s="40">
        <f>9.68/Q69</f>
        <v>1</v>
      </c>
      <c r="AC69" s="40">
        <v>0</v>
      </c>
      <c r="AD69" s="4">
        <f>Z69+AA69</f>
        <v>0</v>
      </c>
      <c r="AE69" s="1">
        <v>9.1999999999999993</v>
      </c>
      <c r="AF69" s="1">
        <v>0.33</v>
      </c>
      <c r="AG69" s="1" t="s">
        <v>58</v>
      </c>
      <c r="AH69" s="1">
        <v>68.900000000000006</v>
      </c>
      <c r="AI69" s="1">
        <v>34.200000000000003</v>
      </c>
      <c r="AJ69" s="1">
        <v>8.8000000000000007</v>
      </c>
      <c r="AK69" s="1">
        <v>0</v>
      </c>
      <c r="AL69" s="1">
        <v>6.9</v>
      </c>
      <c r="AM69" s="34">
        <v>6.0000000000000001E-3</v>
      </c>
      <c r="AN69" s="12">
        <f>37*166.67</f>
        <v>6166.79</v>
      </c>
      <c r="AO69" s="1">
        <f>105*166.67</f>
        <v>17500.349999999999</v>
      </c>
      <c r="AP69" s="1">
        <v>320</v>
      </c>
      <c r="AQ69" s="1">
        <v>0</v>
      </c>
      <c r="AR69" s="1">
        <v>0</v>
      </c>
      <c r="AS69" s="4">
        <f t="shared" si="15"/>
        <v>0.25708727499303169</v>
      </c>
      <c r="AT69" s="4">
        <f t="shared" si="16"/>
        <v>0.72957199660184657</v>
      </c>
      <c r="AU69" s="4">
        <f t="shared" si="17"/>
        <v>1.3340478271154059E-2</v>
      </c>
      <c r="AV69" s="4">
        <f t="shared" si="18"/>
        <v>0</v>
      </c>
      <c r="AW69" s="4">
        <f t="shared" si="19"/>
        <v>0</v>
      </c>
      <c r="AX69" s="1">
        <v>0</v>
      </c>
      <c r="AY69" s="1">
        <v>0</v>
      </c>
      <c r="AZ69" s="1">
        <v>0</v>
      </c>
      <c r="BA69" s="1">
        <v>0</v>
      </c>
      <c r="BB69" s="52">
        <v>1.4416666666666667</v>
      </c>
      <c r="BC69" s="52">
        <v>0</v>
      </c>
      <c r="BD69" s="52">
        <v>3.7583333333333337</v>
      </c>
      <c r="BE69" s="51">
        <v>5.5149706776736376E-2</v>
      </c>
      <c r="BF69" s="51">
        <v>1.3742222016498244</v>
      </c>
      <c r="BG69" s="51">
        <v>1.8019031877768712</v>
      </c>
      <c r="BH69" s="1">
        <v>16.34349651107722</v>
      </c>
      <c r="BI69" s="51">
        <v>19.574771607280653</v>
      </c>
      <c r="BJ69" t="s">
        <v>53</v>
      </c>
    </row>
    <row r="70" spans="1:63" ht="14.25" customHeight="1" x14ac:dyDescent="0.3">
      <c r="A70" s="1" t="s">
        <v>68</v>
      </c>
      <c r="B70" s="1">
        <v>17</v>
      </c>
      <c r="C70" s="3">
        <v>44767</v>
      </c>
      <c r="D70">
        <v>356485</v>
      </c>
      <c r="E70">
        <v>3977657</v>
      </c>
      <c r="F70">
        <v>1871</v>
      </c>
      <c r="G70">
        <v>29</v>
      </c>
      <c r="H70">
        <v>82</v>
      </c>
      <c r="I70">
        <f t="shared" si="20"/>
        <v>98</v>
      </c>
      <c r="J70">
        <v>3</v>
      </c>
      <c r="K70">
        <v>3</v>
      </c>
      <c r="L70" s="43">
        <v>4</v>
      </c>
      <c r="M70" s="26">
        <v>483</v>
      </c>
      <c r="N70">
        <v>20</v>
      </c>
      <c r="O70">
        <f>24*20</f>
        <v>480</v>
      </c>
      <c r="P70">
        <v>0</v>
      </c>
      <c r="Q70">
        <v>3.27</v>
      </c>
      <c r="R70">
        <v>43.73</v>
      </c>
      <c r="S70" s="40">
        <v>0</v>
      </c>
      <c r="T70" s="40">
        <v>0</v>
      </c>
      <c r="U70" s="40">
        <f>1/1</f>
        <v>1</v>
      </c>
      <c r="V70" s="40">
        <v>0</v>
      </c>
      <c r="W70" s="40">
        <v>0</v>
      </c>
      <c r="X70" s="4">
        <f>T70+U70</f>
        <v>1</v>
      </c>
      <c r="Y70" s="40">
        <v>0</v>
      </c>
      <c r="Z70" s="40">
        <v>0</v>
      </c>
      <c r="AA70" s="40">
        <f>3.27/Q70</f>
        <v>1</v>
      </c>
      <c r="AB70" s="40">
        <v>0</v>
      </c>
      <c r="AC70" s="40">
        <v>0</v>
      </c>
      <c r="AD70" s="4">
        <f>Z70+AA70</f>
        <v>1</v>
      </c>
      <c r="AE70" s="1">
        <v>1</v>
      </c>
      <c r="AF70" s="1">
        <v>3.67</v>
      </c>
      <c r="AG70" s="1" t="s">
        <v>46</v>
      </c>
      <c r="AH70" s="1">
        <v>60.3</v>
      </c>
      <c r="AI70" s="1">
        <v>23.1</v>
      </c>
      <c r="AJ70" s="1">
        <v>28.3</v>
      </c>
      <c r="AK70" s="1">
        <v>0</v>
      </c>
      <c r="AL70" s="1">
        <v>3.5</v>
      </c>
      <c r="AM70" s="33">
        <v>0.1</v>
      </c>
      <c r="AN70" s="1">
        <v>0</v>
      </c>
      <c r="AO70" s="1">
        <f>2*166.67</f>
        <v>333.34</v>
      </c>
      <c r="AP70" s="1">
        <f>2*166.67</f>
        <v>333.34</v>
      </c>
      <c r="AQ70" s="1">
        <v>0</v>
      </c>
      <c r="AR70" s="1">
        <v>10</v>
      </c>
      <c r="AS70" s="4">
        <f t="shared" si="15"/>
        <v>0</v>
      </c>
      <c r="AT70" s="4">
        <f t="shared" si="16"/>
        <v>0.4925381955731552</v>
      </c>
      <c r="AU70" s="4">
        <f t="shared" si="17"/>
        <v>0.4925381955731552</v>
      </c>
      <c r="AV70" s="4">
        <f t="shared" si="18"/>
        <v>0</v>
      </c>
      <c r="AW70" s="4">
        <f t="shared" si="19"/>
        <v>1.4775850350187653E-2</v>
      </c>
      <c r="AX70" s="1">
        <v>0</v>
      </c>
      <c r="AY70" s="1">
        <v>0</v>
      </c>
      <c r="AZ70" s="1">
        <v>0</v>
      </c>
      <c r="BA70" s="1">
        <v>0</v>
      </c>
      <c r="BB70" s="52">
        <v>1.1000000000000001</v>
      </c>
      <c r="BC70" s="52">
        <v>0</v>
      </c>
      <c r="BD70" s="52">
        <v>2.2666666666666666</v>
      </c>
      <c r="BE70" s="51">
        <v>0.15277846074842244</v>
      </c>
      <c r="BF70" s="51">
        <v>0.38069386940590505</v>
      </c>
      <c r="BG70" s="51">
        <v>0</v>
      </c>
      <c r="BH70" s="1">
        <v>0</v>
      </c>
      <c r="BI70" s="51">
        <v>0.53347233015432749</v>
      </c>
      <c r="BJ70" t="s">
        <v>51</v>
      </c>
    </row>
    <row r="71" spans="1:63" ht="14.25" customHeight="1" x14ac:dyDescent="0.3">
      <c r="A71" s="1" t="s">
        <v>70</v>
      </c>
      <c r="B71" s="1">
        <v>12</v>
      </c>
      <c r="C71" s="3">
        <v>44790</v>
      </c>
      <c r="D71">
        <v>355209</v>
      </c>
      <c r="E71">
        <v>3990731</v>
      </c>
      <c r="F71">
        <v>1944</v>
      </c>
      <c r="G71">
        <v>17</v>
      </c>
      <c r="H71">
        <v>269</v>
      </c>
      <c r="I71">
        <f t="shared" si="20"/>
        <v>89</v>
      </c>
      <c r="J71">
        <v>4</v>
      </c>
      <c r="K71">
        <v>4</v>
      </c>
      <c r="L71" s="43">
        <v>4</v>
      </c>
      <c r="M71" s="26">
        <v>651</v>
      </c>
      <c r="N71">
        <v>0</v>
      </c>
      <c r="O71">
        <f>20*20</f>
        <v>400</v>
      </c>
      <c r="P71">
        <v>0</v>
      </c>
      <c r="Q71">
        <v>0</v>
      </c>
      <c r="R71">
        <v>56.8</v>
      </c>
      <c r="S71" s="40"/>
      <c r="T71" s="63"/>
      <c r="U71" s="40"/>
      <c r="V71" s="40"/>
      <c r="W71" s="40"/>
      <c r="X71" s="4"/>
      <c r="Y71" s="49"/>
      <c r="Z71" s="49"/>
      <c r="AA71" s="49"/>
      <c r="AB71" s="49"/>
      <c r="AC71" s="49"/>
      <c r="AD71" s="4"/>
      <c r="AE71" s="1">
        <v>43</v>
      </c>
      <c r="AF71" s="1">
        <v>4.46</v>
      </c>
      <c r="AG71" s="1" t="s">
        <v>52</v>
      </c>
      <c r="AH71" s="1">
        <v>33.5</v>
      </c>
      <c r="AI71" s="1">
        <v>40.799999999999997</v>
      </c>
      <c r="AJ71" s="1">
        <v>1.9</v>
      </c>
      <c r="AK71" s="1">
        <v>0</v>
      </c>
      <c r="AL71" s="1">
        <v>0.4</v>
      </c>
      <c r="AM71" s="33">
        <v>0.1</v>
      </c>
      <c r="AN71" s="1">
        <v>30</v>
      </c>
      <c r="AO71" s="1">
        <v>60</v>
      </c>
      <c r="AP71" s="1">
        <v>110</v>
      </c>
      <c r="AQ71" s="1">
        <v>0</v>
      </c>
      <c r="AR71" s="1">
        <v>720</v>
      </c>
      <c r="AS71" s="4">
        <f t="shared" si="15"/>
        <v>3.2605151613955004E-2</v>
      </c>
      <c r="AT71" s="4">
        <f t="shared" si="16"/>
        <v>6.5210303227910008E-2</v>
      </c>
      <c r="AU71" s="4">
        <f t="shared" si="17"/>
        <v>0.11955222258450168</v>
      </c>
      <c r="AV71" s="4">
        <f t="shared" si="18"/>
        <v>0</v>
      </c>
      <c r="AW71" s="4">
        <f t="shared" si="19"/>
        <v>0.78252363873492015</v>
      </c>
      <c r="AX71" s="1">
        <v>0</v>
      </c>
      <c r="AY71" s="1">
        <v>0</v>
      </c>
      <c r="AZ71" s="1">
        <v>0</v>
      </c>
      <c r="BA71" s="1">
        <v>0</v>
      </c>
      <c r="BB71" s="52">
        <v>0.85833333333333328</v>
      </c>
      <c r="BC71" s="52">
        <v>0</v>
      </c>
      <c r="BD71" s="52">
        <v>0.85833333333333328</v>
      </c>
      <c r="BE71" s="51">
        <v>5.9535229608347149E-3</v>
      </c>
      <c r="BF71" s="51">
        <v>0.8159254418455445</v>
      </c>
      <c r="BG71" s="51">
        <v>1.1671146733446738</v>
      </c>
      <c r="BH71" s="1">
        <v>1.0064082621162738</v>
      </c>
      <c r="BI71" s="51">
        <v>2.9954019002673267</v>
      </c>
      <c r="BJ71" t="s">
        <v>44</v>
      </c>
      <c r="BK71" s="1" t="s">
        <v>71</v>
      </c>
    </row>
    <row r="72" spans="1:63" ht="14.25" customHeight="1" x14ac:dyDescent="0.3">
      <c r="A72" s="1" t="s">
        <v>70</v>
      </c>
      <c r="B72" s="1">
        <v>13</v>
      </c>
      <c r="C72" s="3">
        <v>44790</v>
      </c>
      <c r="D72">
        <v>355402</v>
      </c>
      <c r="E72">
        <v>3990766</v>
      </c>
      <c r="F72">
        <v>1977</v>
      </c>
      <c r="G72">
        <v>12</v>
      </c>
      <c r="H72">
        <v>248</v>
      </c>
      <c r="I72">
        <f t="shared" si="20"/>
        <v>68</v>
      </c>
      <c r="J72">
        <v>3</v>
      </c>
      <c r="K72">
        <v>3</v>
      </c>
      <c r="L72" s="43">
        <v>1</v>
      </c>
      <c r="M72" s="26">
        <v>513</v>
      </c>
      <c r="N72">
        <v>40</v>
      </c>
      <c r="O72">
        <v>80</v>
      </c>
      <c r="P72">
        <v>40</v>
      </c>
      <c r="Q72">
        <v>535.70000000000005</v>
      </c>
      <c r="R72">
        <v>14.48</v>
      </c>
      <c r="S72" s="40">
        <f>2/2</f>
        <v>1</v>
      </c>
      <c r="T72" s="40">
        <v>0</v>
      </c>
      <c r="U72" s="40">
        <v>0</v>
      </c>
      <c r="V72" s="40">
        <v>0</v>
      </c>
      <c r="W72" s="40">
        <v>0</v>
      </c>
      <c r="X72" s="4">
        <f>T72+U72</f>
        <v>0</v>
      </c>
      <c r="Y72" s="49">
        <f>535.7/Q72</f>
        <v>1</v>
      </c>
      <c r="Z72" s="49">
        <v>0</v>
      </c>
      <c r="AA72" s="49">
        <v>0</v>
      </c>
      <c r="AB72" s="49">
        <v>0</v>
      </c>
      <c r="AC72" s="49">
        <v>0</v>
      </c>
      <c r="AD72" s="4">
        <f>Z72+AA72</f>
        <v>0</v>
      </c>
      <c r="AE72" s="1">
        <v>0</v>
      </c>
      <c r="AF72" s="1">
        <v>0.79</v>
      </c>
      <c r="AG72" s="1" t="s">
        <v>52</v>
      </c>
      <c r="AH72" s="1">
        <v>12.3</v>
      </c>
      <c r="AI72" s="1">
        <v>89.4</v>
      </c>
      <c r="AJ72" s="1">
        <v>1</v>
      </c>
      <c r="AK72" s="1">
        <v>0</v>
      </c>
      <c r="AL72" s="1">
        <v>2.2999999999999998</v>
      </c>
      <c r="AM72" s="34">
        <v>6.0000000000000001E-3</v>
      </c>
      <c r="AN72" s="12">
        <f>960*166.67</f>
        <v>160003.19999999998</v>
      </c>
      <c r="AO72" s="1">
        <f>44*166.67</f>
        <v>7333.48</v>
      </c>
      <c r="AP72" s="1">
        <v>0</v>
      </c>
      <c r="AQ72" s="1">
        <v>0</v>
      </c>
      <c r="AR72" s="1">
        <v>0</v>
      </c>
      <c r="AS72" s="4">
        <f t="shared" si="15"/>
        <v>0.95617526452029766</v>
      </c>
      <c r="AT72" s="4">
        <f t="shared" si="16"/>
        <v>4.3824699623846983E-2</v>
      </c>
      <c r="AU72" s="4">
        <f t="shared" si="17"/>
        <v>0</v>
      </c>
      <c r="AV72" s="4">
        <f t="shared" si="18"/>
        <v>0</v>
      </c>
      <c r="AW72" s="4">
        <f t="shared" si="19"/>
        <v>0</v>
      </c>
      <c r="AX72" s="1">
        <v>0</v>
      </c>
      <c r="AY72" s="1">
        <v>0</v>
      </c>
      <c r="AZ72" s="1">
        <v>0</v>
      </c>
      <c r="BA72" s="1">
        <v>0</v>
      </c>
      <c r="BB72" s="52">
        <v>11.391666666666666</v>
      </c>
      <c r="BC72" s="52">
        <v>0</v>
      </c>
      <c r="BD72" s="52">
        <v>4.3583333333333334</v>
      </c>
      <c r="BE72" s="51">
        <v>9.7538486812467892E-2</v>
      </c>
      <c r="BF72" s="51">
        <v>0.51555365111011342</v>
      </c>
      <c r="BG72" s="51">
        <v>0.57943079133784037</v>
      </c>
      <c r="BH72" s="1">
        <v>31.162053983296591</v>
      </c>
      <c r="BI72" s="51">
        <v>32.354576912557015</v>
      </c>
      <c r="BJ72" t="s">
        <v>51</v>
      </c>
    </row>
    <row r="73" spans="1:63" ht="14.25" customHeight="1" x14ac:dyDescent="0.3">
      <c r="A73" s="1" t="s">
        <v>70</v>
      </c>
      <c r="B73" s="1">
        <v>16</v>
      </c>
      <c r="C73" s="3">
        <v>44791</v>
      </c>
      <c r="D73">
        <v>354814</v>
      </c>
      <c r="E73">
        <v>3990923</v>
      </c>
      <c r="F73">
        <v>1789</v>
      </c>
      <c r="G73">
        <v>19</v>
      </c>
      <c r="H73">
        <v>278</v>
      </c>
      <c r="I73">
        <f t="shared" si="20"/>
        <v>98</v>
      </c>
      <c r="J73">
        <v>2</v>
      </c>
      <c r="K73">
        <v>2</v>
      </c>
      <c r="L73" s="43">
        <v>3</v>
      </c>
      <c r="M73" s="26">
        <v>313</v>
      </c>
      <c r="N73">
        <f>6*20</f>
        <v>120</v>
      </c>
      <c r="O73">
        <f>11*20</f>
        <v>220</v>
      </c>
      <c r="P73">
        <v>60</v>
      </c>
      <c r="Q73">
        <v>39.46</v>
      </c>
      <c r="R73">
        <v>15.21</v>
      </c>
      <c r="S73" s="40">
        <f>5/6</f>
        <v>0.83333333333333337</v>
      </c>
      <c r="T73" s="40">
        <v>0</v>
      </c>
      <c r="U73" s="40">
        <f>1/6</f>
        <v>0.16666666666666666</v>
      </c>
      <c r="V73" s="40">
        <v>0</v>
      </c>
      <c r="W73" s="40">
        <v>0</v>
      </c>
      <c r="X73" s="4">
        <f>T73+U73</f>
        <v>0.16666666666666666</v>
      </c>
      <c r="Y73" s="49">
        <f>35.5/Q73</f>
        <v>0.89964521033958433</v>
      </c>
      <c r="Z73" s="49">
        <v>0</v>
      </c>
      <c r="AA73" s="49">
        <f>4.17/Q73</f>
        <v>0.10567663456664977</v>
      </c>
      <c r="AB73" s="49">
        <v>0</v>
      </c>
      <c r="AC73" s="49">
        <v>0</v>
      </c>
      <c r="AD73" s="4">
        <f>Z73+AA73</f>
        <v>0.10567663456664977</v>
      </c>
      <c r="AE73" s="1">
        <v>0</v>
      </c>
      <c r="AF73" s="1">
        <v>1.88</v>
      </c>
      <c r="AG73" s="1" t="s">
        <v>52</v>
      </c>
      <c r="AH73" s="1">
        <v>34.6</v>
      </c>
      <c r="AI73" s="1">
        <v>59</v>
      </c>
      <c r="AJ73" s="1">
        <v>4.4000000000000004</v>
      </c>
      <c r="AK73" s="1">
        <v>0</v>
      </c>
      <c r="AL73" s="1">
        <v>0</v>
      </c>
      <c r="AM73" s="34">
        <v>6.0000000000000001E-3</v>
      </c>
      <c r="AN73" s="12">
        <f>317*166.67</f>
        <v>52834.39</v>
      </c>
      <c r="AO73" s="1">
        <f>210*166.67</f>
        <v>35000.699999999997</v>
      </c>
      <c r="AP73" s="1">
        <f>219*166.67</f>
        <v>36500.729999999996</v>
      </c>
      <c r="AQ73" s="1">
        <v>0</v>
      </c>
      <c r="AR73" s="1">
        <v>0</v>
      </c>
      <c r="AS73" s="4">
        <f t="shared" si="15"/>
        <v>0.42493295536557585</v>
      </c>
      <c r="AT73" s="4">
        <f t="shared" si="16"/>
        <v>0.28150132689833096</v>
      </c>
      <c r="AU73" s="4">
        <f t="shared" si="17"/>
        <v>0.29356566947968804</v>
      </c>
      <c r="AV73" s="4">
        <f t="shared" si="18"/>
        <v>0</v>
      </c>
      <c r="AW73" s="4">
        <f t="shared" si="19"/>
        <v>0</v>
      </c>
      <c r="AX73" s="1">
        <v>0</v>
      </c>
      <c r="AY73" s="1">
        <v>0</v>
      </c>
      <c r="AZ73" s="1">
        <v>0</v>
      </c>
      <c r="BA73" s="1">
        <v>0</v>
      </c>
      <c r="BB73" s="52">
        <v>2.0666666666666669</v>
      </c>
      <c r="BC73" s="52">
        <v>0</v>
      </c>
      <c r="BD73" s="52">
        <v>2.9333333333333331</v>
      </c>
      <c r="BE73" s="51">
        <v>5.3768855896770121E-2</v>
      </c>
      <c r="BF73" s="51">
        <v>0.14886823490544732</v>
      </c>
      <c r="BG73" s="51">
        <v>0</v>
      </c>
      <c r="BH73" s="1">
        <v>3.3982274104782335</v>
      </c>
      <c r="BI73" s="51">
        <v>3.600864501280451</v>
      </c>
      <c r="BJ73" t="s">
        <v>51</v>
      </c>
    </row>
    <row r="74" spans="1:63" ht="14.25" customHeight="1" x14ac:dyDescent="0.3">
      <c r="A74" s="1" t="s">
        <v>70</v>
      </c>
      <c r="B74" s="1">
        <v>17</v>
      </c>
      <c r="C74" s="3">
        <v>44791</v>
      </c>
      <c r="D74">
        <v>355005</v>
      </c>
      <c r="E74">
        <v>3990940</v>
      </c>
      <c r="F74">
        <v>1810</v>
      </c>
      <c r="G74">
        <v>25</v>
      </c>
      <c r="H74">
        <v>6</v>
      </c>
      <c r="I74">
        <f t="shared" si="20"/>
        <v>174</v>
      </c>
      <c r="J74">
        <v>2.5</v>
      </c>
      <c r="K74">
        <v>3</v>
      </c>
      <c r="L74" s="43">
        <v>2</v>
      </c>
      <c r="M74" s="26">
        <v>489</v>
      </c>
      <c r="N74">
        <f>11*20</f>
        <v>220</v>
      </c>
      <c r="O74">
        <f>15*20</f>
        <v>300</v>
      </c>
      <c r="P74">
        <v>0</v>
      </c>
      <c r="Q74">
        <v>20.18</v>
      </c>
      <c r="R74">
        <v>6.35</v>
      </c>
      <c r="S74" s="40">
        <f>5/11</f>
        <v>0.45454545454545453</v>
      </c>
      <c r="T74" s="40">
        <f>3/11</f>
        <v>0.27272727272727271</v>
      </c>
      <c r="U74" s="40">
        <v>0</v>
      </c>
      <c r="V74" s="40">
        <f>1/11</f>
        <v>9.0909090909090912E-2</v>
      </c>
      <c r="W74" s="40">
        <f>2/11</f>
        <v>0.18181818181818182</v>
      </c>
      <c r="X74" s="4">
        <f>T74+U74</f>
        <v>0.27272727272727271</v>
      </c>
      <c r="Y74" s="49">
        <f>12.15/Q74</f>
        <v>0.60208126858275524</v>
      </c>
      <c r="Z74" s="49">
        <f>2.08/Q74</f>
        <v>0.10307234886025769</v>
      </c>
      <c r="AA74" s="49">
        <v>0</v>
      </c>
      <c r="AB74" s="49">
        <f>4.43/Q74</f>
        <v>0.21952428146679881</v>
      </c>
      <c r="AC74" s="49">
        <f>1.52/Q74</f>
        <v>7.5322101090188304E-2</v>
      </c>
      <c r="AD74" s="4">
        <f>Z74+AA74</f>
        <v>0.10307234886025769</v>
      </c>
      <c r="AE74" s="1">
        <v>39.799999999999997</v>
      </c>
      <c r="AF74" s="1">
        <v>15.88</v>
      </c>
      <c r="AG74" s="1" t="s">
        <v>58</v>
      </c>
      <c r="AH74" s="1">
        <v>25.3</v>
      </c>
      <c r="AI74" s="1">
        <v>56.4</v>
      </c>
      <c r="AJ74" s="1">
        <v>3.1</v>
      </c>
      <c r="AK74" s="1">
        <v>0</v>
      </c>
      <c r="AL74" s="1">
        <v>4.5</v>
      </c>
      <c r="AM74" s="34">
        <v>6.0000000000000001E-3</v>
      </c>
      <c r="AN74" s="12">
        <f>360*166.67</f>
        <v>60001.2</v>
      </c>
      <c r="AO74" s="1">
        <f>5*166.67</f>
        <v>833.34999999999991</v>
      </c>
      <c r="AP74" s="1">
        <f>12*166.67</f>
        <v>2000.04</v>
      </c>
      <c r="AQ74" s="1">
        <v>166.67</v>
      </c>
      <c r="AR74" s="1">
        <v>166.67</v>
      </c>
      <c r="AS74" s="4">
        <f t="shared" si="15"/>
        <v>0.94986798365550529</v>
      </c>
      <c r="AT74" s="4">
        <f t="shared" si="16"/>
        <v>1.3192610884104238E-2</v>
      </c>
      <c r="AU74" s="4">
        <f t="shared" si="17"/>
        <v>3.1662266121850177E-2</v>
      </c>
      <c r="AV74" s="4">
        <f t="shared" si="18"/>
        <v>2.6385221768208478E-3</v>
      </c>
      <c r="AW74" s="4">
        <f t="shared" si="19"/>
        <v>2.6385221768208478E-3</v>
      </c>
      <c r="AX74" s="1">
        <v>0</v>
      </c>
      <c r="AY74" s="1">
        <v>0</v>
      </c>
      <c r="AZ74" s="1">
        <v>0</v>
      </c>
      <c r="BA74" s="1">
        <v>0</v>
      </c>
      <c r="BB74" s="52">
        <v>2.875</v>
      </c>
      <c r="BC74" s="52">
        <v>0</v>
      </c>
      <c r="BD74" s="52">
        <v>12.916666666666668</v>
      </c>
      <c r="BE74" s="51">
        <v>8.7724301910253918E-2</v>
      </c>
      <c r="BF74" s="51">
        <v>0.82914094287136542</v>
      </c>
      <c r="BG74" s="51">
        <v>0.88951377576898338</v>
      </c>
      <c r="BH74" s="1">
        <v>0</v>
      </c>
      <c r="BI74" s="51">
        <v>1.8063790205506027</v>
      </c>
      <c r="BJ74" t="s">
        <v>44</v>
      </c>
    </row>
    <row r="75" spans="1:63" ht="14.25" customHeight="1" x14ac:dyDescent="0.3">
      <c r="A75" s="1" t="s">
        <v>70</v>
      </c>
      <c r="B75" s="1">
        <v>18</v>
      </c>
      <c r="C75" s="3">
        <v>44790</v>
      </c>
      <c r="D75">
        <v>355211</v>
      </c>
      <c r="E75">
        <v>3990934</v>
      </c>
      <c r="F75">
        <v>1872</v>
      </c>
      <c r="G75">
        <v>33</v>
      </c>
      <c r="H75">
        <v>358</v>
      </c>
      <c r="I75">
        <f t="shared" si="20"/>
        <v>178</v>
      </c>
      <c r="J75">
        <v>3</v>
      </c>
      <c r="K75">
        <v>3</v>
      </c>
      <c r="L75" s="43">
        <v>4</v>
      </c>
      <c r="M75" s="26">
        <v>541</v>
      </c>
      <c r="N75">
        <v>20</v>
      </c>
      <c r="O75">
        <f>8*20</f>
        <v>160</v>
      </c>
      <c r="P75">
        <v>0</v>
      </c>
      <c r="Q75">
        <v>1.59</v>
      </c>
      <c r="R75">
        <v>15.9</v>
      </c>
      <c r="S75" s="40">
        <v>0</v>
      </c>
      <c r="T75" s="40">
        <v>0</v>
      </c>
      <c r="U75" s="40">
        <v>0</v>
      </c>
      <c r="V75" s="40">
        <f>1/1</f>
        <v>1</v>
      </c>
      <c r="W75" s="40">
        <v>0</v>
      </c>
      <c r="X75" s="4">
        <f>T75+U75</f>
        <v>0</v>
      </c>
      <c r="Y75" s="49">
        <v>0</v>
      </c>
      <c r="Z75" s="49">
        <v>0</v>
      </c>
      <c r="AA75" s="49">
        <v>0</v>
      </c>
      <c r="AB75" s="49">
        <f>1.59/Q75</f>
        <v>1</v>
      </c>
      <c r="AC75" s="49">
        <v>0</v>
      </c>
      <c r="AD75" s="4">
        <f>Z75+AA75</f>
        <v>0</v>
      </c>
      <c r="AE75" s="1">
        <v>2.7</v>
      </c>
      <c r="AF75" s="1">
        <v>25.25</v>
      </c>
      <c r="AG75" s="1" t="s">
        <v>52</v>
      </c>
      <c r="AH75" s="1">
        <v>38.5</v>
      </c>
      <c r="AI75" s="1">
        <v>19.600000000000001</v>
      </c>
      <c r="AJ75" s="1">
        <v>21</v>
      </c>
      <c r="AK75" s="1">
        <v>0</v>
      </c>
      <c r="AL75" s="1">
        <v>0</v>
      </c>
      <c r="AM75" s="34">
        <v>6.0000000000000001E-3</v>
      </c>
      <c r="AN75" s="8">
        <f>24*166.67</f>
        <v>4000.08</v>
      </c>
      <c r="AO75" s="1">
        <f>27*166.67</f>
        <v>4500.0899999999992</v>
      </c>
      <c r="AP75" s="2">
        <v>250</v>
      </c>
      <c r="AQ75" s="2">
        <v>0</v>
      </c>
      <c r="AR75" s="2">
        <v>20</v>
      </c>
      <c r="AS75" s="4">
        <f t="shared" si="15"/>
        <v>0.45610031087175446</v>
      </c>
      <c r="AT75" s="4">
        <f t="shared" si="16"/>
        <v>0.51311284973072369</v>
      </c>
      <c r="AU75" s="4">
        <f t="shared" si="17"/>
        <v>2.8505699315498345E-2</v>
      </c>
      <c r="AV75" s="4">
        <f t="shared" si="18"/>
        <v>0</v>
      </c>
      <c r="AW75" s="4">
        <f t="shared" si="19"/>
        <v>2.2804559452398675E-3</v>
      </c>
      <c r="AX75" s="1">
        <v>0</v>
      </c>
      <c r="AY75" s="1">
        <v>0</v>
      </c>
      <c r="AZ75" s="1">
        <v>0</v>
      </c>
      <c r="BA75" s="1">
        <v>0</v>
      </c>
      <c r="BB75" s="52">
        <v>0.28333333333333338</v>
      </c>
      <c r="BC75" s="52">
        <v>0</v>
      </c>
      <c r="BD75" s="52">
        <v>0.27500000000000002</v>
      </c>
      <c r="BE75" s="51">
        <v>1.5451606859080112E-2</v>
      </c>
      <c r="BF75" s="51">
        <v>0.30801891705969531</v>
      </c>
      <c r="BG75" s="51">
        <v>0</v>
      </c>
      <c r="BH75" s="1">
        <v>30.85925786419876</v>
      </c>
      <c r="BI75" s="51">
        <v>31.182728388117535</v>
      </c>
      <c r="BJ75" t="s">
        <v>44</v>
      </c>
      <c r="BK75" s="2" t="s">
        <v>72</v>
      </c>
    </row>
    <row r="76" spans="1:63" ht="14.25" customHeight="1" x14ac:dyDescent="0.3">
      <c r="A76" s="1" t="s">
        <v>70</v>
      </c>
      <c r="B76" s="1">
        <v>19</v>
      </c>
      <c r="C76" s="3">
        <v>44792</v>
      </c>
      <c r="D76">
        <v>354610</v>
      </c>
      <c r="E76">
        <v>3991130</v>
      </c>
      <c r="F76">
        <v>1734</v>
      </c>
      <c r="G76">
        <v>26</v>
      </c>
      <c r="H76">
        <v>3</v>
      </c>
      <c r="I76">
        <f t="shared" si="20"/>
        <v>177</v>
      </c>
      <c r="J76">
        <v>4</v>
      </c>
      <c r="K76">
        <v>4</v>
      </c>
      <c r="L76" s="43">
        <v>4</v>
      </c>
      <c r="M76" s="26">
        <v>719</v>
      </c>
      <c r="N76">
        <v>0</v>
      </c>
      <c r="O76">
        <f>28*20</f>
        <v>560</v>
      </c>
      <c r="P76">
        <v>0</v>
      </c>
      <c r="Q76">
        <v>0</v>
      </c>
      <c r="R76">
        <v>72.61</v>
      </c>
      <c r="S76" s="40"/>
      <c r="T76" s="40"/>
      <c r="U76" s="40"/>
      <c r="V76" s="40"/>
      <c r="W76" s="40"/>
      <c r="X76" s="4"/>
      <c r="Y76" s="49"/>
      <c r="Z76" s="49"/>
      <c r="AA76" s="49"/>
      <c r="AB76" s="49"/>
      <c r="AC76" s="49"/>
      <c r="AD76" s="4"/>
      <c r="AE76" s="1">
        <v>0.2</v>
      </c>
      <c r="AF76" s="1">
        <v>6.04</v>
      </c>
      <c r="AG76" s="1" t="s">
        <v>52</v>
      </c>
      <c r="AH76" s="1">
        <v>34.200000000000003</v>
      </c>
      <c r="AI76" s="1">
        <v>55.6</v>
      </c>
      <c r="AJ76" s="1">
        <v>5.4</v>
      </c>
      <c r="AK76" s="1">
        <v>0</v>
      </c>
      <c r="AL76" s="1">
        <v>2.1</v>
      </c>
      <c r="AM76" s="34">
        <v>6.0000000000000001E-3</v>
      </c>
      <c r="AN76" s="8">
        <f>2050*166.67</f>
        <v>341673.5</v>
      </c>
      <c r="AO76" s="1">
        <f>72*166.67</f>
        <v>12000.24</v>
      </c>
      <c r="AP76" s="1">
        <f>4*166.67</f>
        <v>666.68</v>
      </c>
      <c r="AQ76" s="1">
        <v>0</v>
      </c>
      <c r="AR76" s="1">
        <v>0</v>
      </c>
      <c r="AS76" s="4">
        <f t="shared" ref="AS76:AS107" si="21">AN76/SUM(AM76:AR76)</f>
        <v>0.96425210032343311</v>
      </c>
      <c r="AT76" s="4">
        <f t="shared" ref="AT76:AT107" si="22">AO76/SUM(AM76:AR76)</f>
        <v>3.3866415230871798E-2</v>
      </c>
      <c r="AU76" s="4">
        <f t="shared" ref="AU76:AU107" si="23">AP76/SUM(AM76:AR76)</f>
        <v>1.8814675128262107E-3</v>
      </c>
      <c r="AV76" s="4">
        <f t="shared" ref="AV76:AV107" si="24">AQ76/SUM(AM76:AR76)</f>
        <v>0</v>
      </c>
      <c r="AW76" s="4">
        <f t="shared" ref="AW76:AW107" si="25">AR76/SUM(AM76:AR76)</f>
        <v>0</v>
      </c>
      <c r="AX76" s="1">
        <v>0</v>
      </c>
      <c r="AY76" s="1">
        <v>0</v>
      </c>
      <c r="AZ76" s="1">
        <v>0</v>
      </c>
      <c r="BA76" s="1">
        <v>0</v>
      </c>
      <c r="BB76" s="52">
        <v>1.0833333333333333</v>
      </c>
      <c r="BC76" s="52">
        <v>0</v>
      </c>
      <c r="BD76" s="52">
        <v>1.5833333333333335</v>
      </c>
      <c r="BE76" s="51">
        <v>5.4580089223481239E-2</v>
      </c>
      <c r="BF76" s="51">
        <v>0.37778568132828527</v>
      </c>
      <c r="BG76" s="51">
        <v>0</v>
      </c>
      <c r="BH76" s="1">
        <v>15.84136502679536</v>
      </c>
      <c r="BI76" s="51">
        <v>16.273730797347127</v>
      </c>
      <c r="BJ76" t="s">
        <v>51</v>
      </c>
      <c r="BK76" s="2" t="s">
        <v>72</v>
      </c>
    </row>
    <row r="77" spans="1:63" ht="14.25" customHeight="1" x14ac:dyDescent="0.3">
      <c r="A77" s="1" t="s">
        <v>70</v>
      </c>
      <c r="B77" s="1">
        <v>20</v>
      </c>
      <c r="C77" s="3">
        <v>44792</v>
      </c>
      <c r="D77">
        <v>354807</v>
      </c>
      <c r="E77">
        <v>3991110</v>
      </c>
      <c r="F77">
        <v>1760</v>
      </c>
      <c r="G77">
        <v>22</v>
      </c>
      <c r="H77">
        <v>7</v>
      </c>
      <c r="I77">
        <f t="shared" si="20"/>
        <v>173</v>
      </c>
      <c r="J77">
        <v>4</v>
      </c>
      <c r="K77">
        <v>4</v>
      </c>
      <c r="L77" s="43">
        <v>4</v>
      </c>
      <c r="M77" s="26">
        <v>721</v>
      </c>
      <c r="N77">
        <v>0</v>
      </c>
      <c r="O77">
        <f>31*20</f>
        <v>620</v>
      </c>
      <c r="P77">
        <v>0</v>
      </c>
      <c r="Q77">
        <v>0</v>
      </c>
      <c r="R77">
        <v>56.36</v>
      </c>
      <c r="S77" s="40"/>
      <c r="T77" s="40"/>
      <c r="U77" s="40"/>
      <c r="V77" s="40"/>
      <c r="W77" s="40"/>
      <c r="X77" s="4"/>
      <c r="Y77" s="49"/>
      <c r="Z77" s="49"/>
      <c r="AA77" s="49"/>
      <c r="AB77" s="49"/>
      <c r="AC77" s="49"/>
      <c r="AD77" s="4"/>
      <c r="AE77" s="1">
        <v>1.8</v>
      </c>
      <c r="AF77" s="1">
        <v>24.29</v>
      </c>
      <c r="AG77" s="1" t="s">
        <v>52</v>
      </c>
      <c r="AH77" s="1">
        <v>28.3</v>
      </c>
      <c r="AI77" s="1">
        <v>53.8</v>
      </c>
      <c r="AJ77" s="1">
        <v>0.3</v>
      </c>
      <c r="AK77" s="1">
        <v>0</v>
      </c>
      <c r="AL77" s="1">
        <v>1.8</v>
      </c>
      <c r="AM77" s="35">
        <v>0.1</v>
      </c>
      <c r="AN77" s="1">
        <v>18120</v>
      </c>
      <c r="AO77" s="1">
        <f>39*166.67</f>
        <v>6500.1299999999992</v>
      </c>
      <c r="AP77" s="1">
        <f>3*166.67</f>
        <v>500.01</v>
      </c>
      <c r="AQ77" s="1">
        <v>0</v>
      </c>
      <c r="AR77" s="1">
        <v>166.67</v>
      </c>
      <c r="AS77" s="4">
        <f t="shared" si="21"/>
        <v>0.71657628393504802</v>
      </c>
      <c r="AT77" s="4">
        <f t="shared" si="22"/>
        <v>0.25705513247763373</v>
      </c>
      <c r="AU77" s="4">
        <f t="shared" si="23"/>
        <v>1.9773471729048749E-2</v>
      </c>
      <c r="AV77" s="4">
        <f t="shared" si="24"/>
        <v>0</v>
      </c>
      <c r="AW77" s="4">
        <f t="shared" si="25"/>
        <v>6.5911572430162498E-3</v>
      </c>
      <c r="AX77" s="1">
        <v>0</v>
      </c>
      <c r="AY77" s="1">
        <v>0</v>
      </c>
      <c r="AZ77" s="1">
        <v>0</v>
      </c>
      <c r="BA77" s="1">
        <v>0</v>
      </c>
      <c r="BB77" s="52">
        <v>0.17500000000000002</v>
      </c>
      <c r="BC77" s="52">
        <v>0</v>
      </c>
      <c r="BD77" s="52">
        <v>2.0499999999999998</v>
      </c>
      <c r="BE77" s="51">
        <v>0.18629991178849412</v>
      </c>
      <c r="BF77" s="51">
        <v>0.89849560841410159</v>
      </c>
      <c r="BG77" s="51">
        <v>0.88359187786072391</v>
      </c>
      <c r="BH77" s="1">
        <v>0.30009382766324344</v>
      </c>
      <c r="BI77" s="51">
        <v>2.2684812257265632</v>
      </c>
      <c r="BJ77" t="s">
        <v>44</v>
      </c>
    </row>
    <row r="78" spans="1:63" ht="14.25" customHeight="1" x14ac:dyDescent="0.3">
      <c r="A78" s="1" t="s">
        <v>70</v>
      </c>
      <c r="B78" s="1">
        <v>21</v>
      </c>
      <c r="C78" s="3">
        <v>44792</v>
      </c>
      <c r="D78">
        <v>355011</v>
      </c>
      <c r="E78">
        <v>3991138</v>
      </c>
      <c r="F78">
        <v>1746</v>
      </c>
      <c r="G78">
        <v>23</v>
      </c>
      <c r="H78">
        <v>344</v>
      </c>
      <c r="I78">
        <f t="shared" si="20"/>
        <v>164</v>
      </c>
      <c r="J78">
        <v>2</v>
      </c>
      <c r="K78">
        <v>2</v>
      </c>
      <c r="L78" s="43">
        <v>3</v>
      </c>
      <c r="M78" s="26">
        <v>548</v>
      </c>
      <c r="N78">
        <f>9*20</f>
        <v>180</v>
      </c>
      <c r="O78">
        <f>12*20</f>
        <v>240</v>
      </c>
      <c r="P78">
        <v>40</v>
      </c>
      <c r="Q78">
        <v>37.92</v>
      </c>
      <c r="R78">
        <v>18.91</v>
      </c>
      <c r="S78" s="40">
        <v>0</v>
      </c>
      <c r="T78" s="40">
        <f>5/9</f>
        <v>0.55555555555555558</v>
      </c>
      <c r="U78" s="40">
        <f>2/9</f>
        <v>0.22222222222222221</v>
      </c>
      <c r="V78" s="40">
        <f>2/9</f>
        <v>0.22222222222222221</v>
      </c>
      <c r="W78" s="40">
        <v>0</v>
      </c>
      <c r="X78" s="4">
        <f>T78+U78</f>
        <v>0.77777777777777779</v>
      </c>
      <c r="Y78" s="49">
        <v>0</v>
      </c>
      <c r="Z78" s="49">
        <f>18.86/Q78</f>
        <v>0.49736286919831219</v>
      </c>
      <c r="AA78" s="49">
        <f>5.51/Q78</f>
        <v>0.14530590717299577</v>
      </c>
      <c r="AB78" s="49">
        <f>13.55/Q78</f>
        <v>0.35733122362869196</v>
      </c>
      <c r="AC78" s="49">
        <v>0</v>
      </c>
      <c r="AD78" s="4">
        <f>Z78+AA78</f>
        <v>0.64266877637130793</v>
      </c>
      <c r="AE78" s="1">
        <v>2.8</v>
      </c>
      <c r="AF78" s="1">
        <v>5.08</v>
      </c>
      <c r="AG78" s="1" t="s">
        <v>52</v>
      </c>
      <c r="AH78" s="1">
        <v>34.4</v>
      </c>
      <c r="AI78" s="1">
        <v>40</v>
      </c>
      <c r="AJ78" s="1">
        <v>16.600000000000001</v>
      </c>
      <c r="AK78" s="1">
        <v>0</v>
      </c>
      <c r="AL78" s="1">
        <v>2</v>
      </c>
      <c r="AM78" s="35">
        <v>0.1</v>
      </c>
      <c r="AN78" s="1">
        <v>5300</v>
      </c>
      <c r="AO78" s="1">
        <f>353*166.67</f>
        <v>58834.509999999995</v>
      </c>
      <c r="AP78" s="1">
        <f>203*166.67</f>
        <v>33834.009999999995</v>
      </c>
      <c r="AQ78" s="1">
        <v>0</v>
      </c>
      <c r="AR78" s="1">
        <v>0</v>
      </c>
      <c r="AS78" s="4">
        <f t="shared" si="21"/>
        <v>5.4098955359379364E-2</v>
      </c>
      <c r="AT78" s="4">
        <f t="shared" si="22"/>
        <v>0.6005444396379167</v>
      </c>
      <c r="AU78" s="4">
        <f t="shared" si="23"/>
        <v>0.34535558426769714</v>
      </c>
      <c r="AV78" s="4">
        <f t="shared" si="24"/>
        <v>0</v>
      </c>
      <c r="AW78" s="4">
        <f t="shared" si="25"/>
        <v>0</v>
      </c>
      <c r="AX78" s="1">
        <v>0</v>
      </c>
      <c r="AY78" s="1">
        <v>0</v>
      </c>
      <c r="AZ78" s="1">
        <v>0</v>
      </c>
      <c r="BA78" s="1">
        <v>0</v>
      </c>
      <c r="BB78" s="52">
        <v>0.70833333333333337</v>
      </c>
      <c r="BC78" s="52">
        <v>0</v>
      </c>
      <c r="BD78" s="52">
        <v>4.7666666666666666</v>
      </c>
      <c r="BE78" s="51">
        <v>0.18067674873114792</v>
      </c>
      <c r="BF78" s="51">
        <v>1.2005624396561525</v>
      </c>
      <c r="BG78" s="51">
        <v>0</v>
      </c>
      <c r="BH78" s="1">
        <v>4.8907472860255394</v>
      </c>
      <c r="BI78" s="51">
        <v>6.2719864744128397</v>
      </c>
      <c r="BJ78" t="s">
        <v>51</v>
      </c>
    </row>
    <row r="79" spans="1:63" ht="14.25" customHeight="1" x14ac:dyDescent="0.3">
      <c r="A79" s="1" t="s">
        <v>70</v>
      </c>
      <c r="B79" s="1">
        <v>22</v>
      </c>
      <c r="C79" s="3">
        <v>44791</v>
      </c>
      <c r="D79">
        <v>354605</v>
      </c>
      <c r="E79">
        <v>3991340</v>
      </c>
      <c r="F79">
        <v>1878</v>
      </c>
      <c r="G79">
        <v>19</v>
      </c>
      <c r="H79">
        <v>245</v>
      </c>
      <c r="I79">
        <f t="shared" si="20"/>
        <v>65</v>
      </c>
      <c r="J79">
        <v>1</v>
      </c>
      <c r="K79">
        <v>1</v>
      </c>
      <c r="L79" s="43">
        <v>2</v>
      </c>
      <c r="M79" s="26">
        <v>97</v>
      </c>
      <c r="N79">
        <f>11*20</f>
        <v>220</v>
      </c>
      <c r="O79">
        <f>16*20</f>
        <v>320</v>
      </c>
      <c r="P79">
        <v>20</v>
      </c>
      <c r="Q79">
        <v>44.88</v>
      </c>
      <c r="R79">
        <v>10.96</v>
      </c>
      <c r="S79" s="40">
        <v>0</v>
      </c>
      <c r="T79" s="40">
        <f>1/11</f>
        <v>9.0909090909090912E-2</v>
      </c>
      <c r="U79" s="40">
        <f>5/11</f>
        <v>0.45454545454545453</v>
      </c>
      <c r="V79" s="40">
        <f>1/11</f>
        <v>9.0909090909090912E-2</v>
      </c>
      <c r="W79" s="40">
        <f>4/11</f>
        <v>0.36363636363636365</v>
      </c>
      <c r="X79" s="4">
        <f>T79+U79</f>
        <v>0.54545454545454541</v>
      </c>
      <c r="Y79" s="49">
        <v>0</v>
      </c>
      <c r="Z79" s="49">
        <f>4.51/Q79</f>
        <v>0.10049019607843136</v>
      </c>
      <c r="AA79" s="49">
        <f>23.18/Q79</f>
        <v>0.51648841354723707</v>
      </c>
      <c r="AB79" s="49">
        <f>0.69/Q79</f>
        <v>1.5374331550802136E-2</v>
      </c>
      <c r="AC79" s="49">
        <f>16.5/Q79</f>
        <v>0.36764705882352938</v>
      </c>
      <c r="AD79" s="4">
        <f>Z79+AA79</f>
        <v>0.61697860962566842</v>
      </c>
      <c r="AE79" s="1">
        <v>5.8</v>
      </c>
      <c r="AF79" s="1">
        <v>0.13</v>
      </c>
      <c r="AG79" s="1" t="s">
        <v>46</v>
      </c>
      <c r="AH79" s="1">
        <v>23</v>
      </c>
      <c r="AI79" s="1">
        <v>44.6</v>
      </c>
      <c r="AJ79" s="1">
        <v>27.3</v>
      </c>
      <c r="AK79" s="1">
        <v>0</v>
      </c>
      <c r="AL79" s="1">
        <v>3.2</v>
      </c>
      <c r="AM79" s="33">
        <v>0.1</v>
      </c>
      <c r="AN79" s="1">
        <v>0</v>
      </c>
      <c r="AO79" s="1">
        <f>37*166.67</f>
        <v>6166.79</v>
      </c>
      <c r="AP79" s="1">
        <f>120*166.67</f>
        <v>20000.399999999998</v>
      </c>
      <c r="AQ79" s="1">
        <v>0</v>
      </c>
      <c r="AR79" s="1">
        <v>166.67</v>
      </c>
      <c r="AS79" s="4">
        <f t="shared" si="21"/>
        <v>0</v>
      </c>
      <c r="AT79" s="4">
        <f t="shared" si="22"/>
        <v>0.23417632593047158</v>
      </c>
      <c r="AU79" s="4">
        <f t="shared" si="23"/>
        <v>0.75949078680152937</v>
      </c>
      <c r="AV79" s="4">
        <f t="shared" si="24"/>
        <v>0</v>
      </c>
      <c r="AW79" s="4">
        <f t="shared" si="25"/>
        <v>6.3290898900127445E-3</v>
      </c>
      <c r="AX79" s="1">
        <v>0</v>
      </c>
      <c r="AY79" s="1">
        <v>0</v>
      </c>
      <c r="AZ79" s="1">
        <v>0</v>
      </c>
      <c r="BA79" s="1">
        <v>0</v>
      </c>
      <c r="BB79" s="52">
        <v>1.3583333333333334</v>
      </c>
      <c r="BC79" s="52">
        <v>0</v>
      </c>
      <c r="BD79" s="52">
        <v>11.591666666666667</v>
      </c>
      <c r="BE79" s="51">
        <v>0.23897269287453385</v>
      </c>
      <c r="BF79" s="51">
        <v>1.1165117617908551</v>
      </c>
      <c r="BG79" s="51">
        <v>0.2927977877734747</v>
      </c>
      <c r="BH79" s="1">
        <v>3.2568288305269224</v>
      </c>
      <c r="BI79" s="51">
        <v>4.9051110729657861</v>
      </c>
      <c r="BJ79" t="s">
        <v>51</v>
      </c>
    </row>
    <row r="80" spans="1:63" ht="14.25" customHeight="1" x14ac:dyDescent="0.3">
      <c r="A80" s="1" t="s">
        <v>70</v>
      </c>
      <c r="B80" s="1">
        <v>23</v>
      </c>
      <c r="C80" s="3">
        <v>44791</v>
      </c>
      <c r="D80">
        <v>354806</v>
      </c>
      <c r="E80">
        <v>3991335</v>
      </c>
      <c r="F80">
        <v>1708</v>
      </c>
      <c r="G80">
        <v>8</v>
      </c>
      <c r="H80">
        <v>263</v>
      </c>
      <c r="I80">
        <f t="shared" si="20"/>
        <v>83</v>
      </c>
      <c r="J80">
        <v>2</v>
      </c>
      <c r="K80">
        <v>2</v>
      </c>
      <c r="L80" s="43">
        <v>3</v>
      </c>
      <c r="M80" s="26">
        <v>380</v>
      </c>
      <c r="N80">
        <f>18*20</f>
        <v>360</v>
      </c>
      <c r="O80">
        <f>12*20</f>
        <v>240</v>
      </c>
      <c r="P80">
        <v>0</v>
      </c>
      <c r="Q80">
        <v>18.739999999999998</v>
      </c>
      <c r="R80">
        <v>16.239999999999998</v>
      </c>
      <c r="S80" s="40">
        <f>3/18</f>
        <v>0.16666666666666666</v>
      </c>
      <c r="T80" s="40">
        <f>5/18</f>
        <v>0.27777777777777779</v>
      </c>
      <c r="U80" s="40">
        <f>8/18</f>
        <v>0.44444444444444442</v>
      </c>
      <c r="V80" s="40">
        <f>2/18</f>
        <v>0.1111111111111111</v>
      </c>
      <c r="W80" s="40">
        <v>0</v>
      </c>
      <c r="X80" s="4">
        <f>T80+U80</f>
        <v>0.72222222222222221</v>
      </c>
      <c r="Y80" s="49">
        <f>6.57/Q80</f>
        <v>0.35058697972251873</v>
      </c>
      <c r="Z80" s="49">
        <f>2.67/Q80</f>
        <v>0.1424759871931697</v>
      </c>
      <c r="AA80" s="49">
        <f>3.88/Q80</f>
        <v>0.20704375667022412</v>
      </c>
      <c r="AB80" s="49">
        <f>5.62/Q80</f>
        <v>0.29989327641408753</v>
      </c>
      <c r="AC80" s="49">
        <v>0</v>
      </c>
      <c r="AD80" s="4">
        <f>Z80+AA80</f>
        <v>0.34951974386339379</v>
      </c>
      <c r="AE80" s="1">
        <v>11.9</v>
      </c>
      <c r="AF80" s="1">
        <v>9.25</v>
      </c>
      <c r="AG80" s="1" t="s">
        <v>52</v>
      </c>
      <c r="AH80" s="1">
        <v>15.8</v>
      </c>
      <c r="AI80" s="1">
        <v>71.5</v>
      </c>
      <c r="AJ80" s="1">
        <v>2.5</v>
      </c>
      <c r="AK80" s="1">
        <v>2.46</v>
      </c>
      <c r="AL80" s="1">
        <v>1.9</v>
      </c>
      <c r="AM80" s="33">
        <v>0.1</v>
      </c>
      <c r="AN80" s="1">
        <v>5220</v>
      </c>
      <c r="AO80" s="1">
        <f>18*166.67</f>
        <v>3000.06</v>
      </c>
      <c r="AP80" s="1">
        <f>14*166.67</f>
        <v>2333.3799999999997</v>
      </c>
      <c r="AQ80" s="1">
        <f>2*166.67</f>
        <v>333.34</v>
      </c>
      <c r="AR80" s="1">
        <f>2*166.67</f>
        <v>333.34</v>
      </c>
      <c r="AS80" s="4">
        <f t="shared" si="21"/>
        <v>0.46523151952457265</v>
      </c>
      <c r="AT80" s="4">
        <f t="shared" si="22"/>
        <v>0.26737978399710521</v>
      </c>
      <c r="AU80" s="4">
        <f t="shared" si="23"/>
        <v>0.20796205421997072</v>
      </c>
      <c r="AV80" s="4">
        <f t="shared" si="24"/>
        <v>2.9708864888567246E-2</v>
      </c>
      <c r="AW80" s="4">
        <f t="shared" si="25"/>
        <v>2.9708864888567246E-2</v>
      </c>
      <c r="AX80" s="1">
        <v>0</v>
      </c>
      <c r="AY80" s="1">
        <v>0</v>
      </c>
      <c r="AZ80" s="1">
        <v>0</v>
      </c>
      <c r="BA80" s="1">
        <v>0</v>
      </c>
      <c r="BB80" s="52">
        <v>3.0916666666666668</v>
      </c>
      <c r="BC80" s="52">
        <v>0.16666666666666666</v>
      </c>
      <c r="BD80" s="52">
        <v>3.5083333333333333</v>
      </c>
      <c r="BE80" s="51">
        <v>9.1265042738450153E-2</v>
      </c>
      <c r="BF80" s="51">
        <v>1.4671905337117319</v>
      </c>
      <c r="BG80" s="51">
        <v>0.86571217046906623</v>
      </c>
      <c r="BH80" s="1">
        <v>2.0759481404738982</v>
      </c>
      <c r="BI80" s="51">
        <v>4.5001158873931466</v>
      </c>
      <c r="BJ80" t="s">
        <v>51</v>
      </c>
    </row>
    <row r="81" spans="1:63" ht="14.25" customHeight="1" x14ac:dyDescent="0.3">
      <c r="A81" s="1" t="s">
        <v>70</v>
      </c>
      <c r="B81" s="1">
        <v>24</v>
      </c>
      <c r="C81" s="3">
        <v>44792</v>
      </c>
      <c r="D81">
        <v>354635</v>
      </c>
      <c r="E81">
        <v>3991476</v>
      </c>
      <c r="F81">
        <v>1757</v>
      </c>
      <c r="G81">
        <v>16</v>
      </c>
      <c r="H81">
        <v>190</v>
      </c>
      <c r="I81">
        <f t="shared" si="20"/>
        <v>10</v>
      </c>
      <c r="J81">
        <v>4</v>
      </c>
      <c r="K81">
        <v>4</v>
      </c>
      <c r="L81" s="43">
        <v>4</v>
      </c>
      <c r="M81" s="26">
        <v>765</v>
      </c>
      <c r="N81">
        <v>0</v>
      </c>
      <c r="O81">
        <f>13*20</f>
        <v>260</v>
      </c>
      <c r="P81">
        <v>0</v>
      </c>
      <c r="Q81">
        <v>0</v>
      </c>
      <c r="R81">
        <v>82.97</v>
      </c>
      <c r="S81" s="40"/>
      <c r="T81" s="40"/>
      <c r="U81" s="40"/>
      <c r="V81" s="40"/>
      <c r="W81" s="40"/>
      <c r="X81" s="4"/>
      <c r="Y81" s="49"/>
      <c r="Z81" s="49"/>
      <c r="AA81" s="49"/>
      <c r="AB81" s="49"/>
      <c r="AC81" s="49"/>
      <c r="AD81" s="4"/>
      <c r="AE81" s="1">
        <v>36.299999999999997</v>
      </c>
      <c r="AF81" s="1">
        <v>0.63</v>
      </c>
      <c r="AG81" s="1" t="s">
        <v>58</v>
      </c>
      <c r="AH81" s="1">
        <v>62.3</v>
      </c>
      <c r="AI81" s="1">
        <v>23.6</v>
      </c>
      <c r="AJ81" s="1">
        <v>3.9</v>
      </c>
      <c r="AK81" s="1">
        <v>0</v>
      </c>
      <c r="AL81" s="1">
        <v>0</v>
      </c>
      <c r="AM81" s="33">
        <v>0.1</v>
      </c>
      <c r="AN81" s="1">
        <v>0</v>
      </c>
      <c r="AO81" s="1">
        <v>0</v>
      </c>
      <c r="AP81" s="1">
        <v>0</v>
      </c>
      <c r="AQ81" s="1">
        <v>0</v>
      </c>
      <c r="AR81" s="1">
        <v>150</v>
      </c>
      <c r="AS81" s="4">
        <f t="shared" si="21"/>
        <v>0</v>
      </c>
      <c r="AT81" s="4">
        <f t="shared" si="22"/>
        <v>0</v>
      </c>
      <c r="AU81" s="4">
        <f t="shared" si="23"/>
        <v>0</v>
      </c>
      <c r="AV81" s="4">
        <f t="shared" si="24"/>
        <v>0</v>
      </c>
      <c r="AW81" s="4">
        <f t="shared" si="25"/>
        <v>0.99933377748167895</v>
      </c>
      <c r="AX81" s="1">
        <v>0</v>
      </c>
      <c r="AY81" s="1">
        <v>0</v>
      </c>
      <c r="AZ81" s="1">
        <v>0</v>
      </c>
      <c r="BA81" s="1">
        <v>0</v>
      </c>
      <c r="BB81" s="52">
        <v>0.85833333333333328</v>
      </c>
      <c r="BC81" s="52">
        <v>0</v>
      </c>
      <c r="BD81" s="52">
        <v>1.1916666666666669</v>
      </c>
      <c r="BE81" s="51">
        <v>2.6747855549787154E-2</v>
      </c>
      <c r="BF81" s="51">
        <v>7.4055993507607415E-2</v>
      </c>
      <c r="BG81" s="51">
        <v>1.4565519020337914</v>
      </c>
      <c r="BH81" s="1">
        <v>0</v>
      </c>
      <c r="BI81" s="51">
        <v>1.557355751091186</v>
      </c>
      <c r="BJ81" t="s">
        <v>44</v>
      </c>
    </row>
    <row r="82" spans="1:63" ht="14.25" customHeight="1" x14ac:dyDescent="0.3">
      <c r="A82" s="1" t="s">
        <v>70</v>
      </c>
      <c r="B82" s="1">
        <v>25</v>
      </c>
      <c r="C82" s="3">
        <v>44793</v>
      </c>
      <c r="D82">
        <v>354809</v>
      </c>
      <c r="E82">
        <v>3991536</v>
      </c>
      <c r="F82">
        <v>1716</v>
      </c>
      <c r="G82">
        <v>13</v>
      </c>
      <c r="H82">
        <v>195</v>
      </c>
      <c r="I82">
        <f t="shared" si="20"/>
        <v>15</v>
      </c>
      <c r="J82">
        <v>3</v>
      </c>
      <c r="K82">
        <v>3</v>
      </c>
      <c r="L82" s="43">
        <v>3</v>
      </c>
      <c r="M82" s="26">
        <v>487</v>
      </c>
      <c r="N82">
        <f>9*20</f>
        <v>180</v>
      </c>
      <c r="O82">
        <f>39*20</f>
        <v>780</v>
      </c>
      <c r="P82">
        <v>0</v>
      </c>
      <c r="Q82">
        <v>24.08</v>
      </c>
      <c r="R82">
        <v>58.44</v>
      </c>
      <c r="S82" s="40">
        <v>0</v>
      </c>
      <c r="T82" s="40">
        <v>0</v>
      </c>
      <c r="U82" s="40">
        <f>6/9</f>
        <v>0.66666666666666663</v>
      </c>
      <c r="V82" s="40">
        <v>0</v>
      </c>
      <c r="W82" s="40">
        <f>3/9</f>
        <v>0.33333333333333331</v>
      </c>
      <c r="X82" s="4">
        <f>T82+U82</f>
        <v>0.66666666666666663</v>
      </c>
      <c r="Y82" s="49">
        <v>0</v>
      </c>
      <c r="Z82" s="49">
        <v>0</v>
      </c>
      <c r="AA82" s="49">
        <f>16.93/Q82</f>
        <v>0.70307308970099669</v>
      </c>
      <c r="AB82" s="49">
        <v>0</v>
      </c>
      <c r="AC82" s="49">
        <f>7.16/Q82</f>
        <v>0.29734219269102991</v>
      </c>
      <c r="AD82" s="4">
        <f>Z82+AA82</f>
        <v>0.70307308970099669</v>
      </c>
      <c r="AE82" s="1">
        <v>7.4</v>
      </c>
      <c r="AF82" s="1">
        <v>1.29</v>
      </c>
      <c r="AG82" s="1" t="s">
        <v>52</v>
      </c>
      <c r="AH82" s="1">
        <v>22.3</v>
      </c>
      <c r="AI82" s="1">
        <v>73.099999999999994</v>
      </c>
      <c r="AJ82" s="1">
        <v>1.3</v>
      </c>
      <c r="AK82" s="1">
        <v>1.04</v>
      </c>
      <c r="AL82" s="1">
        <v>0.3</v>
      </c>
      <c r="AM82" s="33">
        <v>0.1</v>
      </c>
      <c r="AN82" s="1">
        <v>6000</v>
      </c>
      <c r="AO82" s="1">
        <f>17*166.67</f>
        <v>2833.39</v>
      </c>
      <c r="AP82" s="1">
        <v>0</v>
      </c>
      <c r="AQ82" s="1">
        <v>0</v>
      </c>
      <c r="AR82" s="1">
        <f>166.67*2</f>
        <v>333.34</v>
      </c>
      <c r="AS82" s="4">
        <f t="shared" si="21"/>
        <v>0.6545337919433436</v>
      </c>
      <c r="AT82" s="4">
        <f t="shared" si="22"/>
        <v>0.30909158345905835</v>
      </c>
      <c r="AU82" s="4">
        <f t="shared" si="23"/>
        <v>0</v>
      </c>
      <c r="AV82" s="4">
        <f t="shared" si="24"/>
        <v>0</v>
      </c>
      <c r="AW82" s="4">
        <f t="shared" si="25"/>
        <v>3.6363715701065689E-2</v>
      </c>
      <c r="AX82" s="1">
        <v>0</v>
      </c>
      <c r="AY82" s="1">
        <v>0</v>
      </c>
      <c r="AZ82" s="1">
        <v>0</v>
      </c>
      <c r="BA82" s="1">
        <v>20</v>
      </c>
      <c r="BB82" s="52">
        <v>2.3416666666666668</v>
      </c>
      <c r="BC82" s="52">
        <v>0</v>
      </c>
      <c r="BD82" s="52">
        <v>3.4166666666666665</v>
      </c>
      <c r="BE82" s="51">
        <v>0.11541471522286802</v>
      </c>
      <c r="BF82" s="51">
        <v>0.95863588600414973</v>
      </c>
      <c r="BG82" s="51">
        <v>1.4503608968776782</v>
      </c>
      <c r="BH82" s="1">
        <v>1.1816194464240211</v>
      </c>
      <c r="BI82" s="51">
        <v>3.7060309445287167</v>
      </c>
      <c r="BJ82" t="s">
        <v>44</v>
      </c>
    </row>
    <row r="83" spans="1:63" ht="14.25" customHeight="1" x14ac:dyDescent="0.3">
      <c r="A83" s="1" t="s">
        <v>70</v>
      </c>
      <c r="B83" s="1">
        <v>26</v>
      </c>
      <c r="C83" s="3">
        <v>44793</v>
      </c>
      <c r="D83">
        <v>354984</v>
      </c>
      <c r="E83">
        <v>3991538</v>
      </c>
      <c r="F83">
        <v>1756</v>
      </c>
      <c r="G83">
        <v>20</v>
      </c>
      <c r="H83">
        <v>275</v>
      </c>
      <c r="I83">
        <f t="shared" si="20"/>
        <v>95</v>
      </c>
      <c r="J83">
        <v>4</v>
      </c>
      <c r="K83">
        <v>4</v>
      </c>
      <c r="L83" s="43">
        <v>4</v>
      </c>
      <c r="M83" s="26">
        <v>1125</v>
      </c>
      <c r="N83">
        <v>0</v>
      </c>
      <c r="O83">
        <f>12*20</f>
        <v>240</v>
      </c>
      <c r="P83">
        <v>0</v>
      </c>
      <c r="Q83">
        <v>0</v>
      </c>
      <c r="R83">
        <v>21.26</v>
      </c>
      <c r="S83" s="40"/>
      <c r="T83" s="40"/>
      <c r="U83" s="40"/>
      <c r="V83" s="40"/>
      <c r="W83" s="40"/>
      <c r="X83" s="4"/>
      <c r="Y83" s="49"/>
      <c r="Z83" s="49"/>
      <c r="AA83" s="49"/>
      <c r="AB83" s="49"/>
      <c r="AC83" s="49"/>
      <c r="AD83" s="4"/>
      <c r="AE83" s="1">
        <v>11.3</v>
      </c>
      <c r="AF83" s="1">
        <v>14.79</v>
      </c>
      <c r="AG83" s="1" t="s">
        <v>52</v>
      </c>
      <c r="AH83" s="1">
        <v>57.7</v>
      </c>
      <c r="AI83" s="1">
        <v>21</v>
      </c>
      <c r="AJ83" s="1">
        <v>7</v>
      </c>
      <c r="AK83" s="1">
        <v>0</v>
      </c>
      <c r="AL83" s="1">
        <v>0</v>
      </c>
      <c r="AM83" s="33">
        <v>0.1</v>
      </c>
      <c r="AN83" s="1">
        <v>0</v>
      </c>
      <c r="AO83" s="1">
        <v>0</v>
      </c>
      <c r="AP83" s="1">
        <v>0</v>
      </c>
      <c r="AQ83" s="1">
        <v>0</v>
      </c>
      <c r="AR83" s="1">
        <f>34*166.67</f>
        <v>5666.78</v>
      </c>
      <c r="AS83" s="4">
        <f t="shared" si="21"/>
        <v>0</v>
      </c>
      <c r="AT83" s="4">
        <f t="shared" si="22"/>
        <v>0</v>
      </c>
      <c r="AU83" s="4">
        <f t="shared" si="23"/>
        <v>0</v>
      </c>
      <c r="AV83" s="4">
        <f t="shared" si="24"/>
        <v>0</v>
      </c>
      <c r="AW83" s="4">
        <f t="shared" si="25"/>
        <v>0.99998235360551124</v>
      </c>
      <c r="AX83" s="1">
        <v>0</v>
      </c>
      <c r="AY83" s="1">
        <v>0</v>
      </c>
      <c r="AZ83" s="1">
        <v>0</v>
      </c>
      <c r="BA83" s="1">
        <v>0</v>
      </c>
      <c r="BB83" s="52">
        <v>0.58333333333333337</v>
      </c>
      <c r="BC83" s="52">
        <v>0</v>
      </c>
      <c r="BD83" s="52">
        <v>1.3333333333333333</v>
      </c>
      <c r="BE83" s="51">
        <v>2.9927753854043521E-2</v>
      </c>
      <c r="BF83" s="51">
        <v>0.44744445106373254</v>
      </c>
      <c r="BG83" s="51">
        <v>0.29334833251742898</v>
      </c>
      <c r="BH83" s="1">
        <v>0.67257356883510111</v>
      </c>
      <c r="BI83" s="51">
        <v>1.4432941062703062</v>
      </c>
      <c r="BJ83" t="s">
        <v>44</v>
      </c>
    </row>
    <row r="84" spans="1:63" ht="14.25" customHeight="1" x14ac:dyDescent="0.3">
      <c r="A84" s="1" t="s">
        <v>73</v>
      </c>
      <c r="B84" s="1">
        <v>1</v>
      </c>
      <c r="C84" s="3">
        <v>44820</v>
      </c>
      <c r="D84">
        <v>353825</v>
      </c>
      <c r="E84">
        <v>3993038</v>
      </c>
      <c r="F84">
        <v>1804</v>
      </c>
      <c r="G84">
        <v>19</v>
      </c>
      <c r="H84">
        <v>39</v>
      </c>
      <c r="I84">
        <f t="shared" si="20"/>
        <v>141</v>
      </c>
      <c r="J84">
        <v>4</v>
      </c>
      <c r="K84">
        <v>4</v>
      </c>
      <c r="L84" s="43">
        <v>4</v>
      </c>
      <c r="M84" s="26">
        <v>910</v>
      </c>
      <c r="N84">
        <v>0</v>
      </c>
      <c r="O84">
        <f>30*20</f>
        <v>600</v>
      </c>
      <c r="P84">
        <v>0</v>
      </c>
      <c r="Q84">
        <v>0</v>
      </c>
      <c r="R84">
        <v>34.409999999999997</v>
      </c>
      <c r="S84" s="40"/>
      <c r="T84" s="40"/>
      <c r="U84" s="40"/>
      <c r="V84" s="40"/>
      <c r="W84" s="40"/>
      <c r="X84" s="4"/>
      <c r="Y84" s="49"/>
      <c r="Z84" s="49"/>
      <c r="AA84" s="49"/>
      <c r="AB84" s="49"/>
      <c r="AC84" s="49"/>
      <c r="AD84" s="4"/>
      <c r="AE84" s="1">
        <v>2.7</v>
      </c>
      <c r="AF84" s="1">
        <v>2.08</v>
      </c>
      <c r="AG84" s="1" t="s">
        <v>52</v>
      </c>
      <c r="AH84" s="1">
        <v>31.3</v>
      </c>
      <c r="AI84" s="1">
        <v>44.4</v>
      </c>
      <c r="AJ84" s="1">
        <v>4.3</v>
      </c>
      <c r="AK84" s="1">
        <v>0</v>
      </c>
      <c r="AL84" s="1">
        <v>11.5</v>
      </c>
      <c r="AM84" s="34">
        <v>6.0000000000000001E-3</v>
      </c>
      <c r="AN84" s="12">
        <f>4*166.67</f>
        <v>666.68</v>
      </c>
      <c r="AO84" s="1">
        <v>166.67</v>
      </c>
      <c r="AP84" s="2">
        <v>166.67</v>
      </c>
      <c r="AQ84" s="1">
        <v>0</v>
      </c>
      <c r="AR84" s="1">
        <v>0</v>
      </c>
      <c r="AS84" s="4">
        <f t="shared" si="21"/>
        <v>0.66666266677066399</v>
      </c>
      <c r="AT84" s="4">
        <f t="shared" si="22"/>
        <v>0.166665666692666</v>
      </c>
      <c r="AU84" s="4">
        <f t="shared" si="23"/>
        <v>0.166665666692666</v>
      </c>
      <c r="AV84" s="4">
        <f t="shared" si="24"/>
        <v>0</v>
      </c>
      <c r="AW84" s="4">
        <f t="shared" si="25"/>
        <v>0</v>
      </c>
      <c r="AX84" s="1">
        <v>0</v>
      </c>
      <c r="AY84" s="1">
        <v>0</v>
      </c>
      <c r="AZ84" s="1">
        <v>0</v>
      </c>
      <c r="BA84" s="1">
        <v>0</v>
      </c>
      <c r="BB84" s="52">
        <v>1.2749999999999999</v>
      </c>
      <c r="BC84" s="52">
        <v>8.3333333333333332E-3</v>
      </c>
      <c r="BD84" s="52">
        <v>5.5250000000000004</v>
      </c>
      <c r="BE84" s="51">
        <v>0.20312678894335379</v>
      </c>
      <c r="BF84" s="51">
        <v>1.3398141141490261</v>
      </c>
      <c r="BG84" s="51">
        <v>0.2927977877734747</v>
      </c>
      <c r="BH84" s="1">
        <v>24.752520644224173</v>
      </c>
      <c r="BI84" s="51">
        <v>26.588259335090029</v>
      </c>
      <c r="BJ84" t="s">
        <v>53</v>
      </c>
      <c r="BK84" s="2" t="s">
        <v>72</v>
      </c>
    </row>
    <row r="85" spans="1:63" ht="14.25" customHeight="1" x14ac:dyDescent="0.3">
      <c r="A85" s="1" t="s">
        <v>73</v>
      </c>
      <c r="B85" s="1">
        <v>2</v>
      </c>
      <c r="C85" s="3">
        <v>44820</v>
      </c>
      <c r="D85">
        <v>354018</v>
      </c>
      <c r="E85">
        <v>3993048</v>
      </c>
      <c r="F85">
        <v>1805</v>
      </c>
      <c r="G85">
        <v>20</v>
      </c>
      <c r="H85">
        <v>20</v>
      </c>
      <c r="I85">
        <f t="shared" si="20"/>
        <v>160</v>
      </c>
      <c r="J85">
        <v>4</v>
      </c>
      <c r="K85">
        <v>4</v>
      </c>
      <c r="L85" s="43">
        <v>4</v>
      </c>
      <c r="M85" s="26">
        <v>783</v>
      </c>
      <c r="N85">
        <v>0</v>
      </c>
      <c r="O85">
        <f>27*20</f>
        <v>540</v>
      </c>
      <c r="P85">
        <v>0</v>
      </c>
      <c r="Q85">
        <v>0</v>
      </c>
      <c r="R85">
        <v>60.43</v>
      </c>
      <c r="S85" s="40"/>
      <c r="T85" s="40"/>
      <c r="U85" s="40"/>
      <c r="V85" s="40"/>
      <c r="W85" s="40"/>
      <c r="X85" s="4"/>
      <c r="Y85" s="49"/>
      <c r="Z85" s="49"/>
      <c r="AA85" s="49"/>
      <c r="AB85" s="49"/>
      <c r="AC85" s="49"/>
      <c r="AD85" s="4"/>
      <c r="AE85" s="1">
        <v>14.2</v>
      </c>
      <c r="AF85" s="1">
        <v>2.33</v>
      </c>
      <c r="AG85" s="1" t="s">
        <v>52</v>
      </c>
      <c r="AH85" s="1">
        <v>47.1</v>
      </c>
      <c r="AI85" s="1">
        <v>31.9</v>
      </c>
      <c r="AJ85" s="1">
        <v>7.2</v>
      </c>
      <c r="AK85" s="1">
        <v>0</v>
      </c>
      <c r="AL85" s="1">
        <v>7.1</v>
      </c>
      <c r="AM85" s="34">
        <v>6.0000000000000001E-3</v>
      </c>
      <c r="AN85" s="12">
        <f>47*166.67</f>
        <v>7833.49</v>
      </c>
      <c r="AO85" s="1">
        <f>18*166.67</f>
        <v>3000.06</v>
      </c>
      <c r="AP85" s="1">
        <v>0</v>
      </c>
      <c r="AQ85" s="1">
        <v>0</v>
      </c>
      <c r="AR85" s="1">
        <v>0</v>
      </c>
      <c r="AS85" s="4">
        <f t="shared" si="21"/>
        <v>0.72307652261178135</v>
      </c>
      <c r="AT85" s="4">
        <f t="shared" si="22"/>
        <v>0.27692292355344816</v>
      </c>
      <c r="AU85" s="4">
        <f t="shared" si="23"/>
        <v>0</v>
      </c>
      <c r="AV85" s="4">
        <f t="shared" si="24"/>
        <v>0</v>
      </c>
      <c r="AW85" s="4">
        <f t="shared" si="25"/>
        <v>0</v>
      </c>
      <c r="AX85" s="1">
        <v>0</v>
      </c>
      <c r="AY85" s="1">
        <v>0</v>
      </c>
      <c r="AZ85" s="1">
        <v>0</v>
      </c>
      <c r="BA85" s="1">
        <v>0</v>
      </c>
      <c r="BB85" s="52">
        <v>0.39166666666666672</v>
      </c>
      <c r="BC85" s="52">
        <v>0</v>
      </c>
      <c r="BD85" s="52">
        <v>8.35</v>
      </c>
      <c r="BE85" s="51">
        <v>0.30825586469664823</v>
      </c>
      <c r="BF85" s="51">
        <v>3.7287037588644383</v>
      </c>
      <c r="BG85" s="51">
        <v>1.1733933300697159</v>
      </c>
      <c r="BH85" s="1">
        <v>30.228445399310935</v>
      </c>
      <c r="BI85" s="51">
        <v>35.438798352941738</v>
      </c>
      <c r="BJ85" t="s">
        <v>44</v>
      </c>
    </row>
    <row r="86" spans="1:63" ht="14.25" customHeight="1" x14ac:dyDescent="0.3">
      <c r="A86" s="1" t="s">
        <v>73</v>
      </c>
      <c r="B86" s="1">
        <v>3</v>
      </c>
      <c r="C86" s="3">
        <v>44819</v>
      </c>
      <c r="D86">
        <v>353820</v>
      </c>
      <c r="E86">
        <v>3993239</v>
      </c>
      <c r="F86">
        <v>1742</v>
      </c>
      <c r="G86">
        <v>14</v>
      </c>
      <c r="H86">
        <v>356</v>
      </c>
      <c r="I86">
        <f t="shared" ref="I86:I114" si="26">ABS(180-H86)</f>
        <v>176</v>
      </c>
      <c r="J86">
        <v>4</v>
      </c>
      <c r="K86">
        <v>4</v>
      </c>
      <c r="L86" s="43">
        <v>4</v>
      </c>
      <c r="M86" s="26">
        <v>945</v>
      </c>
      <c r="N86">
        <v>0</v>
      </c>
      <c r="O86">
        <f>22*20</f>
        <v>440</v>
      </c>
      <c r="P86">
        <v>0</v>
      </c>
      <c r="Q86">
        <v>0</v>
      </c>
      <c r="R86">
        <v>31.98</v>
      </c>
      <c r="S86" s="40"/>
      <c r="T86" s="40"/>
      <c r="U86" s="40"/>
      <c r="V86" s="40"/>
      <c r="W86" s="40"/>
      <c r="X86" s="4"/>
      <c r="Y86" s="49"/>
      <c r="Z86" s="49"/>
      <c r="AA86" s="49"/>
      <c r="AB86" s="49"/>
      <c r="AC86" s="49"/>
      <c r="AD86" s="4"/>
      <c r="AE86" s="1">
        <v>38.299999999999997</v>
      </c>
      <c r="AF86" s="1">
        <v>0.67</v>
      </c>
      <c r="AG86" s="1" t="s">
        <v>52</v>
      </c>
      <c r="AH86" s="1">
        <v>20.399999999999999</v>
      </c>
      <c r="AI86" s="1">
        <v>49.8</v>
      </c>
      <c r="AJ86" s="1">
        <v>0.8</v>
      </c>
      <c r="AK86" s="1">
        <v>0</v>
      </c>
      <c r="AL86" s="1">
        <v>0</v>
      </c>
      <c r="AM86" s="34">
        <v>6.0000000000000001E-3</v>
      </c>
      <c r="AN86" s="12">
        <f>648*166.67</f>
        <v>108002.15999999999</v>
      </c>
      <c r="AO86" s="1">
        <f>63*166.67</f>
        <v>10500.21</v>
      </c>
      <c r="AP86" s="1">
        <f>5*166.67</f>
        <v>833.34999999999991</v>
      </c>
      <c r="AQ86" s="1">
        <v>0</v>
      </c>
      <c r="AR86" s="1">
        <v>0</v>
      </c>
      <c r="AS86" s="4">
        <f t="shared" si="21"/>
        <v>0.90502788745760843</v>
      </c>
      <c r="AT86" s="4">
        <f t="shared" si="22"/>
        <v>8.7988822391711935E-2</v>
      </c>
      <c r="AU86" s="4">
        <f t="shared" si="23"/>
        <v>6.9832398723580899E-3</v>
      </c>
      <c r="AV86" s="4">
        <f t="shared" si="24"/>
        <v>0</v>
      </c>
      <c r="AW86" s="4">
        <f t="shared" si="25"/>
        <v>0</v>
      </c>
      <c r="AX86" s="1">
        <v>0</v>
      </c>
      <c r="AY86" s="1">
        <v>0</v>
      </c>
      <c r="AZ86" s="1">
        <v>0</v>
      </c>
      <c r="BA86" s="1">
        <v>80</v>
      </c>
      <c r="BB86" s="52">
        <v>3.25</v>
      </c>
      <c r="BC86" s="52">
        <v>0</v>
      </c>
      <c r="BD86" s="52">
        <v>3.416666666666667</v>
      </c>
      <c r="BE86" s="51">
        <v>0.13038422307905007</v>
      </c>
      <c r="BF86" s="51">
        <v>0.73839053308552938</v>
      </c>
      <c r="BG86" s="51">
        <v>0.58091402705926387</v>
      </c>
      <c r="BH86" s="1">
        <v>0</v>
      </c>
      <c r="BI86" s="51">
        <v>1.4496887832238432</v>
      </c>
      <c r="BJ86" t="s">
        <v>44</v>
      </c>
      <c r="BK86" s="1" t="s">
        <v>74</v>
      </c>
    </row>
    <row r="87" spans="1:63" ht="14.25" customHeight="1" x14ac:dyDescent="0.3">
      <c r="A87" s="1" t="s">
        <v>73</v>
      </c>
      <c r="B87" s="1">
        <v>4</v>
      </c>
      <c r="C87" s="3">
        <v>44820</v>
      </c>
      <c r="D87">
        <v>354019</v>
      </c>
      <c r="E87">
        <v>3993239</v>
      </c>
      <c r="F87">
        <v>1776</v>
      </c>
      <c r="G87">
        <v>9</v>
      </c>
      <c r="H87">
        <v>329</v>
      </c>
      <c r="I87">
        <f t="shared" si="26"/>
        <v>149</v>
      </c>
      <c r="J87">
        <v>4</v>
      </c>
      <c r="K87">
        <v>4</v>
      </c>
      <c r="L87" s="43">
        <v>4</v>
      </c>
      <c r="M87" s="26">
        <v>1075</v>
      </c>
      <c r="N87">
        <v>0</v>
      </c>
      <c r="O87">
        <f>13*20</f>
        <v>260</v>
      </c>
      <c r="P87">
        <v>0</v>
      </c>
      <c r="Q87">
        <v>0</v>
      </c>
      <c r="R87">
        <v>82.86</v>
      </c>
      <c r="S87" s="40"/>
      <c r="T87" s="40"/>
      <c r="U87" s="40"/>
      <c r="V87" s="40"/>
      <c r="W87" s="40"/>
      <c r="X87" s="4"/>
      <c r="Y87" s="49"/>
      <c r="Z87" s="49"/>
      <c r="AA87" s="49"/>
      <c r="AB87" s="49"/>
      <c r="AC87" s="49"/>
      <c r="AD87" s="4"/>
      <c r="AE87" s="1">
        <v>15.2</v>
      </c>
      <c r="AF87" s="1">
        <v>0</v>
      </c>
      <c r="AG87" s="1" t="s">
        <v>50</v>
      </c>
      <c r="AH87" s="1">
        <v>21.5</v>
      </c>
      <c r="AI87" s="1">
        <v>26.3</v>
      </c>
      <c r="AJ87" s="1">
        <v>2.4</v>
      </c>
      <c r="AK87" s="1">
        <v>0</v>
      </c>
      <c r="AL87" s="1">
        <v>48.8</v>
      </c>
      <c r="AM87" s="33">
        <v>0.1</v>
      </c>
      <c r="AN87" s="1">
        <v>1580</v>
      </c>
      <c r="AO87" s="1">
        <f>3*166.67</f>
        <v>500.01</v>
      </c>
      <c r="AP87" s="1">
        <v>0</v>
      </c>
      <c r="AQ87" s="1">
        <v>0</v>
      </c>
      <c r="AR87" s="1">
        <v>0</v>
      </c>
      <c r="AS87" s="4">
        <f t="shared" si="21"/>
        <v>0.75957521477229584</v>
      </c>
      <c r="AT87" s="4">
        <f t="shared" si="22"/>
        <v>0.24037671084702256</v>
      </c>
      <c r="AU87" s="4">
        <f t="shared" si="23"/>
        <v>0</v>
      </c>
      <c r="AV87" s="4">
        <f t="shared" si="24"/>
        <v>0</v>
      </c>
      <c r="AW87" s="4">
        <f t="shared" si="25"/>
        <v>0</v>
      </c>
      <c r="AX87" s="1">
        <v>0</v>
      </c>
      <c r="AY87" s="1">
        <v>0</v>
      </c>
      <c r="AZ87" s="1">
        <v>0</v>
      </c>
      <c r="BA87" s="1">
        <v>0</v>
      </c>
      <c r="BB87" s="52">
        <v>0.89166666666666661</v>
      </c>
      <c r="BC87" s="52">
        <v>0</v>
      </c>
      <c r="BD87" s="52">
        <v>34.599999999999994</v>
      </c>
      <c r="BE87" s="51">
        <v>0.37126140690964388</v>
      </c>
      <c r="BF87" s="51">
        <v>3.3773871417020946</v>
      </c>
      <c r="BG87" s="51">
        <v>3.4657721511026409</v>
      </c>
      <c r="BH87" s="1">
        <v>3351.9439819314862</v>
      </c>
      <c r="BI87" s="52">
        <v>3359.1584026312007</v>
      </c>
      <c r="BJ87" t="s">
        <v>69</v>
      </c>
    </row>
    <row r="88" spans="1:63" ht="14.25" customHeight="1" x14ac:dyDescent="0.3">
      <c r="A88" s="1" t="s">
        <v>73</v>
      </c>
      <c r="B88" s="1">
        <v>5</v>
      </c>
      <c r="C88" s="3">
        <v>44818</v>
      </c>
      <c r="D88">
        <v>354221</v>
      </c>
      <c r="E88">
        <v>3993235</v>
      </c>
      <c r="F88">
        <v>1797</v>
      </c>
      <c r="G88">
        <v>25</v>
      </c>
      <c r="H88">
        <v>305</v>
      </c>
      <c r="I88">
        <f t="shared" si="26"/>
        <v>125</v>
      </c>
      <c r="J88">
        <v>4</v>
      </c>
      <c r="K88">
        <v>4</v>
      </c>
      <c r="L88" s="43">
        <v>4</v>
      </c>
      <c r="M88" s="26">
        <v>976</v>
      </c>
      <c r="N88">
        <v>0</v>
      </c>
      <c r="O88">
        <f>19*20</f>
        <v>380</v>
      </c>
      <c r="P88">
        <v>0</v>
      </c>
      <c r="Q88">
        <v>0</v>
      </c>
      <c r="R88">
        <v>44.63</v>
      </c>
      <c r="S88" s="40"/>
      <c r="T88" s="40"/>
      <c r="U88" s="40"/>
      <c r="V88" s="40"/>
      <c r="W88" s="40"/>
      <c r="X88" s="4"/>
      <c r="Y88" s="49"/>
      <c r="Z88" s="49"/>
      <c r="AA88" s="49"/>
      <c r="AB88" s="49"/>
      <c r="AC88" s="49"/>
      <c r="AD88" s="4"/>
      <c r="AE88" s="1">
        <v>0.8</v>
      </c>
      <c r="AF88" s="1">
        <v>6.25</v>
      </c>
      <c r="AG88" s="1" t="s">
        <v>52</v>
      </c>
      <c r="AH88" s="1">
        <v>47.9</v>
      </c>
      <c r="AI88" s="1">
        <v>24.4</v>
      </c>
      <c r="AJ88" s="1">
        <v>19.399999999999999</v>
      </c>
      <c r="AK88" s="1">
        <v>0</v>
      </c>
      <c r="AL88" s="1">
        <v>1.7</v>
      </c>
      <c r="AM88" s="33">
        <v>0.1</v>
      </c>
      <c r="AN88" s="1">
        <v>30</v>
      </c>
      <c r="AO88" s="1">
        <v>0</v>
      </c>
      <c r="AP88" s="1">
        <v>0</v>
      </c>
      <c r="AQ88" s="1">
        <v>0</v>
      </c>
      <c r="AR88" s="1">
        <v>0</v>
      </c>
      <c r="AS88" s="4">
        <f t="shared" si="21"/>
        <v>0.99667774086378735</v>
      </c>
      <c r="AT88" s="4">
        <f t="shared" si="22"/>
        <v>0</v>
      </c>
      <c r="AU88" s="4">
        <f t="shared" si="23"/>
        <v>0</v>
      </c>
      <c r="AV88" s="4">
        <f t="shared" si="24"/>
        <v>0</v>
      </c>
      <c r="AW88" s="4">
        <f t="shared" si="25"/>
        <v>0</v>
      </c>
      <c r="AX88" s="1">
        <v>0</v>
      </c>
      <c r="AY88" s="1">
        <v>0</v>
      </c>
      <c r="AZ88" s="1">
        <v>0</v>
      </c>
      <c r="BA88" s="1">
        <v>0</v>
      </c>
      <c r="BB88" s="52">
        <v>1.5083333333333333</v>
      </c>
      <c r="BC88" s="52">
        <v>0</v>
      </c>
      <c r="BD88" s="52">
        <v>1.5083333333333333</v>
      </c>
      <c r="BE88" s="51">
        <v>0.10587415747789267</v>
      </c>
      <c r="BF88" s="51">
        <v>0.22612934805582688</v>
      </c>
      <c r="BG88" s="51">
        <v>0.29650459192299444</v>
      </c>
      <c r="BH88" s="1">
        <v>4.1733812699522499</v>
      </c>
      <c r="BI88" s="51">
        <v>4.8018893674089638</v>
      </c>
      <c r="BJ88" t="s">
        <v>51</v>
      </c>
    </row>
    <row r="89" spans="1:63" ht="14.25" customHeight="1" x14ac:dyDescent="0.3">
      <c r="A89" s="1" t="s">
        <v>73</v>
      </c>
      <c r="B89" s="1">
        <v>6</v>
      </c>
      <c r="C89" s="3">
        <v>44818</v>
      </c>
      <c r="D89">
        <v>354406</v>
      </c>
      <c r="E89">
        <v>3993229</v>
      </c>
      <c r="F89">
        <v>1825</v>
      </c>
      <c r="G89">
        <v>20</v>
      </c>
      <c r="H89">
        <v>286</v>
      </c>
      <c r="I89">
        <f t="shared" si="26"/>
        <v>106</v>
      </c>
      <c r="J89">
        <v>2</v>
      </c>
      <c r="K89">
        <v>2</v>
      </c>
      <c r="L89" s="43">
        <v>3</v>
      </c>
      <c r="M89" s="26">
        <v>166</v>
      </c>
      <c r="N89">
        <v>40</v>
      </c>
      <c r="O89">
        <f>21*20</f>
        <v>420</v>
      </c>
      <c r="P89">
        <v>20</v>
      </c>
      <c r="Q89">
        <v>11.74</v>
      </c>
      <c r="R89">
        <v>35.97</v>
      </c>
      <c r="S89" s="40">
        <v>0</v>
      </c>
      <c r="T89" s="40">
        <f>2/2</f>
        <v>1</v>
      </c>
      <c r="U89" s="40">
        <v>0</v>
      </c>
      <c r="V89" s="40">
        <v>0</v>
      </c>
      <c r="W89" s="40">
        <v>0</v>
      </c>
      <c r="X89" s="4">
        <f>T89+U89</f>
        <v>1</v>
      </c>
      <c r="Y89" s="49">
        <v>0</v>
      </c>
      <c r="Z89" s="49">
        <f>11.74/Q89</f>
        <v>1</v>
      </c>
      <c r="AA89" s="49">
        <v>0</v>
      </c>
      <c r="AB89" s="49">
        <v>0</v>
      </c>
      <c r="AC89" s="49">
        <v>0</v>
      </c>
      <c r="AD89" s="4">
        <f>Z89+AA89</f>
        <v>1</v>
      </c>
      <c r="AE89" s="1">
        <v>0.2</v>
      </c>
      <c r="AF89" s="1">
        <v>0.63</v>
      </c>
      <c r="AG89" s="1" t="s">
        <v>46</v>
      </c>
      <c r="AH89" s="1">
        <v>49.8</v>
      </c>
      <c r="AI89" s="1">
        <v>39.200000000000003</v>
      </c>
      <c r="AJ89" s="1">
        <v>4</v>
      </c>
      <c r="AK89" s="1">
        <v>0</v>
      </c>
      <c r="AL89" s="1">
        <v>0.4</v>
      </c>
      <c r="AM89" s="34">
        <v>6.0000000000000001E-3</v>
      </c>
      <c r="AN89" s="12">
        <f>550*166.67</f>
        <v>91668.5</v>
      </c>
      <c r="AO89" s="2">
        <f>731*166.67</f>
        <v>121835.76999999999</v>
      </c>
      <c r="AP89" s="1">
        <f>165*166.67</f>
        <v>27500.55</v>
      </c>
      <c r="AQ89" s="1">
        <v>0</v>
      </c>
      <c r="AR89" s="1">
        <v>0</v>
      </c>
      <c r="AS89" s="4">
        <f t="shared" si="21"/>
        <v>0.38035960325541368</v>
      </c>
      <c r="AT89" s="4">
        <f t="shared" si="22"/>
        <v>0.50553249087219521</v>
      </c>
      <c r="AU89" s="4">
        <f t="shared" si="23"/>
        <v>0.11410788097662411</v>
      </c>
      <c r="AV89" s="4">
        <f t="shared" si="24"/>
        <v>0</v>
      </c>
      <c r="AW89" s="4">
        <f t="shared" si="25"/>
        <v>0</v>
      </c>
      <c r="AX89" s="1">
        <v>0</v>
      </c>
      <c r="AY89" s="1">
        <v>0</v>
      </c>
      <c r="AZ89" s="1">
        <v>0</v>
      </c>
      <c r="BA89" s="1">
        <v>0</v>
      </c>
      <c r="BB89" s="52">
        <v>2.3000000000000003</v>
      </c>
      <c r="BC89" s="52">
        <v>0</v>
      </c>
      <c r="BD89" s="52">
        <v>2.3833333333333333</v>
      </c>
      <c r="BE89" s="51">
        <v>5.0877181551873971E-2</v>
      </c>
      <c r="BF89" s="51">
        <v>0.96946297730475384</v>
      </c>
      <c r="BG89" s="51">
        <v>0</v>
      </c>
      <c r="BH89" s="1">
        <v>7.267531063245956</v>
      </c>
      <c r="BI89" s="51">
        <v>8.2878712221025843</v>
      </c>
      <c r="BJ89" t="s">
        <v>51</v>
      </c>
      <c r="BK89" s="2" t="s">
        <v>75</v>
      </c>
    </row>
    <row r="90" spans="1:63" ht="14.25" customHeight="1" x14ac:dyDescent="0.3">
      <c r="A90" s="1" t="s">
        <v>73</v>
      </c>
      <c r="B90" s="1">
        <v>7</v>
      </c>
      <c r="C90" s="3">
        <v>44819</v>
      </c>
      <c r="D90">
        <v>353612</v>
      </c>
      <c r="E90">
        <v>3993428</v>
      </c>
      <c r="F90">
        <v>1713</v>
      </c>
      <c r="G90">
        <v>8</v>
      </c>
      <c r="H90">
        <v>62</v>
      </c>
      <c r="I90">
        <f t="shared" si="26"/>
        <v>118</v>
      </c>
      <c r="J90">
        <v>4</v>
      </c>
      <c r="K90">
        <v>4</v>
      </c>
      <c r="L90" s="43">
        <v>4</v>
      </c>
      <c r="M90" s="26">
        <v>753</v>
      </c>
      <c r="N90">
        <v>0</v>
      </c>
      <c r="O90">
        <f>21*20</f>
        <v>420</v>
      </c>
      <c r="P90">
        <v>0</v>
      </c>
      <c r="Q90">
        <v>0</v>
      </c>
      <c r="R90">
        <v>75.650000000000006</v>
      </c>
      <c r="S90" s="40"/>
      <c r="T90" s="40"/>
      <c r="U90" s="40"/>
      <c r="V90" s="40"/>
      <c r="W90" s="40"/>
      <c r="X90" s="4"/>
      <c r="Y90" s="49"/>
      <c r="Z90" s="49"/>
      <c r="AA90" s="49"/>
      <c r="AB90" s="49"/>
      <c r="AC90" s="49"/>
      <c r="AD90" s="4"/>
      <c r="AE90" s="1">
        <v>3.2</v>
      </c>
      <c r="AF90" s="1">
        <v>0</v>
      </c>
      <c r="AG90" s="1" t="s">
        <v>50</v>
      </c>
      <c r="AH90" s="1">
        <v>62.7</v>
      </c>
      <c r="AI90" s="1">
        <v>24</v>
      </c>
      <c r="AJ90" s="1">
        <v>3.5</v>
      </c>
      <c r="AK90" s="1">
        <v>0</v>
      </c>
      <c r="AL90" s="1">
        <v>2.5</v>
      </c>
      <c r="AM90" s="33">
        <v>0.1</v>
      </c>
      <c r="AN90" s="1">
        <v>350</v>
      </c>
      <c r="AO90" s="1">
        <f>4*166.67</f>
        <v>666.68</v>
      </c>
      <c r="AP90" s="1">
        <v>166.67</v>
      </c>
      <c r="AQ90" s="1">
        <v>0</v>
      </c>
      <c r="AR90" s="1">
        <f>4*166.67</f>
        <v>666.68</v>
      </c>
      <c r="AS90" s="4">
        <f t="shared" si="21"/>
        <v>0.18917589574786636</v>
      </c>
      <c r="AT90" s="4">
        <f t="shared" si="22"/>
        <v>0.36034224622053579</v>
      </c>
      <c r="AU90" s="4">
        <f t="shared" si="23"/>
        <v>9.0085561555133947E-2</v>
      </c>
      <c r="AV90" s="4">
        <f t="shared" si="24"/>
        <v>0</v>
      </c>
      <c r="AW90" s="4">
        <f t="shared" si="25"/>
        <v>0.36034224622053579</v>
      </c>
      <c r="AX90" s="1">
        <v>0</v>
      </c>
      <c r="AY90" s="1">
        <v>0</v>
      </c>
      <c r="AZ90" s="1">
        <v>0</v>
      </c>
      <c r="BA90" s="1">
        <v>0</v>
      </c>
      <c r="BB90" s="52">
        <v>0.71666666666666667</v>
      </c>
      <c r="BC90" s="52">
        <v>0</v>
      </c>
      <c r="BD90" s="52">
        <v>1.1166666666666667</v>
      </c>
      <c r="BE90" s="51">
        <v>8.8321009101725967E-2</v>
      </c>
      <c r="BF90" s="51">
        <v>0.51351668679910611</v>
      </c>
      <c r="BG90" s="51">
        <v>0.28857072348968876</v>
      </c>
      <c r="BH90" s="1">
        <v>24.67255179341986</v>
      </c>
      <c r="BI90" s="51">
        <v>25.562960212810381</v>
      </c>
      <c r="BJ90" t="s">
        <v>51</v>
      </c>
    </row>
    <row r="91" spans="1:63" ht="14.25" customHeight="1" x14ac:dyDescent="0.3">
      <c r="A91" s="1" t="s">
        <v>73</v>
      </c>
      <c r="B91" s="1">
        <v>8</v>
      </c>
      <c r="C91" s="3">
        <v>44819</v>
      </c>
      <c r="D91">
        <v>353825</v>
      </c>
      <c r="E91">
        <v>3993418</v>
      </c>
      <c r="F91">
        <v>1743</v>
      </c>
      <c r="G91">
        <v>13</v>
      </c>
      <c r="H91">
        <v>12</v>
      </c>
      <c r="I91">
        <f t="shared" si="26"/>
        <v>168</v>
      </c>
      <c r="J91">
        <v>4</v>
      </c>
      <c r="K91">
        <v>4</v>
      </c>
      <c r="L91" s="43">
        <v>4</v>
      </c>
      <c r="M91" s="26">
        <v>1092</v>
      </c>
      <c r="N91">
        <v>0</v>
      </c>
      <c r="O91">
        <f>29*20</f>
        <v>580</v>
      </c>
      <c r="P91">
        <v>0</v>
      </c>
      <c r="Q91">
        <v>0</v>
      </c>
      <c r="R91">
        <v>71.7</v>
      </c>
      <c r="S91" s="40"/>
      <c r="T91" s="40"/>
      <c r="U91" s="40"/>
      <c r="V91" s="40"/>
      <c r="W91" s="40"/>
      <c r="X91" s="4"/>
      <c r="Y91" s="49"/>
      <c r="Z91" s="49"/>
      <c r="AA91" s="49"/>
      <c r="AB91" s="49"/>
      <c r="AC91" s="49"/>
      <c r="AD91" s="4"/>
      <c r="AE91" s="1">
        <v>0</v>
      </c>
      <c r="AF91" s="1">
        <v>2.71</v>
      </c>
      <c r="AG91" s="1" t="s">
        <v>52</v>
      </c>
      <c r="AH91" s="1">
        <v>73.099999999999994</v>
      </c>
      <c r="AI91" s="1">
        <v>6.7</v>
      </c>
      <c r="AJ91" s="1">
        <v>11.6</v>
      </c>
      <c r="AK91" s="1">
        <v>0</v>
      </c>
      <c r="AL91" s="1">
        <v>2.7</v>
      </c>
      <c r="AM91" s="33">
        <v>0.1</v>
      </c>
      <c r="AN91" s="1">
        <v>10</v>
      </c>
      <c r="AO91" s="1">
        <v>0</v>
      </c>
      <c r="AP91" s="1">
        <v>166.67</v>
      </c>
      <c r="AQ91" s="1">
        <v>0</v>
      </c>
      <c r="AR91" s="1">
        <v>0</v>
      </c>
      <c r="AS91" s="4">
        <f t="shared" si="21"/>
        <v>5.6570685070996218E-2</v>
      </c>
      <c r="AT91" s="4">
        <f t="shared" si="22"/>
        <v>0</v>
      </c>
      <c r="AU91" s="4">
        <f t="shared" si="23"/>
        <v>0.94286360807829384</v>
      </c>
      <c r="AV91" s="4">
        <f t="shared" si="24"/>
        <v>0</v>
      </c>
      <c r="AW91" s="4">
        <f t="shared" si="25"/>
        <v>0</v>
      </c>
      <c r="AX91" s="1">
        <v>0</v>
      </c>
      <c r="AY91" s="1">
        <v>0</v>
      </c>
      <c r="AZ91" s="1">
        <v>0</v>
      </c>
      <c r="BA91" s="1">
        <v>0</v>
      </c>
      <c r="BB91" s="52">
        <v>8.3333333333333332E-3</v>
      </c>
      <c r="BC91" s="52">
        <v>0</v>
      </c>
      <c r="BD91" s="52">
        <v>0.5083333333333333</v>
      </c>
      <c r="BE91" s="51">
        <v>2.9593516723812312E-3</v>
      </c>
      <c r="BF91" s="51">
        <v>0.5899297760025537</v>
      </c>
      <c r="BG91" s="51">
        <v>0.29007217937553564</v>
      </c>
      <c r="BH91" s="1">
        <v>6.6650721899854926</v>
      </c>
      <c r="BI91" s="51">
        <v>7.5480334970359628</v>
      </c>
      <c r="BJ91" t="s">
        <v>51</v>
      </c>
    </row>
    <row r="92" spans="1:63" ht="14.25" customHeight="1" x14ac:dyDescent="0.3">
      <c r="A92" s="1" t="s">
        <v>73</v>
      </c>
      <c r="B92" s="1">
        <v>9</v>
      </c>
      <c r="C92" s="3">
        <v>44819</v>
      </c>
      <c r="D92">
        <v>354021</v>
      </c>
      <c r="E92">
        <v>3993441</v>
      </c>
      <c r="F92">
        <v>1797</v>
      </c>
      <c r="G92">
        <v>17</v>
      </c>
      <c r="H92">
        <v>214</v>
      </c>
      <c r="I92">
        <f t="shared" si="26"/>
        <v>34</v>
      </c>
      <c r="J92">
        <v>4</v>
      </c>
      <c r="K92">
        <v>4</v>
      </c>
      <c r="L92" s="43">
        <v>4</v>
      </c>
      <c r="M92" s="26">
        <v>1120</v>
      </c>
      <c r="N92">
        <v>0</v>
      </c>
      <c r="O92">
        <f>20*20</f>
        <v>400</v>
      </c>
      <c r="P92">
        <v>0</v>
      </c>
      <c r="Q92">
        <v>0</v>
      </c>
      <c r="R92">
        <v>54.54</v>
      </c>
      <c r="S92" s="40"/>
      <c r="T92" s="40"/>
      <c r="U92" s="40"/>
      <c r="V92" s="40"/>
      <c r="W92" s="40"/>
      <c r="X92" s="4"/>
      <c r="Y92" s="49"/>
      <c r="Z92" s="49"/>
      <c r="AA92" s="49"/>
      <c r="AB92" s="49"/>
      <c r="AC92" s="49"/>
      <c r="AD92" s="4"/>
      <c r="AE92" s="1">
        <v>24.8</v>
      </c>
      <c r="AF92" s="1">
        <v>2.5</v>
      </c>
      <c r="AG92" s="1" t="s">
        <v>52</v>
      </c>
      <c r="AH92" s="1">
        <v>53.5</v>
      </c>
      <c r="AI92" s="1">
        <v>21</v>
      </c>
      <c r="AJ92" s="1">
        <v>2.2000000000000002</v>
      </c>
      <c r="AK92" s="1">
        <v>0</v>
      </c>
      <c r="AL92" s="1">
        <v>0</v>
      </c>
      <c r="AM92" s="33">
        <v>0.1</v>
      </c>
      <c r="AN92" s="1">
        <v>970</v>
      </c>
      <c r="AO92" s="1">
        <v>0</v>
      </c>
      <c r="AP92" s="1">
        <v>0</v>
      </c>
      <c r="AQ92" s="1">
        <v>0</v>
      </c>
      <c r="AR92" s="1">
        <v>0</v>
      </c>
      <c r="AS92" s="4">
        <f t="shared" si="21"/>
        <v>0.9998969178435213</v>
      </c>
      <c r="AT92" s="4">
        <f t="shared" si="22"/>
        <v>0</v>
      </c>
      <c r="AU92" s="4">
        <f t="shared" si="23"/>
        <v>0</v>
      </c>
      <c r="AV92" s="4">
        <f t="shared" si="24"/>
        <v>0</v>
      </c>
      <c r="AW92" s="4">
        <f t="shared" si="25"/>
        <v>0</v>
      </c>
      <c r="AX92" s="1">
        <v>0</v>
      </c>
      <c r="AY92" s="1">
        <v>0</v>
      </c>
      <c r="AZ92" s="1">
        <v>0</v>
      </c>
      <c r="BA92" s="1">
        <v>10</v>
      </c>
      <c r="BB92" s="52">
        <v>0.45833333333333337</v>
      </c>
      <c r="BC92" s="52">
        <v>0</v>
      </c>
      <c r="BD92" s="52">
        <v>0.70000000000000007</v>
      </c>
      <c r="BE92" s="51">
        <v>5.9535229608347152E-2</v>
      </c>
      <c r="BF92" s="51">
        <v>0.66757536150999086</v>
      </c>
      <c r="BG92" s="51">
        <v>0</v>
      </c>
      <c r="BH92" s="1">
        <v>0</v>
      </c>
      <c r="BI92" s="51">
        <v>0.72711059111833798</v>
      </c>
      <c r="BJ92" t="s">
        <v>44</v>
      </c>
      <c r="BK92" s="1" t="s">
        <v>76</v>
      </c>
    </row>
    <row r="93" spans="1:63" ht="14.25" customHeight="1" x14ac:dyDescent="0.3">
      <c r="A93" s="1" t="s">
        <v>73</v>
      </c>
      <c r="B93" s="1">
        <v>10</v>
      </c>
      <c r="C93" s="3">
        <v>44820</v>
      </c>
      <c r="D93">
        <v>354197</v>
      </c>
      <c r="E93">
        <v>3993435</v>
      </c>
      <c r="F93">
        <v>1819</v>
      </c>
      <c r="G93">
        <v>21</v>
      </c>
      <c r="H93">
        <v>291</v>
      </c>
      <c r="I93">
        <f t="shared" si="26"/>
        <v>111</v>
      </c>
      <c r="J93">
        <v>2</v>
      </c>
      <c r="K93">
        <v>2</v>
      </c>
      <c r="L93" s="43">
        <v>4</v>
      </c>
      <c r="M93" s="26">
        <v>293</v>
      </c>
      <c r="N93">
        <f>7*20</f>
        <v>140</v>
      </c>
      <c r="O93">
        <f>18*20</f>
        <v>360</v>
      </c>
      <c r="P93">
        <v>20</v>
      </c>
      <c r="Q93">
        <v>30.38</v>
      </c>
      <c r="R93">
        <v>183.2</v>
      </c>
      <c r="S93" s="40">
        <v>0</v>
      </c>
      <c r="T93" s="40">
        <f>3/7</f>
        <v>0.42857142857142855</v>
      </c>
      <c r="U93" s="40">
        <f>4/7</f>
        <v>0.5714285714285714</v>
      </c>
      <c r="V93" s="40">
        <v>0</v>
      </c>
      <c r="W93" s="40">
        <v>0</v>
      </c>
      <c r="X93" s="4">
        <f>T93+U93</f>
        <v>1</v>
      </c>
      <c r="Y93" s="49">
        <v>0</v>
      </c>
      <c r="Z93" s="49">
        <f>8.05/Q93</f>
        <v>0.26497695852534564</v>
      </c>
      <c r="AA93" s="49">
        <f>22.33/Q93</f>
        <v>0.73502304147465436</v>
      </c>
      <c r="AB93" s="49">
        <v>0</v>
      </c>
      <c r="AC93" s="49">
        <v>0</v>
      </c>
      <c r="AD93" s="4">
        <f>Z93+AA93</f>
        <v>1</v>
      </c>
      <c r="AE93" s="1">
        <v>5.4</v>
      </c>
      <c r="AF93" s="1">
        <v>0.04</v>
      </c>
      <c r="AG93" s="1" t="s">
        <v>50</v>
      </c>
      <c r="AH93" s="1">
        <v>27.5</v>
      </c>
      <c r="AI93" s="1">
        <v>57.7</v>
      </c>
      <c r="AJ93" s="1">
        <v>1.3</v>
      </c>
      <c r="AK93" s="1">
        <v>0</v>
      </c>
      <c r="AL93" s="1">
        <v>2.1</v>
      </c>
      <c r="AM93" s="34">
        <v>6.0000000000000001E-3</v>
      </c>
      <c r="AN93" s="12">
        <f>942*166.67</f>
        <v>157003.13999999998</v>
      </c>
      <c r="AO93" s="1">
        <f>27*166.67</f>
        <v>4500.0899999999992</v>
      </c>
      <c r="AP93" s="1">
        <f>278*166.67</f>
        <v>46334.259999999995</v>
      </c>
      <c r="AQ93" s="1">
        <v>166.67</v>
      </c>
      <c r="AR93" s="1">
        <v>0</v>
      </c>
      <c r="AS93" s="4">
        <f t="shared" si="21"/>
        <v>0.75480767053482956</v>
      </c>
      <c r="AT93" s="4">
        <f t="shared" si="22"/>
        <v>2.1634614760552437E-2</v>
      </c>
      <c r="AU93" s="4">
        <f t="shared" si="23"/>
        <v>0.22275640383087325</v>
      </c>
      <c r="AV93" s="4">
        <f t="shared" si="24"/>
        <v>8.0128202816860889E-4</v>
      </c>
      <c r="AW93" s="4">
        <f t="shared" si="25"/>
        <v>0</v>
      </c>
      <c r="AX93" s="1">
        <v>0</v>
      </c>
      <c r="AY93" s="1">
        <v>0</v>
      </c>
      <c r="AZ93" s="1">
        <v>0</v>
      </c>
      <c r="BA93" s="1">
        <v>0</v>
      </c>
      <c r="BB93" s="52">
        <v>2.4666666666666668</v>
      </c>
      <c r="BC93" s="52">
        <v>0</v>
      </c>
      <c r="BD93" s="52">
        <v>19.758333333333333</v>
      </c>
      <c r="BE93" s="51">
        <v>0.16192811538427851</v>
      </c>
      <c r="BF93" s="51">
        <v>0.67248834804399815</v>
      </c>
      <c r="BG93" s="51">
        <v>3.2331859828086844</v>
      </c>
      <c r="BH93" s="1">
        <v>4.9137983164280161</v>
      </c>
      <c r="BI93" s="51">
        <v>8.9814007626649772</v>
      </c>
      <c r="BJ93" t="s">
        <v>51</v>
      </c>
    </row>
    <row r="94" spans="1:63" ht="14.25" customHeight="1" x14ac:dyDescent="0.3">
      <c r="A94" s="1" t="s">
        <v>73</v>
      </c>
      <c r="B94" s="1">
        <v>13</v>
      </c>
      <c r="C94" s="3">
        <v>44824</v>
      </c>
      <c r="D94">
        <v>355217</v>
      </c>
      <c r="E94">
        <v>3993439</v>
      </c>
      <c r="F94">
        <v>1999</v>
      </c>
      <c r="G94">
        <v>17</v>
      </c>
      <c r="H94">
        <v>304</v>
      </c>
      <c r="I94">
        <f t="shared" si="26"/>
        <v>124</v>
      </c>
      <c r="J94">
        <v>2</v>
      </c>
      <c r="K94">
        <v>2</v>
      </c>
      <c r="L94" s="43">
        <v>4</v>
      </c>
      <c r="M94" s="26">
        <v>213</v>
      </c>
      <c r="N94">
        <v>0</v>
      </c>
      <c r="O94">
        <f>7*20</f>
        <v>140</v>
      </c>
      <c r="P94">
        <v>0</v>
      </c>
      <c r="Q94">
        <v>0</v>
      </c>
      <c r="R94">
        <v>70.400000000000006</v>
      </c>
      <c r="S94" s="40"/>
      <c r="T94" s="40"/>
      <c r="U94" s="40"/>
      <c r="V94" s="40"/>
      <c r="W94" s="40"/>
      <c r="X94" s="4"/>
      <c r="Y94" s="49"/>
      <c r="Z94" s="49"/>
      <c r="AA94" s="49"/>
      <c r="AB94" s="49"/>
      <c r="AC94" s="49"/>
      <c r="AD94" s="4"/>
      <c r="AE94" s="1">
        <v>4.4000000000000004</v>
      </c>
      <c r="AF94" s="1">
        <v>0</v>
      </c>
      <c r="AG94" s="1" t="s">
        <v>50</v>
      </c>
      <c r="AH94" s="1">
        <v>27.6</v>
      </c>
      <c r="AI94" s="1">
        <v>18.100000000000001</v>
      </c>
      <c r="AJ94" s="1">
        <v>19.899999999999999</v>
      </c>
      <c r="AK94" s="1">
        <v>0</v>
      </c>
      <c r="AL94" s="1">
        <v>12.4</v>
      </c>
      <c r="AM94" s="34">
        <v>6.0000000000000001E-3</v>
      </c>
      <c r="AN94" s="12">
        <f>56*166.67</f>
        <v>9333.5199999999986</v>
      </c>
      <c r="AO94" s="1">
        <f>13*166.67</f>
        <v>2166.71</v>
      </c>
      <c r="AP94" s="1">
        <v>166.67</v>
      </c>
      <c r="AQ94" s="1">
        <v>0</v>
      </c>
      <c r="AR94" s="1">
        <v>0</v>
      </c>
      <c r="AS94" s="4">
        <f t="shared" si="21"/>
        <v>0.79999958857986864</v>
      </c>
      <c r="AT94" s="4">
        <f t="shared" si="22"/>
        <v>0.18571419020604096</v>
      </c>
      <c r="AU94" s="4">
        <f t="shared" si="23"/>
        <v>1.4285706938926227E-2</v>
      </c>
      <c r="AV94" s="4">
        <f t="shared" si="24"/>
        <v>0</v>
      </c>
      <c r="AW94" s="4">
        <f t="shared" si="25"/>
        <v>0</v>
      </c>
      <c r="AX94" s="1">
        <v>0</v>
      </c>
      <c r="AY94" s="1">
        <v>0</v>
      </c>
      <c r="AZ94" s="1">
        <v>0</v>
      </c>
      <c r="BA94" s="1">
        <v>0</v>
      </c>
      <c r="BB94" s="52">
        <v>1.875</v>
      </c>
      <c r="BC94" s="52">
        <v>0</v>
      </c>
      <c r="BD94" s="52">
        <v>2.7916666666666661</v>
      </c>
      <c r="BE94" s="51">
        <v>0.12502398217752902</v>
      </c>
      <c r="BF94" s="51">
        <v>0.51922528117443734</v>
      </c>
      <c r="BG94" s="51">
        <v>0.29177866833616845</v>
      </c>
      <c r="BH94" s="1">
        <v>95.663342211679776</v>
      </c>
      <c r="BI94" s="51">
        <v>96.599370143367906</v>
      </c>
      <c r="BJ94" t="s">
        <v>51</v>
      </c>
    </row>
    <row r="95" spans="1:63" ht="14.25" customHeight="1" x14ac:dyDescent="0.3">
      <c r="A95" s="1" t="s">
        <v>73</v>
      </c>
      <c r="B95" s="1">
        <v>19</v>
      </c>
      <c r="C95" s="3">
        <v>44823</v>
      </c>
      <c r="D95">
        <v>354070</v>
      </c>
      <c r="E95">
        <v>3993836</v>
      </c>
      <c r="F95">
        <v>1809</v>
      </c>
      <c r="G95">
        <v>14</v>
      </c>
      <c r="H95">
        <v>323</v>
      </c>
      <c r="I95">
        <f t="shared" si="26"/>
        <v>143</v>
      </c>
      <c r="J95">
        <v>4</v>
      </c>
      <c r="K95">
        <v>4</v>
      </c>
      <c r="L95" s="43">
        <v>4</v>
      </c>
      <c r="M95" s="26">
        <v>1064</v>
      </c>
      <c r="N95">
        <v>0</v>
      </c>
      <c r="O95">
        <f>24*20</f>
        <v>480</v>
      </c>
      <c r="P95">
        <v>0</v>
      </c>
      <c r="Q95">
        <v>0</v>
      </c>
      <c r="R95">
        <v>44.72</v>
      </c>
      <c r="S95" s="40"/>
      <c r="T95" s="40"/>
      <c r="U95" s="40"/>
      <c r="V95" s="40"/>
      <c r="W95" s="40"/>
      <c r="X95" s="4"/>
      <c r="Y95" s="49"/>
      <c r="Z95" s="49"/>
      <c r="AA95" s="49"/>
      <c r="AB95" s="49"/>
      <c r="AC95" s="49"/>
      <c r="AD95" s="4"/>
      <c r="AE95" s="1">
        <v>0</v>
      </c>
      <c r="AF95" s="1">
        <v>0.21</v>
      </c>
      <c r="AG95" s="1" t="s">
        <v>52</v>
      </c>
      <c r="AH95" s="1">
        <v>83.5</v>
      </c>
      <c r="AI95" s="1">
        <v>1</v>
      </c>
      <c r="AJ95" s="1">
        <v>10.4</v>
      </c>
      <c r="AK95" s="1">
        <v>0</v>
      </c>
      <c r="AL95" s="1">
        <v>1.9</v>
      </c>
      <c r="AM95" s="34">
        <v>6.0000000000000001E-3</v>
      </c>
      <c r="AN95" s="12">
        <v>166.67</v>
      </c>
      <c r="AO95" s="1">
        <v>0</v>
      </c>
      <c r="AP95" s="1">
        <v>0</v>
      </c>
      <c r="AQ95" s="1">
        <v>0</v>
      </c>
      <c r="AR95" s="1">
        <v>0</v>
      </c>
      <c r="AS95" s="4">
        <f t="shared" si="21"/>
        <v>0.99996400201588709</v>
      </c>
      <c r="AT95" s="4">
        <f t="shared" si="22"/>
        <v>0</v>
      </c>
      <c r="AU95" s="4">
        <f t="shared" si="23"/>
        <v>0</v>
      </c>
      <c r="AV95" s="4">
        <f t="shared" si="24"/>
        <v>0</v>
      </c>
      <c r="AW95" s="4">
        <f t="shared" si="25"/>
        <v>0</v>
      </c>
      <c r="AX95" s="1">
        <v>0</v>
      </c>
      <c r="AY95" s="1">
        <v>0</v>
      </c>
      <c r="AZ95" s="1">
        <v>0</v>
      </c>
      <c r="BA95" s="1">
        <v>0</v>
      </c>
      <c r="BB95" s="52">
        <v>2.5000000000000001E-2</v>
      </c>
      <c r="BC95" s="52">
        <v>0</v>
      </c>
      <c r="BD95" s="52">
        <v>6.6666666666666666E-2</v>
      </c>
      <c r="BE95" s="51">
        <v>1.481638898625569E-2</v>
      </c>
      <c r="BF95" s="51">
        <v>0.2953562132342118</v>
      </c>
      <c r="BG95" s="51">
        <v>0.29045701352963194</v>
      </c>
      <c r="BH95" s="1">
        <v>4.0594700745197461</v>
      </c>
      <c r="BI95" s="51">
        <v>4.6600996902698455</v>
      </c>
      <c r="BJ95" t="s">
        <v>57</v>
      </c>
    </row>
    <row r="96" spans="1:63" ht="14.25" customHeight="1" x14ac:dyDescent="0.3">
      <c r="A96" s="1" t="s">
        <v>73</v>
      </c>
      <c r="B96" s="1">
        <v>23</v>
      </c>
      <c r="C96" s="3">
        <v>44821</v>
      </c>
      <c r="D96">
        <v>354017</v>
      </c>
      <c r="E96">
        <v>3994031</v>
      </c>
      <c r="F96">
        <v>1782</v>
      </c>
      <c r="G96">
        <v>27</v>
      </c>
      <c r="H96">
        <v>5</v>
      </c>
      <c r="I96">
        <f t="shared" si="26"/>
        <v>175</v>
      </c>
      <c r="J96">
        <v>4</v>
      </c>
      <c r="K96">
        <v>4</v>
      </c>
      <c r="L96" s="43">
        <v>4</v>
      </c>
      <c r="M96" s="26">
        <v>720</v>
      </c>
      <c r="N96">
        <v>0</v>
      </c>
      <c r="O96">
        <f>41*20</f>
        <v>820</v>
      </c>
      <c r="P96">
        <v>0</v>
      </c>
      <c r="Q96">
        <v>0</v>
      </c>
      <c r="R96">
        <v>64.040000000000006</v>
      </c>
      <c r="S96" s="40"/>
      <c r="T96" s="40"/>
      <c r="U96" s="40"/>
      <c r="V96" s="40"/>
      <c r="W96" s="40"/>
      <c r="X96" s="4"/>
      <c r="Y96" s="49"/>
      <c r="Z96" s="49"/>
      <c r="AA96" s="49"/>
      <c r="AB96" s="49"/>
      <c r="AC96" s="49"/>
      <c r="AD96" s="4"/>
      <c r="AE96" s="1">
        <v>0.6</v>
      </c>
      <c r="AF96" s="1">
        <v>1.46</v>
      </c>
      <c r="AG96" s="1" t="s">
        <v>52</v>
      </c>
      <c r="AH96" s="1">
        <v>26.9</v>
      </c>
      <c r="AI96" s="1">
        <v>13.5</v>
      </c>
      <c r="AJ96" s="1">
        <v>48.4</v>
      </c>
      <c r="AK96" s="1">
        <v>0</v>
      </c>
      <c r="AL96" s="1">
        <v>0</v>
      </c>
      <c r="AM96" s="33">
        <v>0.1</v>
      </c>
      <c r="AN96" s="1">
        <v>30</v>
      </c>
      <c r="AO96" s="1">
        <f>2*166.67</f>
        <v>333.34</v>
      </c>
      <c r="AP96" s="1">
        <v>0</v>
      </c>
      <c r="AQ96" s="1">
        <v>0</v>
      </c>
      <c r="AR96" s="1">
        <f>5*166.67</f>
        <v>833.34999999999991</v>
      </c>
      <c r="AS96" s="4">
        <f t="shared" si="21"/>
        <v>2.506705437044093E-2</v>
      </c>
      <c r="AT96" s="4">
        <f t="shared" si="22"/>
        <v>0.27852839679475933</v>
      </c>
      <c r="AU96" s="4">
        <f t="shared" si="23"/>
        <v>0</v>
      </c>
      <c r="AV96" s="4">
        <f t="shared" si="24"/>
        <v>0</v>
      </c>
      <c r="AW96" s="4">
        <f t="shared" si="25"/>
        <v>0.69632099198689823</v>
      </c>
      <c r="AX96" s="1">
        <v>0</v>
      </c>
      <c r="AY96" s="1">
        <v>0</v>
      </c>
      <c r="AZ96" s="1">
        <v>0</v>
      </c>
      <c r="BA96" s="1">
        <v>0</v>
      </c>
      <c r="BB96" s="52">
        <v>0.23333333333333334</v>
      </c>
      <c r="BC96" s="52">
        <v>0</v>
      </c>
      <c r="BD96" s="52">
        <v>1.2083333333333333</v>
      </c>
      <c r="BE96" s="51">
        <v>2.7357700180842895E-2</v>
      </c>
      <c r="BF96" s="51">
        <v>0.45446671338667971</v>
      </c>
      <c r="BG96" s="51">
        <v>0</v>
      </c>
      <c r="BH96" s="1">
        <v>5.7401370026479377</v>
      </c>
      <c r="BI96" s="51">
        <v>6.2219614162154606</v>
      </c>
      <c r="BJ96" t="s">
        <v>57</v>
      </c>
    </row>
    <row r="97" spans="1:63" ht="14.25" customHeight="1" x14ac:dyDescent="0.3">
      <c r="A97" s="1" t="s">
        <v>73</v>
      </c>
      <c r="B97" s="1">
        <v>24</v>
      </c>
      <c r="C97" s="3">
        <v>44821</v>
      </c>
      <c r="D97">
        <v>354214</v>
      </c>
      <c r="E97">
        <v>3994030</v>
      </c>
      <c r="F97">
        <v>1765</v>
      </c>
      <c r="G97">
        <v>32</v>
      </c>
      <c r="H97">
        <v>343</v>
      </c>
      <c r="I97">
        <f t="shared" si="26"/>
        <v>163</v>
      </c>
      <c r="J97">
        <v>2</v>
      </c>
      <c r="K97">
        <v>2</v>
      </c>
      <c r="L97" s="43">
        <v>3</v>
      </c>
      <c r="M97" s="26">
        <v>337</v>
      </c>
      <c r="N97">
        <f>7*20</f>
        <v>140</v>
      </c>
      <c r="O97">
        <f>24*20</f>
        <v>480</v>
      </c>
      <c r="P97">
        <v>0</v>
      </c>
      <c r="Q97">
        <v>12.62</v>
      </c>
      <c r="R97">
        <v>14.23</v>
      </c>
      <c r="S97" s="40">
        <v>0</v>
      </c>
      <c r="T97" s="40">
        <f>2/7</f>
        <v>0.2857142857142857</v>
      </c>
      <c r="U97" s="40">
        <f>5/7</f>
        <v>0.7142857142857143</v>
      </c>
      <c r="V97" s="40">
        <v>0</v>
      </c>
      <c r="W97" s="40">
        <v>0</v>
      </c>
      <c r="X97" s="4">
        <f t="shared" ref="X97:X103" si="27">T97+U97</f>
        <v>1</v>
      </c>
      <c r="Y97" s="49">
        <v>0</v>
      </c>
      <c r="Z97" s="49">
        <f>8.82/Q97</f>
        <v>0.69889064976228221</v>
      </c>
      <c r="AA97" s="49">
        <f>3.8/Q97</f>
        <v>0.3011093502377179</v>
      </c>
      <c r="AB97" s="49">
        <v>0</v>
      </c>
      <c r="AC97" s="49">
        <v>0</v>
      </c>
      <c r="AD97" s="4">
        <f t="shared" ref="AD97:AD103" si="28">Z97+AA97</f>
        <v>1</v>
      </c>
      <c r="AE97" s="1">
        <v>13.5</v>
      </c>
      <c r="AF97" s="1">
        <v>7.29</v>
      </c>
      <c r="AG97" s="1" t="s">
        <v>50</v>
      </c>
      <c r="AH97" s="1">
        <v>15.9</v>
      </c>
      <c r="AI97" s="1">
        <v>55</v>
      </c>
      <c r="AJ97" s="1">
        <v>7.3</v>
      </c>
      <c r="AK97" s="1">
        <v>0</v>
      </c>
      <c r="AL97" s="1">
        <v>9.1999999999999993</v>
      </c>
      <c r="AM97" s="34">
        <v>6.0000000000000001E-3</v>
      </c>
      <c r="AN97" s="12">
        <f>(986+105)*166.67</f>
        <v>181836.96999999997</v>
      </c>
      <c r="AO97" s="1">
        <f>63*166.67</f>
        <v>10500.21</v>
      </c>
      <c r="AP97" s="1">
        <f>358*166.67</f>
        <v>59667.859999999993</v>
      </c>
      <c r="AQ97" s="1">
        <f>9*166.67</f>
        <v>1500.03</v>
      </c>
      <c r="AR97" s="1">
        <f>4*166.67</f>
        <v>666.68</v>
      </c>
      <c r="AS97" s="4">
        <f t="shared" si="21"/>
        <v>0.71540981917754864</v>
      </c>
      <c r="AT97" s="4">
        <f t="shared" si="22"/>
        <v>4.1311474434633885E-2</v>
      </c>
      <c r="AU97" s="4">
        <f t="shared" si="23"/>
        <v>0.23475409281903065</v>
      </c>
      <c r="AV97" s="4">
        <f t="shared" si="24"/>
        <v>5.9016392049476979E-3</v>
      </c>
      <c r="AW97" s="4">
        <f t="shared" si="25"/>
        <v>2.6229507577545325E-3</v>
      </c>
      <c r="AX97" s="1">
        <v>0</v>
      </c>
      <c r="AY97" s="1">
        <v>0</v>
      </c>
      <c r="AZ97" s="1">
        <v>0</v>
      </c>
      <c r="BA97" s="1">
        <v>0</v>
      </c>
      <c r="BB97" s="52">
        <v>1.5250000000000001</v>
      </c>
      <c r="BC97" s="52">
        <v>8.3333333333333329E-2</v>
      </c>
      <c r="BD97" s="52">
        <v>23.25</v>
      </c>
      <c r="BE97" s="51">
        <v>0.7549064573477392</v>
      </c>
      <c r="BF97" s="51">
        <v>4.6067225767891484</v>
      </c>
      <c r="BG97" s="51">
        <v>8.4565766154092117</v>
      </c>
      <c r="BH97" s="1">
        <v>24.424750927059026</v>
      </c>
      <c r="BI97" s="51">
        <v>38.242956576605124</v>
      </c>
      <c r="BJ97" t="s">
        <v>53</v>
      </c>
    </row>
    <row r="98" spans="1:63" ht="14.25" customHeight="1" x14ac:dyDescent="0.3">
      <c r="A98" s="1" t="s">
        <v>73</v>
      </c>
      <c r="B98" s="1">
        <v>25</v>
      </c>
      <c r="C98" s="3">
        <v>44821</v>
      </c>
      <c r="D98">
        <v>354422</v>
      </c>
      <c r="E98">
        <v>3994041</v>
      </c>
      <c r="F98">
        <v>1812</v>
      </c>
      <c r="G98">
        <v>21</v>
      </c>
      <c r="H98">
        <v>358</v>
      </c>
      <c r="I98">
        <f t="shared" si="26"/>
        <v>178</v>
      </c>
      <c r="J98">
        <v>2</v>
      </c>
      <c r="K98">
        <v>2</v>
      </c>
      <c r="L98" s="43">
        <v>4</v>
      </c>
      <c r="M98" s="26">
        <v>235</v>
      </c>
      <c r="N98">
        <v>60</v>
      </c>
      <c r="O98">
        <f>18*20</f>
        <v>360</v>
      </c>
      <c r="P98">
        <v>0</v>
      </c>
      <c r="Q98">
        <v>8.33</v>
      </c>
      <c r="R98">
        <v>46.01</v>
      </c>
      <c r="S98" s="40">
        <f>1/3</f>
        <v>0.33333333333333331</v>
      </c>
      <c r="T98" s="40">
        <f>2/3</f>
        <v>0.66666666666666663</v>
      </c>
      <c r="U98" s="40">
        <v>0</v>
      </c>
      <c r="V98" s="40">
        <v>0</v>
      </c>
      <c r="W98" s="40">
        <v>0</v>
      </c>
      <c r="X98" s="4">
        <f t="shared" si="27"/>
        <v>0.66666666666666663</v>
      </c>
      <c r="Y98" s="49">
        <f>0.11/Q98</f>
        <v>1.3205282112845138E-2</v>
      </c>
      <c r="Z98" s="49">
        <f>8.22/Q98</f>
        <v>0.98679471788715489</v>
      </c>
      <c r="AA98" s="49">
        <v>0</v>
      </c>
      <c r="AB98" s="49">
        <v>0</v>
      </c>
      <c r="AC98" s="49">
        <v>0</v>
      </c>
      <c r="AD98" s="4">
        <f t="shared" si="28"/>
        <v>0.98679471788715489</v>
      </c>
      <c r="AE98" s="1">
        <v>0</v>
      </c>
      <c r="AF98" s="1">
        <v>0.5</v>
      </c>
      <c r="AG98" s="1" t="s">
        <v>50</v>
      </c>
      <c r="AH98" s="1">
        <v>47.1</v>
      </c>
      <c r="AI98" s="1">
        <v>39.4</v>
      </c>
      <c r="AJ98" s="1">
        <v>7.2</v>
      </c>
      <c r="AK98" s="1">
        <v>0</v>
      </c>
      <c r="AL98" s="1">
        <v>3.8</v>
      </c>
      <c r="AM98" s="34">
        <v>6.0000000000000001E-3</v>
      </c>
      <c r="AN98" s="12">
        <f>284*166.67</f>
        <v>47334.28</v>
      </c>
      <c r="AO98" s="1">
        <f>133*166.67</f>
        <v>22167.109999999997</v>
      </c>
      <c r="AP98" s="1">
        <f>47*166.67</f>
        <v>7833.49</v>
      </c>
      <c r="AQ98" s="1">
        <v>0</v>
      </c>
      <c r="AR98" s="1">
        <v>0</v>
      </c>
      <c r="AS98" s="4">
        <f t="shared" si="21"/>
        <v>0.61206891803008545</v>
      </c>
      <c r="AT98" s="4">
        <f t="shared" si="22"/>
        <v>0.28663790879577938</v>
      </c>
      <c r="AU98" s="4">
        <f t="shared" si="23"/>
        <v>0.10129309558948596</v>
      </c>
      <c r="AV98" s="4">
        <f t="shared" si="24"/>
        <v>0</v>
      </c>
      <c r="AW98" s="4">
        <f t="shared" si="25"/>
        <v>0</v>
      </c>
      <c r="AX98" s="1">
        <v>0</v>
      </c>
      <c r="AY98" s="1">
        <v>0</v>
      </c>
      <c r="AZ98" s="1">
        <v>0</v>
      </c>
      <c r="BA98" s="1">
        <v>0</v>
      </c>
      <c r="BB98" s="52">
        <v>1.6</v>
      </c>
      <c r="BC98" s="52">
        <v>0</v>
      </c>
      <c r="BD98" s="52">
        <v>18.174999999999997</v>
      </c>
      <c r="BE98" s="51">
        <v>0.12594408974332771</v>
      </c>
      <c r="BF98" s="51">
        <v>1.4196976236484407</v>
      </c>
      <c r="BG98" s="51">
        <v>1.4696299921857656</v>
      </c>
      <c r="BH98" s="1">
        <v>17.245092186702134</v>
      </c>
      <c r="BI98" s="51">
        <v>20.260363892279667</v>
      </c>
      <c r="BJ98" t="s">
        <v>53</v>
      </c>
    </row>
    <row r="99" spans="1:63" ht="14.25" customHeight="1" x14ac:dyDescent="0.3">
      <c r="A99" s="1" t="s">
        <v>73</v>
      </c>
      <c r="B99" s="1">
        <v>26</v>
      </c>
      <c r="C99" s="3">
        <v>44821</v>
      </c>
      <c r="D99">
        <v>354619</v>
      </c>
      <c r="E99">
        <v>3994045</v>
      </c>
      <c r="F99">
        <v>1846</v>
      </c>
      <c r="G99">
        <v>20</v>
      </c>
      <c r="H99">
        <v>13</v>
      </c>
      <c r="I99">
        <f t="shared" si="26"/>
        <v>167</v>
      </c>
      <c r="J99">
        <v>2</v>
      </c>
      <c r="K99">
        <v>2</v>
      </c>
      <c r="L99" s="43">
        <v>4</v>
      </c>
      <c r="M99" s="26">
        <v>479</v>
      </c>
      <c r="N99">
        <v>60</v>
      </c>
      <c r="O99">
        <f>34*20</f>
        <v>680</v>
      </c>
      <c r="P99">
        <v>0</v>
      </c>
      <c r="Q99">
        <v>7.49</v>
      </c>
      <c r="R99">
        <v>82.44</v>
      </c>
      <c r="S99" s="40">
        <v>0</v>
      </c>
      <c r="T99" s="40">
        <v>0</v>
      </c>
      <c r="U99" s="40">
        <f>1/3</f>
        <v>0.33333333333333331</v>
      </c>
      <c r="V99" s="40">
        <f>2/3</f>
        <v>0.66666666666666663</v>
      </c>
      <c r="W99" s="40">
        <v>0</v>
      </c>
      <c r="X99" s="4">
        <f t="shared" si="27"/>
        <v>0.33333333333333331</v>
      </c>
      <c r="Y99" s="49">
        <v>0</v>
      </c>
      <c r="Z99" s="49">
        <v>0</v>
      </c>
      <c r="AA99" s="49">
        <f>1.15/Q99</f>
        <v>0.1535380507343124</v>
      </c>
      <c r="AB99" s="49">
        <f>6.35/Q99</f>
        <v>0.84779706275033373</v>
      </c>
      <c r="AC99" s="49">
        <v>0</v>
      </c>
      <c r="AD99" s="4">
        <f t="shared" si="28"/>
        <v>0.1535380507343124</v>
      </c>
      <c r="AE99" s="1">
        <v>2.2000000000000002</v>
      </c>
      <c r="AF99" s="1">
        <v>3.5</v>
      </c>
      <c r="AG99" s="1" t="s">
        <v>52</v>
      </c>
      <c r="AH99" s="1">
        <v>16.5</v>
      </c>
      <c r="AI99" s="1">
        <v>72.3</v>
      </c>
      <c r="AJ99" s="1">
        <v>4.8</v>
      </c>
      <c r="AK99" s="1">
        <v>0</v>
      </c>
      <c r="AL99" s="1">
        <v>2.1</v>
      </c>
      <c r="AM99" s="34">
        <v>6.0000000000000001E-3</v>
      </c>
      <c r="AN99" s="12">
        <f>21*166.67</f>
        <v>3500.0699999999997</v>
      </c>
      <c r="AO99" s="1">
        <f>411*166.67</f>
        <v>68501.37</v>
      </c>
      <c r="AP99" s="1">
        <f>77*166.67</f>
        <v>12833.589999999998</v>
      </c>
      <c r="AQ99" s="1">
        <f>8*166.67</f>
        <v>1333.36</v>
      </c>
      <c r="AR99" s="1">
        <v>0</v>
      </c>
      <c r="AS99" s="4">
        <f t="shared" si="21"/>
        <v>4.0618952684230075E-2</v>
      </c>
      <c r="AT99" s="4">
        <f t="shared" si="22"/>
        <v>0.79497093110564576</v>
      </c>
      <c r="AU99" s="4">
        <f t="shared" si="23"/>
        <v>0.14893615984217692</v>
      </c>
      <c r="AV99" s="4">
        <f t="shared" si="24"/>
        <v>1.5473886736849553E-2</v>
      </c>
      <c r="AW99" s="4">
        <f t="shared" si="25"/>
        <v>0</v>
      </c>
      <c r="AX99" s="1">
        <v>0</v>
      </c>
      <c r="AY99" s="1">
        <v>0</v>
      </c>
      <c r="AZ99" s="1">
        <v>0</v>
      </c>
      <c r="BA99" s="1">
        <v>0</v>
      </c>
      <c r="BB99" s="52">
        <v>3.55</v>
      </c>
      <c r="BC99" s="52">
        <v>0</v>
      </c>
      <c r="BD99" s="52">
        <v>13.8</v>
      </c>
      <c r="BE99" s="51">
        <v>0.33519084316528741</v>
      </c>
      <c r="BF99" s="51">
        <v>1.7897778042549306</v>
      </c>
      <c r="BG99" s="51">
        <v>0.58669666503485796</v>
      </c>
      <c r="BH99" s="1">
        <v>2.6389171277210566</v>
      </c>
      <c r="BI99" s="51">
        <v>5.350582440176133</v>
      </c>
      <c r="BJ99" t="s">
        <v>51</v>
      </c>
    </row>
    <row r="100" spans="1:63" ht="14.25" customHeight="1" x14ac:dyDescent="0.3">
      <c r="A100" s="1" t="s">
        <v>73</v>
      </c>
      <c r="B100" s="13">
        <v>27</v>
      </c>
      <c r="C100" s="3">
        <v>44822</v>
      </c>
      <c r="D100">
        <v>355215</v>
      </c>
      <c r="E100">
        <v>3994024</v>
      </c>
      <c r="F100">
        <v>1887</v>
      </c>
      <c r="G100">
        <v>19</v>
      </c>
      <c r="H100">
        <v>347</v>
      </c>
      <c r="I100">
        <f t="shared" si="26"/>
        <v>167</v>
      </c>
      <c r="J100">
        <v>2</v>
      </c>
      <c r="K100">
        <v>2</v>
      </c>
      <c r="L100" s="43">
        <v>4</v>
      </c>
      <c r="M100" s="13">
        <v>145</v>
      </c>
      <c r="N100">
        <v>40</v>
      </c>
      <c r="O100">
        <f>24*20</f>
        <v>480</v>
      </c>
      <c r="P100">
        <v>0</v>
      </c>
      <c r="Q100">
        <v>4.7</v>
      </c>
      <c r="R100">
        <v>76.23</v>
      </c>
      <c r="S100" s="40">
        <v>0</v>
      </c>
      <c r="T100" s="40">
        <f>2/2</f>
        <v>1</v>
      </c>
      <c r="U100" s="40">
        <v>0</v>
      </c>
      <c r="V100" s="40">
        <v>0</v>
      </c>
      <c r="W100" s="40">
        <v>0</v>
      </c>
      <c r="X100" s="4">
        <f t="shared" si="27"/>
        <v>1</v>
      </c>
      <c r="Y100" s="49">
        <v>0</v>
      </c>
      <c r="Z100" s="49">
        <f>4.7/Q100</f>
        <v>1</v>
      </c>
      <c r="AA100" s="49">
        <v>0</v>
      </c>
      <c r="AB100" s="49">
        <v>0</v>
      </c>
      <c r="AC100" s="49">
        <v>0</v>
      </c>
      <c r="AD100" s="4">
        <f t="shared" si="28"/>
        <v>1</v>
      </c>
      <c r="AE100" s="1">
        <v>8.5</v>
      </c>
      <c r="AF100" s="1">
        <v>1.25</v>
      </c>
      <c r="AG100" s="1" t="s">
        <v>52</v>
      </c>
      <c r="AH100" s="1">
        <v>23.8</v>
      </c>
      <c r="AI100" s="1">
        <v>51.5</v>
      </c>
      <c r="AJ100" s="1">
        <v>3.3</v>
      </c>
      <c r="AK100" s="1">
        <v>0</v>
      </c>
      <c r="AL100" s="1">
        <v>16</v>
      </c>
      <c r="AM100" s="34">
        <v>6.0000000000000001E-3</v>
      </c>
      <c r="AN100" s="12">
        <f>60*166.67</f>
        <v>10000.199999999999</v>
      </c>
      <c r="AO100" s="1">
        <f>164*166.67</f>
        <v>27333.879999999997</v>
      </c>
      <c r="AP100" s="1">
        <f>3*166.67</f>
        <v>500.01</v>
      </c>
      <c r="AQ100" s="1">
        <v>0</v>
      </c>
      <c r="AR100" s="1">
        <v>0</v>
      </c>
      <c r="AS100" s="4">
        <f t="shared" si="21"/>
        <v>0.2643171386994419</v>
      </c>
      <c r="AT100" s="4">
        <f t="shared" si="22"/>
        <v>0.72246684577847453</v>
      </c>
      <c r="AU100" s="4">
        <f t="shared" si="23"/>
        <v>1.3215856934972096E-2</v>
      </c>
      <c r="AV100" s="4">
        <f t="shared" si="24"/>
        <v>0</v>
      </c>
      <c r="AW100" s="4">
        <f t="shared" si="25"/>
        <v>0</v>
      </c>
      <c r="AX100" s="1">
        <v>0</v>
      </c>
      <c r="AY100" s="1">
        <v>0</v>
      </c>
      <c r="AZ100" s="1">
        <v>0</v>
      </c>
      <c r="BA100" s="1">
        <v>0</v>
      </c>
      <c r="BB100" s="52">
        <v>0.96666666666666679</v>
      </c>
      <c r="BC100" s="52">
        <v>0</v>
      </c>
      <c r="BD100" s="52">
        <v>48.258333333333333</v>
      </c>
      <c r="BE100" s="51">
        <v>0.31663881805875738</v>
      </c>
      <c r="BF100" s="51">
        <v>1.3398141141490258</v>
      </c>
      <c r="BG100" s="51">
        <v>0.58559557554694941</v>
      </c>
      <c r="BH100" s="1">
        <v>121.51110275574226</v>
      </c>
      <c r="BI100" s="51">
        <v>123.75315126349699</v>
      </c>
      <c r="BJ100" t="s">
        <v>53</v>
      </c>
      <c r="BK100" s="1" t="s">
        <v>71</v>
      </c>
    </row>
    <row r="101" spans="1:63" ht="14.25" customHeight="1" x14ac:dyDescent="0.3">
      <c r="A101" s="1" t="s">
        <v>73</v>
      </c>
      <c r="B101" s="1">
        <v>30</v>
      </c>
      <c r="C101" s="3">
        <v>44823</v>
      </c>
      <c r="D101">
        <v>354429</v>
      </c>
      <c r="E101">
        <v>3994224</v>
      </c>
      <c r="F101">
        <v>1741</v>
      </c>
      <c r="G101">
        <v>13</v>
      </c>
      <c r="H101">
        <v>298</v>
      </c>
      <c r="I101">
        <f t="shared" si="26"/>
        <v>118</v>
      </c>
      <c r="J101">
        <v>2.5</v>
      </c>
      <c r="K101">
        <v>3</v>
      </c>
      <c r="L101" s="43">
        <v>4</v>
      </c>
      <c r="M101" s="27">
        <v>471</v>
      </c>
      <c r="N101">
        <v>40</v>
      </c>
      <c r="O101">
        <f>23*20</f>
        <v>460</v>
      </c>
      <c r="P101">
        <v>0</v>
      </c>
      <c r="Q101">
        <v>5.21</v>
      </c>
      <c r="R101">
        <v>21.95</v>
      </c>
      <c r="S101" s="40">
        <v>0</v>
      </c>
      <c r="T101" s="40">
        <f>1/2</f>
        <v>0.5</v>
      </c>
      <c r="U101" s="40">
        <f>1/2</f>
        <v>0.5</v>
      </c>
      <c r="V101" s="40">
        <v>0</v>
      </c>
      <c r="W101" s="40">
        <v>0</v>
      </c>
      <c r="X101" s="4">
        <f t="shared" si="27"/>
        <v>1</v>
      </c>
      <c r="Y101" s="49">
        <v>0</v>
      </c>
      <c r="Z101" s="49">
        <f>3.93/Q101</f>
        <v>0.75431861804222655</v>
      </c>
      <c r="AA101" s="49">
        <f>1.28/Q101</f>
        <v>0.24568138195777353</v>
      </c>
      <c r="AB101" s="49">
        <v>0</v>
      </c>
      <c r="AC101" s="49">
        <v>0</v>
      </c>
      <c r="AD101" s="4">
        <f t="shared" si="28"/>
        <v>1</v>
      </c>
      <c r="AE101" s="1">
        <v>12.2</v>
      </c>
      <c r="AF101" s="1">
        <v>2.83</v>
      </c>
      <c r="AG101" s="1" t="s">
        <v>52</v>
      </c>
      <c r="AH101" s="1">
        <v>39.799999999999997</v>
      </c>
      <c r="AI101" s="1">
        <v>41.9</v>
      </c>
      <c r="AJ101" s="1">
        <v>5.6</v>
      </c>
      <c r="AK101" s="1">
        <v>0</v>
      </c>
      <c r="AL101" s="1">
        <v>1</v>
      </c>
      <c r="AM101" s="34">
        <v>6.0000000000000001E-3</v>
      </c>
      <c r="AN101" s="12">
        <f>100*166.67</f>
        <v>16667</v>
      </c>
      <c r="AO101" s="1">
        <f>428*166.67</f>
        <v>71334.759999999995</v>
      </c>
      <c r="AP101" s="1">
        <f>76*166.67</f>
        <v>12666.919999999998</v>
      </c>
      <c r="AQ101" s="1">
        <f>4*166.67</f>
        <v>666.68</v>
      </c>
      <c r="AR101" s="1">
        <v>0</v>
      </c>
      <c r="AS101" s="4">
        <f t="shared" si="21"/>
        <v>0.16447367447214825</v>
      </c>
      <c r="AT101" s="4">
        <f t="shared" si="22"/>
        <v>0.70394732674079452</v>
      </c>
      <c r="AU101" s="4">
        <f t="shared" si="23"/>
        <v>0.12499999259883267</v>
      </c>
      <c r="AV101" s="4">
        <f t="shared" si="24"/>
        <v>6.5789469788859302E-3</v>
      </c>
      <c r="AW101" s="4">
        <f t="shared" si="25"/>
        <v>0</v>
      </c>
      <c r="AX101" s="1">
        <v>0</v>
      </c>
      <c r="AY101" s="1">
        <v>0</v>
      </c>
      <c r="AZ101" s="1">
        <v>0</v>
      </c>
      <c r="BA101" s="1">
        <v>0</v>
      </c>
      <c r="BB101" s="52">
        <v>0.45833333333333331</v>
      </c>
      <c r="BC101" s="52">
        <v>0</v>
      </c>
      <c r="BD101" s="52">
        <v>6.3916666666666666</v>
      </c>
      <c r="BE101" s="51">
        <v>9.4699253516199428E-2</v>
      </c>
      <c r="BF101" s="51">
        <v>0.88489466400383043</v>
      </c>
      <c r="BG101" s="51">
        <v>5.5113714081351768</v>
      </c>
      <c r="BH101" s="1">
        <v>6.4942912543695197</v>
      </c>
      <c r="BI101" s="51">
        <v>12.985256580024727</v>
      </c>
      <c r="BJ101" t="s">
        <v>53</v>
      </c>
      <c r="BK101" s="1" t="s">
        <v>71</v>
      </c>
    </row>
    <row r="102" spans="1:63" ht="14.25" customHeight="1" x14ac:dyDescent="0.3">
      <c r="A102" s="1" t="s">
        <v>73</v>
      </c>
      <c r="B102" s="1">
        <v>31</v>
      </c>
      <c r="C102" s="3">
        <v>44823</v>
      </c>
      <c r="D102">
        <v>354621</v>
      </c>
      <c r="E102">
        <v>3994236</v>
      </c>
      <c r="F102">
        <v>1791</v>
      </c>
      <c r="G102">
        <v>14</v>
      </c>
      <c r="H102">
        <v>47</v>
      </c>
      <c r="I102">
        <f t="shared" si="26"/>
        <v>133</v>
      </c>
      <c r="J102">
        <v>2</v>
      </c>
      <c r="K102">
        <v>2</v>
      </c>
      <c r="L102" s="43">
        <v>3</v>
      </c>
      <c r="M102" s="27">
        <v>287</v>
      </c>
      <c r="N102">
        <f>7*20</f>
        <v>140</v>
      </c>
      <c r="O102">
        <f>13*20</f>
        <v>260</v>
      </c>
      <c r="P102">
        <v>20</v>
      </c>
      <c r="Q102">
        <v>14.97</v>
      </c>
      <c r="R102">
        <v>73.34</v>
      </c>
      <c r="S102" s="40">
        <v>0</v>
      </c>
      <c r="T102" s="40">
        <f>6/6</f>
        <v>1</v>
      </c>
      <c r="U102" s="40">
        <v>0</v>
      </c>
      <c r="V102" s="40">
        <v>0</v>
      </c>
      <c r="W102" s="40">
        <v>0</v>
      </c>
      <c r="X102" s="4">
        <f t="shared" si="27"/>
        <v>1</v>
      </c>
      <c r="Y102" s="49">
        <v>0</v>
      </c>
      <c r="Z102" s="49">
        <f>14.97/Q102</f>
        <v>1</v>
      </c>
      <c r="AA102" s="49">
        <v>0</v>
      </c>
      <c r="AB102" s="49">
        <v>0</v>
      </c>
      <c r="AC102" s="49">
        <v>0</v>
      </c>
      <c r="AD102" s="4">
        <f t="shared" si="28"/>
        <v>1</v>
      </c>
      <c r="AE102" s="1">
        <v>0</v>
      </c>
      <c r="AF102" s="1">
        <v>2.79</v>
      </c>
      <c r="AG102" s="1" t="s">
        <v>50</v>
      </c>
      <c r="AH102" s="1">
        <v>43</v>
      </c>
      <c r="AI102" s="1">
        <v>23.1</v>
      </c>
      <c r="AJ102" s="1">
        <v>25</v>
      </c>
      <c r="AK102" s="1">
        <v>0</v>
      </c>
      <c r="AL102" s="1">
        <v>4.7</v>
      </c>
      <c r="AM102" s="34">
        <v>6.0000000000000001E-3</v>
      </c>
      <c r="AN102" s="12">
        <f>123*166.67</f>
        <v>20500.41</v>
      </c>
      <c r="AO102" s="1">
        <f>193*166.67</f>
        <v>32167.309999999998</v>
      </c>
      <c r="AP102" s="1">
        <f>2*166.67</f>
        <v>333.34</v>
      </c>
      <c r="AQ102" s="1">
        <v>0</v>
      </c>
      <c r="AR102" s="1">
        <v>0</v>
      </c>
      <c r="AS102" s="4">
        <f t="shared" si="21"/>
        <v>0.38679240904324458</v>
      </c>
      <c r="AT102" s="4">
        <f t="shared" si="22"/>
        <v>0.6069181702873675</v>
      </c>
      <c r="AU102" s="4">
        <f t="shared" si="23"/>
        <v>6.2893074641177981E-3</v>
      </c>
      <c r="AV102" s="4">
        <f t="shared" si="24"/>
        <v>0</v>
      </c>
      <c r="AW102" s="4">
        <f t="shared" si="25"/>
        <v>0</v>
      </c>
      <c r="AX102" s="1">
        <v>0</v>
      </c>
      <c r="AY102" s="1">
        <v>0</v>
      </c>
      <c r="AZ102" s="1">
        <v>0</v>
      </c>
      <c r="BA102" s="1">
        <v>0</v>
      </c>
      <c r="BB102" s="52">
        <v>0.85833333333333339</v>
      </c>
      <c r="BC102" s="52">
        <v>0</v>
      </c>
      <c r="BD102" s="52">
        <v>9.3416666666666668</v>
      </c>
      <c r="BE102" s="51">
        <v>0.12742094528179893</v>
      </c>
      <c r="BF102" s="51">
        <v>1.3291029595539525</v>
      </c>
      <c r="BG102" s="51">
        <v>0.29045701352963194</v>
      </c>
      <c r="BH102" s="1">
        <v>25.953553051194731</v>
      </c>
      <c r="BI102" s="51">
        <v>27.700533969560116</v>
      </c>
      <c r="BJ102" t="s">
        <v>53</v>
      </c>
      <c r="BK102" s="1" t="s">
        <v>71</v>
      </c>
    </row>
    <row r="103" spans="1:63" ht="14.25" customHeight="1" x14ac:dyDescent="0.3">
      <c r="A103" s="1" t="s">
        <v>73</v>
      </c>
      <c r="B103" s="1">
        <v>33</v>
      </c>
      <c r="C103" s="3">
        <v>44822</v>
      </c>
      <c r="D103">
        <v>355219</v>
      </c>
      <c r="E103">
        <v>3994227</v>
      </c>
      <c r="F103">
        <v>1854</v>
      </c>
      <c r="G103">
        <v>12</v>
      </c>
      <c r="H103">
        <v>64</v>
      </c>
      <c r="I103">
        <f t="shared" si="26"/>
        <v>116</v>
      </c>
      <c r="J103">
        <v>2</v>
      </c>
      <c r="K103">
        <v>2</v>
      </c>
      <c r="L103" s="43">
        <v>3</v>
      </c>
      <c r="M103" s="27">
        <v>363</v>
      </c>
      <c r="N103">
        <v>80</v>
      </c>
      <c r="O103">
        <f>17*20</f>
        <v>340</v>
      </c>
      <c r="P103">
        <v>0</v>
      </c>
      <c r="Q103">
        <v>9.52</v>
      </c>
      <c r="R103">
        <v>26.97</v>
      </c>
      <c r="S103" s="40">
        <v>0</v>
      </c>
      <c r="T103" s="40">
        <f>2/4</f>
        <v>0.5</v>
      </c>
      <c r="U103" s="40">
        <v>0</v>
      </c>
      <c r="V103" s="40">
        <f>1/4</f>
        <v>0.25</v>
      </c>
      <c r="W103" s="40">
        <f>1/4</f>
        <v>0.25</v>
      </c>
      <c r="X103" s="4">
        <f t="shared" si="27"/>
        <v>0.5</v>
      </c>
      <c r="Y103" s="49">
        <v>0</v>
      </c>
      <c r="Z103" s="49">
        <f>5.27/Q103</f>
        <v>0.5535714285714286</v>
      </c>
      <c r="AA103" s="49">
        <v>0</v>
      </c>
      <c r="AB103" s="49">
        <f>4.01/Q103</f>
        <v>0.42121848739495799</v>
      </c>
      <c r="AC103" s="49">
        <f>0.27/Q103</f>
        <v>2.8361344537815129E-2</v>
      </c>
      <c r="AD103" s="4">
        <f t="shared" si="28"/>
        <v>0.5535714285714286</v>
      </c>
      <c r="AE103" s="1">
        <v>5</v>
      </c>
      <c r="AF103" s="1">
        <v>5.92</v>
      </c>
      <c r="AG103" s="1" t="s">
        <v>46</v>
      </c>
      <c r="AH103" s="1">
        <v>29.8</v>
      </c>
      <c r="AI103" s="1">
        <v>56</v>
      </c>
      <c r="AJ103" s="1">
        <v>13.1</v>
      </c>
      <c r="AK103" s="1">
        <v>0</v>
      </c>
      <c r="AL103" s="1">
        <v>0.6</v>
      </c>
      <c r="AM103" s="34">
        <v>6.0000000000000001E-3</v>
      </c>
      <c r="AN103" s="12">
        <f>5*166.67</f>
        <v>833.34999999999991</v>
      </c>
      <c r="AO103" s="1">
        <f>191*166.67</f>
        <v>31833.969999999998</v>
      </c>
      <c r="AP103" s="1">
        <v>166.67</v>
      </c>
      <c r="AQ103" s="1">
        <v>0</v>
      </c>
      <c r="AR103" s="1">
        <v>0</v>
      </c>
      <c r="AS103" s="4">
        <f t="shared" si="21"/>
        <v>2.5380706021892671E-2</v>
      </c>
      <c r="AT103" s="4">
        <f t="shared" si="22"/>
        <v>0.96954297003630008</v>
      </c>
      <c r="AU103" s="4">
        <f t="shared" si="23"/>
        <v>5.0761412043785351E-3</v>
      </c>
      <c r="AV103" s="4">
        <f t="shared" si="24"/>
        <v>0</v>
      </c>
      <c r="AW103" s="4">
        <f t="shared" si="25"/>
        <v>0</v>
      </c>
      <c r="AX103" s="1">
        <v>0</v>
      </c>
      <c r="AY103" s="1">
        <v>0</v>
      </c>
      <c r="AZ103" s="1">
        <v>0</v>
      </c>
      <c r="BA103" s="1">
        <v>0</v>
      </c>
      <c r="BB103" s="52">
        <v>1.3666666666666667</v>
      </c>
      <c r="BC103" s="52">
        <v>0</v>
      </c>
      <c r="BD103" s="52">
        <v>6.3583333333333343</v>
      </c>
      <c r="BE103" s="51">
        <v>0.1566527212442666</v>
      </c>
      <c r="BF103" s="51">
        <v>1.1047578238073861</v>
      </c>
      <c r="BG103" s="51">
        <v>0</v>
      </c>
      <c r="BH103" s="1">
        <v>1.037502426190176</v>
      </c>
      <c r="BI103" s="51">
        <v>2.2989129712418288</v>
      </c>
      <c r="BJ103" t="s">
        <v>51</v>
      </c>
      <c r="BK103" s="1" t="s">
        <v>71</v>
      </c>
    </row>
    <row r="104" spans="1:63" ht="14.25" customHeight="1" x14ac:dyDescent="0.3">
      <c r="A104" s="1" t="s">
        <v>73</v>
      </c>
      <c r="B104" s="1">
        <v>34</v>
      </c>
      <c r="C104" s="3">
        <v>44825</v>
      </c>
      <c r="D104">
        <v>354614</v>
      </c>
      <c r="E104">
        <v>3994435</v>
      </c>
      <c r="F104">
        <v>1778</v>
      </c>
      <c r="G104">
        <v>17</v>
      </c>
      <c r="H104">
        <v>193</v>
      </c>
      <c r="I104">
        <f t="shared" si="26"/>
        <v>13</v>
      </c>
      <c r="J104">
        <v>4</v>
      </c>
      <c r="K104">
        <v>4</v>
      </c>
      <c r="L104" s="43">
        <v>4</v>
      </c>
      <c r="M104" s="27">
        <v>1061</v>
      </c>
      <c r="N104">
        <v>0</v>
      </c>
      <c r="O104">
        <f>37*20</f>
        <v>740</v>
      </c>
      <c r="P104">
        <v>0</v>
      </c>
      <c r="Q104">
        <v>0</v>
      </c>
      <c r="R104">
        <v>124.55</v>
      </c>
      <c r="S104" s="40"/>
      <c r="T104" s="40"/>
      <c r="U104" s="40"/>
      <c r="V104" s="40"/>
      <c r="W104" s="40"/>
      <c r="X104" s="4"/>
      <c r="Y104" s="49"/>
      <c r="Z104" s="49"/>
      <c r="AA104" s="49"/>
      <c r="AB104" s="49"/>
      <c r="AC104" s="49"/>
      <c r="AD104" s="4"/>
      <c r="AE104" s="1">
        <v>14.9</v>
      </c>
      <c r="AF104" s="1">
        <v>2.92</v>
      </c>
      <c r="AG104" s="1" t="s">
        <v>46</v>
      </c>
      <c r="AH104" s="1">
        <v>26.3</v>
      </c>
      <c r="AI104" s="1">
        <v>53.3</v>
      </c>
      <c r="AJ104" s="1">
        <v>0.3</v>
      </c>
      <c r="AK104" s="1">
        <v>0</v>
      </c>
      <c r="AL104" s="1">
        <v>6.3</v>
      </c>
      <c r="AM104" s="34">
        <v>6.0000000000000001E-3</v>
      </c>
      <c r="AN104" s="12">
        <f>143*166.67</f>
        <v>23833.809999999998</v>
      </c>
      <c r="AO104" s="1">
        <f>3*166.67</f>
        <v>500.01</v>
      </c>
      <c r="AP104" s="1">
        <f>42*166.67</f>
        <v>7000.1399999999994</v>
      </c>
      <c r="AQ104" s="1">
        <v>166.67</v>
      </c>
      <c r="AR104" s="1">
        <v>0</v>
      </c>
      <c r="AS104" s="4">
        <f t="shared" si="21"/>
        <v>0.75661361249976034</v>
      </c>
      <c r="AT104" s="4">
        <f t="shared" si="22"/>
        <v>1.5873012849645325E-2</v>
      </c>
      <c r="AU104" s="4">
        <f t="shared" si="23"/>
        <v>0.22222217989503451</v>
      </c>
      <c r="AV104" s="4">
        <f t="shared" si="24"/>
        <v>5.2910042832151078E-3</v>
      </c>
      <c r="AW104" s="4">
        <f t="shared" si="25"/>
        <v>0</v>
      </c>
      <c r="AX104" s="1">
        <v>0</v>
      </c>
      <c r="AY104" s="1">
        <v>0</v>
      </c>
      <c r="AZ104" s="1">
        <v>0</v>
      </c>
      <c r="BA104" s="1">
        <v>0</v>
      </c>
      <c r="BB104" s="52">
        <v>1.7916666666666667</v>
      </c>
      <c r="BC104" s="52">
        <v>0</v>
      </c>
      <c r="BD104" s="52">
        <v>16.683333333333334</v>
      </c>
      <c r="BE104" s="51">
        <v>0.1309775051383637</v>
      </c>
      <c r="BF104" s="51">
        <v>1.7060259238588653</v>
      </c>
      <c r="BG104" s="51">
        <v>0.58355733667233689</v>
      </c>
      <c r="BH104" s="1">
        <v>14.946381525962103</v>
      </c>
      <c r="BI104" s="51">
        <v>17.36694229163167</v>
      </c>
      <c r="BJ104" t="s">
        <v>51</v>
      </c>
    </row>
    <row r="105" spans="1:63" ht="14.25" customHeight="1" x14ac:dyDescent="0.3">
      <c r="A105" s="1" t="s">
        <v>73</v>
      </c>
      <c r="B105" s="1">
        <v>35</v>
      </c>
      <c r="C105" s="3">
        <v>44824</v>
      </c>
      <c r="D105">
        <v>354815</v>
      </c>
      <c r="E105">
        <v>3994438</v>
      </c>
      <c r="F105">
        <v>1802</v>
      </c>
      <c r="G105">
        <v>15</v>
      </c>
      <c r="H105">
        <v>257</v>
      </c>
      <c r="I105">
        <f t="shared" si="26"/>
        <v>77</v>
      </c>
      <c r="J105">
        <v>4</v>
      </c>
      <c r="K105">
        <v>4</v>
      </c>
      <c r="L105" s="43">
        <v>3</v>
      </c>
      <c r="M105" s="27">
        <v>736</v>
      </c>
      <c r="N105">
        <v>60</v>
      </c>
      <c r="O105">
        <f>20*20</f>
        <v>400</v>
      </c>
      <c r="P105">
        <v>20</v>
      </c>
      <c r="Q105">
        <v>15.4</v>
      </c>
      <c r="R105">
        <v>22.4</v>
      </c>
      <c r="S105" s="40">
        <f>3/3</f>
        <v>1</v>
      </c>
      <c r="T105" s="40">
        <v>0</v>
      </c>
      <c r="U105" s="40">
        <v>0</v>
      </c>
      <c r="V105" s="40">
        <v>0</v>
      </c>
      <c r="W105" s="40">
        <v>0</v>
      </c>
      <c r="X105" s="4">
        <f>T105+U105</f>
        <v>0</v>
      </c>
      <c r="Y105" s="49">
        <f>15.4/Q105</f>
        <v>1</v>
      </c>
      <c r="Z105" s="49">
        <v>0</v>
      </c>
      <c r="AA105" s="49">
        <v>0</v>
      </c>
      <c r="AB105" s="49">
        <v>0</v>
      </c>
      <c r="AC105" s="49">
        <v>0</v>
      </c>
      <c r="AD105" s="4">
        <f>Z105+AA105</f>
        <v>0</v>
      </c>
      <c r="AE105" s="1">
        <v>1.3</v>
      </c>
      <c r="AF105" s="1">
        <v>2.25</v>
      </c>
      <c r="AG105" s="1" t="s">
        <v>52</v>
      </c>
      <c r="AH105" s="1">
        <v>36.9</v>
      </c>
      <c r="AI105" s="1">
        <v>54.4</v>
      </c>
      <c r="AJ105" s="1">
        <v>2.6</v>
      </c>
      <c r="AK105" s="1">
        <v>0</v>
      </c>
      <c r="AL105" s="1">
        <v>0</v>
      </c>
      <c r="AM105" s="34">
        <v>6.0000000000000001E-3</v>
      </c>
      <c r="AN105" s="12">
        <f>24*166.67</f>
        <v>4000.08</v>
      </c>
      <c r="AO105" s="1">
        <f>10*166.67</f>
        <v>1666.6999999999998</v>
      </c>
      <c r="AP105" s="1">
        <f>5*166.67</f>
        <v>833.34999999999991</v>
      </c>
      <c r="AQ105" s="1">
        <v>0</v>
      </c>
      <c r="AR105" s="1">
        <v>0</v>
      </c>
      <c r="AS105" s="4">
        <f t="shared" si="21"/>
        <v>0.61538404734916308</v>
      </c>
      <c r="AT105" s="4">
        <f t="shared" si="22"/>
        <v>0.25641001972881794</v>
      </c>
      <c r="AU105" s="4">
        <f t="shared" si="23"/>
        <v>0.12820500986440897</v>
      </c>
      <c r="AV105" s="4">
        <f t="shared" si="24"/>
        <v>0</v>
      </c>
      <c r="AW105" s="4">
        <f t="shared" si="25"/>
        <v>0</v>
      </c>
      <c r="AX105" s="1">
        <v>0</v>
      </c>
      <c r="AY105" s="1">
        <v>0</v>
      </c>
      <c r="AZ105" s="1">
        <v>0</v>
      </c>
      <c r="BA105" s="1">
        <v>0</v>
      </c>
      <c r="BB105" s="52">
        <v>2.4416666666666669</v>
      </c>
      <c r="BC105" s="52">
        <v>0</v>
      </c>
      <c r="BD105" s="52">
        <v>9.1916666666666664</v>
      </c>
      <c r="BE105" s="51">
        <v>8.0122201929053796E-2</v>
      </c>
      <c r="BF105" s="51">
        <v>0.73943987208355666</v>
      </c>
      <c r="BG105" s="51">
        <v>0.58173957359023987</v>
      </c>
      <c r="BH105" s="1">
        <v>9.3746122898752837</v>
      </c>
      <c r="BI105" s="51">
        <v>10.775913937478133</v>
      </c>
      <c r="BJ105" t="s">
        <v>51</v>
      </c>
      <c r="BK105" s="1" t="s">
        <v>71</v>
      </c>
    </row>
    <row r="106" spans="1:63" ht="14.25" customHeight="1" x14ac:dyDescent="0.3">
      <c r="A106" s="1" t="s">
        <v>73</v>
      </c>
      <c r="B106" s="1">
        <v>36</v>
      </c>
      <c r="C106" s="3">
        <v>44824</v>
      </c>
      <c r="D106">
        <v>355015</v>
      </c>
      <c r="E106">
        <v>3994435</v>
      </c>
      <c r="F106">
        <v>1821</v>
      </c>
      <c r="G106">
        <v>11</v>
      </c>
      <c r="H106">
        <v>261</v>
      </c>
      <c r="I106">
        <f t="shared" si="26"/>
        <v>81</v>
      </c>
      <c r="J106">
        <v>2</v>
      </c>
      <c r="K106">
        <v>2</v>
      </c>
      <c r="L106" s="43">
        <v>2</v>
      </c>
      <c r="M106" s="27">
        <v>322</v>
      </c>
      <c r="N106">
        <f>9*20</f>
        <v>180</v>
      </c>
      <c r="O106">
        <f>11*20</f>
        <v>220</v>
      </c>
      <c r="P106">
        <v>40</v>
      </c>
      <c r="Q106">
        <v>71.08</v>
      </c>
      <c r="R106">
        <v>18.66</v>
      </c>
      <c r="S106" s="40">
        <v>0</v>
      </c>
      <c r="T106" s="40">
        <f>1/9</f>
        <v>0.1111111111111111</v>
      </c>
      <c r="U106" s="40">
        <f>7/9</f>
        <v>0.77777777777777779</v>
      </c>
      <c r="V106" s="40">
        <f>1/9</f>
        <v>0.1111111111111111</v>
      </c>
      <c r="W106" s="40">
        <v>0</v>
      </c>
      <c r="X106" s="4">
        <f>T106+U106</f>
        <v>0.88888888888888884</v>
      </c>
      <c r="Y106" s="49">
        <v>0</v>
      </c>
      <c r="Z106" s="49">
        <f>11.59/Q106</f>
        <v>0.16305571187394485</v>
      </c>
      <c r="AA106" s="49">
        <f>10.06/Q106</f>
        <v>0.14153066966797975</v>
      </c>
      <c r="AB106" s="49">
        <f>49.43/Q106</f>
        <v>0.69541361845807537</v>
      </c>
      <c r="AC106" s="49">
        <v>0</v>
      </c>
      <c r="AD106" s="4">
        <f>Z106+AA106</f>
        <v>0.30458638154192463</v>
      </c>
      <c r="AE106" s="1">
        <v>7</v>
      </c>
      <c r="AF106" s="1">
        <v>1.54</v>
      </c>
      <c r="AG106" s="1" t="s">
        <v>52</v>
      </c>
      <c r="AH106" s="1">
        <v>34</v>
      </c>
      <c r="AI106" s="1">
        <v>41.2</v>
      </c>
      <c r="AJ106" s="1">
        <v>2.7</v>
      </c>
      <c r="AK106" s="1">
        <v>0</v>
      </c>
      <c r="AL106" s="1">
        <v>0</v>
      </c>
      <c r="AM106" s="34">
        <v>6.0000000000000001E-3</v>
      </c>
      <c r="AN106" s="12">
        <f>38*166.67</f>
        <v>6333.4599999999991</v>
      </c>
      <c r="AO106" s="1">
        <f>169*166.67</f>
        <v>28167.23</v>
      </c>
      <c r="AP106" s="1">
        <f>33*166.67</f>
        <v>5500.11</v>
      </c>
      <c r="AQ106" s="1">
        <v>0</v>
      </c>
      <c r="AR106" s="1">
        <v>0</v>
      </c>
      <c r="AS106" s="4">
        <f t="shared" si="21"/>
        <v>0.15833330958381187</v>
      </c>
      <c r="AT106" s="4">
        <f t="shared" si="22"/>
        <v>0.70416656104379505</v>
      </c>
      <c r="AU106" s="4">
        <f t="shared" si="23"/>
        <v>0.13749997937541558</v>
      </c>
      <c r="AV106" s="4">
        <f t="shared" si="24"/>
        <v>0</v>
      </c>
      <c r="AW106" s="4">
        <f t="shared" si="25"/>
        <v>0</v>
      </c>
      <c r="AX106" s="1">
        <v>0</v>
      </c>
      <c r="AY106" s="1">
        <v>0</v>
      </c>
      <c r="AZ106" s="1">
        <v>0</v>
      </c>
      <c r="BA106" s="1">
        <v>0</v>
      </c>
      <c r="BB106" s="52">
        <v>1.9333333333333333</v>
      </c>
      <c r="BC106" s="52">
        <v>0</v>
      </c>
      <c r="BD106" s="52">
        <v>3.0166666666666666</v>
      </c>
      <c r="BE106" s="51">
        <v>0.20666513023420852</v>
      </c>
      <c r="BF106" s="51">
        <v>1.6920405042126299</v>
      </c>
      <c r="BG106" s="51">
        <v>0.86816029847890352</v>
      </c>
      <c r="BH106" s="1">
        <v>0</v>
      </c>
      <c r="BI106" s="51">
        <v>2.7668659329257417</v>
      </c>
      <c r="BJ106" t="s">
        <v>55</v>
      </c>
      <c r="BK106" s="1" t="s">
        <v>71</v>
      </c>
    </row>
    <row r="107" spans="1:63" ht="14.25" customHeight="1" x14ac:dyDescent="0.3">
      <c r="A107" s="1" t="s">
        <v>77</v>
      </c>
      <c r="B107" s="1">
        <v>3</v>
      </c>
      <c r="C107" s="3">
        <v>44762</v>
      </c>
      <c r="D107">
        <v>353982</v>
      </c>
      <c r="E107">
        <v>3978053</v>
      </c>
      <c r="F107">
        <v>1841</v>
      </c>
      <c r="G107">
        <v>24</v>
      </c>
      <c r="H107">
        <v>2</v>
      </c>
      <c r="I107">
        <f t="shared" si="26"/>
        <v>178</v>
      </c>
      <c r="J107">
        <v>4</v>
      </c>
      <c r="K107">
        <v>4</v>
      </c>
      <c r="L107" s="43">
        <v>4</v>
      </c>
      <c r="M107" s="27">
        <v>470</v>
      </c>
      <c r="N107">
        <v>0</v>
      </c>
      <c r="O107">
        <f>29*20</f>
        <v>580</v>
      </c>
      <c r="P107">
        <v>0</v>
      </c>
      <c r="Q107">
        <v>0</v>
      </c>
      <c r="R107">
        <v>78.510000000000005</v>
      </c>
      <c r="S107" s="40"/>
      <c r="T107" s="40"/>
      <c r="U107" s="40"/>
      <c r="V107" s="40"/>
      <c r="W107" s="40"/>
      <c r="X107" s="4"/>
      <c r="Y107" s="49"/>
      <c r="Z107" s="49"/>
      <c r="AA107" s="49"/>
      <c r="AB107" s="49"/>
      <c r="AC107" s="49"/>
      <c r="AD107" s="4"/>
      <c r="AE107" s="1">
        <v>4.2</v>
      </c>
      <c r="AF107" s="1">
        <v>1.08</v>
      </c>
      <c r="AG107" s="1" t="s">
        <v>58</v>
      </c>
      <c r="AH107" s="1">
        <v>52.5</v>
      </c>
      <c r="AI107" s="1">
        <v>29.4</v>
      </c>
      <c r="AJ107" s="1">
        <v>6.5</v>
      </c>
      <c r="AK107" s="1">
        <v>0</v>
      </c>
      <c r="AL107" s="1">
        <v>0.4</v>
      </c>
      <c r="AM107" s="34">
        <v>6.0000000000000001E-3</v>
      </c>
      <c r="AN107" s="6">
        <f>16*166.67</f>
        <v>2666.72</v>
      </c>
      <c r="AO107" s="6">
        <v>50</v>
      </c>
      <c r="AP107" s="1">
        <f>3*166.67</f>
        <v>500.01</v>
      </c>
      <c r="AQ107" s="1">
        <v>0</v>
      </c>
      <c r="AR107" s="1">
        <v>20</v>
      </c>
      <c r="AS107" s="4">
        <f t="shared" si="21"/>
        <v>0.82389172301973346</v>
      </c>
      <c r="AT107" s="4">
        <f t="shared" si="22"/>
        <v>1.5447660853402935E-2</v>
      </c>
      <c r="AU107" s="4">
        <f t="shared" si="23"/>
        <v>0.15447969806620002</v>
      </c>
      <c r="AV107" s="4">
        <f t="shared" si="24"/>
        <v>0</v>
      </c>
      <c r="AW107" s="4">
        <f t="shared" si="25"/>
        <v>6.1790643413611743E-3</v>
      </c>
      <c r="AX107" s="1">
        <v>0</v>
      </c>
      <c r="AY107" s="1">
        <v>0</v>
      </c>
      <c r="AZ107" s="1">
        <v>0</v>
      </c>
      <c r="BA107" s="1">
        <v>0</v>
      </c>
      <c r="BB107" s="52">
        <v>0.54166666666666674</v>
      </c>
      <c r="BC107" s="52">
        <v>0</v>
      </c>
      <c r="BD107" s="52">
        <v>1.2</v>
      </c>
      <c r="BE107" s="51">
        <v>6.9413830459917183E-2</v>
      </c>
      <c r="BF107" s="51">
        <v>0.37601219636163263</v>
      </c>
      <c r="BG107" s="51">
        <v>1.1832803884907521</v>
      </c>
      <c r="BH107" s="1">
        <v>0</v>
      </c>
      <c r="BI107" s="51">
        <v>1.6287064153123019</v>
      </c>
      <c r="BJ107" t="s">
        <v>44</v>
      </c>
    </row>
    <row r="108" spans="1:63" ht="14.25" customHeight="1" x14ac:dyDescent="0.3">
      <c r="A108" s="1" t="s">
        <v>77</v>
      </c>
      <c r="B108" s="1">
        <v>4</v>
      </c>
      <c r="C108" s="3">
        <v>44763</v>
      </c>
      <c r="D108">
        <v>353895</v>
      </c>
      <c r="E108">
        <v>3978158</v>
      </c>
      <c r="F108">
        <v>1818</v>
      </c>
      <c r="G108">
        <v>20</v>
      </c>
      <c r="H108">
        <v>51</v>
      </c>
      <c r="I108">
        <f t="shared" si="26"/>
        <v>129</v>
      </c>
      <c r="J108">
        <v>4</v>
      </c>
      <c r="K108">
        <v>4</v>
      </c>
      <c r="L108" s="43">
        <v>4</v>
      </c>
      <c r="M108" s="27">
        <v>791</v>
      </c>
      <c r="N108">
        <v>0</v>
      </c>
      <c r="O108">
        <f>10*20</f>
        <v>200</v>
      </c>
      <c r="P108">
        <v>0</v>
      </c>
      <c r="Q108">
        <v>0</v>
      </c>
      <c r="R108">
        <v>29.68</v>
      </c>
      <c r="S108" s="40"/>
      <c r="T108" s="40"/>
      <c r="U108" s="40"/>
      <c r="V108" s="40"/>
      <c r="W108" s="40"/>
      <c r="X108" s="4"/>
      <c r="Y108" s="49"/>
      <c r="Z108" s="49"/>
      <c r="AA108" s="49"/>
      <c r="AB108" s="49"/>
      <c r="AC108" s="49"/>
      <c r="AD108" s="4"/>
      <c r="AE108" s="1">
        <v>4.2</v>
      </c>
      <c r="AF108" s="1">
        <v>0.63</v>
      </c>
      <c r="AG108" s="1" t="s">
        <v>50</v>
      </c>
      <c r="AH108" s="1">
        <v>47.7</v>
      </c>
      <c r="AI108" s="1">
        <v>47.9</v>
      </c>
      <c r="AJ108" s="1">
        <v>1.7</v>
      </c>
      <c r="AK108" s="1">
        <v>0</v>
      </c>
      <c r="AL108" s="1">
        <v>0.4</v>
      </c>
      <c r="AM108" s="34">
        <v>6.0000000000000001E-3</v>
      </c>
      <c r="AN108" s="6">
        <f>3*166.67</f>
        <v>500.01</v>
      </c>
      <c r="AO108" s="6">
        <f>4*166.67</f>
        <v>666.68</v>
      </c>
      <c r="AP108" s="1">
        <v>40</v>
      </c>
      <c r="AQ108" s="1">
        <v>0</v>
      </c>
      <c r="AR108" s="1">
        <v>880</v>
      </c>
      <c r="AS108" s="4">
        <f t="shared" ref="AS108:AS114" si="29">AN108/SUM(AM108:AR108)</f>
        <v>0.23961803731832523</v>
      </c>
      <c r="AT108" s="4">
        <f t="shared" ref="AT108:AT114" si="30">AO108/SUM(AM108:AR108)</f>
        <v>0.31949071642443366</v>
      </c>
      <c r="AU108" s="4">
        <f t="shared" ref="AU108:AU114" si="31">AP108/SUM(AM108:AR108)</f>
        <v>1.9169059604273935E-2</v>
      </c>
      <c r="AV108" s="4">
        <f t="shared" ref="AV108:AV114" si="32">AQ108/SUM(AM108:AR108)</f>
        <v>0</v>
      </c>
      <c r="AW108" s="4">
        <f t="shared" ref="AW108:AW114" si="33">AR108/SUM(AM108:AR108)</f>
        <v>0.42171931129402657</v>
      </c>
      <c r="AX108" s="1">
        <v>0</v>
      </c>
      <c r="AY108" s="1">
        <v>0</v>
      </c>
      <c r="AZ108" s="1">
        <v>0</v>
      </c>
      <c r="BA108" s="1">
        <v>0</v>
      </c>
      <c r="BB108" s="52">
        <v>0.15833333333333333</v>
      </c>
      <c r="BC108" s="52">
        <v>0</v>
      </c>
      <c r="BD108" s="52">
        <v>28.066666666666666</v>
      </c>
      <c r="BE108" s="51">
        <v>7.4819384635108802E-2</v>
      </c>
      <c r="BF108" s="51">
        <v>1.0440370524820428</v>
      </c>
      <c r="BG108" s="51">
        <v>0.29334833251742898</v>
      </c>
      <c r="BH108" s="1">
        <v>429.11594886614523</v>
      </c>
      <c r="BI108" s="51">
        <v>430.5281536357798</v>
      </c>
      <c r="BJ108" t="s">
        <v>51</v>
      </c>
      <c r="BK108" s="1" t="s">
        <v>78</v>
      </c>
    </row>
    <row r="109" spans="1:63" ht="14.25" customHeight="1" x14ac:dyDescent="0.3">
      <c r="A109" s="1" t="s">
        <v>77</v>
      </c>
      <c r="B109" s="1">
        <v>5</v>
      </c>
      <c r="C109" s="3">
        <v>44763</v>
      </c>
      <c r="D109">
        <v>353989</v>
      </c>
      <c r="E109">
        <v>3978156</v>
      </c>
      <c r="F109">
        <v>1831</v>
      </c>
      <c r="G109">
        <v>18</v>
      </c>
      <c r="H109">
        <v>265</v>
      </c>
      <c r="I109">
        <f t="shared" si="26"/>
        <v>85</v>
      </c>
      <c r="J109">
        <v>4</v>
      </c>
      <c r="K109">
        <v>4</v>
      </c>
      <c r="L109" s="43">
        <v>4</v>
      </c>
      <c r="M109" s="27">
        <v>846</v>
      </c>
      <c r="N109">
        <v>0</v>
      </c>
      <c r="O109">
        <f>21*20</f>
        <v>420</v>
      </c>
      <c r="P109">
        <v>0</v>
      </c>
      <c r="Q109">
        <v>0</v>
      </c>
      <c r="R109">
        <v>76.59</v>
      </c>
      <c r="S109" s="40"/>
      <c r="T109" s="40"/>
      <c r="U109" s="40"/>
      <c r="V109" s="40"/>
      <c r="W109" s="40"/>
      <c r="X109" s="4"/>
      <c r="Y109" s="49"/>
      <c r="Z109" s="49"/>
      <c r="AA109" s="49"/>
      <c r="AB109" s="49"/>
      <c r="AC109" s="49"/>
      <c r="AD109" s="4"/>
      <c r="AE109" s="1">
        <v>8.3000000000000007</v>
      </c>
      <c r="AF109" s="1">
        <v>0.83</v>
      </c>
      <c r="AG109" s="1" t="s">
        <v>58</v>
      </c>
      <c r="AH109" s="1">
        <v>58.1</v>
      </c>
      <c r="AI109" s="1">
        <v>31.9</v>
      </c>
      <c r="AJ109" s="1">
        <v>2.5</v>
      </c>
      <c r="AK109" s="1">
        <v>0</v>
      </c>
      <c r="AL109" s="1">
        <v>0.6</v>
      </c>
      <c r="AM109" s="34">
        <v>6.0000000000000001E-3</v>
      </c>
      <c r="AN109" s="6">
        <f>8*166.67</f>
        <v>1333.36</v>
      </c>
      <c r="AO109" s="6">
        <f>19*166.67</f>
        <v>3166.7299999999996</v>
      </c>
      <c r="AP109" s="1">
        <f>3*166.67</f>
        <v>500.01</v>
      </c>
      <c r="AQ109" s="1">
        <v>0</v>
      </c>
      <c r="AR109" s="1">
        <v>10</v>
      </c>
      <c r="AS109" s="4">
        <f t="shared" si="29"/>
        <v>0.26613408977774122</v>
      </c>
      <c r="AT109" s="4">
        <f t="shared" si="30"/>
        <v>0.63206846322213539</v>
      </c>
      <c r="AU109" s="4">
        <f t="shared" si="31"/>
        <v>9.9800283666652959E-2</v>
      </c>
      <c r="AV109" s="4">
        <f t="shared" si="32"/>
        <v>0</v>
      </c>
      <c r="AW109" s="4">
        <f t="shared" si="33"/>
        <v>1.9959657540179788E-3</v>
      </c>
      <c r="AX109" s="1">
        <v>0</v>
      </c>
      <c r="AY109" s="1">
        <v>0</v>
      </c>
      <c r="AZ109" s="1">
        <v>0</v>
      </c>
      <c r="BA109" s="1">
        <v>0</v>
      </c>
      <c r="BB109" s="52">
        <v>1.2833333333333334</v>
      </c>
      <c r="BC109" s="52">
        <v>0</v>
      </c>
      <c r="BD109" s="52">
        <v>1.9416666666666664</v>
      </c>
      <c r="BE109" s="51">
        <v>6.8581864452375074E-2</v>
      </c>
      <c r="BF109" s="51">
        <v>0.22290328004478283</v>
      </c>
      <c r="BG109" s="51">
        <v>0</v>
      </c>
      <c r="BH109" s="1">
        <v>0</v>
      </c>
      <c r="BI109" s="51">
        <v>0.2914851444971579</v>
      </c>
      <c r="BJ109" t="s">
        <v>44</v>
      </c>
      <c r="BK109" t="s">
        <v>804</v>
      </c>
    </row>
    <row r="110" spans="1:63" ht="14.25" customHeight="1" x14ac:dyDescent="0.3">
      <c r="A110" s="1" t="s">
        <v>77</v>
      </c>
      <c r="B110" s="1">
        <v>8</v>
      </c>
      <c r="C110" s="3">
        <v>44762</v>
      </c>
      <c r="D110">
        <v>353783</v>
      </c>
      <c r="E110">
        <v>3978257</v>
      </c>
      <c r="F110">
        <v>1774</v>
      </c>
      <c r="G110">
        <v>33</v>
      </c>
      <c r="H110">
        <v>274</v>
      </c>
      <c r="I110">
        <f t="shared" si="26"/>
        <v>94</v>
      </c>
      <c r="J110">
        <v>4</v>
      </c>
      <c r="K110">
        <v>4</v>
      </c>
      <c r="L110" s="43">
        <v>4</v>
      </c>
      <c r="M110" s="27">
        <v>1058</v>
      </c>
      <c r="N110">
        <v>0</v>
      </c>
      <c r="O110">
        <f>25*20</f>
        <v>500</v>
      </c>
      <c r="P110">
        <v>0</v>
      </c>
      <c r="Q110">
        <v>0</v>
      </c>
      <c r="R110">
        <v>64.83</v>
      </c>
      <c r="S110" s="40"/>
      <c r="T110" s="40"/>
      <c r="U110" s="40"/>
      <c r="V110" s="40"/>
      <c r="W110" s="40"/>
      <c r="X110" s="4"/>
      <c r="Y110" s="49"/>
      <c r="Z110" s="49"/>
      <c r="AA110" s="49"/>
      <c r="AB110" s="49"/>
      <c r="AC110" s="49"/>
      <c r="AD110" s="4"/>
      <c r="AE110" s="1">
        <v>8.5</v>
      </c>
      <c r="AF110" s="1">
        <v>0</v>
      </c>
      <c r="AG110" s="1" t="s">
        <v>50</v>
      </c>
      <c r="AH110" s="1">
        <v>68.3</v>
      </c>
      <c r="AI110" s="1">
        <v>1.4</v>
      </c>
      <c r="AJ110" s="1">
        <v>16.3</v>
      </c>
      <c r="AK110" s="1">
        <v>0</v>
      </c>
      <c r="AL110" s="1">
        <v>0</v>
      </c>
      <c r="AM110" s="33">
        <v>0.1</v>
      </c>
      <c r="AN110" s="6">
        <v>20</v>
      </c>
      <c r="AO110" s="6">
        <v>0</v>
      </c>
      <c r="AP110" s="1">
        <v>0</v>
      </c>
      <c r="AQ110" s="1">
        <v>0</v>
      </c>
      <c r="AR110" s="6">
        <f>1*166.67</f>
        <v>166.67</v>
      </c>
      <c r="AS110" s="4">
        <f t="shared" si="29"/>
        <v>0.10708357873320128</v>
      </c>
      <c r="AT110" s="4">
        <f t="shared" si="30"/>
        <v>0</v>
      </c>
      <c r="AU110" s="4">
        <f t="shared" si="31"/>
        <v>0</v>
      </c>
      <c r="AV110" s="4">
        <f t="shared" si="32"/>
        <v>0</v>
      </c>
      <c r="AW110" s="4">
        <f t="shared" si="33"/>
        <v>0.89238100337313275</v>
      </c>
      <c r="AX110" s="1">
        <v>0</v>
      </c>
      <c r="AY110" s="1">
        <v>0</v>
      </c>
      <c r="AZ110" s="1">
        <v>0</v>
      </c>
      <c r="BA110" s="1">
        <v>0</v>
      </c>
      <c r="BB110" s="52">
        <v>8.3333333333333332E-3</v>
      </c>
      <c r="BC110" s="52">
        <v>0</v>
      </c>
      <c r="BD110" s="52">
        <v>2.5000000000000001E-2</v>
      </c>
      <c r="BE110" s="51">
        <v>3.7083856461792263E-2</v>
      </c>
      <c r="BF110" s="51">
        <v>0.15400945852984763</v>
      </c>
      <c r="BG110" s="51">
        <v>0.60581935135283904</v>
      </c>
      <c r="BH110" s="1">
        <v>2.4349883158469336</v>
      </c>
      <c r="BI110" s="51">
        <v>3.2319009821914126</v>
      </c>
      <c r="BJ110" t="s">
        <v>44</v>
      </c>
    </row>
    <row r="111" spans="1:63" ht="14.25" customHeight="1" x14ac:dyDescent="0.3">
      <c r="A111" s="1" t="s">
        <v>77</v>
      </c>
      <c r="B111" s="1">
        <v>9</v>
      </c>
      <c r="C111" s="3">
        <v>44762</v>
      </c>
      <c r="D111">
        <v>353891</v>
      </c>
      <c r="E111">
        <v>3978256</v>
      </c>
      <c r="F111">
        <v>1814</v>
      </c>
      <c r="G111">
        <v>25</v>
      </c>
      <c r="H111">
        <v>339</v>
      </c>
      <c r="I111">
        <f t="shared" si="26"/>
        <v>159</v>
      </c>
      <c r="J111">
        <v>4</v>
      </c>
      <c r="K111">
        <v>4</v>
      </c>
      <c r="L111" s="43">
        <v>4</v>
      </c>
      <c r="M111" s="27">
        <v>1248</v>
      </c>
      <c r="N111">
        <v>0</v>
      </c>
      <c r="O111">
        <f>29*20</f>
        <v>580</v>
      </c>
      <c r="P111">
        <v>0</v>
      </c>
      <c r="Q111">
        <v>0</v>
      </c>
      <c r="R111">
        <v>45.07</v>
      </c>
      <c r="S111" s="40"/>
      <c r="T111" s="40"/>
      <c r="U111" s="40"/>
      <c r="V111" s="40"/>
      <c r="W111" s="40"/>
      <c r="X111" s="4"/>
      <c r="Y111" s="49"/>
      <c r="Z111" s="49"/>
      <c r="AA111" s="49"/>
      <c r="AB111" s="49"/>
      <c r="AC111" s="49"/>
      <c r="AD111" s="4"/>
      <c r="AE111" s="1">
        <v>63.8</v>
      </c>
      <c r="AF111" s="1">
        <v>0</v>
      </c>
      <c r="AG111" s="1" t="s">
        <v>50</v>
      </c>
      <c r="AH111" s="1">
        <v>64</v>
      </c>
      <c r="AI111" s="1">
        <v>21.5</v>
      </c>
      <c r="AJ111" s="1">
        <v>1.4</v>
      </c>
      <c r="AK111" s="1">
        <v>0</v>
      </c>
      <c r="AL111" s="1">
        <v>4.2</v>
      </c>
      <c r="AM111" s="33">
        <v>0.1</v>
      </c>
      <c r="AN111" s="6">
        <v>1850</v>
      </c>
      <c r="AO111" s="6">
        <v>0</v>
      </c>
      <c r="AP111" s="1">
        <v>40</v>
      </c>
      <c r="AQ111" s="1">
        <v>0</v>
      </c>
      <c r="AR111" s="1">
        <v>0</v>
      </c>
      <c r="AS111" s="4">
        <f t="shared" si="29"/>
        <v>0.97878419131262906</v>
      </c>
      <c r="AT111" s="4">
        <f t="shared" si="30"/>
        <v>0</v>
      </c>
      <c r="AU111" s="4">
        <f t="shared" si="31"/>
        <v>2.1162901433786574E-2</v>
      </c>
      <c r="AV111" s="4">
        <f t="shared" si="32"/>
        <v>0</v>
      </c>
      <c r="AW111" s="4">
        <f t="shared" si="33"/>
        <v>0</v>
      </c>
      <c r="AX111" s="1">
        <v>0</v>
      </c>
      <c r="AY111" s="1">
        <v>0</v>
      </c>
      <c r="AZ111" s="1">
        <v>0</v>
      </c>
      <c r="BA111" s="1">
        <v>0</v>
      </c>
      <c r="BB111" s="52">
        <v>0.16666666666666669</v>
      </c>
      <c r="BC111" s="52">
        <v>0</v>
      </c>
      <c r="BD111" s="52">
        <v>0.47500000000000003</v>
      </c>
      <c r="BE111" s="51">
        <v>0.10889913340583245</v>
      </c>
      <c r="BF111" s="51">
        <v>2.261293480558269</v>
      </c>
      <c r="BG111" s="51">
        <v>0.59300918384598889</v>
      </c>
      <c r="BH111" s="1">
        <v>10.636457014934862</v>
      </c>
      <c r="BI111" s="51">
        <v>13.599658812744952</v>
      </c>
      <c r="BJ111" t="s">
        <v>57</v>
      </c>
    </row>
    <row r="112" spans="1:63" ht="14.25" customHeight="1" x14ac:dyDescent="0.3">
      <c r="A112" s="1" t="s">
        <v>77</v>
      </c>
      <c r="B112" s="1">
        <v>11</v>
      </c>
      <c r="C112" s="3">
        <v>44755</v>
      </c>
      <c r="D112">
        <v>353796</v>
      </c>
      <c r="E112">
        <v>3978340</v>
      </c>
      <c r="F112">
        <v>1771</v>
      </c>
      <c r="G112">
        <v>20</v>
      </c>
      <c r="H112">
        <v>293</v>
      </c>
      <c r="I112">
        <f t="shared" si="26"/>
        <v>113</v>
      </c>
      <c r="J112">
        <v>4</v>
      </c>
      <c r="K112">
        <v>4</v>
      </c>
      <c r="L112" s="43">
        <v>4</v>
      </c>
      <c r="M112" s="27">
        <v>1094</v>
      </c>
      <c r="N112">
        <v>0</v>
      </c>
      <c r="O112">
        <f>30*20</f>
        <v>600</v>
      </c>
      <c r="P112">
        <v>0</v>
      </c>
      <c r="Q112">
        <v>0</v>
      </c>
      <c r="R112">
        <v>91.99</v>
      </c>
      <c r="S112" s="40"/>
      <c r="T112" s="40"/>
      <c r="U112" s="40"/>
      <c r="V112" s="40"/>
      <c r="W112" s="40"/>
      <c r="X112" s="4"/>
      <c r="Y112" s="49"/>
      <c r="Z112" s="49"/>
      <c r="AA112" s="49"/>
      <c r="AB112" s="49"/>
      <c r="AC112" s="49"/>
      <c r="AD112" s="4"/>
      <c r="AE112" s="1">
        <v>18.399999999999999</v>
      </c>
      <c r="AF112" s="1">
        <v>0</v>
      </c>
      <c r="AG112" s="1" t="s">
        <v>50</v>
      </c>
      <c r="AH112" s="1">
        <v>72.5</v>
      </c>
      <c r="AI112" s="1">
        <v>13.2</v>
      </c>
      <c r="AJ112" s="1">
        <v>2.6</v>
      </c>
      <c r="AK112" s="1">
        <v>0</v>
      </c>
      <c r="AL112" s="1">
        <v>0</v>
      </c>
      <c r="AM112" s="33">
        <v>0.1</v>
      </c>
      <c r="AN112" s="6">
        <v>50</v>
      </c>
      <c r="AO112" s="6">
        <v>50</v>
      </c>
      <c r="AP112" s="1">
        <v>0</v>
      </c>
      <c r="AQ112" s="1">
        <v>0</v>
      </c>
      <c r="AR112" s="1">
        <v>0</v>
      </c>
      <c r="AS112" s="4">
        <f t="shared" si="29"/>
        <v>0.49950049950049952</v>
      </c>
      <c r="AT112" s="4">
        <f t="shared" si="30"/>
        <v>0.49950049950049952</v>
      </c>
      <c r="AU112" s="4">
        <f t="shared" si="31"/>
        <v>0</v>
      </c>
      <c r="AV112" s="4">
        <f t="shared" si="32"/>
        <v>0</v>
      </c>
      <c r="AW112" s="4">
        <f t="shared" si="33"/>
        <v>0</v>
      </c>
      <c r="AX112" s="1">
        <v>0</v>
      </c>
      <c r="AY112" s="1">
        <v>0</v>
      </c>
      <c r="AZ112" s="1">
        <v>0</v>
      </c>
      <c r="BA112" s="1">
        <v>0</v>
      </c>
      <c r="BB112" s="52">
        <v>7.4999999999999997E-2</v>
      </c>
      <c r="BC112" s="52">
        <v>0</v>
      </c>
      <c r="BD112" s="52">
        <v>1.8</v>
      </c>
      <c r="BE112" s="51">
        <v>9.8761587718343605E-2</v>
      </c>
      <c r="BF112" s="51">
        <v>0.74574075177288757</v>
      </c>
      <c r="BG112" s="51">
        <v>0.29334833251742898</v>
      </c>
      <c r="BH112" s="1">
        <v>0</v>
      </c>
      <c r="BI112" s="51">
        <v>1.1378506720086601</v>
      </c>
      <c r="BJ112" t="s">
        <v>44</v>
      </c>
    </row>
    <row r="113" spans="1:63" ht="14.25" customHeight="1" x14ac:dyDescent="0.3">
      <c r="A113" s="1" t="s">
        <v>77</v>
      </c>
      <c r="B113" s="1">
        <v>12</v>
      </c>
      <c r="C113" s="3">
        <v>44755</v>
      </c>
      <c r="D113">
        <v>353880</v>
      </c>
      <c r="E113">
        <v>3978358</v>
      </c>
      <c r="F113">
        <v>1797</v>
      </c>
      <c r="G113">
        <v>16</v>
      </c>
      <c r="H113">
        <v>318</v>
      </c>
      <c r="I113">
        <f t="shared" si="26"/>
        <v>138</v>
      </c>
      <c r="J113">
        <v>4</v>
      </c>
      <c r="K113">
        <v>4</v>
      </c>
      <c r="L113" s="43">
        <v>4</v>
      </c>
      <c r="M113" s="27">
        <v>1182</v>
      </c>
      <c r="N113">
        <v>0</v>
      </c>
      <c r="O113">
        <f>26*20</f>
        <v>520</v>
      </c>
      <c r="P113">
        <v>0</v>
      </c>
      <c r="Q113">
        <v>0</v>
      </c>
      <c r="R113">
        <v>30.11</v>
      </c>
      <c r="S113" s="40"/>
      <c r="T113" s="40"/>
      <c r="U113" s="40"/>
      <c r="V113" s="40"/>
      <c r="W113" s="40"/>
      <c r="X113" s="4"/>
      <c r="Y113" s="49"/>
      <c r="Z113" s="49"/>
      <c r="AA113" s="49"/>
      <c r="AB113" s="49"/>
      <c r="AC113" s="49"/>
      <c r="AD113" s="4"/>
      <c r="AE113" s="1">
        <v>42.9</v>
      </c>
      <c r="AF113" s="1">
        <v>0</v>
      </c>
      <c r="AG113" s="1" t="s">
        <v>50</v>
      </c>
      <c r="AH113" s="1">
        <v>64</v>
      </c>
      <c r="AI113" s="1">
        <v>5</v>
      </c>
      <c r="AJ113" s="1">
        <v>0.4</v>
      </c>
      <c r="AK113" s="1">
        <v>0</v>
      </c>
      <c r="AL113" s="1">
        <v>0</v>
      </c>
      <c r="AM113" s="33">
        <v>0.1</v>
      </c>
      <c r="AN113" s="6">
        <v>10</v>
      </c>
      <c r="AO113" s="6">
        <v>0</v>
      </c>
      <c r="AP113" s="1">
        <v>0</v>
      </c>
      <c r="AQ113" s="1">
        <v>0</v>
      </c>
      <c r="AR113" s="1">
        <v>0</v>
      </c>
      <c r="AS113" s="4">
        <f t="shared" si="29"/>
        <v>0.99009900990099009</v>
      </c>
      <c r="AT113" s="4">
        <f t="shared" si="30"/>
        <v>0</v>
      </c>
      <c r="AU113" s="4">
        <f t="shared" si="31"/>
        <v>0</v>
      </c>
      <c r="AV113" s="4">
        <f t="shared" si="32"/>
        <v>0</v>
      </c>
      <c r="AW113" s="4">
        <f t="shared" si="33"/>
        <v>0</v>
      </c>
      <c r="AX113" s="1">
        <v>0</v>
      </c>
      <c r="AY113" s="1">
        <v>0</v>
      </c>
      <c r="AZ113" s="1">
        <v>0</v>
      </c>
      <c r="BA113" s="1">
        <v>0</v>
      </c>
      <c r="BB113" s="52">
        <v>0.1</v>
      </c>
      <c r="BC113" s="52">
        <v>0</v>
      </c>
      <c r="BD113" s="52">
        <v>0.85833333333333328</v>
      </c>
      <c r="BE113" s="51">
        <v>1.7831903699858105E-2</v>
      </c>
      <c r="BF113" s="51">
        <v>0.44433596104564449</v>
      </c>
      <c r="BG113" s="51">
        <v>0.58262076081351655</v>
      </c>
      <c r="BH113" s="1">
        <v>6.5487702629333739</v>
      </c>
      <c r="BI113" s="51">
        <v>7.5935588884923932</v>
      </c>
      <c r="BJ113" t="s">
        <v>44</v>
      </c>
    </row>
    <row r="114" spans="1:63" ht="14.25" customHeight="1" x14ac:dyDescent="0.3">
      <c r="A114" s="1" t="s">
        <v>77</v>
      </c>
      <c r="B114" s="1">
        <v>13</v>
      </c>
      <c r="C114" s="3">
        <v>44754</v>
      </c>
      <c r="D114">
        <v>353983</v>
      </c>
      <c r="E114">
        <v>3978457</v>
      </c>
      <c r="F114">
        <v>1831</v>
      </c>
      <c r="G114">
        <v>22</v>
      </c>
      <c r="H114">
        <v>268</v>
      </c>
      <c r="I114">
        <f t="shared" si="26"/>
        <v>88</v>
      </c>
      <c r="J114">
        <v>4</v>
      </c>
      <c r="K114">
        <v>4</v>
      </c>
      <c r="L114" s="43">
        <v>4</v>
      </c>
      <c r="M114" s="27">
        <v>1013</v>
      </c>
      <c r="N114">
        <v>0</v>
      </c>
      <c r="O114">
        <f>38*20</f>
        <v>760</v>
      </c>
      <c r="P114">
        <v>0</v>
      </c>
      <c r="Q114">
        <v>0</v>
      </c>
      <c r="R114">
        <v>93.37</v>
      </c>
      <c r="S114" s="40"/>
      <c r="T114" s="40"/>
      <c r="U114" s="40"/>
      <c r="V114" s="40"/>
      <c r="W114" s="40"/>
      <c r="X114" s="4"/>
      <c r="Y114" s="49"/>
      <c r="Z114" s="49"/>
      <c r="AA114" s="49"/>
      <c r="AB114" s="49"/>
      <c r="AC114" s="49"/>
      <c r="AD114" s="4"/>
      <c r="AE114" s="1">
        <v>4.0999999999999996</v>
      </c>
      <c r="AF114" s="1">
        <v>1.71</v>
      </c>
      <c r="AG114" s="1" t="s">
        <v>58</v>
      </c>
      <c r="AH114" s="1">
        <v>75.2</v>
      </c>
      <c r="AI114" s="1">
        <v>0.5</v>
      </c>
      <c r="AJ114" s="1">
        <v>3.4</v>
      </c>
      <c r="AK114" s="1">
        <v>0</v>
      </c>
      <c r="AL114" s="1">
        <v>6.8</v>
      </c>
      <c r="AM114" s="33">
        <v>0.1</v>
      </c>
      <c r="AN114" s="6">
        <v>110</v>
      </c>
      <c r="AO114" s="6">
        <v>0</v>
      </c>
      <c r="AP114" s="1">
        <v>0</v>
      </c>
      <c r="AQ114" s="1">
        <v>0</v>
      </c>
      <c r="AR114" s="1">
        <v>50</v>
      </c>
      <c r="AS114" s="4">
        <f t="shared" si="29"/>
        <v>0.68707058088694573</v>
      </c>
      <c r="AT114" s="4">
        <f t="shared" si="30"/>
        <v>0</v>
      </c>
      <c r="AU114" s="4">
        <f t="shared" si="31"/>
        <v>0</v>
      </c>
      <c r="AV114" s="4">
        <f t="shared" si="32"/>
        <v>0</v>
      </c>
      <c r="AW114" s="4">
        <f t="shared" si="33"/>
        <v>0.31230480949406619</v>
      </c>
      <c r="AX114" s="1">
        <v>0</v>
      </c>
      <c r="AY114" s="1">
        <v>0</v>
      </c>
      <c r="AZ114" s="1">
        <v>0</v>
      </c>
      <c r="BA114" s="1">
        <v>10</v>
      </c>
      <c r="BB114" s="52">
        <v>8.3333333333333332E-3</v>
      </c>
      <c r="BC114" s="52">
        <v>0</v>
      </c>
      <c r="BD114" s="52">
        <v>0.18333333333333332</v>
      </c>
      <c r="BE114" s="51">
        <v>2.4038698295289561E-2</v>
      </c>
      <c r="BF114" s="51">
        <v>0.89849560841410159</v>
      </c>
      <c r="BG114" s="51">
        <v>0</v>
      </c>
      <c r="BH114" s="1">
        <v>1.3551111905418336</v>
      </c>
      <c r="BI114" s="51">
        <v>2.2776454972512248</v>
      </c>
      <c r="BJ114" t="s">
        <v>44</v>
      </c>
      <c r="BK114" t="s">
        <v>803</v>
      </c>
    </row>
    <row r="115" spans="1:63" ht="14.25" customHeight="1" x14ac:dyDescent="0.3"/>
    <row r="116" spans="1:63" ht="14.25" customHeight="1" x14ac:dyDescent="0.3"/>
    <row r="117" spans="1:63" ht="14.25" customHeight="1" x14ac:dyDescent="0.3"/>
    <row r="118" spans="1:63" ht="14.25" customHeight="1" x14ac:dyDescent="0.3"/>
    <row r="119" spans="1:63" ht="14.25" customHeight="1" x14ac:dyDescent="0.3"/>
    <row r="120" spans="1:63" ht="14.25" customHeight="1" x14ac:dyDescent="0.3"/>
    <row r="121" spans="1:63" ht="14.25" customHeight="1" x14ac:dyDescent="0.3"/>
    <row r="122" spans="1:63" ht="14.25" customHeight="1" x14ac:dyDescent="0.3"/>
    <row r="123" spans="1:63" ht="14.25" customHeight="1" x14ac:dyDescent="0.3"/>
    <row r="124" spans="1:63" ht="14.25" customHeight="1" x14ac:dyDescent="0.3"/>
    <row r="125" spans="1:63" ht="14.25" customHeight="1" x14ac:dyDescent="0.3"/>
    <row r="126" spans="1:63" ht="14.25" customHeight="1" x14ac:dyDescent="0.3"/>
    <row r="127" spans="1:63" ht="14.25" customHeight="1" x14ac:dyDescent="0.3"/>
    <row r="128" spans="1:63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BK114">
    <sortCondition ref="A2:A114"/>
    <sortCondition ref="B2:B114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7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defaultColWidth="14.44140625" defaultRowHeight="15" customHeight="1" x14ac:dyDescent="0.3"/>
  <cols>
    <col min="1" max="1" width="15.5546875" customWidth="1"/>
    <col min="2" max="2" width="6.44140625" customWidth="1"/>
    <col min="3" max="3" width="8.33203125" customWidth="1"/>
    <col min="4" max="4" width="5.6640625" bestFit="1" customWidth="1"/>
    <col min="5" max="5" width="6.6640625" customWidth="1"/>
    <col min="6" max="6" width="9.33203125" customWidth="1"/>
    <col min="7" max="7" width="8.6640625" customWidth="1"/>
    <col min="8" max="8" width="6.44140625" customWidth="1"/>
    <col min="9" max="9" width="10.6640625" customWidth="1"/>
    <col min="10" max="10" width="9.33203125" customWidth="1"/>
    <col min="11" max="12" width="8.6640625" customWidth="1"/>
    <col min="13" max="13" width="7.44140625" customWidth="1"/>
    <col min="14" max="14" width="7.33203125" customWidth="1"/>
    <col min="15" max="15" width="10.6640625" customWidth="1"/>
    <col min="16" max="16" width="12.6640625" customWidth="1"/>
    <col min="17" max="18" width="8.6640625" customWidth="1"/>
  </cols>
  <sheetData>
    <row r="1" spans="1:22" ht="14.25" customHeight="1" x14ac:dyDescent="0.3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42</v>
      </c>
      <c r="R1" s="1"/>
      <c r="S1" s="67"/>
      <c r="T1" s="67"/>
      <c r="U1" s="67"/>
      <c r="V1" s="67"/>
    </row>
    <row r="2" spans="1:22" ht="14.25" customHeight="1" x14ac:dyDescent="0.3">
      <c r="A2" s="1" t="s">
        <v>43</v>
      </c>
      <c r="B2" s="1">
        <v>1</v>
      </c>
      <c r="C2" s="1">
        <v>7</v>
      </c>
      <c r="D2" s="1" t="str">
        <f t="shared" ref="D2:D65" si="0">IF(E2&gt;12.5, "No", "Yes")</f>
        <v>No</v>
      </c>
      <c r="E2" s="1">
        <v>22</v>
      </c>
      <c r="F2" s="1">
        <v>180</v>
      </c>
      <c r="G2" s="1" t="s">
        <v>93</v>
      </c>
      <c r="H2" s="1" t="s">
        <v>95</v>
      </c>
      <c r="I2" s="1">
        <v>39.299999999999997</v>
      </c>
      <c r="J2" s="1" t="s">
        <v>101</v>
      </c>
      <c r="M2" s="1" t="s">
        <v>102</v>
      </c>
      <c r="O2" s="1">
        <v>5</v>
      </c>
    </row>
    <row r="3" spans="1:22" ht="14.25" customHeight="1" x14ac:dyDescent="0.3">
      <c r="A3" s="1" t="s">
        <v>43</v>
      </c>
      <c r="B3" s="1">
        <v>1</v>
      </c>
      <c r="C3" s="1">
        <v>6</v>
      </c>
      <c r="D3" s="1" t="str">
        <f t="shared" si="0"/>
        <v>No</v>
      </c>
      <c r="E3" s="1">
        <v>14.9</v>
      </c>
      <c r="F3" s="1">
        <v>125</v>
      </c>
      <c r="G3" s="1" t="s">
        <v>93</v>
      </c>
      <c r="H3" s="1" t="s">
        <v>94</v>
      </c>
      <c r="I3" s="1">
        <v>45.7</v>
      </c>
      <c r="J3" s="1" t="s">
        <v>95</v>
      </c>
      <c r="P3" s="1">
        <v>503</v>
      </c>
    </row>
    <row r="4" spans="1:22" ht="14.25" customHeight="1" x14ac:dyDescent="0.3">
      <c r="A4" s="1" t="s">
        <v>43</v>
      </c>
      <c r="B4" s="1">
        <v>1</v>
      </c>
      <c r="C4" s="1">
        <v>4</v>
      </c>
      <c r="D4" s="1" t="str">
        <f t="shared" si="0"/>
        <v>Yes</v>
      </c>
      <c r="E4" s="1">
        <v>8.5</v>
      </c>
      <c r="F4" s="1">
        <v>54</v>
      </c>
      <c r="G4" s="1" t="s">
        <v>98</v>
      </c>
      <c r="H4" s="1" t="s">
        <v>95</v>
      </c>
      <c r="I4" s="1">
        <v>21.5</v>
      </c>
      <c r="J4" s="1" t="s">
        <v>95</v>
      </c>
      <c r="K4" s="1">
        <v>1</v>
      </c>
      <c r="L4" s="1">
        <v>99</v>
      </c>
      <c r="M4" s="1" t="s">
        <v>97</v>
      </c>
      <c r="O4" s="1">
        <v>1</v>
      </c>
      <c r="Q4" s="1" t="s">
        <v>99</v>
      </c>
    </row>
    <row r="5" spans="1:22" ht="14.25" customHeight="1" x14ac:dyDescent="0.3">
      <c r="A5" s="1" t="s">
        <v>43</v>
      </c>
      <c r="B5" s="1">
        <v>1</v>
      </c>
      <c r="C5" s="1">
        <v>8</v>
      </c>
      <c r="D5" s="1" t="str">
        <f t="shared" si="0"/>
        <v>Yes</v>
      </c>
      <c r="E5" s="1">
        <v>10.8</v>
      </c>
      <c r="F5" s="1">
        <v>198</v>
      </c>
      <c r="G5" s="1" t="s">
        <v>93</v>
      </c>
      <c r="H5" s="1" t="s">
        <v>95</v>
      </c>
      <c r="I5" s="1">
        <v>65</v>
      </c>
      <c r="J5" s="1" t="s">
        <v>95</v>
      </c>
      <c r="M5" s="1" t="s">
        <v>97</v>
      </c>
      <c r="O5" s="1">
        <v>5</v>
      </c>
    </row>
    <row r="6" spans="1:22" ht="14.25" customHeight="1" x14ac:dyDescent="0.3">
      <c r="A6" s="1" t="s">
        <v>43</v>
      </c>
      <c r="B6" s="1">
        <v>1</v>
      </c>
      <c r="C6" s="1">
        <v>13</v>
      </c>
      <c r="D6" s="1" t="str">
        <f t="shared" si="0"/>
        <v>Yes</v>
      </c>
      <c r="E6" s="1">
        <v>11.3</v>
      </c>
      <c r="F6" s="1">
        <v>283</v>
      </c>
      <c r="G6" s="1" t="s">
        <v>93</v>
      </c>
      <c r="H6" s="1" t="s">
        <v>95</v>
      </c>
      <c r="I6" s="1">
        <v>38.1</v>
      </c>
      <c r="J6" s="1" t="s">
        <v>95</v>
      </c>
      <c r="M6" s="1" t="s">
        <v>102</v>
      </c>
      <c r="O6" s="1">
        <v>1</v>
      </c>
      <c r="R6" s="1"/>
    </row>
    <row r="7" spans="1:22" ht="14.25" customHeight="1" x14ac:dyDescent="0.3">
      <c r="A7" s="1" t="s">
        <v>43</v>
      </c>
      <c r="B7" s="1">
        <v>1</v>
      </c>
      <c r="C7" s="1">
        <v>10</v>
      </c>
      <c r="D7" s="1" t="str">
        <f t="shared" si="0"/>
        <v>Yes</v>
      </c>
      <c r="E7" s="1">
        <v>10.199999999999999</v>
      </c>
      <c r="F7" s="1">
        <v>222</v>
      </c>
      <c r="G7" s="1" t="s">
        <v>93</v>
      </c>
      <c r="H7" s="1" t="s">
        <v>95</v>
      </c>
      <c r="I7" s="1">
        <v>25.6</v>
      </c>
      <c r="J7" s="1" t="s">
        <v>101</v>
      </c>
      <c r="M7" s="1" t="s">
        <v>102</v>
      </c>
      <c r="O7" s="1">
        <v>5</v>
      </c>
    </row>
    <row r="8" spans="1:22" ht="14.25" customHeight="1" x14ac:dyDescent="0.3">
      <c r="A8" s="1" t="s">
        <v>43</v>
      </c>
      <c r="B8" s="1">
        <v>1</v>
      </c>
      <c r="C8" s="1">
        <v>9</v>
      </c>
      <c r="D8" s="1" t="str">
        <f t="shared" si="0"/>
        <v>Yes</v>
      </c>
      <c r="E8" s="1">
        <v>10</v>
      </c>
      <c r="F8" s="1">
        <v>216</v>
      </c>
      <c r="G8" s="1" t="s">
        <v>93</v>
      </c>
      <c r="H8" s="1" t="s">
        <v>95</v>
      </c>
      <c r="I8" s="1">
        <v>22</v>
      </c>
      <c r="J8" s="1" t="s">
        <v>101</v>
      </c>
      <c r="M8" s="1" t="s">
        <v>102</v>
      </c>
      <c r="O8" s="1">
        <v>5</v>
      </c>
    </row>
    <row r="9" spans="1:22" ht="14.25" customHeight="1" x14ac:dyDescent="0.3">
      <c r="A9" s="1" t="s">
        <v>43</v>
      </c>
      <c r="B9" s="1">
        <v>1</v>
      </c>
      <c r="C9" s="1">
        <v>12</v>
      </c>
      <c r="D9" s="1" t="str">
        <f t="shared" si="0"/>
        <v>Yes</v>
      </c>
      <c r="E9" s="1">
        <v>3.7</v>
      </c>
      <c r="F9" s="1">
        <v>202</v>
      </c>
      <c r="G9" s="1" t="s">
        <v>93</v>
      </c>
      <c r="H9" s="1" t="s">
        <v>95</v>
      </c>
      <c r="I9" s="1">
        <v>21.7</v>
      </c>
      <c r="J9" s="1" t="s">
        <v>101</v>
      </c>
      <c r="M9" s="1" t="s">
        <v>97</v>
      </c>
      <c r="O9" s="1">
        <v>5</v>
      </c>
    </row>
    <row r="10" spans="1:22" ht="14.25" customHeight="1" x14ac:dyDescent="0.3">
      <c r="A10" s="1" t="s">
        <v>43</v>
      </c>
      <c r="B10" s="1">
        <v>1</v>
      </c>
      <c r="C10" s="1">
        <v>11</v>
      </c>
      <c r="D10" s="1" t="str">
        <f t="shared" si="0"/>
        <v>Yes</v>
      </c>
      <c r="E10" s="1">
        <v>9.6999999999999993</v>
      </c>
      <c r="F10" s="1">
        <v>252</v>
      </c>
      <c r="G10" s="1" t="s">
        <v>93</v>
      </c>
      <c r="H10" s="1" t="s">
        <v>95</v>
      </c>
      <c r="I10" s="1">
        <v>12.3</v>
      </c>
      <c r="J10" s="1" t="s">
        <v>95</v>
      </c>
      <c r="M10" s="1" t="s">
        <v>102</v>
      </c>
      <c r="O10" s="1">
        <v>1</v>
      </c>
    </row>
    <row r="11" spans="1:22" ht="14.25" customHeight="1" x14ac:dyDescent="0.3">
      <c r="A11" s="1" t="s">
        <v>43</v>
      </c>
      <c r="B11" s="1">
        <v>1</v>
      </c>
      <c r="C11" s="1">
        <v>5</v>
      </c>
      <c r="D11" s="1" t="str">
        <f t="shared" si="0"/>
        <v>Yes</v>
      </c>
      <c r="E11" s="1">
        <v>8.6999999999999993</v>
      </c>
      <c r="F11" s="1">
        <v>54</v>
      </c>
      <c r="G11" s="1" t="s">
        <v>93</v>
      </c>
      <c r="H11" s="1" t="s">
        <v>95</v>
      </c>
      <c r="I11" s="1">
        <v>11.3</v>
      </c>
      <c r="J11" s="1" t="s">
        <v>95</v>
      </c>
      <c r="K11" s="1">
        <v>0</v>
      </c>
      <c r="L11" s="1">
        <v>100</v>
      </c>
      <c r="M11" s="1" t="s">
        <v>102</v>
      </c>
      <c r="O11" s="1">
        <v>1</v>
      </c>
    </row>
    <row r="12" spans="1:22" ht="14.25" customHeight="1" x14ac:dyDescent="0.3">
      <c r="A12" s="1" t="s">
        <v>43</v>
      </c>
      <c r="B12" s="1">
        <v>1</v>
      </c>
      <c r="C12" s="1">
        <v>2</v>
      </c>
      <c r="D12" s="1" t="str">
        <f t="shared" si="0"/>
        <v>Yes</v>
      </c>
      <c r="E12" s="1">
        <v>8.1</v>
      </c>
      <c r="F12" s="1">
        <v>19</v>
      </c>
      <c r="G12" s="1" t="s">
        <v>96</v>
      </c>
      <c r="H12" s="1" t="s">
        <v>94</v>
      </c>
      <c r="I12" s="1">
        <v>35.299999999999997</v>
      </c>
      <c r="J12" s="1" t="s">
        <v>95</v>
      </c>
      <c r="K12" s="1">
        <v>0</v>
      </c>
      <c r="L12" s="1">
        <v>30</v>
      </c>
      <c r="M12" s="1" t="s">
        <v>97</v>
      </c>
      <c r="P12" s="1">
        <v>501</v>
      </c>
      <c r="R12" s="1"/>
    </row>
    <row r="13" spans="1:22" ht="14.25" customHeight="1" x14ac:dyDescent="0.3">
      <c r="A13" s="1" t="s">
        <v>43</v>
      </c>
      <c r="B13" s="1">
        <v>1</v>
      </c>
      <c r="C13" s="1">
        <v>1</v>
      </c>
      <c r="D13" s="1" t="str">
        <f t="shared" si="0"/>
        <v>Yes</v>
      </c>
      <c r="E13" s="1">
        <v>4.5</v>
      </c>
      <c r="F13" s="1">
        <v>5</v>
      </c>
      <c r="G13" s="1" t="s">
        <v>98</v>
      </c>
      <c r="H13" s="1" t="s">
        <v>94</v>
      </c>
      <c r="I13" s="1">
        <v>19.3</v>
      </c>
      <c r="J13" s="1" t="s">
        <v>95</v>
      </c>
      <c r="K13" s="1">
        <v>5</v>
      </c>
      <c r="L13" s="1">
        <v>60</v>
      </c>
      <c r="M13" s="1" t="s">
        <v>97</v>
      </c>
    </row>
    <row r="14" spans="1:22" ht="14.25" customHeight="1" x14ac:dyDescent="0.3">
      <c r="A14" s="1" t="s">
        <v>43</v>
      </c>
      <c r="B14" s="1">
        <v>1</v>
      </c>
      <c r="C14" s="1">
        <v>3</v>
      </c>
      <c r="D14" s="1" t="str">
        <f t="shared" si="0"/>
        <v>Yes</v>
      </c>
      <c r="E14" s="1">
        <v>9.1</v>
      </c>
      <c r="F14" s="1">
        <v>19</v>
      </c>
      <c r="G14" s="1" t="s">
        <v>98</v>
      </c>
      <c r="H14" s="1" t="s">
        <v>94</v>
      </c>
      <c r="I14" s="1">
        <v>17.100000000000001</v>
      </c>
      <c r="J14" s="1" t="s">
        <v>95</v>
      </c>
      <c r="K14" s="1">
        <v>0</v>
      </c>
      <c r="L14" s="1">
        <v>5</v>
      </c>
      <c r="M14" s="1" t="s">
        <v>97</v>
      </c>
      <c r="N14" s="1" t="s">
        <v>100</v>
      </c>
      <c r="Q14" s="1" t="s">
        <v>99</v>
      </c>
    </row>
    <row r="15" spans="1:22" ht="14.25" customHeight="1" x14ac:dyDescent="0.3">
      <c r="A15" s="1" t="s">
        <v>43</v>
      </c>
      <c r="B15" s="1">
        <v>1</v>
      </c>
      <c r="C15" s="1">
        <v>14</v>
      </c>
      <c r="D15" s="1" t="str">
        <f t="shared" si="0"/>
        <v>Yes</v>
      </c>
      <c r="E15" s="1">
        <v>10.1</v>
      </c>
      <c r="F15" s="1">
        <v>154</v>
      </c>
      <c r="G15" s="1" t="s">
        <v>93</v>
      </c>
      <c r="H15" s="1" t="s">
        <v>94</v>
      </c>
      <c r="I15" s="1">
        <v>39.9</v>
      </c>
      <c r="J15" s="1" t="s">
        <v>95</v>
      </c>
      <c r="K15" s="1">
        <v>0</v>
      </c>
      <c r="L15" s="1">
        <v>10</v>
      </c>
      <c r="M15" s="1" t="s">
        <v>97</v>
      </c>
      <c r="P15" s="1">
        <v>502</v>
      </c>
    </row>
    <row r="16" spans="1:22" ht="14.25" customHeight="1" x14ac:dyDescent="0.3">
      <c r="A16" s="1" t="s">
        <v>43</v>
      </c>
      <c r="B16" s="1">
        <v>2</v>
      </c>
      <c r="C16" s="1">
        <v>18</v>
      </c>
      <c r="D16" s="1" t="str">
        <f t="shared" si="0"/>
        <v>Yes</v>
      </c>
      <c r="E16" s="1">
        <v>9.5</v>
      </c>
      <c r="F16" s="1">
        <v>222</v>
      </c>
      <c r="G16" s="1" t="s">
        <v>93</v>
      </c>
      <c r="H16" s="1" t="s">
        <v>95</v>
      </c>
      <c r="I16" s="1">
        <v>45.6</v>
      </c>
      <c r="J16" s="1" t="s">
        <v>95</v>
      </c>
      <c r="O16" s="1">
        <v>1</v>
      </c>
      <c r="P16" s="1">
        <v>506</v>
      </c>
    </row>
    <row r="17" spans="1:18" ht="14.25" customHeight="1" x14ac:dyDescent="0.3">
      <c r="A17" s="1" t="s">
        <v>43</v>
      </c>
      <c r="B17" s="1">
        <v>2</v>
      </c>
      <c r="C17" s="1">
        <v>20</v>
      </c>
      <c r="D17" s="1" t="str">
        <f t="shared" si="0"/>
        <v>Yes</v>
      </c>
      <c r="E17" s="1">
        <v>10.3</v>
      </c>
      <c r="F17" s="1">
        <v>193</v>
      </c>
      <c r="G17" s="1" t="s">
        <v>93</v>
      </c>
      <c r="H17" s="1" t="s">
        <v>95</v>
      </c>
      <c r="I17" s="1">
        <v>37.5</v>
      </c>
      <c r="J17" s="1" t="s">
        <v>95</v>
      </c>
      <c r="O17" s="1">
        <v>2</v>
      </c>
      <c r="Q17" s="1" t="s">
        <v>104</v>
      </c>
    </row>
    <row r="18" spans="1:18" ht="14.25" customHeight="1" x14ac:dyDescent="0.3">
      <c r="A18" s="1" t="s">
        <v>43</v>
      </c>
      <c r="B18" s="1">
        <v>2</v>
      </c>
      <c r="C18" s="1">
        <v>12</v>
      </c>
      <c r="D18" s="1" t="str">
        <f t="shared" si="0"/>
        <v>Yes</v>
      </c>
      <c r="E18" s="1">
        <v>7.2</v>
      </c>
      <c r="F18" s="1">
        <v>320</v>
      </c>
      <c r="G18" s="1" t="s">
        <v>93</v>
      </c>
      <c r="H18" s="1" t="s">
        <v>95</v>
      </c>
      <c r="I18" s="1">
        <v>31.2</v>
      </c>
      <c r="J18" s="1" t="s">
        <v>95</v>
      </c>
      <c r="O18" s="1">
        <v>1</v>
      </c>
    </row>
    <row r="19" spans="1:18" ht="14.25" customHeight="1" x14ac:dyDescent="0.3">
      <c r="A19" s="1" t="s">
        <v>43</v>
      </c>
      <c r="B19" s="1">
        <v>2</v>
      </c>
      <c r="C19" s="1">
        <v>13</v>
      </c>
      <c r="D19" s="1" t="str">
        <f t="shared" si="0"/>
        <v>Yes</v>
      </c>
      <c r="E19" s="1">
        <v>6.6</v>
      </c>
      <c r="F19" s="1">
        <v>296</v>
      </c>
      <c r="G19" s="1" t="s">
        <v>93</v>
      </c>
      <c r="H19" s="1" t="s">
        <v>95</v>
      </c>
      <c r="I19" s="1">
        <v>30.4</v>
      </c>
      <c r="J19" s="1" t="s">
        <v>95</v>
      </c>
      <c r="O19" s="1">
        <v>1</v>
      </c>
      <c r="P19" s="1">
        <v>505</v>
      </c>
    </row>
    <row r="20" spans="1:18" ht="14.25" customHeight="1" x14ac:dyDescent="0.3">
      <c r="A20" s="1" t="s">
        <v>43</v>
      </c>
      <c r="B20" s="1">
        <v>2</v>
      </c>
      <c r="C20" s="1">
        <v>17</v>
      </c>
      <c r="D20" s="1" t="str">
        <f t="shared" si="0"/>
        <v>Yes</v>
      </c>
      <c r="E20" s="1">
        <v>8.9</v>
      </c>
      <c r="F20" s="1">
        <v>253</v>
      </c>
      <c r="G20" s="1" t="s">
        <v>93</v>
      </c>
      <c r="H20" s="1" t="s">
        <v>95</v>
      </c>
      <c r="I20" s="1">
        <v>29.5</v>
      </c>
      <c r="J20" s="1" t="s">
        <v>95</v>
      </c>
      <c r="O20" s="1">
        <v>1</v>
      </c>
      <c r="R20" s="1"/>
    </row>
    <row r="21" spans="1:18" ht="14.25" customHeight="1" x14ac:dyDescent="0.3">
      <c r="A21" s="1" t="s">
        <v>43</v>
      </c>
      <c r="B21" s="1">
        <v>2</v>
      </c>
      <c r="C21" s="1">
        <v>3</v>
      </c>
      <c r="D21" s="1" t="str">
        <f t="shared" si="0"/>
        <v>Yes</v>
      </c>
      <c r="E21" s="1">
        <v>11.5</v>
      </c>
      <c r="F21" s="1">
        <v>82</v>
      </c>
      <c r="G21" s="1" t="s">
        <v>93</v>
      </c>
      <c r="H21" s="1" t="s">
        <v>95</v>
      </c>
      <c r="I21" s="1">
        <v>25.8</v>
      </c>
      <c r="J21" s="1" t="s">
        <v>95</v>
      </c>
      <c r="O21" s="1">
        <v>1</v>
      </c>
    </row>
    <row r="22" spans="1:18" ht="14.25" customHeight="1" x14ac:dyDescent="0.3">
      <c r="A22" s="1" t="s">
        <v>43</v>
      </c>
      <c r="B22" s="1">
        <v>2</v>
      </c>
      <c r="C22" s="1">
        <v>10</v>
      </c>
      <c r="D22" s="1" t="str">
        <f t="shared" si="0"/>
        <v>Yes</v>
      </c>
      <c r="E22" s="1">
        <v>8.6999999999999993</v>
      </c>
      <c r="F22" s="1">
        <v>335</v>
      </c>
      <c r="G22" s="1" t="s">
        <v>93</v>
      </c>
      <c r="H22" s="1" t="s">
        <v>95</v>
      </c>
      <c r="I22" s="1">
        <v>25.4</v>
      </c>
      <c r="J22" s="1" t="s">
        <v>95</v>
      </c>
      <c r="O22" s="1">
        <v>1</v>
      </c>
    </row>
    <row r="23" spans="1:18" ht="14.25" customHeight="1" x14ac:dyDescent="0.3">
      <c r="A23" s="1" t="s">
        <v>43</v>
      </c>
      <c r="B23" s="1">
        <v>2</v>
      </c>
      <c r="C23" s="1">
        <v>9</v>
      </c>
      <c r="D23" s="1" t="str">
        <f t="shared" si="0"/>
        <v>Yes</v>
      </c>
      <c r="E23" s="1">
        <v>7.1</v>
      </c>
      <c r="F23" s="1">
        <v>335</v>
      </c>
      <c r="G23" s="1" t="s">
        <v>93</v>
      </c>
      <c r="H23" s="1" t="s">
        <v>95</v>
      </c>
      <c r="I23" s="1">
        <v>25.3</v>
      </c>
      <c r="J23" s="1" t="s">
        <v>95</v>
      </c>
      <c r="O23" s="1">
        <v>1</v>
      </c>
    </row>
    <row r="24" spans="1:18" ht="14.25" customHeight="1" x14ac:dyDescent="0.3">
      <c r="A24" s="1" t="s">
        <v>43</v>
      </c>
      <c r="B24" s="1">
        <v>2</v>
      </c>
      <c r="C24" s="1">
        <v>4</v>
      </c>
      <c r="D24" s="1" t="str">
        <f t="shared" si="0"/>
        <v>Yes</v>
      </c>
      <c r="E24" s="1">
        <v>8.9</v>
      </c>
      <c r="F24" s="1">
        <v>48</v>
      </c>
      <c r="G24" s="1" t="s">
        <v>93</v>
      </c>
      <c r="H24" s="1" t="s">
        <v>95</v>
      </c>
      <c r="I24" s="1">
        <v>20.9</v>
      </c>
      <c r="J24" s="1" t="s">
        <v>101</v>
      </c>
      <c r="O24" s="1">
        <v>5</v>
      </c>
    </row>
    <row r="25" spans="1:18" ht="14.25" customHeight="1" x14ac:dyDescent="0.3">
      <c r="A25" s="1" t="s">
        <v>43</v>
      </c>
      <c r="B25" s="1">
        <v>2</v>
      </c>
      <c r="C25" s="1">
        <v>8</v>
      </c>
      <c r="D25" s="1" t="str">
        <f t="shared" si="0"/>
        <v>Yes</v>
      </c>
      <c r="E25" s="1">
        <v>7.1</v>
      </c>
      <c r="F25" s="1">
        <v>8</v>
      </c>
      <c r="G25" s="1" t="s">
        <v>93</v>
      </c>
      <c r="H25" s="1" t="s">
        <v>95</v>
      </c>
      <c r="I25" s="1">
        <v>19.899999999999999</v>
      </c>
      <c r="J25" s="1" t="s">
        <v>95</v>
      </c>
      <c r="O25" s="1">
        <v>1</v>
      </c>
    </row>
    <row r="26" spans="1:18" ht="14.25" customHeight="1" x14ac:dyDescent="0.3">
      <c r="A26" s="1" t="s">
        <v>43</v>
      </c>
      <c r="B26" s="1">
        <v>2</v>
      </c>
      <c r="C26" s="1">
        <v>2</v>
      </c>
      <c r="D26" s="1" t="str">
        <f t="shared" si="0"/>
        <v>Yes</v>
      </c>
      <c r="E26" s="1">
        <v>5.4</v>
      </c>
      <c r="F26" s="1">
        <v>48</v>
      </c>
      <c r="G26" s="1" t="s">
        <v>93</v>
      </c>
      <c r="H26" s="1" t="s">
        <v>95</v>
      </c>
      <c r="I26" s="1">
        <v>19</v>
      </c>
      <c r="J26" s="1" t="s">
        <v>95</v>
      </c>
      <c r="O26" s="1">
        <v>3</v>
      </c>
    </row>
    <row r="27" spans="1:18" ht="14.25" customHeight="1" x14ac:dyDescent="0.3">
      <c r="A27" s="1" t="s">
        <v>43</v>
      </c>
      <c r="B27" s="1">
        <v>2</v>
      </c>
      <c r="C27" s="1">
        <v>14</v>
      </c>
      <c r="D27" s="1" t="str">
        <f t="shared" si="0"/>
        <v>Yes</v>
      </c>
      <c r="E27" s="1">
        <v>3.3</v>
      </c>
      <c r="F27" s="1">
        <v>290</v>
      </c>
      <c r="G27" s="1" t="s">
        <v>93</v>
      </c>
      <c r="H27" s="1" t="s">
        <v>95</v>
      </c>
      <c r="I27" s="1">
        <v>17.5</v>
      </c>
      <c r="J27" s="1" t="s">
        <v>95</v>
      </c>
      <c r="O27" s="1">
        <v>3</v>
      </c>
    </row>
    <row r="28" spans="1:18" ht="14.25" customHeight="1" x14ac:dyDescent="0.3">
      <c r="A28" s="1" t="s">
        <v>43</v>
      </c>
      <c r="B28" s="1">
        <v>2</v>
      </c>
      <c r="C28" s="1">
        <v>19</v>
      </c>
      <c r="D28" s="1" t="str">
        <f t="shared" si="0"/>
        <v>Yes</v>
      </c>
      <c r="E28" s="1">
        <v>5</v>
      </c>
      <c r="F28" s="1">
        <v>216</v>
      </c>
      <c r="G28" s="1" t="s">
        <v>93</v>
      </c>
      <c r="H28" s="1" t="s">
        <v>95</v>
      </c>
      <c r="I28" s="1">
        <v>16.5</v>
      </c>
      <c r="J28" s="1" t="s">
        <v>95</v>
      </c>
      <c r="O28" s="1">
        <v>1</v>
      </c>
    </row>
    <row r="29" spans="1:18" ht="14.25" customHeight="1" x14ac:dyDescent="0.3">
      <c r="A29" s="1" t="s">
        <v>43</v>
      </c>
      <c r="B29" s="1">
        <v>2</v>
      </c>
      <c r="C29" s="1">
        <v>5</v>
      </c>
      <c r="D29" s="1" t="str">
        <f t="shared" si="0"/>
        <v>Yes</v>
      </c>
      <c r="E29" s="1">
        <v>12.3</v>
      </c>
      <c r="F29" s="1">
        <v>46</v>
      </c>
      <c r="G29" s="1" t="s">
        <v>93</v>
      </c>
      <c r="H29" s="1" t="s">
        <v>95</v>
      </c>
      <c r="I29" s="1">
        <v>16.399999999999999</v>
      </c>
      <c r="J29" s="1" t="s">
        <v>95</v>
      </c>
      <c r="O29" s="1">
        <v>1</v>
      </c>
    </row>
    <row r="30" spans="1:18" ht="14.25" customHeight="1" x14ac:dyDescent="0.3">
      <c r="A30" s="1" t="s">
        <v>43</v>
      </c>
      <c r="B30" s="1">
        <v>2</v>
      </c>
      <c r="C30" s="1">
        <v>22</v>
      </c>
      <c r="D30" s="1" t="str">
        <f t="shared" si="0"/>
        <v>Yes</v>
      </c>
      <c r="E30" s="1">
        <v>8.3000000000000007</v>
      </c>
      <c r="F30" s="1">
        <v>133</v>
      </c>
      <c r="G30" s="1" t="s">
        <v>93</v>
      </c>
      <c r="H30" s="1" t="s">
        <v>95</v>
      </c>
      <c r="I30" s="1">
        <v>16</v>
      </c>
      <c r="J30" s="1" t="s">
        <v>95</v>
      </c>
      <c r="O30" s="1">
        <v>1</v>
      </c>
    </row>
    <row r="31" spans="1:18" ht="14.25" customHeight="1" x14ac:dyDescent="0.3">
      <c r="A31" s="1" t="s">
        <v>43</v>
      </c>
      <c r="B31" s="1">
        <v>2</v>
      </c>
      <c r="C31" s="1">
        <v>16</v>
      </c>
      <c r="D31" s="1" t="str">
        <f t="shared" si="0"/>
        <v>Yes</v>
      </c>
      <c r="E31" s="1">
        <v>3.9</v>
      </c>
      <c r="F31" s="1">
        <v>267</v>
      </c>
      <c r="G31" s="1" t="s">
        <v>93</v>
      </c>
      <c r="H31" s="1" t="s">
        <v>95</v>
      </c>
      <c r="I31" s="1">
        <v>15.5</v>
      </c>
      <c r="J31" s="1" t="s">
        <v>95</v>
      </c>
      <c r="O31" s="1">
        <v>1</v>
      </c>
    </row>
    <row r="32" spans="1:18" ht="14.25" customHeight="1" x14ac:dyDescent="0.3">
      <c r="A32" s="1" t="s">
        <v>43</v>
      </c>
      <c r="B32" s="1">
        <v>2</v>
      </c>
      <c r="C32" s="1">
        <v>21</v>
      </c>
      <c r="D32" s="1" t="str">
        <f t="shared" si="0"/>
        <v>Yes</v>
      </c>
      <c r="E32" s="1">
        <v>10.3</v>
      </c>
      <c r="F32" s="1">
        <v>194</v>
      </c>
      <c r="G32" s="1" t="s">
        <v>93</v>
      </c>
      <c r="H32" s="1" t="s">
        <v>95</v>
      </c>
      <c r="I32" s="1">
        <v>15.4</v>
      </c>
      <c r="J32" s="1" t="s">
        <v>95</v>
      </c>
      <c r="O32" s="1">
        <v>3</v>
      </c>
      <c r="Q32" s="1" t="s">
        <v>104</v>
      </c>
    </row>
    <row r="33" spans="1:18" ht="14.25" customHeight="1" x14ac:dyDescent="0.3">
      <c r="A33" s="1" t="s">
        <v>43</v>
      </c>
      <c r="B33" s="1">
        <v>2</v>
      </c>
      <c r="C33" s="1">
        <v>1</v>
      </c>
      <c r="D33" s="1" t="str">
        <f t="shared" si="0"/>
        <v>Yes</v>
      </c>
      <c r="E33" s="1">
        <v>5.9</v>
      </c>
      <c r="F33" s="1">
        <v>68</v>
      </c>
      <c r="G33" s="1" t="s">
        <v>93</v>
      </c>
      <c r="H33" s="1" t="s">
        <v>95</v>
      </c>
      <c r="I33" s="1">
        <v>14.5</v>
      </c>
      <c r="J33" s="1" t="s">
        <v>95</v>
      </c>
      <c r="O33" s="1">
        <v>1</v>
      </c>
    </row>
    <row r="34" spans="1:18" ht="14.25" customHeight="1" x14ac:dyDescent="0.3">
      <c r="A34" s="1" t="s">
        <v>43</v>
      </c>
      <c r="B34" s="1">
        <v>2</v>
      </c>
      <c r="C34" s="1">
        <v>11</v>
      </c>
      <c r="D34" s="1" t="str">
        <f t="shared" si="0"/>
        <v>Yes</v>
      </c>
      <c r="E34" s="1">
        <v>6.5</v>
      </c>
      <c r="F34" s="1">
        <v>322</v>
      </c>
      <c r="G34" s="1" t="s">
        <v>93</v>
      </c>
      <c r="H34" s="1" t="s">
        <v>95</v>
      </c>
      <c r="I34" s="1">
        <v>12.7</v>
      </c>
      <c r="J34" s="1" t="s">
        <v>95</v>
      </c>
      <c r="O34" s="1">
        <v>1</v>
      </c>
    </row>
    <row r="35" spans="1:18" ht="14.25" customHeight="1" x14ac:dyDescent="0.3">
      <c r="A35" s="1" t="s">
        <v>43</v>
      </c>
      <c r="B35" s="1">
        <v>2</v>
      </c>
      <c r="C35" s="1">
        <v>15</v>
      </c>
      <c r="D35" s="1" t="str">
        <f t="shared" si="0"/>
        <v>Yes</v>
      </c>
      <c r="E35" s="1">
        <v>7.1</v>
      </c>
      <c r="F35" s="1">
        <v>272</v>
      </c>
      <c r="G35" s="1" t="s">
        <v>93</v>
      </c>
      <c r="H35" s="1" t="s">
        <v>95</v>
      </c>
      <c r="I35" s="1">
        <v>11.4</v>
      </c>
      <c r="J35" s="1" t="s">
        <v>95</v>
      </c>
      <c r="O35" s="1">
        <v>3</v>
      </c>
      <c r="R35" s="1"/>
    </row>
    <row r="36" spans="1:18" ht="14.25" customHeight="1" x14ac:dyDescent="0.3">
      <c r="A36" s="1" t="s">
        <v>43</v>
      </c>
      <c r="B36" s="1">
        <v>2</v>
      </c>
      <c r="C36" s="1">
        <v>7</v>
      </c>
      <c r="D36" s="1" t="str">
        <f t="shared" si="0"/>
        <v>Yes</v>
      </c>
      <c r="E36" s="1">
        <v>5.6</v>
      </c>
      <c r="F36" s="1">
        <v>21</v>
      </c>
      <c r="G36" s="1" t="s">
        <v>93</v>
      </c>
      <c r="H36" s="1" t="s">
        <v>95</v>
      </c>
      <c r="I36" s="1">
        <v>10.4</v>
      </c>
      <c r="J36" s="1" t="s">
        <v>95</v>
      </c>
      <c r="O36" s="1">
        <v>3</v>
      </c>
    </row>
    <row r="37" spans="1:18" ht="14.25" customHeight="1" x14ac:dyDescent="0.3">
      <c r="A37" s="1" t="s">
        <v>43</v>
      </c>
      <c r="B37" s="1">
        <v>2</v>
      </c>
      <c r="C37" s="1">
        <v>6</v>
      </c>
      <c r="D37" s="1" t="str">
        <f t="shared" si="0"/>
        <v>Yes</v>
      </c>
      <c r="E37" s="1">
        <v>7.4</v>
      </c>
      <c r="F37" s="1">
        <v>21</v>
      </c>
      <c r="G37" s="1" t="s">
        <v>96</v>
      </c>
      <c r="H37" s="1" t="s">
        <v>94</v>
      </c>
      <c r="I37" s="1">
        <v>84.5</v>
      </c>
      <c r="J37" s="1" t="s">
        <v>95</v>
      </c>
      <c r="K37" s="1">
        <v>40</v>
      </c>
      <c r="L37" s="1">
        <v>0</v>
      </c>
      <c r="M37" s="1" t="s">
        <v>95</v>
      </c>
      <c r="P37" s="1">
        <v>504</v>
      </c>
      <c r="Q37" s="1" t="s">
        <v>103</v>
      </c>
      <c r="R37" s="1"/>
    </row>
    <row r="38" spans="1:18" ht="14.25" customHeight="1" x14ac:dyDescent="0.3">
      <c r="A38" s="1" t="s">
        <v>43</v>
      </c>
      <c r="B38" s="1">
        <v>3</v>
      </c>
      <c r="C38" s="1">
        <v>8</v>
      </c>
      <c r="D38" s="1" t="str">
        <f t="shared" si="0"/>
        <v>Yes</v>
      </c>
      <c r="E38" s="1">
        <v>10.199999999999999</v>
      </c>
      <c r="F38" s="1">
        <v>293</v>
      </c>
      <c r="G38" s="1" t="s">
        <v>105</v>
      </c>
      <c r="H38" s="1" t="s">
        <v>95</v>
      </c>
      <c r="I38" s="1">
        <v>10</v>
      </c>
      <c r="J38" s="1" t="s">
        <v>101</v>
      </c>
      <c r="M38" s="1" t="s">
        <v>102</v>
      </c>
      <c r="O38" s="1">
        <v>5</v>
      </c>
    </row>
    <row r="39" spans="1:18" ht="14.25" customHeight="1" x14ac:dyDescent="0.3">
      <c r="A39" s="1" t="s">
        <v>43</v>
      </c>
      <c r="B39" s="1">
        <v>3</v>
      </c>
      <c r="C39" s="1">
        <v>3</v>
      </c>
      <c r="D39" s="1" t="str">
        <f t="shared" si="0"/>
        <v>Yes</v>
      </c>
      <c r="E39" s="1">
        <v>9.4</v>
      </c>
      <c r="F39" s="1">
        <v>83</v>
      </c>
      <c r="G39" s="1" t="s">
        <v>106</v>
      </c>
      <c r="H39" s="1" t="s">
        <v>95</v>
      </c>
      <c r="I39" s="1">
        <v>30.3</v>
      </c>
      <c r="J39" s="1" t="s">
        <v>95</v>
      </c>
      <c r="M39" s="1" t="s">
        <v>102</v>
      </c>
      <c r="O39" s="1">
        <v>4</v>
      </c>
    </row>
    <row r="40" spans="1:18" ht="14.25" customHeight="1" x14ac:dyDescent="0.3">
      <c r="A40" s="1" t="s">
        <v>43</v>
      </c>
      <c r="B40" s="1">
        <v>3</v>
      </c>
      <c r="C40" s="1">
        <v>10</v>
      </c>
      <c r="D40" s="1" t="str">
        <f t="shared" si="0"/>
        <v>Yes</v>
      </c>
      <c r="E40" s="1">
        <v>5.5</v>
      </c>
      <c r="F40" s="1">
        <v>15</v>
      </c>
      <c r="G40" s="1" t="s">
        <v>106</v>
      </c>
      <c r="H40" s="1" t="s">
        <v>95</v>
      </c>
      <c r="I40" s="1">
        <v>18.5</v>
      </c>
      <c r="J40" s="1" t="s">
        <v>95</v>
      </c>
      <c r="M40" s="1" t="s">
        <v>101</v>
      </c>
      <c r="O40" s="1">
        <v>1</v>
      </c>
    </row>
    <row r="41" spans="1:18" ht="14.25" customHeight="1" x14ac:dyDescent="0.3">
      <c r="A41" s="1" t="s">
        <v>43</v>
      </c>
      <c r="B41" s="1">
        <v>3</v>
      </c>
      <c r="C41" s="1">
        <v>6</v>
      </c>
      <c r="D41" s="1" t="str">
        <f t="shared" si="0"/>
        <v>Yes</v>
      </c>
      <c r="E41" s="1">
        <v>12.5</v>
      </c>
      <c r="F41" s="1">
        <v>258</v>
      </c>
      <c r="G41" s="1" t="s">
        <v>106</v>
      </c>
      <c r="H41" s="1" t="s">
        <v>95</v>
      </c>
      <c r="I41" s="1">
        <v>8.6</v>
      </c>
      <c r="J41" s="1" t="s">
        <v>95</v>
      </c>
      <c r="M41" s="1" t="s">
        <v>102</v>
      </c>
      <c r="O41" s="1">
        <v>1</v>
      </c>
    </row>
    <row r="42" spans="1:18" ht="14.25" customHeight="1" x14ac:dyDescent="0.3">
      <c r="A42" s="1" t="s">
        <v>43</v>
      </c>
      <c r="B42" s="1">
        <v>3</v>
      </c>
      <c r="C42" s="1">
        <v>4</v>
      </c>
      <c r="D42" s="1" t="str">
        <f t="shared" si="0"/>
        <v>Yes</v>
      </c>
      <c r="E42" s="1">
        <v>9</v>
      </c>
      <c r="F42" s="1">
        <v>207</v>
      </c>
      <c r="G42" s="1" t="s">
        <v>93</v>
      </c>
      <c r="H42" s="1" t="s">
        <v>95</v>
      </c>
      <c r="I42" s="1">
        <v>18.899999999999999</v>
      </c>
      <c r="J42" s="1" t="s">
        <v>101</v>
      </c>
      <c r="M42" s="1" t="s">
        <v>101</v>
      </c>
      <c r="O42" s="1">
        <v>5</v>
      </c>
    </row>
    <row r="43" spans="1:18" ht="14.25" customHeight="1" x14ac:dyDescent="0.3">
      <c r="A43" s="1" t="s">
        <v>43</v>
      </c>
      <c r="B43" s="1">
        <v>3</v>
      </c>
      <c r="C43" s="1">
        <v>1</v>
      </c>
      <c r="D43" s="1" t="str">
        <f t="shared" si="0"/>
        <v>Yes</v>
      </c>
      <c r="E43" s="1">
        <v>11.4</v>
      </c>
      <c r="F43" s="1">
        <v>20</v>
      </c>
      <c r="G43" s="1" t="s">
        <v>93</v>
      </c>
      <c r="H43" s="1" t="s">
        <v>95</v>
      </c>
      <c r="I43" s="1">
        <v>14.9</v>
      </c>
      <c r="J43" s="1" t="s">
        <v>95</v>
      </c>
      <c r="M43" s="1" t="s">
        <v>102</v>
      </c>
      <c r="O43" s="1">
        <v>4</v>
      </c>
    </row>
    <row r="44" spans="1:18" ht="14.25" customHeight="1" x14ac:dyDescent="0.3">
      <c r="A44" s="1" t="s">
        <v>43</v>
      </c>
      <c r="B44" s="1">
        <v>3</v>
      </c>
      <c r="C44" s="1">
        <v>5</v>
      </c>
      <c r="D44" s="1" t="str">
        <f t="shared" si="0"/>
        <v>Yes</v>
      </c>
      <c r="E44" s="1">
        <v>6</v>
      </c>
      <c r="F44" s="1">
        <v>212</v>
      </c>
      <c r="G44" s="1" t="s">
        <v>93</v>
      </c>
      <c r="H44" s="1" t="s">
        <v>95</v>
      </c>
      <c r="I44" s="46">
        <v>7</v>
      </c>
      <c r="J44" s="1" t="s">
        <v>95</v>
      </c>
      <c r="M44" s="1" t="s">
        <v>101</v>
      </c>
      <c r="O44" s="1">
        <v>5</v>
      </c>
    </row>
    <row r="45" spans="1:18" ht="14.25" customHeight="1" x14ac:dyDescent="0.3">
      <c r="A45" s="1" t="s">
        <v>43</v>
      </c>
      <c r="B45" s="1">
        <v>3</v>
      </c>
      <c r="C45" s="1">
        <v>2</v>
      </c>
      <c r="D45" s="1" t="str">
        <f t="shared" si="0"/>
        <v>Yes</v>
      </c>
      <c r="E45" s="1">
        <v>7</v>
      </c>
      <c r="F45" s="1">
        <v>47</v>
      </c>
      <c r="G45" s="1" t="s">
        <v>106</v>
      </c>
      <c r="H45" s="1" t="s">
        <v>94</v>
      </c>
      <c r="I45" s="1">
        <v>54.1</v>
      </c>
      <c r="J45" s="1" t="s">
        <v>95</v>
      </c>
      <c r="K45" s="1">
        <v>20</v>
      </c>
      <c r="L45" s="1">
        <v>50</v>
      </c>
      <c r="M45" s="1" t="s">
        <v>102</v>
      </c>
      <c r="N45" s="1" t="s">
        <v>100</v>
      </c>
      <c r="P45" s="1">
        <v>554</v>
      </c>
    </row>
    <row r="46" spans="1:18" ht="14.25" customHeight="1" x14ac:dyDescent="0.3">
      <c r="A46" s="1" t="s">
        <v>43</v>
      </c>
      <c r="B46" s="1">
        <v>3</v>
      </c>
      <c r="C46" s="1">
        <v>9</v>
      </c>
      <c r="D46" s="1" t="str">
        <f t="shared" si="0"/>
        <v>Yes</v>
      </c>
      <c r="E46" s="1">
        <v>9.3000000000000007</v>
      </c>
      <c r="F46" s="1">
        <v>348</v>
      </c>
      <c r="G46" s="1" t="s">
        <v>106</v>
      </c>
      <c r="H46" s="1" t="s">
        <v>94</v>
      </c>
      <c r="I46" s="1">
        <v>22.1</v>
      </c>
      <c r="J46" s="1" t="s">
        <v>95</v>
      </c>
      <c r="K46" s="1">
        <v>40</v>
      </c>
      <c r="L46" s="1">
        <v>20</v>
      </c>
      <c r="M46" s="1" t="s">
        <v>101</v>
      </c>
      <c r="P46" s="1">
        <v>556</v>
      </c>
    </row>
    <row r="47" spans="1:18" ht="14.25" customHeight="1" x14ac:dyDescent="0.3">
      <c r="A47" s="1" t="s">
        <v>43</v>
      </c>
      <c r="B47" s="1">
        <v>3</v>
      </c>
      <c r="C47" s="1">
        <v>7</v>
      </c>
      <c r="D47" s="1" t="str">
        <f t="shared" si="0"/>
        <v>Yes</v>
      </c>
      <c r="E47" s="1">
        <v>10.5</v>
      </c>
      <c r="F47" s="1">
        <v>283</v>
      </c>
      <c r="G47" s="1" t="s">
        <v>106</v>
      </c>
      <c r="H47" s="1" t="s">
        <v>94</v>
      </c>
      <c r="I47" s="1">
        <v>19.899999999999999</v>
      </c>
      <c r="J47" s="1" t="s">
        <v>95</v>
      </c>
      <c r="K47" s="1">
        <v>0</v>
      </c>
      <c r="L47" s="1">
        <v>0</v>
      </c>
      <c r="M47" s="1" t="s">
        <v>102</v>
      </c>
      <c r="N47" s="1" t="s">
        <v>100</v>
      </c>
    </row>
    <row r="48" spans="1:18" ht="14.25" customHeight="1" x14ac:dyDescent="0.3">
      <c r="A48" s="1" t="s">
        <v>43</v>
      </c>
      <c r="B48" s="1">
        <v>4</v>
      </c>
      <c r="C48" s="1">
        <v>9</v>
      </c>
      <c r="D48" s="1" t="str">
        <f t="shared" si="0"/>
        <v>No</v>
      </c>
      <c r="E48" s="1">
        <v>14.6</v>
      </c>
      <c r="F48" s="1">
        <v>185</v>
      </c>
      <c r="G48" s="1" t="s">
        <v>93</v>
      </c>
      <c r="H48" s="1" t="s">
        <v>95</v>
      </c>
      <c r="I48" s="1">
        <v>61.4</v>
      </c>
      <c r="J48" s="1" t="s">
        <v>95</v>
      </c>
      <c r="M48" s="1" t="s">
        <v>101</v>
      </c>
      <c r="O48" s="1">
        <v>2</v>
      </c>
      <c r="P48" s="1">
        <v>518</v>
      </c>
    </row>
    <row r="49" spans="1:18" ht="14.25" customHeight="1" x14ac:dyDescent="0.3">
      <c r="A49" s="1" t="s">
        <v>43</v>
      </c>
      <c r="B49" s="1">
        <v>4</v>
      </c>
      <c r="C49" s="1">
        <v>6</v>
      </c>
      <c r="D49" s="1" t="str">
        <f t="shared" si="0"/>
        <v>Yes</v>
      </c>
      <c r="E49" s="1">
        <v>11</v>
      </c>
      <c r="F49" s="1">
        <v>254</v>
      </c>
      <c r="G49" s="1" t="s">
        <v>106</v>
      </c>
      <c r="H49" s="1" t="s">
        <v>95</v>
      </c>
      <c r="I49" s="17">
        <v>24.5</v>
      </c>
      <c r="J49" s="1" t="s">
        <v>101</v>
      </c>
      <c r="O49" s="1">
        <v>5</v>
      </c>
      <c r="Q49" s="20"/>
      <c r="R49" s="20"/>
    </row>
    <row r="50" spans="1:18" ht="14.25" customHeight="1" x14ac:dyDescent="0.3">
      <c r="A50" s="1" t="s">
        <v>43</v>
      </c>
      <c r="B50" s="1">
        <v>4</v>
      </c>
      <c r="C50" s="1">
        <v>4</v>
      </c>
      <c r="D50" s="1" t="str">
        <f t="shared" si="0"/>
        <v>Yes</v>
      </c>
      <c r="E50" s="1">
        <v>11.2</v>
      </c>
      <c r="F50" s="1">
        <v>82</v>
      </c>
      <c r="G50" s="1" t="s">
        <v>93</v>
      </c>
      <c r="H50" s="1" t="s">
        <v>95</v>
      </c>
      <c r="I50" s="1">
        <v>50.4</v>
      </c>
      <c r="J50" s="1" t="s">
        <v>95</v>
      </c>
      <c r="O50" s="1">
        <v>1</v>
      </c>
    </row>
    <row r="51" spans="1:18" ht="14.25" customHeight="1" x14ac:dyDescent="0.3">
      <c r="A51" s="1" t="s">
        <v>43</v>
      </c>
      <c r="B51" s="1">
        <v>4</v>
      </c>
      <c r="C51" s="1">
        <v>1</v>
      </c>
      <c r="D51" s="1" t="str">
        <f t="shared" si="0"/>
        <v>Yes</v>
      </c>
      <c r="E51" s="1">
        <v>7.3</v>
      </c>
      <c r="F51" s="1">
        <v>22</v>
      </c>
      <c r="G51" s="1" t="s">
        <v>93</v>
      </c>
      <c r="H51" s="1" t="s">
        <v>95</v>
      </c>
      <c r="I51" s="1">
        <v>50.3</v>
      </c>
      <c r="J51" s="1" t="s">
        <v>95</v>
      </c>
      <c r="O51" s="1">
        <v>5</v>
      </c>
    </row>
    <row r="52" spans="1:18" ht="14.25" customHeight="1" x14ac:dyDescent="0.3">
      <c r="A52" s="1" t="s">
        <v>43</v>
      </c>
      <c r="B52" s="1">
        <v>4</v>
      </c>
      <c r="C52" s="1">
        <v>7</v>
      </c>
      <c r="D52" s="1" t="str">
        <f t="shared" si="0"/>
        <v>Yes</v>
      </c>
      <c r="E52" s="1">
        <v>8.1999999999999993</v>
      </c>
      <c r="F52" s="1">
        <v>268</v>
      </c>
      <c r="G52" s="1" t="s">
        <v>93</v>
      </c>
      <c r="H52" s="1" t="s">
        <v>95</v>
      </c>
      <c r="I52" s="1">
        <v>44</v>
      </c>
      <c r="J52" s="1" t="s">
        <v>95</v>
      </c>
      <c r="O52" s="1">
        <v>4</v>
      </c>
    </row>
    <row r="53" spans="1:18" ht="14.25" customHeight="1" x14ac:dyDescent="0.3">
      <c r="A53" s="1" t="s">
        <v>43</v>
      </c>
      <c r="B53" s="1">
        <v>4</v>
      </c>
      <c r="C53" s="1">
        <v>2</v>
      </c>
      <c r="D53" s="1" t="str">
        <f t="shared" si="0"/>
        <v>Yes</v>
      </c>
      <c r="E53" s="1">
        <v>4.5999999999999996</v>
      </c>
      <c r="F53" s="1">
        <v>39</v>
      </c>
      <c r="G53" s="1" t="s">
        <v>93</v>
      </c>
      <c r="H53" s="1" t="s">
        <v>95</v>
      </c>
      <c r="I53" s="1">
        <v>39</v>
      </c>
      <c r="J53" s="1" t="s">
        <v>95</v>
      </c>
      <c r="O53" s="1">
        <v>5</v>
      </c>
    </row>
    <row r="54" spans="1:18" ht="14.25" customHeight="1" x14ac:dyDescent="0.3">
      <c r="A54" s="1" t="s">
        <v>43</v>
      </c>
      <c r="B54" s="1">
        <v>4</v>
      </c>
      <c r="C54" s="1">
        <v>5</v>
      </c>
      <c r="D54" s="1" t="str">
        <f t="shared" si="0"/>
        <v>Yes</v>
      </c>
      <c r="E54" s="1">
        <v>8.9</v>
      </c>
      <c r="F54" s="1">
        <v>149</v>
      </c>
      <c r="G54" s="1" t="s">
        <v>93</v>
      </c>
      <c r="H54" s="1" t="s">
        <v>95</v>
      </c>
      <c r="I54" s="1">
        <v>23.4</v>
      </c>
      <c r="J54" s="1" t="s">
        <v>95</v>
      </c>
      <c r="O54" s="1">
        <v>1</v>
      </c>
      <c r="P54" s="1">
        <v>517</v>
      </c>
    </row>
    <row r="55" spans="1:18" ht="14.25" customHeight="1" x14ac:dyDescent="0.3">
      <c r="A55" s="1" t="s">
        <v>43</v>
      </c>
      <c r="B55" s="1">
        <v>4</v>
      </c>
      <c r="C55" s="1">
        <v>3</v>
      </c>
      <c r="D55" s="1" t="str">
        <f t="shared" si="0"/>
        <v>Yes</v>
      </c>
      <c r="E55" s="1">
        <v>12</v>
      </c>
      <c r="F55" s="1">
        <v>66</v>
      </c>
      <c r="G55" s="1" t="s">
        <v>93</v>
      </c>
      <c r="H55" s="1" t="s">
        <v>95</v>
      </c>
      <c r="I55" s="1">
        <v>20.7</v>
      </c>
      <c r="J55" s="1" t="s">
        <v>95</v>
      </c>
      <c r="O55" s="1">
        <v>5</v>
      </c>
    </row>
    <row r="56" spans="1:18" ht="14.25" customHeight="1" x14ac:dyDescent="0.3">
      <c r="A56" s="1" t="s">
        <v>43</v>
      </c>
      <c r="B56" s="1">
        <v>4</v>
      </c>
      <c r="C56" s="1">
        <v>8</v>
      </c>
      <c r="D56" s="1" t="str">
        <f t="shared" si="0"/>
        <v>Yes</v>
      </c>
      <c r="E56" s="1">
        <v>10</v>
      </c>
      <c r="F56" s="1">
        <v>125</v>
      </c>
      <c r="G56" s="1" t="s">
        <v>96</v>
      </c>
      <c r="H56" s="1" t="s">
        <v>94</v>
      </c>
      <c r="I56" s="19">
        <v>95.5</v>
      </c>
      <c r="K56" s="1">
        <v>0</v>
      </c>
      <c r="L56" s="1">
        <v>0</v>
      </c>
      <c r="M56" s="1" t="s">
        <v>95</v>
      </c>
      <c r="P56" s="1">
        <v>516</v>
      </c>
      <c r="Q56" s="19" t="s">
        <v>107</v>
      </c>
      <c r="R56" s="19"/>
    </row>
    <row r="57" spans="1:18" ht="14.25" customHeight="1" x14ac:dyDescent="0.3">
      <c r="A57" s="1" t="s">
        <v>43</v>
      </c>
      <c r="B57" s="1">
        <v>5</v>
      </c>
      <c r="C57" s="1">
        <v>13</v>
      </c>
      <c r="D57" s="1" t="str">
        <f t="shared" si="0"/>
        <v>Yes</v>
      </c>
      <c r="E57" s="1">
        <v>6.9</v>
      </c>
      <c r="F57" s="1">
        <v>338</v>
      </c>
      <c r="G57" s="66" t="s">
        <v>111</v>
      </c>
      <c r="H57" s="1" t="s">
        <v>95</v>
      </c>
      <c r="I57" s="1">
        <v>64.7</v>
      </c>
      <c r="J57" s="1" t="s">
        <v>95</v>
      </c>
      <c r="M57" s="1" t="s">
        <v>102</v>
      </c>
      <c r="O57" s="1">
        <v>1</v>
      </c>
    </row>
    <row r="58" spans="1:18" ht="14.25" customHeight="1" x14ac:dyDescent="0.3">
      <c r="A58" s="1" t="s">
        <v>43</v>
      </c>
      <c r="B58" s="1">
        <v>5</v>
      </c>
      <c r="C58" s="1">
        <v>11</v>
      </c>
      <c r="D58" s="1" t="str">
        <f t="shared" si="0"/>
        <v>Yes</v>
      </c>
      <c r="E58" s="1">
        <v>11.1</v>
      </c>
      <c r="F58" s="1">
        <v>295</v>
      </c>
      <c r="G58" s="1" t="s">
        <v>93</v>
      </c>
      <c r="H58" s="1" t="s">
        <v>95</v>
      </c>
      <c r="I58" s="1">
        <v>36.5</v>
      </c>
      <c r="J58" s="1" t="s">
        <v>95</v>
      </c>
      <c r="M58" s="1" t="s">
        <v>101</v>
      </c>
      <c r="O58" s="1">
        <v>1</v>
      </c>
    </row>
    <row r="59" spans="1:18" ht="14.25" customHeight="1" x14ac:dyDescent="0.3">
      <c r="A59" s="1" t="s">
        <v>43</v>
      </c>
      <c r="B59" s="1">
        <v>5</v>
      </c>
      <c r="C59" s="1">
        <v>10</v>
      </c>
      <c r="D59" s="1" t="str">
        <f t="shared" si="0"/>
        <v>Yes</v>
      </c>
      <c r="E59" s="1">
        <v>11.9</v>
      </c>
      <c r="F59" s="1">
        <v>260</v>
      </c>
      <c r="G59" s="1" t="s">
        <v>93</v>
      </c>
      <c r="H59" s="1" t="s">
        <v>95</v>
      </c>
      <c r="I59" s="1">
        <v>36.299999999999997</v>
      </c>
      <c r="J59" s="1" t="s">
        <v>95</v>
      </c>
      <c r="M59" s="1" t="s">
        <v>102</v>
      </c>
      <c r="O59" s="1">
        <v>5</v>
      </c>
    </row>
    <row r="60" spans="1:18" ht="14.25" customHeight="1" x14ac:dyDescent="0.3">
      <c r="A60" s="1" t="s">
        <v>43</v>
      </c>
      <c r="B60" s="1">
        <v>5</v>
      </c>
      <c r="C60" s="1">
        <v>2</v>
      </c>
      <c r="D60" s="1" t="str">
        <f t="shared" si="0"/>
        <v>Yes</v>
      </c>
      <c r="E60" s="1">
        <v>8.6</v>
      </c>
      <c r="F60" s="1">
        <v>73</v>
      </c>
      <c r="G60" s="1" t="s">
        <v>93</v>
      </c>
      <c r="H60" s="1" t="s">
        <v>95</v>
      </c>
      <c r="I60" s="1">
        <v>26.5</v>
      </c>
      <c r="J60" s="1" t="s">
        <v>95</v>
      </c>
      <c r="M60" s="1" t="s">
        <v>101</v>
      </c>
      <c r="O60" s="1">
        <v>1</v>
      </c>
    </row>
    <row r="61" spans="1:18" ht="14.25" customHeight="1" x14ac:dyDescent="0.3">
      <c r="A61" s="1" t="s">
        <v>43</v>
      </c>
      <c r="B61" s="1">
        <v>5</v>
      </c>
      <c r="C61" s="1">
        <v>7</v>
      </c>
      <c r="D61" s="1" t="str">
        <f t="shared" si="0"/>
        <v>Yes</v>
      </c>
      <c r="E61" s="1">
        <v>8.1</v>
      </c>
      <c r="F61" s="1">
        <v>207</v>
      </c>
      <c r="G61" s="1" t="s">
        <v>93</v>
      </c>
      <c r="H61" s="1" t="s">
        <v>95</v>
      </c>
      <c r="I61" s="1">
        <v>19.3</v>
      </c>
      <c r="J61" s="1" t="s">
        <v>95</v>
      </c>
      <c r="M61" s="1" t="s">
        <v>102</v>
      </c>
      <c r="O61" s="1">
        <v>1</v>
      </c>
    </row>
    <row r="62" spans="1:18" ht="14.25" customHeight="1" x14ac:dyDescent="0.3">
      <c r="A62" s="1" t="s">
        <v>43</v>
      </c>
      <c r="B62" s="1">
        <v>5</v>
      </c>
      <c r="C62" s="1">
        <v>3</v>
      </c>
      <c r="D62" s="1" t="str">
        <f t="shared" si="0"/>
        <v>Yes</v>
      </c>
      <c r="E62" s="1">
        <v>7.7</v>
      </c>
      <c r="F62" s="1">
        <v>124</v>
      </c>
      <c r="G62" s="1" t="s">
        <v>93</v>
      </c>
      <c r="H62" s="1" t="s">
        <v>95</v>
      </c>
      <c r="I62" s="1">
        <v>18.899999999999999</v>
      </c>
      <c r="J62" s="1" t="s">
        <v>95</v>
      </c>
      <c r="M62" s="1" t="s">
        <v>101</v>
      </c>
      <c r="O62" s="1">
        <v>1</v>
      </c>
    </row>
    <row r="63" spans="1:18" ht="14.25" customHeight="1" x14ac:dyDescent="0.3">
      <c r="A63" s="1" t="s">
        <v>43</v>
      </c>
      <c r="B63" s="1">
        <v>5</v>
      </c>
      <c r="C63" s="1">
        <v>1</v>
      </c>
      <c r="D63" s="1" t="str">
        <f t="shared" si="0"/>
        <v>Yes</v>
      </c>
      <c r="E63" s="1">
        <v>11</v>
      </c>
      <c r="F63" s="1">
        <v>70</v>
      </c>
      <c r="G63" s="1" t="s">
        <v>93</v>
      </c>
      <c r="H63" s="1" t="s">
        <v>95</v>
      </c>
      <c r="I63" s="1">
        <v>16.5</v>
      </c>
      <c r="J63" s="1" t="s">
        <v>95</v>
      </c>
      <c r="M63" s="1" t="s">
        <v>101</v>
      </c>
      <c r="O63" s="1">
        <v>1</v>
      </c>
    </row>
    <row r="64" spans="1:18" ht="14.25" customHeight="1" x14ac:dyDescent="0.3">
      <c r="A64" s="1" t="s">
        <v>43</v>
      </c>
      <c r="B64" s="1">
        <v>5</v>
      </c>
      <c r="C64" s="1">
        <v>4</v>
      </c>
      <c r="D64" s="1" t="str">
        <f t="shared" si="0"/>
        <v>Yes</v>
      </c>
      <c r="E64" s="1">
        <v>11.2</v>
      </c>
      <c r="F64" s="1">
        <v>146</v>
      </c>
      <c r="G64" s="1" t="s">
        <v>93</v>
      </c>
      <c r="H64" s="1" t="s">
        <v>95</v>
      </c>
      <c r="I64" s="1">
        <v>13.1</v>
      </c>
      <c r="J64" s="1" t="s">
        <v>101</v>
      </c>
      <c r="M64" s="1" t="s">
        <v>101</v>
      </c>
      <c r="O64" s="1">
        <v>5</v>
      </c>
    </row>
    <row r="65" spans="1:16" ht="14.25" customHeight="1" x14ac:dyDescent="0.3">
      <c r="A65" s="1" t="s">
        <v>43</v>
      </c>
      <c r="B65" s="1">
        <v>5</v>
      </c>
      <c r="C65" s="1">
        <v>8</v>
      </c>
      <c r="D65" s="1" t="str">
        <f t="shared" si="0"/>
        <v>Yes</v>
      </c>
      <c r="E65" s="1">
        <v>11.5</v>
      </c>
      <c r="F65" s="1">
        <v>215</v>
      </c>
      <c r="G65" s="1" t="s">
        <v>93</v>
      </c>
      <c r="H65" s="1" t="s">
        <v>95</v>
      </c>
      <c r="I65" s="1">
        <v>12.6</v>
      </c>
      <c r="J65" s="1" t="s">
        <v>95</v>
      </c>
      <c r="M65" s="1" t="s">
        <v>101</v>
      </c>
      <c r="O65" s="1">
        <v>1</v>
      </c>
    </row>
    <row r="66" spans="1:16" ht="14.25" customHeight="1" x14ac:dyDescent="0.3">
      <c r="A66" s="1" t="s">
        <v>43</v>
      </c>
      <c r="B66" s="1">
        <v>5</v>
      </c>
      <c r="C66" s="1">
        <v>14</v>
      </c>
      <c r="D66" s="1" t="str">
        <f t="shared" ref="D66:D129" si="1">IF(E66&gt;12.5, "No", "Yes")</f>
        <v>Yes</v>
      </c>
      <c r="E66" s="1">
        <v>8.9</v>
      </c>
      <c r="F66" s="1">
        <v>350</v>
      </c>
      <c r="G66" s="1" t="s">
        <v>93</v>
      </c>
      <c r="H66" s="1" t="s">
        <v>95</v>
      </c>
      <c r="I66" s="1">
        <v>12.5</v>
      </c>
      <c r="J66" s="1" t="s">
        <v>101</v>
      </c>
      <c r="M66" s="1" t="s">
        <v>101</v>
      </c>
      <c r="O66" s="1">
        <v>1</v>
      </c>
    </row>
    <row r="67" spans="1:16" ht="14.25" customHeight="1" x14ac:dyDescent="0.3">
      <c r="A67" s="1" t="s">
        <v>43</v>
      </c>
      <c r="B67" s="1">
        <v>5</v>
      </c>
      <c r="C67" s="1">
        <v>5</v>
      </c>
      <c r="D67" s="1" t="str">
        <f t="shared" si="1"/>
        <v>Yes</v>
      </c>
      <c r="E67" s="1">
        <v>6.3</v>
      </c>
      <c r="F67" s="1">
        <v>132</v>
      </c>
      <c r="G67" s="1" t="s">
        <v>93</v>
      </c>
      <c r="H67" s="1" t="s">
        <v>95</v>
      </c>
      <c r="I67" s="1">
        <v>7.6</v>
      </c>
      <c r="J67" s="1" t="s">
        <v>95</v>
      </c>
      <c r="M67" s="1" t="s">
        <v>101</v>
      </c>
      <c r="O67" s="1">
        <v>1</v>
      </c>
    </row>
    <row r="68" spans="1:16" ht="14.25" customHeight="1" x14ac:dyDescent="0.3">
      <c r="A68" s="1" t="s">
        <v>43</v>
      </c>
      <c r="B68" s="1">
        <v>5</v>
      </c>
      <c r="C68" s="1">
        <v>15</v>
      </c>
      <c r="D68" s="1" t="str">
        <f t="shared" si="1"/>
        <v>Yes</v>
      </c>
      <c r="E68" s="1">
        <v>10.3</v>
      </c>
      <c r="F68" s="1">
        <v>43</v>
      </c>
      <c r="G68" s="1" t="s">
        <v>96</v>
      </c>
      <c r="H68" s="1" t="s">
        <v>94</v>
      </c>
      <c r="I68" s="1">
        <v>344</v>
      </c>
      <c r="J68" s="1" t="s">
        <v>95</v>
      </c>
      <c r="K68" s="1">
        <v>0</v>
      </c>
      <c r="L68" s="1">
        <v>0</v>
      </c>
      <c r="M68" s="1" t="s">
        <v>95</v>
      </c>
      <c r="P68" s="1">
        <v>510</v>
      </c>
    </row>
    <row r="69" spans="1:16" ht="14.25" customHeight="1" x14ac:dyDescent="0.3">
      <c r="A69" s="1" t="s">
        <v>43</v>
      </c>
      <c r="B69" s="1">
        <v>5</v>
      </c>
      <c r="C69" s="1">
        <v>12</v>
      </c>
      <c r="D69" s="1" t="str">
        <f t="shared" si="1"/>
        <v>Yes</v>
      </c>
      <c r="E69" s="1">
        <v>8.9</v>
      </c>
      <c r="F69" s="1">
        <v>299</v>
      </c>
      <c r="G69" s="1" t="s">
        <v>93</v>
      </c>
      <c r="H69" s="1" t="s">
        <v>94</v>
      </c>
      <c r="I69" s="1">
        <v>42.9</v>
      </c>
      <c r="J69" s="1" t="s">
        <v>95</v>
      </c>
      <c r="K69" s="1">
        <v>0</v>
      </c>
      <c r="L69" s="1">
        <v>0</v>
      </c>
      <c r="M69" s="1" t="s">
        <v>102</v>
      </c>
      <c r="N69" s="1" t="s">
        <v>100</v>
      </c>
      <c r="P69" s="1">
        <v>512</v>
      </c>
    </row>
    <row r="70" spans="1:16" ht="14.25" customHeight="1" x14ac:dyDescent="0.3">
      <c r="A70" s="1" t="s">
        <v>43</v>
      </c>
      <c r="B70" s="1">
        <v>5</v>
      </c>
      <c r="C70" s="1">
        <v>9</v>
      </c>
      <c r="D70" s="1" t="str">
        <f t="shared" si="1"/>
        <v>Yes</v>
      </c>
      <c r="E70" s="1">
        <v>10.7</v>
      </c>
      <c r="F70" s="1">
        <v>225</v>
      </c>
      <c r="G70" s="1" t="s">
        <v>93</v>
      </c>
      <c r="H70" s="1" t="s">
        <v>94</v>
      </c>
      <c r="I70" s="1">
        <v>29.3</v>
      </c>
      <c r="J70" s="1" t="s">
        <v>95</v>
      </c>
      <c r="K70" s="1">
        <v>5</v>
      </c>
      <c r="L70" s="1">
        <v>10</v>
      </c>
      <c r="M70" s="1" t="s">
        <v>102</v>
      </c>
    </row>
    <row r="71" spans="1:16" ht="14.25" customHeight="1" x14ac:dyDescent="0.3">
      <c r="A71" s="1" t="s">
        <v>43</v>
      </c>
      <c r="B71" s="1">
        <v>5</v>
      </c>
      <c r="C71" s="1">
        <v>6</v>
      </c>
      <c r="D71" s="1" t="str">
        <f t="shared" si="1"/>
        <v>Yes</v>
      </c>
      <c r="E71" s="1">
        <v>4.2</v>
      </c>
      <c r="F71" s="1">
        <v>196</v>
      </c>
      <c r="G71" s="1" t="s">
        <v>93</v>
      </c>
      <c r="H71" s="1" t="s">
        <v>94</v>
      </c>
      <c r="I71" s="1">
        <v>23.7</v>
      </c>
      <c r="J71" s="1" t="s">
        <v>95</v>
      </c>
      <c r="K71" s="1">
        <v>0</v>
      </c>
      <c r="L71" s="1">
        <v>20</v>
      </c>
      <c r="M71" s="1" t="s">
        <v>102</v>
      </c>
      <c r="P71" s="1">
        <v>511</v>
      </c>
    </row>
    <row r="72" spans="1:16" ht="14.25" customHeight="1" x14ac:dyDescent="0.3">
      <c r="A72" s="1" t="s">
        <v>43</v>
      </c>
      <c r="B72" s="1">
        <v>6</v>
      </c>
      <c r="C72" s="1">
        <v>3</v>
      </c>
      <c r="D72" s="1" t="str">
        <f t="shared" si="1"/>
        <v>No</v>
      </c>
      <c r="E72" s="1">
        <v>12.8</v>
      </c>
      <c r="F72" s="1">
        <v>86</v>
      </c>
      <c r="G72" s="1" t="s">
        <v>93</v>
      </c>
      <c r="H72" s="1" t="s">
        <v>95</v>
      </c>
      <c r="I72" s="1">
        <v>46.9</v>
      </c>
      <c r="J72" s="1" t="s">
        <v>95</v>
      </c>
      <c r="M72" s="1" t="s">
        <v>102</v>
      </c>
      <c r="O72" s="1">
        <v>5</v>
      </c>
    </row>
    <row r="73" spans="1:16" ht="14.25" customHeight="1" x14ac:dyDescent="0.3">
      <c r="A73" s="1" t="s">
        <v>43</v>
      </c>
      <c r="B73" s="1">
        <v>6</v>
      </c>
      <c r="C73" s="1">
        <v>8</v>
      </c>
      <c r="D73" s="1" t="str">
        <f t="shared" si="1"/>
        <v>No</v>
      </c>
      <c r="E73" s="1">
        <v>19.2</v>
      </c>
      <c r="F73" s="1">
        <v>149</v>
      </c>
      <c r="G73" s="1" t="s">
        <v>106</v>
      </c>
      <c r="H73" s="1" t="s">
        <v>94</v>
      </c>
      <c r="I73" s="1">
        <v>93.2</v>
      </c>
      <c r="J73" s="1" t="s">
        <v>95</v>
      </c>
      <c r="K73" s="1">
        <v>30</v>
      </c>
      <c r="L73" s="1">
        <v>0</v>
      </c>
      <c r="P73" s="1">
        <v>509</v>
      </c>
    </row>
    <row r="74" spans="1:16" ht="14.25" customHeight="1" x14ac:dyDescent="0.3">
      <c r="A74" s="1" t="s">
        <v>43</v>
      </c>
      <c r="B74" s="1">
        <v>6</v>
      </c>
      <c r="C74" s="1">
        <v>5</v>
      </c>
      <c r="D74" s="1" t="str">
        <f t="shared" si="1"/>
        <v>Yes</v>
      </c>
      <c r="E74" s="1">
        <v>11.5</v>
      </c>
      <c r="F74" s="1">
        <v>316</v>
      </c>
      <c r="G74" s="1" t="s">
        <v>109</v>
      </c>
      <c r="H74" s="1" t="s">
        <v>95</v>
      </c>
      <c r="I74" s="1">
        <v>39.200000000000003</v>
      </c>
      <c r="J74" s="1" t="s">
        <v>95</v>
      </c>
      <c r="M74" s="1" t="s">
        <v>102</v>
      </c>
      <c r="O74" s="1">
        <v>5</v>
      </c>
    </row>
    <row r="75" spans="1:16" ht="14.25" customHeight="1" x14ac:dyDescent="0.3">
      <c r="A75" s="1" t="s">
        <v>43</v>
      </c>
      <c r="B75" s="1">
        <v>6</v>
      </c>
      <c r="C75" s="1">
        <v>2</v>
      </c>
      <c r="D75" s="1" t="str">
        <f t="shared" si="1"/>
        <v>Yes</v>
      </c>
      <c r="E75" s="1">
        <v>8.1999999999999993</v>
      </c>
      <c r="F75" s="1">
        <v>49</v>
      </c>
      <c r="G75" s="1" t="s">
        <v>93</v>
      </c>
      <c r="H75" s="1" t="s">
        <v>95</v>
      </c>
      <c r="I75" s="1">
        <v>65.400000000000006</v>
      </c>
      <c r="J75" s="1" t="s">
        <v>95</v>
      </c>
      <c r="M75" s="1" t="s">
        <v>102</v>
      </c>
      <c r="O75" s="1">
        <v>5</v>
      </c>
    </row>
    <row r="76" spans="1:16" ht="14.25" customHeight="1" x14ac:dyDescent="0.3">
      <c r="A76" s="1" t="s">
        <v>43</v>
      </c>
      <c r="B76" s="1">
        <v>6</v>
      </c>
      <c r="C76" s="1">
        <v>1</v>
      </c>
      <c r="D76" s="1" t="str">
        <f t="shared" si="1"/>
        <v>Yes</v>
      </c>
      <c r="E76" s="1">
        <v>10.199999999999999</v>
      </c>
      <c r="F76" s="1">
        <v>35</v>
      </c>
      <c r="G76" s="1" t="s">
        <v>93</v>
      </c>
      <c r="H76" s="1" t="s">
        <v>95</v>
      </c>
      <c r="I76" s="1">
        <v>48.5</v>
      </c>
      <c r="J76" s="1" t="s">
        <v>95</v>
      </c>
      <c r="M76" s="1" t="s">
        <v>97</v>
      </c>
      <c r="O76" s="1">
        <v>1</v>
      </c>
      <c r="P76" s="1">
        <v>508</v>
      </c>
    </row>
    <row r="77" spans="1:16" ht="14.25" customHeight="1" x14ac:dyDescent="0.3">
      <c r="A77" s="1" t="s">
        <v>43</v>
      </c>
      <c r="B77" s="1">
        <v>6</v>
      </c>
      <c r="C77" s="1">
        <v>7</v>
      </c>
      <c r="D77" s="1" t="str">
        <f t="shared" si="1"/>
        <v>Yes</v>
      </c>
      <c r="E77" s="1">
        <v>5.7</v>
      </c>
      <c r="F77" s="1">
        <v>158</v>
      </c>
      <c r="G77" s="1" t="s">
        <v>93</v>
      </c>
      <c r="H77" s="1" t="s">
        <v>95</v>
      </c>
      <c r="I77" s="1">
        <v>43.5</v>
      </c>
      <c r="J77" s="1" t="s">
        <v>95</v>
      </c>
      <c r="M77" s="1" t="s">
        <v>102</v>
      </c>
      <c r="O77" s="1">
        <v>1</v>
      </c>
      <c r="P77" s="1">
        <v>507</v>
      </c>
    </row>
    <row r="78" spans="1:16" ht="14.25" customHeight="1" x14ac:dyDescent="0.3">
      <c r="A78" s="1" t="s">
        <v>43</v>
      </c>
      <c r="B78" s="1">
        <v>6</v>
      </c>
      <c r="C78" s="1">
        <v>4</v>
      </c>
      <c r="D78" s="1" t="str">
        <f t="shared" si="1"/>
        <v>Yes</v>
      </c>
      <c r="E78" s="1">
        <v>7.1</v>
      </c>
      <c r="F78" s="1">
        <v>135</v>
      </c>
      <c r="G78" s="1" t="s">
        <v>93</v>
      </c>
      <c r="H78" s="1" t="s">
        <v>95</v>
      </c>
      <c r="I78" s="1">
        <v>29.1</v>
      </c>
      <c r="J78" s="1" t="s">
        <v>95</v>
      </c>
      <c r="M78" s="1" t="s">
        <v>102</v>
      </c>
      <c r="O78" s="1">
        <v>5</v>
      </c>
    </row>
    <row r="79" spans="1:16" ht="14.25" customHeight="1" x14ac:dyDescent="0.3">
      <c r="A79" s="1" t="s">
        <v>43</v>
      </c>
      <c r="B79" s="1">
        <v>6</v>
      </c>
      <c r="C79" s="1">
        <v>6</v>
      </c>
      <c r="D79" s="1" t="str">
        <f t="shared" si="1"/>
        <v>Yes</v>
      </c>
      <c r="E79" s="1">
        <v>7.3</v>
      </c>
      <c r="F79" s="1">
        <v>326</v>
      </c>
      <c r="G79" s="1" t="s">
        <v>93</v>
      </c>
      <c r="H79" s="1" t="s">
        <v>95</v>
      </c>
      <c r="I79" s="1">
        <v>14.9</v>
      </c>
      <c r="J79" s="1" t="s">
        <v>95</v>
      </c>
      <c r="M79" s="1" t="s">
        <v>102</v>
      </c>
      <c r="O79" s="1">
        <v>5</v>
      </c>
    </row>
    <row r="80" spans="1:16" ht="14.25" customHeight="1" x14ac:dyDescent="0.3">
      <c r="A80" s="1" t="s">
        <v>43</v>
      </c>
      <c r="B80" s="1">
        <v>7</v>
      </c>
      <c r="C80" s="1">
        <v>13</v>
      </c>
      <c r="D80" s="1" t="str">
        <f t="shared" si="1"/>
        <v>No</v>
      </c>
      <c r="E80" s="1">
        <v>12.8</v>
      </c>
      <c r="F80" s="1">
        <v>312</v>
      </c>
      <c r="G80" s="1" t="s">
        <v>93</v>
      </c>
      <c r="H80" s="1" t="s">
        <v>95</v>
      </c>
      <c r="I80" s="1">
        <v>33.5</v>
      </c>
      <c r="J80" s="1" t="s">
        <v>95</v>
      </c>
      <c r="M80" s="1" t="s">
        <v>102</v>
      </c>
      <c r="O80" s="1">
        <v>1</v>
      </c>
    </row>
    <row r="81" spans="1:18" ht="14.25" customHeight="1" x14ac:dyDescent="0.3">
      <c r="A81" s="1" t="s">
        <v>43</v>
      </c>
      <c r="B81" s="1">
        <v>7</v>
      </c>
      <c r="C81" s="1">
        <v>14</v>
      </c>
      <c r="D81" s="1" t="str">
        <f t="shared" si="1"/>
        <v>Yes</v>
      </c>
      <c r="E81" s="1">
        <v>5.4</v>
      </c>
      <c r="F81" s="1">
        <v>349</v>
      </c>
      <c r="G81" s="66" t="s">
        <v>111</v>
      </c>
      <c r="H81" s="1" t="s">
        <v>95</v>
      </c>
      <c r="I81" s="1">
        <v>76.8</v>
      </c>
      <c r="J81" s="1" t="s">
        <v>95</v>
      </c>
      <c r="M81" s="1" t="s">
        <v>97</v>
      </c>
      <c r="O81" s="1">
        <v>1</v>
      </c>
      <c r="P81" s="1">
        <v>528</v>
      </c>
    </row>
    <row r="82" spans="1:18" ht="14.25" customHeight="1" x14ac:dyDescent="0.3">
      <c r="A82" s="1" t="s">
        <v>43</v>
      </c>
      <c r="B82" s="1">
        <v>7</v>
      </c>
      <c r="C82" s="1">
        <v>4</v>
      </c>
      <c r="D82" s="1" t="str">
        <f t="shared" si="1"/>
        <v>Yes</v>
      </c>
      <c r="E82" s="1">
        <v>2.4</v>
      </c>
      <c r="F82" s="1">
        <v>67</v>
      </c>
      <c r="G82" s="66" t="s">
        <v>111</v>
      </c>
      <c r="H82" s="1" t="s">
        <v>95</v>
      </c>
      <c r="I82" s="1">
        <v>71.2</v>
      </c>
      <c r="J82" s="1" t="s">
        <v>95</v>
      </c>
      <c r="M82" s="1" t="s">
        <v>97</v>
      </c>
      <c r="O82" s="1">
        <v>1</v>
      </c>
      <c r="P82" s="1">
        <v>529</v>
      </c>
    </row>
    <row r="83" spans="1:18" ht="14.25" customHeight="1" x14ac:dyDescent="0.3">
      <c r="A83" s="1" t="s">
        <v>43</v>
      </c>
      <c r="B83" s="1">
        <v>7</v>
      </c>
      <c r="C83" s="1">
        <v>12</v>
      </c>
      <c r="D83" s="1" t="str">
        <f t="shared" si="1"/>
        <v>Yes</v>
      </c>
      <c r="E83" s="1">
        <v>9.1</v>
      </c>
      <c r="F83" s="1">
        <v>304</v>
      </c>
      <c r="G83" s="1" t="s">
        <v>109</v>
      </c>
      <c r="H83" s="1" t="s">
        <v>95</v>
      </c>
      <c r="I83" s="1">
        <v>10.1</v>
      </c>
      <c r="J83" s="1" t="s">
        <v>101</v>
      </c>
      <c r="M83" s="1" t="s">
        <v>101</v>
      </c>
      <c r="O83" s="1">
        <v>4</v>
      </c>
    </row>
    <row r="84" spans="1:18" ht="14.25" customHeight="1" x14ac:dyDescent="0.3">
      <c r="A84" s="1" t="s">
        <v>43</v>
      </c>
      <c r="B84" s="1">
        <v>7</v>
      </c>
      <c r="C84" s="1">
        <v>1</v>
      </c>
      <c r="D84" s="1" t="str">
        <f t="shared" si="1"/>
        <v>Yes</v>
      </c>
      <c r="E84" s="1">
        <v>6.5</v>
      </c>
      <c r="F84" s="1">
        <v>21</v>
      </c>
      <c r="G84" s="1" t="s">
        <v>106</v>
      </c>
      <c r="H84" s="1" t="s">
        <v>95</v>
      </c>
      <c r="I84" s="1">
        <v>64</v>
      </c>
      <c r="J84" s="1" t="s">
        <v>101</v>
      </c>
      <c r="M84" s="1" t="s">
        <v>102</v>
      </c>
      <c r="O84" s="1">
        <v>5</v>
      </c>
    </row>
    <row r="85" spans="1:18" ht="14.25" customHeight="1" x14ac:dyDescent="0.3">
      <c r="A85" s="1" t="s">
        <v>43</v>
      </c>
      <c r="B85" s="1">
        <v>7</v>
      </c>
      <c r="C85" s="1">
        <v>2</v>
      </c>
      <c r="D85" s="1" t="str">
        <f t="shared" si="1"/>
        <v>Yes</v>
      </c>
      <c r="E85" s="1">
        <v>8.1</v>
      </c>
      <c r="F85" s="1">
        <v>36</v>
      </c>
      <c r="G85" s="1" t="s">
        <v>106</v>
      </c>
      <c r="H85" s="1" t="s">
        <v>95</v>
      </c>
      <c r="I85" s="1">
        <v>23</v>
      </c>
      <c r="J85" s="1" t="s">
        <v>95</v>
      </c>
      <c r="M85" s="1" t="s">
        <v>101</v>
      </c>
      <c r="O85" s="1">
        <v>1</v>
      </c>
    </row>
    <row r="86" spans="1:18" ht="14.25" customHeight="1" x14ac:dyDescent="0.3">
      <c r="A86" s="1" t="s">
        <v>43</v>
      </c>
      <c r="B86" s="1">
        <v>7</v>
      </c>
      <c r="C86" s="1">
        <v>3</v>
      </c>
      <c r="D86" s="1" t="str">
        <f t="shared" si="1"/>
        <v>Yes</v>
      </c>
      <c r="E86" s="1">
        <v>5.0999999999999996</v>
      </c>
      <c r="F86" s="1">
        <v>47</v>
      </c>
      <c r="G86" s="1" t="s">
        <v>106</v>
      </c>
      <c r="H86" s="1" t="s">
        <v>95</v>
      </c>
      <c r="I86" s="1">
        <v>15.7</v>
      </c>
      <c r="J86" s="1" t="s">
        <v>95</v>
      </c>
      <c r="M86" s="1" t="s">
        <v>101</v>
      </c>
      <c r="O86" s="1">
        <v>1</v>
      </c>
    </row>
    <row r="87" spans="1:18" ht="14.25" customHeight="1" x14ac:dyDescent="0.3">
      <c r="A87" s="1" t="s">
        <v>43</v>
      </c>
      <c r="B87" s="1">
        <v>7</v>
      </c>
      <c r="C87" s="1">
        <v>9</v>
      </c>
      <c r="D87" s="1" t="str">
        <f t="shared" si="1"/>
        <v>Yes</v>
      </c>
      <c r="E87" s="1">
        <v>8.5</v>
      </c>
      <c r="F87" s="1">
        <v>168</v>
      </c>
      <c r="G87" s="1" t="s">
        <v>93</v>
      </c>
      <c r="H87" s="1" t="s">
        <v>95</v>
      </c>
      <c r="I87" s="1">
        <v>48</v>
      </c>
      <c r="J87" s="1" t="s">
        <v>95</v>
      </c>
      <c r="M87" s="1" t="s">
        <v>102</v>
      </c>
      <c r="O87" s="1">
        <v>5</v>
      </c>
      <c r="Q87" s="1" t="s">
        <v>110</v>
      </c>
    </row>
    <row r="88" spans="1:18" ht="14.25" customHeight="1" x14ac:dyDescent="0.3">
      <c r="A88" s="1" t="s">
        <v>43</v>
      </c>
      <c r="B88" s="1">
        <v>7</v>
      </c>
      <c r="C88" s="1">
        <v>5</v>
      </c>
      <c r="D88" s="1" t="str">
        <f t="shared" si="1"/>
        <v>Yes</v>
      </c>
      <c r="E88" s="1">
        <v>6.4</v>
      </c>
      <c r="F88" s="1">
        <v>96</v>
      </c>
      <c r="G88" s="1" t="s">
        <v>93</v>
      </c>
      <c r="H88" s="1" t="s">
        <v>95</v>
      </c>
      <c r="I88" s="1">
        <v>43</v>
      </c>
      <c r="J88" s="1" t="s">
        <v>101</v>
      </c>
      <c r="M88" s="1" t="s">
        <v>102</v>
      </c>
      <c r="O88" s="1">
        <v>5</v>
      </c>
      <c r="R88" s="1"/>
    </row>
    <row r="89" spans="1:18" ht="14.25" customHeight="1" x14ac:dyDescent="0.3">
      <c r="A89" s="1" t="s">
        <v>43</v>
      </c>
      <c r="B89" s="1">
        <v>7</v>
      </c>
      <c r="C89" s="1">
        <v>8</v>
      </c>
      <c r="D89" s="1" t="str">
        <f t="shared" si="1"/>
        <v>Yes</v>
      </c>
      <c r="E89" s="1">
        <v>9.6999999999999993</v>
      </c>
      <c r="F89" s="1">
        <v>165</v>
      </c>
      <c r="G89" s="1" t="s">
        <v>93</v>
      </c>
      <c r="H89" s="1" t="s">
        <v>95</v>
      </c>
      <c r="I89" s="1">
        <v>30</v>
      </c>
      <c r="J89" s="1" t="s">
        <v>95</v>
      </c>
      <c r="M89" s="1" t="s">
        <v>102</v>
      </c>
      <c r="O89" s="1">
        <v>5</v>
      </c>
      <c r="Q89" s="1" t="s">
        <v>110</v>
      </c>
    </row>
    <row r="90" spans="1:18" ht="14.25" customHeight="1" x14ac:dyDescent="0.3">
      <c r="A90" s="1" t="s">
        <v>43</v>
      </c>
      <c r="B90" s="1">
        <v>7</v>
      </c>
      <c r="C90" s="1">
        <v>7</v>
      </c>
      <c r="D90" s="1" t="str">
        <f t="shared" si="1"/>
        <v>Yes</v>
      </c>
      <c r="E90" s="1">
        <v>9.6999999999999993</v>
      </c>
      <c r="F90" s="1">
        <v>159</v>
      </c>
      <c r="G90" s="1" t="s">
        <v>93</v>
      </c>
      <c r="H90" s="1" t="s">
        <v>95</v>
      </c>
      <c r="I90" s="1">
        <v>23.9</v>
      </c>
      <c r="J90" s="1" t="s">
        <v>101</v>
      </c>
      <c r="M90" s="1" t="s">
        <v>102</v>
      </c>
      <c r="O90" s="1">
        <v>5</v>
      </c>
      <c r="R90" s="1"/>
    </row>
    <row r="91" spans="1:18" ht="14.25" customHeight="1" x14ac:dyDescent="0.3">
      <c r="A91" s="1" t="s">
        <v>43</v>
      </c>
      <c r="B91" s="1">
        <v>7</v>
      </c>
      <c r="C91" s="1">
        <v>11</v>
      </c>
      <c r="D91" s="1" t="str">
        <f t="shared" si="1"/>
        <v>Yes</v>
      </c>
      <c r="E91" s="1">
        <v>2.8</v>
      </c>
      <c r="F91" s="1">
        <v>273</v>
      </c>
      <c r="G91" s="1" t="s">
        <v>93</v>
      </c>
      <c r="H91" s="1" t="s">
        <v>95</v>
      </c>
      <c r="I91" s="1">
        <v>22.6</v>
      </c>
      <c r="J91" s="1" t="s">
        <v>95</v>
      </c>
      <c r="M91" s="1" t="s">
        <v>101</v>
      </c>
      <c r="O91" s="1">
        <v>1</v>
      </c>
      <c r="P91" s="1">
        <v>530</v>
      </c>
    </row>
    <row r="92" spans="1:18" ht="14.25" customHeight="1" x14ac:dyDescent="0.3">
      <c r="A92" s="1" t="s">
        <v>43</v>
      </c>
      <c r="B92" s="1">
        <v>7</v>
      </c>
      <c r="C92" s="1">
        <v>10</v>
      </c>
      <c r="D92" s="1" t="str">
        <f t="shared" si="1"/>
        <v>Yes</v>
      </c>
      <c r="E92" s="1">
        <v>12.2</v>
      </c>
      <c r="F92" s="1">
        <v>268</v>
      </c>
      <c r="G92" s="1" t="s">
        <v>93</v>
      </c>
      <c r="H92" s="1" t="s">
        <v>95</v>
      </c>
      <c r="I92" s="1">
        <v>20.2</v>
      </c>
      <c r="J92" s="1" t="s">
        <v>95</v>
      </c>
      <c r="M92" s="1" t="s">
        <v>102</v>
      </c>
      <c r="O92" s="1">
        <v>1</v>
      </c>
    </row>
    <row r="93" spans="1:18" ht="14.25" customHeight="1" x14ac:dyDescent="0.3">
      <c r="A93" s="1" t="s">
        <v>43</v>
      </c>
      <c r="B93" s="1">
        <v>7</v>
      </c>
      <c r="C93" s="1">
        <v>6</v>
      </c>
      <c r="D93" s="1" t="str">
        <f t="shared" si="1"/>
        <v>Yes</v>
      </c>
      <c r="E93" s="1">
        <v>5.4</v>
      </c>
      <c r="F93" s="1">
        <v>158</v>
      </c>
      <c r="G93" s="1" t="s">
        <v>93</v>
      </c>
      <c r="H93" s="1" t="s">
        <v>95</v>
      </c>
      <c r="I93" s="1">
        <v>11.4</v>
      </c>
      <c r="J93" s="1" t="s">
        <v>95</v>
      </c>
      <c r="M93" s="1" t="s">
        <v>102</v>
      </c>
      <c r="O93" s="1">
        <v>1</v>
      </c>
    </row>
    <row r="94" spans="1:18" ht="14.25" customHeight="1" x14ac:dyDescent="0.3">
      <c r="A94" s="1" t="s">
        <v>43</v>
      </c>
      <c r="B94" s="1">
        <v>8</v>
      </c>
      <c r="C94" s="1">
        <v>3</v>
      </c>
      <c r="D94" s="1" t="str">
        <f t="shared" si="1"/>
        <v>No</v>
      </c>
      <c r="E94" s="1">
        <v>21.8</v>
      </c>
      <c r="F94" s="1">
        <v>23</v>
      </c>
      <c r="G94" s="1" t="s">
        <v>106</v>
      </c>
      <c r="H94" s="1" t="s">
        <v>94</v>
      </c>
      <c r="I94" s="1">
        <v>63.8</v>
      </c>
      <c r="J94" s="1" t="s">
        <v>95</v>
      </c>
      <c r="K94" s="1">
        <v>15</v>
      </c>
      <c r="L94" s="1">
        <v>10</v>
      </c>
      <c r="M94" s="1" t="s">
        <v>97</v>
      </c>
      <c r="P94" s="1">
        <v>527</v>
      </c>
    </row>
    <row r="95" spans="1:18" ht="14.25" customHeight="1" x14ac:dyDescent="0.3">
      <c r="A95" s="1" t="s">
        <v>43</v>
      </c>
      <c r="B95" s="1">
        <v>8</v>
      </c>
      <c r="C95" s="1">
        <v>2</v>
      </c>
      <c r="D95" s="1" t="str">
        <f t="shared" si="1"/>
        <v>No</v>
      </c>
      <c r="E95" s="1">
        <v>15</v>
      </c>
      <c r="F95" s="1">
        <v>119</v>
      </c>
      <c r="G95" s="1" t="s">
        <v>106</v>
      </c>
      <c r="H95" s="1" t="s">
        <v>94</v>
      </c>
      <c r="I95" s="1">
        <v>60.5</v>
      </c>
      <c r="J95" s="1" t="s">
        <v>95</v>
      </c>
      <c r="K95" s="1">
        <v>0</v>
      </c>
      <c r="L95" s="1">
        <v>0</v>
      </c>
      <c r="M95" s="1" t="s">
        <v>102</v>
      </c>
      <c r="P95" s="1">
        <v>526</v>
      </c>
    </row>
    <row r="96" spans="1:18" ht="14.25" customHeight="1" x14ac:dyDescent="0.3">
      <c r="A96" s="1" t="s">
        <v>43</v>
      </c>
      <c r="B96" s="1">
        <v>8</v>
      </c>
      <c r="C96" s="1">
        <v>1</v>
      </c>
      <c r="D96" s="1" t="str">
        <f t="shared" si="1"/>
        <v>No</v>
      </c>
      <c r="E96" s="1">
        <v>17.399999999999999</v>
      </c>
      <c r="F96" s="1">
        <v>214</v>
      </c>
      <c r="G96" s="1" t="s">
        <v>106</v>
      </c>
      <c r="H96" s="1" t="s">
        <v>94</v>
      </c>
      <c r="I96" s="1">
        <v>44.5</v>
      </c>
      <c r="J96" s="1" t="s">
        <v>95</v>
      </c>
      <c r="K96" s="1">
        <v>10</v>
      </c>
      <c r="L96" s="1">
        <v>5</v>
      </c>
      <c r="M96" s="1" t="s">
        <v>102</v>
      </c>
      <c r="P96" s="1">
        <v>525</v>
      </c>
    </row>
    <row r="97" spans="1:16" ht="14.25" customHeight="1" x14ac:dyDescent="0.3">
      <c r="A97" s="1" t="s">
        <v>43</v>
      </c>
      <c r="B97" s="1">
        <v>9</v>
      </c>
      <c r="C97" s="1">
        <v>17</v>
      </c>
      <c r="D97" s="1" t="str">
        <f t="shared" si="1"/>
        <v>No</v>
      </c>
      <c r="E97" s="1">
        <v>13.5</v>
      </c>
      <c r="F97" s="1">
        <v>350</v>
      </c>
      <c r="G97" s="1" t="s">
        <v>96</v>
      </c>
      <c r="H97" s="1" t="s">
        <v>94</v>
      </c>
      <c r="I97" s="1">
        <v>376</v>
      </c>
      <c r="J97" s="1" t="s">
        <v>95</v>
      </c>
      <c r="K97" s="1">
        <v>0</v>
      </c>
      <c r="L97" s="1">
        <v>15</v>
      </c>
      <c r="M97" s="1" t="s">
        <v>97</v>
      </c>
      <c r="P97" s="1">
        <v>522</v>
      </c>
    </row>
    <row r="98" spans="1:16" ht="14.25" customHeight="1" x14ac:dyDescent="0.3">
      <c r="A98" s="1" t="s">
        <v>43</v>
      </c>
      <c r="B98" s="1">
        <v>9</v>
      </c>
      <c r="C98" s="1">
        <v>9</v>
      </c>
      <c r="D98" s="1" t="str">
        <f t="shared" si="1"/>
        <v>Yes</v>
      </c>
      <c r="E98" s="1">
        <v>6.7</v>
      </c>
      <c r="F98" s="1">
        <v>40</v>
      </c>
      <c r="G98" s="1" t="s">
        <v>111</v>
      </c>
      <c r="H98" s="1" t="s">
        <v>95</v>
      </c>
      <c r="I98" s="1">
        <v>10.5</v>
      </c>
      <c r="J98" s="1" t="s">
        <v>101</v>
      </c>
      <c r="M98" s="1" t="s">
        <v>101</v>
      </c>
      <c r="O98" s="1">
        <v>5</v>
      </c>
    </row>
    <row r="99" spans="1:16" ht="14.25" customHeight="1" x14ac:dyDescent="0.3">
      <c r="A99" s="1" t="s">
        <v>43</v>
      </c>
      <c r="B99" s="1">
        <v>9</v>
      </c>
      <c r="C99" s="1">
        <v>3</v>
      </c>
      <c r="D99" s="1" t="str">
        <f t="shared" si="1"/>
        <v>Yes</v>
      </c>
      <c r="E99" s="1">
        <v>10.1</v>
      </c>
      <c r="F99" s="1">
        <v>329</v>
      </c>
      <c r="G99" s="1" t="s">
        <v>106</v>
      </c>
      <c r="H99" s="1" t="s">
        <v>95</v>
      </c>
      <c r="I99" s="1">
        <v>18.100000000000001</v>
      </c>
      <c r="J99" s="1" t="s">
        <v>101</v>
      </c>
      <c r="M99" s="1" t="s">
        <v>101</v>
      </c>
      <c r="O99" s="1">
        <v>5</v>
      </c>
    </row>
    <row r="100" spans="1:16" ht="14.25" customHeight="1" x14ac:dyDescent="0.3">
      <c r="A100" s="1" t="s">
        <v>43</v>
      </c>
      <c r="B100" s="1">
        <v>9</v>
      </c>
      <c r="C100" s="1">
        <v>12</v>
      </c>
      <c r="D100" s="1" t="str">
        <f t="shared" si="1"/>
        <v>Yes</v>
      </c>
      <c r="E100" s="1">
        <v>8.9</v>
      </c>
      <c r="F100" s="1">
        <v>222</v>
      </c>
      <c r="G100" s="1" t="s">
        <v>93</v>
      </c>
      <c r="H100" s="1" t="s">
        <v>95</v>
      </c>
      <c r="I100" s="1">
        <v>53.9</v>
      </c>
      <c r="J100" s="1" t="s">
        <v>95</v>
      </c>
      <c r="M100" s="1" t="s">
        <v>97</v>
      </c>
      <c r="O100" s="1">
        <v>1</v>
      </c>
    </row>
    <row r="101" spans="1:16" ht="14.25" customHeight="1" x14ac:dyDescent="0.3">
      <c r="A101" s="1" t="s">
        <v>43</v>
      </c>
      <c r="B101" s="1">
        <v>9</v>
      </c>
      <c r="C101" s="1">
        <v>14</v>
      </c>
      <c r="D101" s="1" t="str">
        <f t="shared" si="1"/>
        <v>Yes</v>
      </c>
      <c r="E101" s="1">
        <v>8.9</v>
      </c>
      <c r="F101" s="1">
        <v>268</v>
      </c>
      <c r="G101" s="1" t="s">
        <v>93</v>
      </c>
      <c r="H101" s="1" t="s">
        <v>95</v>
      </c>
      <c r="I101" s="1">
        <v>51.5</v>
      </c>
      <c r="J101" s="1" t="s">
        <v>95</v>
      </c>
      <c r="M101" s="1" t="s">
        <v>102</v>
      </c>
      <c r="O101" s="1">
        <v>1</v>
      </c>
    </row>
    <row r="102" spans="1:16" ht="14.25" customHeight="1" x14ac:dyDescent="0.3">
      <c r="A102" s="1" t="s">
        <v>43</v>
      </c>
      <c r="B102" s="1">
        <v>9</v>
      </c>
      <c r="C102" s="1">
        <v>10</v>
      </c>
      <c r="D102" s="1" t="str">
        <f t="shared" si="1"/>
        <v>Yes</v>
      </c>
      <c r="E102" s="1">
        <v>1.8</v>
      </c>
      <c r="F102" s="1">
        <v>97</v>
      </c>
      <c r="G102" s="1" t="s">
        <v>93</v>
      </c>
      <c r="H102" s="1" t="s">
        <v>95</v>
      </c>
      <c r="I102" s="1">
        <v>45.6</v>
      </c>
      <c r="J102" s="1" t="s">
        <v>95</v>
      </c>
      <c r="M102" s="1" t="s">
        <v>95</v>
      </c>
      <c r="O102" s="1">
        <v>3</v>
      </c>
    </row>
    <row r="103" spans="1:16" ht="14.25" customHeight="1" x14ac:dyDescent="0.3">
      <c r="A103" s="1" t="s">
        <v>43</v>
      </c>
      <c r="B103" s="1">
        <v>9</v>
      </c>
      <c r="C103" s="1">
        <v>11</v>
      </c>
      <c r="D103" s="1" t="str">
        <f t="shared" si="1"/>
        <v>Yes</v>
      </c>
      <c r="E103" s="1">
        <v>7.5</v>
      </c>
      <c r="F103" s="1">
        <v>204</v>
      </c>
      <c r="G103" s="1" t="s">
        <v>93</v>
      </c>
      <c r="H103" s="1" t="s">
        <v>95</v>
      </c>
      <c r="I103" s="1">
        <v>43.5</v>
      </c>
      <c r="J103" s="1" t="s">
        <v>95</v>
      </c>
      <c r="M103" s="1" t="s">
        <v>102</v>
      </c>
      <c r="O103" s="1">
        <v>1</v>
      </c>
      <c r="P103" s="1">
        <v>524</v>
      </c>
    </row>
    <row r="104" spans="1:16" ht="14.25" customHeight="1" x14ac:dyDescent="0.3">
      <c r="A104" s="1" t="s">
        <v>43</v>
      </c>
      <c r="B104" s="1">
        <v>9</v>
      </c>
      <c r="C104" s="1">
        <v>1</v>
      </c>
      <c r="D104" s="1" t="str">
        <f t="shared" si="1"/>
        <v>Yes</v>
      </c>
      <c r="E104" s="1">
        <v>3</v>
      </c>
      <c r="F104" s="1">
        <v>273</v>
      </c>
      <c r="G104" s="1" t="s">
        <v>93</v>
      </c>
      <c r="H104" s="1" t="s">
        <v>95</v>
      </c>
      <c r="I104" s="1">
        <v>37</v>
      </c>
      <c r="J104" s="1" t="s">
        <v>95</v>
      </c>
      <c r="M104" s="1" t="s">
        <v>101</v>
      </c>
      <c r="O104" s="1">
        <v>1</v>
      </c>
    </row>
    <row r="105" spans="1:16" ht="14.25" customHeight="1" x14ac:dyDescent="0.3">
      <c r="A105" s="1" t="s">
        <v>43</v>
      </c>
      <c r="B105" s="1">
        <v>9</v>
      </c>
      <c r="C105" s="1">
        <v>6</v>
      </c>
      <c r="D105" s="1" t="str">
        <f t="shared" si="1"/>
        <v>Yes</v>
      </c>
      <c r="E105" s="1">
        <v>6</v>
      </c>
      <c r="F105" s="1">
        <v>340</v>
      </c>
      <c r="G105" s="1" t="s">
        <v>93</v>
      </c>
      <c r="H105" s="1" t="s">
        <v>95</v>
      </c>
      <c r="I105" s="1">
        <v>36.4</v>
      </c>
      <c r="J105" s="1" t="s">
        <v>95</v>
      </c>
      <c r="M105" s="1" t="s">
        <v>101</v>
      </c>
      <c r="O105" s="1">
        <v>1</v>
      </c>
    </row>
    <row r="106" spans="1:16" ht="14.25" customHeight="1" x14ac:dyDescent="0.3">
      <c r="A106" s="1" t="s">
        <v>43</v>
      </c>
      <c r="B106" s="1">
        <v>9</v>
      </c>
      <c r="C106" s="1">
        <v>15</v>
      </c>
      <c r="D106" s="1" t="str">
        <f t="shared" si="1"/>
        <v>Yes</v>
      </c>
      <c r="E106" s="1">
        <v>6</v>
      </c>
      <c r="F106" s="1">
        <v>271</v>
      </c>
      <c r="G106" s="1" t="s">
        <v>93</v>
      </c>
      <c r="H106" s="1" t="s">
        <v>95</v>
      </c>
      <c r="I106" s="1">
        <v>34.5</v>
      </c>
      <c r="J106" s="1" t="s">
        <v>95</v>
      </c>
      <c r="M106" s="1" t="s">
        <v>102</v>
      </c>
      <c r="O106" s="1">
        <v>3</v>
      </c>
    </row>
    <row r="107" spans="1:16" ht="14.25" customHeight="1" x14ac:dyDescent="0.3">
      <c r="A107" s="1" t="s">
        <v>43</v>
      </c>
      <c r="B107" s="1">
        <v>9</v>
      </c>
      <c r="C107" s="1">
        <v>4</v>
      </c>
      <c r="D107" s="1" t="str">
        <f t="shared" si="1"/>
        <v>Yes</v>
      </c>
      <c r="E107" s="1">
        <v>7.5</v>
      </c>
      <c r="F107" s="1">
        <v>335</v>
      </c>
      <c r="G107" s="1" t="s">
        <v>93</v>
      </c>
      <c r="H107" s="1" t="s">
        <v>95</v>
      </c>
      <c r="I107" s="1">
        <v>25.9</v>
      </c>
      <c r="J107" s="1" t="s">
        <v>95</v>
      </c>
      <c r="M107" s="1" t="s">
        <v>101</v>
      </c>
      <c r="O107" s="1">
        <v>1</v>
      </c>
    </row>
    <row r="108" spans="1:16" ht="14.25" customHeight="1" x14ac:dyDescent="0.3">
      <c r="A108" s="1" t="s">
        <v>43</v>
      </c>
      <c r="B108" s="1">
        <v>9</v>
      </c>
      <c r="C108" s="1">
        <v>16</v>
      </c>
      <c r="D108" s="1" t="str">
        <f t="shared" si="1"/>
        <v>Yes</v>
      </c>
      <c r="E108" s="1">
        <v>9.4</v>
      </c>
      <c r="F108" s="1">
        <v>269</v>
      </c>
      <c r="G108" s="1" t="s">
        <v>93</v>
      </c>
      <c r="H108" s="1" t="s">
        <v>95</v>
      </c>
      <c r="I108" s="1">
        <v>22.5</v>
      </c>
      <c r="J108" s="1" t="s">
        <v>95</v>
      </c>
      <c r="M108" s="1" t="s">
        <v>101</v>
      </c>
      <c r="O108" s="1">
        <v>1</v>
      </c>
    </row>
    <row r="109" spans="1:16" ht="14.25" customHeight="1" x14ac:dyDescent="0.3">
      <c r="A109" s="1" t="s">
        <v>43</v>
      </c>
      <c r="B109" s="1">
        <v>9</v>
      </c>
      <c r="C109" s="1">
        <v>2</v>
      </c>
      <c r="D109" s="1" t="str">
        <f t="shared" si="1"/>
        <v>Yes</v>
      </c>
      <c r="E109" s="1">
        <v>10.7</v>
      </c>
      <c r="F109" s="1">
        <v>302</v>
      </c>
      <c r="G109" s="1" t="s">
        <v>93</v>
      </c>
      <c r="H109" s="1" t="s">
        <v>95</v>
      </c>
      <c r="I109" s="1">
        <v>20.7</v>
      </c>
      <c r="J109" s="1" t="s">
        <v>95</v>
      </c>
      <c r="M109" s="1" t="s">
        <v>101</v>
      </c>
      <c r="O109" s="1">
        <v>2</v>
      </c>
    </row>
    <row r="110" spans="1:16" ht="14.25" customHeight="1" x14ac:dyDescent="0.3">
      <c r="A110" s="1" t="s">
        <v>43</v>
      </c>
      <c r="B110" s="1">
        <v>9</v>
      </c>
      <c r="C110" s="1">
        <v>8</v>
      </c>
      <c r="D110" s="1" t="str">
        <f t="shared" si="1"/>
        <v>Yes</v>
      </c>
      <c r="E110" s="1">
        <v>7.5</v>
      </c>
      <c r="F110" s="1">
        <v>45</v>
      </c>
      <c r="G110" s="1" t="s">
        <v>93</v>
      </c>
      <c r="H110" s="1" t="s">
        <v>95</v>
      </c>
      <c r="I110" s="1">
        <v>16.600000000000001</v>
      </c>
      <c r="J110" s="1" t="s">
        <v>101</v>
      </c>
      <c r="M110" s="1" t="s">
        <v>101</v>
      </c>
      <c r="O110" s="1">
        <v>5</v>
      </c>
    </row>
    <row r="111" spans="1:16" ht="14.25" customHeight="1" x14ac:dyDescent="0.3">
      <c r="A111" s="1" t="s">
        <v>43</v>
      </c>
      <c r="B111" s="1">
        <v>9</v>
      </c>
      <c r="C111" s="1">
        <v>5</v>
      </c>
      <c r="D111" s="1" t="str">
        <f t="shared" si="1"/>
        <v>Yes</v>
      </c>
      <c r="E111" s="1">
        <v>5.9</v>
      </c>
      <c r="F111" s="1">
        <v>336</v>
      </c>
      <c r="G111" s="1" t="s">
        <v>93</v>
      </c>
      <c r="H111" s="1" t="s">
        <v>95</v>
      </c>
      <c r="I111" s="1">
        <v>12.8</v>
      </c>
      <c r="J111" s="1" t="s">
        <v>101</v>
      </c>
      <c r="M111" s="1" t="s">
        <v>101</v>
      </c>
      <c r="O111" s="1">
        <v>5</v>
      </c>
    </row>
    <row r="112" spans="1:16" ht="14.25" customHeight="1" x14ac:dyDescent="0.3">
      <c r="A112" s="1" t="s">
        <v>43</v>
      </c>
      <c r="B112" s="1">
        <v>9</v>
      </c>
      <c r="C112" s="1">
        <v>7</v>
      </c>
      <c r="D112" s="1" t="str">
        <f t="shared" si="1"/>
        <v>Yes</v>
      </c>
      <c r="E112" s="1">
        <v>11.5</v>
      </c>
      <c r="F112" s="1">
        <v>1</v>
      </c>
      <c r="G112" s="1" t="s">
        <v>93</v>
      </c>
      <c r="H112" s="1" t="s">
        <v>95</v>
      </c>
      <c r="I112" s="1">
        <v>12.8</v>
      </c>
      <c r="J112" s="1" t="s">
        <v>95</v>
      </c>
      <c r="M112" s="1" t="s">
        <v>101</v>
      </c>
      <c r="O112" s="1">
        <v>5</v>
      </c>
    </row>
    <row r="113" spans="1:16" ht="14.25" customHeight="1" x14ac:dyDescent="0.3">
      <c r="A113" s="1" t="s">
        <v>43</v>
      </c>
      <c r="B113" s="1">
        <v>9</v>
      </c>
      <c r="C113" s="1">
        <v>13</v>
      </c>
      <c r="D113" s="1" t="str">
        <f t="shared" si="1"/>
        <v>Yes</v>
      </c>
      <c r="E113" s="1">
        <v>4.8</v>
      </c>
      <c r="F113" s="1">
        <v>258</v>
      </c>
      <c r="G113" s="1" t="s">
        <v>93</v>
      </c>
      <c r="H113" s="1" t="s">
        <v>95</v>
      </c>
      <c r="I113" s="1">
        <v>11.1</v>
      </c>
      <c r="J113" s="1" t="s">
        <v>95</v>
      </c>
      <c r="M113" s="1" t="s">
        <v>101</v>
      </c>
      <c r="O113" s="1">
        <v>1</v>
      </c>
    </row>
    <row r="114" spans="1:16" ht="14.25" customHeight="1" x14ac:dyDescent="0.3">
      <c r="A114" s="1" t="s">
        <v>43</v>
      </c>
      <c r="B114" s="1">
        <v>9</v>
      </c>
      <c r="C114" s="1">
        <v>18</v>
      </c>
      <c r="D114" s="1" t="str">
        <f t="shared" si="1"/>
        <v>Yes</v>
      </c>
      <c r="E114" s="1">
        <v>7</v>
      </c>
      <c r="F114" s="1">
        <v>115</v>
      </c>
      <c r="G114" s="1" t="s">
        <v>96</v>
      </c>
      <c r="H114" s="1" t="s">
        <v>94</v>
      </c>
      <c r="I114" s="1">
        <v>385</v>
      </c>
      <c r="J114" s="1" t="s">
        <v>95</v>
      </c>
      <c r="K114" s="1">
        <v>0</v>
      </c>
      <c r="L114" s="1">
        <v>25</v>
      </c>
      <c r="M114" s="1" t="s">
        <v>97</v>
      </c>
      <c r="P114" s="1">
        <v>523</v>
      </c>
    </row>
    <row r="115" spans="1:16" ht="14.25" customHeight="1" x14ac:dyDescent="0.3">
      <c r="A115" s="1" t="s">
        <v>43</v>
      </c>
      <c r="B115" s="1">
        <v>10</v>
      </c>
      <c r="C115" s="1">
        <v>15</v>
      </c>
      <c r="D115" s="1" t="str">
        <f t="shared" si="1"/>
        <v>Yes</v>
      </c>
      <c r="E115" s="1">
        <v>12</v>
      </c>
      <c r="F115" s="1">
        <v>182</v>
      </c>
      <c r="G115" s="1" t="s">
        <v>106</v>
      </c>
      <c r="H115" s="1" t="s">
        <v>95</v>
      </c>
      <c r="I115" s="1">
        <v>47.9</v>
      </c>
      <c r="J115" s="1" t="s">
        <v>95</v>
      </c>
      <c r="M115" s="1" t="s">
        <v>97</v>
      </c>
      <c r="O115" s="1">
        <v>5</v>
      </c>
    </row>
    <row r="116" spans="1:16" ht="14.25" customHeight="1" x14ac:dyDescent="0.3">
      <c r="A116" s="1" t="s">
        <v>43</v>
      </c>
      <c r="B116" s="1">
        <v>10</v>
      </c>
      <c r="C116" s="1">
        <v>12</v>
      </c>
      <c r="D116" s="1" t="str">
        <f t="shared" si="1"/>
        <v>Yes</v>
      </c>
      <c r="E116" s="1">
        <v>10.7</v>
      </c>
      <c r="F116" s="1">
        <v>143</v>
      </c>
      <c r="G116" s="1" t="s">
        <v>106</v>
      </c>
      <c r="H116" s="1" t="s">
        <v>95</v>
      </c>
      <c r="I116" s="1">
        <v>28.2</v>
      </c>
      <c r="J116" s="1" t="s">
        <v>95</v>
      </c>
      <c r="M116" s="1" t="s">
        <v>102</v>
      </c>
      <c r="O116" s="1">
        <v>2</v>
      </c>
    </row>
    <row r="117" spans="1:16" ht="14.25" customHeight="1" x14ac:dyDescent="0.3">
      <c r="A117" s="1" t="s">
        <v>43</v>
      </c>
      <c r="B117" s="1">
        <v>10</v>
      </c>
      <c r="C117" s="1">
        <v>16</v>
      </c>
      <c r="D117" s="1" t="str">
        <f t="shared" si="1"/>
        <v>Yes</v>
      </c>
      <c r="E117" s="1">
        <v>12</v>
      </c>
      <c r="F117" s="1">
        <v>190</v>
      </c>
      <c r="G117" s="1" t="s">
        <v>106</v>
      </c>
      <c r="H117" s="1" t="s">
        <v>95</v>
      </c>
      <c r="I117" s="1">
        <v>21.8</v>
      </c>
      <c r="J117" s="1" t="s">
        <v>95</v>
      </c>
      <c r="M117" s="1" t="s">
        <v>102</v>
      </c>
      <c r="O117" s="1">
        <v>5</v>
      </c>
    </row>
    <row r="118" spans="1:16" ht="14.25" customHeight="1" x14ac:dyDescent="0.3">
      <c r="A118" s="1" t="s">
        <v>43</v>
      </c>
      <c r="B118" s="1">
        <v>10</v>
      </c>
      <c r="C118" s="1">
        <v>2</v>
      </c>
      <c r="D118" s="1" t="str">
        <f t="shared" si="1"/>
        <v>Yes</v>
      </c>
      <c r="E118" s="1">
        <v>8.4</v>
      </c>
      <c r="F118" s="1">
        <v>25</v>
      </c>
      <c r="G118" s="1" t="s">
        <v>106</v>
      </c>
      <c r="H118" s="1" t="s">
        <v>95</v>
      </c>
      <c r="I118" s="1">
        <v>21.4</v>
      </c>
      <c r="J118" s="1" t="s">
        <v>95</v>
      </c>
      <c r="M118" s="1" t="s">
        <v>101</v>
      </c>
      <c r="O118" s="1">
        <v>3</v>
      </c>
    </row>
    <row r="119" spans="1:16" ht="14.25" customHeight="1" x14ac:dyDescent="0.3">
      <c r="A119" s="1" t="s">
        <v>43</v>
      </c>
      <c r="B119" s="1">
        <v>10</v>
      </c>
      <c r="C119" s="1">
        <v>8</v>
      </c>
      <c r="D119" s="1" t="str">
        <f t="shared" si="1"/>
        <v>Yes</v>
      </c>
      <c r="E119" s="1">
        <v>9.9</v>
      </c>
      <c r="F119" s="1">
        <v>79</v>
      </c>
      <c r="G119" s="1" t="s">
        <v>106</v>
      </c>
      <c r="H119" s="1" t="s">
        <v>95</v>
      </c>
      <c r="I119" s="1">
        <v>14.5</v>
      </c>
      <c r="J119" s="1" t="s">
        <v>95</v>
      </c>
      <c r="M119" s="1" t="s">
        <v>102</v>
      </c>
      <c r="O119" s="1">
        <v>1</v>
      </c>
    </row>
    <row r="120" spans="1:16" ht="14.25" customHeight="1" x14ac:dyDescent="0.3">
      <c r="A120" s="1" t="s">
        <v>43</v>
      </c>
      <c r="B120" s="1">
        <v>10</v>
      </c>
      <c r="C120" s="1">
        <v>7</v>
      </c>
      <c r="D120" s="1" t="str">
        <f t="shared" si="1"/>
        <v>Yes</v>
      </c>
      <c r="E120" s="1">
        <v>4.4000000000000004</v>
      </c>
      <c r="F120" s="1">
        <v>65</v>
      </c>
      <c r="G120" s="1" t="s">
        <v>93</v>
      </c>
      <c r="H120" s="1" t="s">
        <v>95</v>
      </c>
      <c r="I120" s="1">
        <v>66.2</v>
      </c>
      <c r="J120" s="1" t="s">
        <v>95</v>
      </c>
      <c r="M120" s="1" t="s">
        <v>97</v>
      </c>
      <c r="O120" s="1">
        <v>1</v>
      </c>
    </row>
    <row r="121" spans="1:16" ht="14.25" customHeight="1" x14ac:dyDescent="0.3">
      <c r="A121" s="1" t="s">
        <v>43</v>
      </c>
      <c r="B121" s="1">
        <v>10</v>
      </c>
      <c r="C121" s="1">
        <v>3</v>
      </c>
      <c r="D121" s="1" t="str">
        <f t="shared" si="1"/>
        <v>Yes</v>
      </c>
      <c r="E121" s="1">
        <v>11</v>
      </c>
      <c r="F121" s="1">
        <v>41</v>
      </c>
      <c r="G121" s="1" t="s">
        <v>93</v>
      </c>
      <c r="H121" s="1" t="s">
        <v>95</v>
      </c>
      <c r="I121" s="1">
        <v>58.5</v>
      </c>
      <c r="J121" s="1" t="s">
        <v>101</v>
      </c>
      <c r="M121" s="1" t="s">
        <v>102</v>
      </c>
      <c r="O121" s="1">
        <v>5</v>
      </c>
    </row>
    <row r="122" spans="1:16" ht="14.25" customHeight="1" x14ac:dyDescent="0.3">
      <c r="A122" s="1" t="s">
        <v>43</v>
      </c>
      <c r="B122" s="1">
        <v>10</v>
      </c>
      <c r="C122" s="1">
        <v>4</v>
      </c>
      <c r="D122" s="1" t="str">
        <f t="shared" si="1"/>
        <v>Yes</v>
      </c>
      <c r="E122" s="1">
        <v>12.5</v>
      </c>
      <c r="F122" s="1">
        <v>45</v>
      </c>
      <c r="G122" s="1" t="s">
        <v>93</v>
      </c>
      <c r="H122" s="1" t="s">
        <v>95</v>
      </c>
      <c r="I122" s="1">
        <v>52.3</v>
      </c>
      <c r="J122" s="1" t="s">
        <v>95</v>
      </c>
      <c r="M122" s="1" t="s">
        <v>102</v>
      </c>
      <c r="O122" s="1">
        <v>5</v>
      </c>
    </row>
    <row r="123" spans="1:16" ht="14.25" customHeight="1" x14ac:dyDescent="0.3">
      <c r="A123" s="1" t="s">
        <v>43</v>
      </c>
      <c r="B123" s="1">
        <v>10</v>
      </c>
      <c r="C123" s="1">
        <v>17</v>
      </c>
      <c r="D123" s="1" t="str">
        <f t="shared" si="1"/>
        <v>Yes</v>
      </c>
      <c r="E123" s="1">
        <v>12.1</v>
      </c>
      <c r="F123" s="1">
        <v>229</v>
      </c>
      <c r="G123" s="1" t="s">
        <v>93</v>
      </c>
      <c r="H123" s="1" t="s">
        <v>95</v>
      </c>
      <c r="I123" s="1">
        <v>50.5</v>
      </c>
      <c r="J123" s="1" t="s">
        <v>95</v>
      </c>
      <c r="M123" s="1" t="s">
        <v>97</v>
      </c>
      <c r="O123" s="1">
        <v>5</v>
      </c>
    </row>
    <row r="124" spans="1:16" ht="14.25" customHeight="1" x14ac:dyDescent="0.3">
      <c r="A124" s="1" t="s">
        <v>43</v>
      </c>
      <c r="B124" s="1">
        <v>10</v>
      </c>
      <c r="C124" s="1">
        <v>18</v>
      </c>
      <c r="D124" s="1" t="str">
        <f t="shared" si="1"/>
        <v>Yes</v>
      </c>
      <c r="E124" s="1">
        <v>7.2</v>
      </c>
      <c r="F124" s="1">
        <v>239</v>
      </c>
      <c r="G124" s="1" t="s">
        <v>93</v>
      </c>
      <c r="H124" s="1" t="s">
        <v>95</v>
      </c>
      <c r="I124" s="1">
        <v>50</v>
      </c>
      <c r="J124" s="1" t="s">
        <v>101</v>
      </c>
      <c r="M124" s="1" t="s">
        <v>97</v>
      </c>
      <c r="O124" s="1">
        <v>5</v>
      </c>
    </row>
    <row r="125" spans="1:16" ht="14.25" customHeight="1" x14ac:dyDescent="0.3">
      <c r="A125" s="1" t="s">
        <v>43</v>
      </c>
      <c r="B125" s="1">
        <v>10</v>
      </c>
      <c r="C125" s="1">
        <v>6</v>
      </c>
      <c r="D125" s="1" t="str">
        <f t="shared" si="1"/>
        <v>Yes</v>
      </c>
      <c r="E125" s="1">
        <v>5.8</v>
      </c>
      <c r="F125" s="1">
        <v>63</v>
      </c>
      <c r="G125" s="1" t="s">
        <v>93</v>
      </c>
      <c r="H125" s="1" t="s">
        <v>95</v>
      </c>
      <c r="I125" s="1">
        <v>43.5</v>
      </c>
      <c r="J125" s="1" t="s">
        <v>95</v>
      </c>
      <c r="M125" s="1" t="s">
        <v>102</v>
      </c>
      <c r="O125" s="1">
        <v>5</v>
      </c>
    </row>
    <row r="126" spans="1:16" ht="14.25" customHeight="1" x14ac:dyDescent="0.3">
      <c r="A126" s="1" t="s">
        <v>43</v>
      </c>
      <c r="B126" s="1">
        <v>10</v>
      </c>
      <c r="C126" s="1">
        <v>13</v>
      </c>
      <c r="D126" s="1" t="str">
        <f t="shared" si="1"/>
        <v>Yes</v>
      </c>
      <c r="E126" s="1">
        <v>11.1</v>
      </c>
      <c r="F126" s="1">
        <v>182</v>
      </c>
      <c r="G126" s="1" t="s">
        <v>93</v>
      </c>
      <c r="H126" s="1" t="s">
        <v>95</v>
      </c>
      <c r="I126" s="1">
        <v>32.200000000000003</v>
      </c>
      <c r="J126" s="1" t="s">
        <v>95</v>
      </c>
      <c r="M126" s="1" t="s">
        <v>102</v>
      </c>
      <c r="O126" s="1">
        <v>5</v>
      </c>
    </row>
    <row r="127" spans="1:16" ht="14.25" customHeight="1" x14ac:dyDescent="0.3">
      <c r="A127" s="1" t="s">
        <v>43</v>
      </c>
      <c r="B127" s="1">
        <v>10</v>
      </c>
      <c r="C127" s="1">
        <v>21</v>
      </c>
      <c r="D127" s="1" t="str">
        <f t="shared" si="1"/>
        <v>Yes</v>
      </c>
      <c r="E127" s="1">
        <v>9.4</v>
      </c>
      <c r="F127" s="1">
        <v>228</v>
      </c>
      <c r="G127" s="1" t="s">
        <v>93</v>
      </c>
      <c r="H127" s="1" t="s">
        <v>95</v>
      </c>
      <c r="I127" s="1">
        <v>19.899999999999999</v>
      </c>
      <c r="J127" s="1" t="s">
        <v>95</v>
      </c>
      <c r="M127" s="1" t="s">
        <v>102</v>
      </c>
      <c r="O127" s="1">
        <v>1</v>
      </c>
    </row>
    <row r="128" spans="1:16" ht="14.25" customHeight="1" x14ac:dyDescent="0.3">
      <c r="A128" s="1" t="s">
        <v>43</v>
      </c>
      <c r="B128" s="1">
        <v>10</v>
      </c>
      <c r="C128" s="1">
        <v>22</v>
      </c>
      <c r="D128" s="1" t="str">
        <f t="shared" si="1"/>
        <v>Yes</v>
      </c>
      <c r="E128" s="1">
        <v>11.8</v>
      </c>
      <c r="F128" s="1">
        <v>294</v>
      </c>
      <c r="G128" s="1" t="s">
        <v>93</v>
      </c>
      <c r="H128" s="1" t="s">
        <v>95</v>
      </c>
      <c r="I128" s="1">
        <v>17.2</v>
      </c>
      <c r="J128" s="1" t="s">
        <v>101</v>
      </c>
      <c r="M128" s="1" t="s">
        <v>101</v>
      </c>
      <c r="O128" s="1">
        <v>5</v>
      </c>
    </row>
    <row r="129" spans="1:18" ht="14.25" customHeight="1" x14ac:dyDescent="0.3">
      <c r="A129" s="1" t="s">
        <v>43</v>
      </c>
      <c r="B129" s="1">
        <v>10</v>
      </c>
      <c r="C129" s="1">
        <v>19</v>
      </c>
      <c r="D129" s="1" t="str">
        <f t="shared" si="1"/>
        <v>Yes</v>
      </c>
      <c r="E129" s="1">
        <v>5.3</v>
      </c>
      <c r="F129" s="1">
        <v>237</v>
      </c>
      <c r="G129" s="1" t="s">
        <v>93</v>
      </c>
      <c r="H129" s="1" t="s">
        <v>95</v>
      </c>
      <c r="I129" s="1">
        <v>14.2</v>
      </c>
      <c r="J129" s="1" t="s">
        <v>95</v>
      </c>
      <c r="M129" s="1" t="s">
        <v>102</v>
      </c>
      <c r="O129" s="1">
        <v>1</v>
      </c>
    </row>
    <row r="130" spans="1:18" ht="14.25" customHeight="1" x14ac:dyDescent="0.3">
      <c r="A130" s="1" t="s">
        <v>43</v>
      </c>
      <c r="B130" s="1">
        <v>10</v>
      </c>
      <c r="C130" s="1">
        <v>20</v>
      </c>
      <c r="D130" s="1" t="str">
        <f t="shared" ref="D130:D193" si="2">IF(E130&gt;12.5, "No", "Yes")</f>
        <v>Yes</v>
      </c>
      <c r="E130" s="1">
        <v>1.3</v>
      </c>
      <c r="F130" s="1">
        <v>260</v>
      </c>
      <c r="G130" s="1" t="s">
        <v>93</v>
      </c>
      <c r="H130" s="1" t="s">
        <v>95</v>
      </c>
      <c r="I130" s="1">
        <v>13.2</v>
      </c>
      <c r="J130" s="1" t="s">
        <v>95</v>
      </c>
      <c r="M130" s="1" t="s">
        <v>101</v>
      </c>
      <c r="O130" s="1">
        <v>1</v>
      </c>
    </row>
    <row r="131" spans="1:18" ht="14.25" customHeight="1" x14ac:dyDescent="0.3">
      <c r="A131" s="1" t="s">
        <v>43</v>
      </c>
      <c r="B131" s="1">
        <v>10</v>
      </c>
      <c r="C131" s="1">
        <v>5</v>
      </c>
      <c r="D131" s="1" t="str">
        <f t="shared" si="2"/>
        <v>Yes</v>
      </c>
      <c r="E131" s="1">
        <v>5</v>
      </c>
      <c r="F131" s="1">
        <v>42</v>
      </c>
      <c r="G131" s="1" t="s">
        <v>93</v>
      </c>
      <c r="H131" s="1" t="s">
        <v>95</v>
      </c>
      <c r="I131" s="1">
        <v>12</v>
      </c>
      <c r="J131" s="1" t="s">
        <v>101</v>
      </c>
      <c r="M131" s="1" t="s">
        <v>101</v>
      </c>
      <c r="O131" s="1">
        <v>5</v>
      </c>
    </row>
    <row r="132" spans="1:18" ht="14.25" customHeight="1" x14ac:dyDescent="0.3">
      <c r="A132" s="1" t="s">
        <v>43</v>
      </c>
      <c r="B132" s="1">
        <v>10</v>
      </c>
      <c r="C132" s="1">
        <v>14</v>
      </c>
      <c r="D132" s="1" t="str">
        <f t="shared" si="2"/>
        <v>Yes</v>
      </c>
      <c r="E132" s="1">
        <v>5.64</v>
      </c>
      <c r="F132" s="1">
        <v>194</v>
      </c>
      <c r="G132" s="1" t="s">
        <v>93</v>
      </c>
      <c r="H132" s="1" t="s">
        <v>95</v>
      </c>
      <c r="I132" s="1">
        <v>10.1</v>
      </c>
      <c r="J132" s="1" t="s">
        <v>101</v>
      </c>
      <c r="M132" s="1" t="s">
        <v>102</v>
      </c>
      <c r="O132" s="1">
        <v>5</v>
      </c>
    </row>
    <row r="133" spans="1:18" ht="14.25" customHeight="1" x14ac:dyDescent="0.3">
      <c r="A133" s="1" t="s">
        <v>43</v>
      </c>
      <c r="B133" s="1">
        <v>10</v>
      </c>
      <c r="C133" s="1">
        <v>24</v>
      </c>
      <c r="D133" s="1" t="str">
        <f t="shared" si="2"/>
        <v>Yes</v>
      </c>
      <c r="E133" s="1">
        <v>6.2</v>
      </c>
      <c r="F133" s="1">
        <v>337</v>
      </c>
      <c r="G133" s="1" t="s">
        <v>93</v>
      </c>
      <c r="H133" s="1" t="s">
        <v>95</v>
      </c>
      <c r="I133" s="1">
        <v>8.4</v>
      </c>
      <c r="J133" s="1" t="s">
        <v>95</v>
      </c>
      <c r="M133" s="1" t="s">
        <v>101</v>
      </c>
      <c r="O133" s="1">
        <v>1</v>
      </c>
    </row>
    <row r="134" spans="1:18" ht="14.25" customHeight="1" x14ac:dyDescent="0.3">
      <c r="A134" s="1" t="s">
        <v>43</v>
      </c>
      <c r="B134" s="1">
        <v>10</v>
      </c>
      <c r="C134" s="1">
        <v>10</v>
      </c>
      <c r="D134" s="1" t="str">
        <f t="shared" si="2"/>
        <v>Yes</v>
      </c>
      <c r="E134" s="1">
        <v>2.4</v>
      </c>
      <c r="F134" s="1">
        <v>136</v>
      </c>
      <c r="G134" s="1" t="s">
        <v>93</v>
      </c>
      <c r="H134" s="1" t="s">
        <v>95</v>
      </c>
      <c r="I134" s="1">
        <v>7.8</v>
      </c>
      <c r="J134" s="1" t="s">
        <v>101</v>
      </c>
      <c r="M134" s="1" t="s">
        <v>101</v>
      </c>
      <c r="O134" s="1">
        <v>1</v>
      </c>
    </row>
    <row r="135" spans="1:18" ht="14.25" customHeight="1" x14ac:dyDescent="0.3">
      <c r="A135" s="1" t="s">
        <v>43</v>
      </c>
      <c r="B135" s="1">
        <v>10</v>
      </c>
      <c r="C135" s="1">
        <v>25</v>
      </c>
      <c r="D135" s="1" t="str">
        <f t="shared" si="2"/>
        <v>Yes</v>
      </c>
      <c r="E135" s="1">
        <v>5.35</v>
      </c>
      <c r="F135" s="1">
        <v>10</v>
      </c>
      <c r="G135" s="1" t="s">
        <v>96</v>
      </c>
      <c r="H135" s="1" t="s">
        <v>94</v>
      </c>
      <c r="I135" s="1">
        <v>90.6</v>
      </c>
      <c r="J135" s="1" t="s">
        <v>95</v>
      </c>
      <c r="K135" s="1">
        <v>0</v>
      </c>
      <c r="L135" s="1">
        <v>0</v>
      </c>
      <c r="M135" s="1" t="s">
        <v>97</v>
      </c>
      <c r="P135" s="1">
        <v>519</v>
      </c>
    </row>
    <row r="136" spans="1:18" ht="14.25" customHeight="1" x14ac:dyDescent="0.3">
      <c r="A136" s="1" t="s">
        <v>43</v>
      </c>
      <c r="B136" s="1">
        <v>10</v>
      </c>
      <c r="C136" s="1">
        <v>1</v>
      </c>
      <c r="D136" s="1" t="str">
        <f t="shared" si="2"/>
        <v>Yes</v>
      </c>
      <c r="E136" s="1">
        <v>7.2</v>
      </c>
      <c r="F136" s="1">
        <v>16</v>
      </c>
      <c r="G136" s="1" t="s">
        <v>96</v>
      </c>
      <c r="H136" s="1" t="s">
        <v>94</v>
      </c>
      <c r="I136" s="1">
        <v>30.4</v>
      </c>
      <c r="J136" s="1" t="s">
        <v>95</v>
      </c>
      <c r="K136" s="1">
        <v>0</v>
      </c>
      <c r="L136" s="1">
        <v>0</v>
      </c>
      <c r="M136" s="1" t="s">
        <v>101</v>
      </c>
    </row>
    <row r="137" spans="1:18" ht="14.25" customHeight="1" x14ac:dyDescent="0.3">
      <c r="A137" s="1" t="s">
        <v>43</v>
      </c>
      <c r="B137" s="1">
        <v>10</v>
      </c>
      <c r="C137" s="1">
        <v>26</v>
      </c>
      <c r="D137" s="1" t="str">
        <f t="shared" si="2"/>
        <v>Yes</v>
      </c>
      <c r="E137" s="1">
        <v>11.7</v>
      </c>
      <c r="F137" s="1">
        <v>18</v>
      </c>
      <c r="G137" s="1" t="s">
        <v>106</v>
      </c>
      <c r="H137" s="1" t="s">
        <v>94</v>
      </c>
      <c r="I137" s="1">
        <v>110.2</v>
      </c>
      <c r="J137" s="1" t="s">
        <v>95</v>
      </c>
      <c r="K137" s="1">
        <v>0</v>
      </c>
      <c r="L137" s="1">
        <v>0</v>
      </c>
      <c r="M137" s="1" t="s">
        <v>97</v>
      </c>
      <c r="N137" s="1" t="s">
        <v>100</v>
      </c>
      <c r="Q137" s="1" t="s">
        <v>112</v>
      </c>
    </row>
    <row r="138" spans="1:18" ht="14.25" customHeight="1" x14ac:dyDescent="0.3">
      <c r="A138" s="1" t="s">
        <v>43</v>
      </c>
      <c r="B138" s="1">
        <v>10</v>
      </c>
      <c r="C138" s="1">
        <v>23</v>
      </c>
      <c r="D138" s="1" t="str">
        <f t="shared" si="2"/>
        <v>Yes</v>
      </c>
      <c r="E138" s="1">
        <v>8.1999999999999993</v>
      </c>
      <c r="F138" s="1">
        <v>317</v>
      </c>
      <c r="G138" s="1" t="s">
        <v>106</v>
      </c>
      <c r="H138" s="1" t="s">
        <v>94</v>
      </c>
      <c r="I138" s="1">
        <v>100.9</v>
      </c>
      <c r="J138" s="1" t="s">
        <v>95</v>
      </c>
      <c r="K138" s="1">
        <v>0</v>
      </c>
      <c r="L138" s="1">
        <v>0</v>
      </c>
      <c r="M138" s="1" t="s">
        <v>97</v>
      </c>
      <c r="N138" s="1" t="s">
        <v>100</v>
      </c>
      <c r="P138" s="1">
        <v>521</v>
      </c>
    </row>
    <row r="139" spans="1:18" ht="14.25" customHeight="1" x14ac:dyDescent="0.3">
      <c r="A139" s="1" t="s">
        <v>43</v>
      </c>
      <c r="B139" s="1">
        <v>10</v>
      </c>
      <c r="C139" s="1">
        <v>9</v>
      </c>
      <c r="D139" s="1" t="str">
        <f t="shared" si="2"/>
        <v>Yes</v>
      </c>
      <c r="E139" s="1">
        <v>2.1</v>
      </c>
      <c r="F139" s="1">
        <v>114</v>
      </c>
      <c r="G139" s="1" t="s">
        <v>106</v>
      </c>
      <c r="H139" s="1" t="s">
        <v>94</v>
      </c>
      <c r="I139" s="1">
        <v>83.1</v>
      </c>
      <c r="J139" s="1" t="s">
        <v>95</v>
      </c>
      <c r="K139" s="1">
        <v>40</v>
      </c>
      <c r="L139" s="1">
        <v>5</v>
      </c>
      <c r="M139" s="1" t="s">
        <v>97</v>
      </c>
      <c r="P139" s="1">
        <v>520</v>
      </c>
    </row>
    <row r="140" spans="1:18" ht="14.25" customHeight="1" x14ac:dyDescent="0.3">
      <c r="A140" s="1" t="s">
        <v>43</v>
      </c>
      <c r="B140" s="1">
        <v>10</v>
      </c>
      <c r="C140" s="1">
        <v>11</v>
      </c>
      <c r="D140" s="1" t="str">
        <f t="shared" si="2"/>
        <v>Yes</v>
      </c>
      <c r="E140" s="1">
        <v>9</v>
      </c>
      <c r="F140" s="1">
        <v>135</v>
      </c>
      <c r="G140" s="1" t="s">
        <v>106</v>
      </c>
      <c r="H140" s="1" t="s">
        <v>94</v>
      </c>
      <c r="I140" s="1">
        <v>42.5</v>
      </c>
      <c r="J140" s="1" t="s">
        <v>95</v>
      </c>
      <c r="K140" s="1">
        <v>1</v>
      </c>
      <c r="L140" s="1">
        <v>15</v>
      </c>
      <c r="M140" s="1" t="s">
        <v>97</v>
      </c>
      <c r="R140" s="1"/>
    </row>
    <row r="141" spans="1:18" ht="14.25" customHeight="1" x14ac:dyDescent="0.3">
      <c r="A141" s="1" t="s">
        <v>43</v>
      </c>
      <c r="B141" s="1">
        <v>11</v>
      </c>
      <c r="C141" s="1">
        <v>16</v>
      </c>
      <c r="D141" s="1" t="str">
        <f t="shared" si="2"/>
        <v>Yes</v>
      </c>
      <c r="E141" s="1">
        <v>10.9</v>
      </c>
      <c r="F141" s="1">
        <v>344</v>
      </c>
      <c r="G141" s="1" t="s">
        <v>111</v>
      </c>
      <c r="H141" s="1" t="s">
        <v>95</v>
      </c>
      <c r="I141" s="1">
        <v>89.6</v>
      </c>
      <c r="J141" s="1" t="s">
        <v>95</v>
      </c>
      <c r="M141" s="1" t="s">
        <v>97</v>
      </c>
      <c r="O141" s="1">
        <v>1</v>
      </c>
    </row>
    <row r="142" spans="1:18" ht="14.25" customHeight="1" x14ac:dyDescent="0.3">
      <c r="A142" s="1" t="s">
        <v>43</v>
      </c>
      <c r="B142" s="1">
        <v>11</v>
      </c>
      <c r="C142" s="1">
        <v>11</v>
      </c>
      <c r="D142" s="1" t="str">
        <f t="shared" si="2"/>
        <v>Yes</v>
      </c>
      <c r="E142" s="1">
        <v>7.1</v>
      </c>
      <c r="F142" s="1">
        <v>264</v>
      </c>
      <c r="G142" s="1" t="s">
        <v>109</v>
      </c>
      <c r="H142" s="1" t="s">
        <v>95</v>
      </c>
      <c r="I142" s="1">
        <v>15.8</v>
      </c>
      <c r="J142" s="1" t="s">
        <v>95</v>
      </c>
      <c r="M142" s="1" t="s">
        <v>101</v>
      </c>
      <c r="O142" s="1">
        <v>2</v>
      </c>
    </row>
    <row r="143" spans="1:18" ht="14.25" customHeight="1" x14ac:dyDescent="0.3">
      <c r="A143" s="1" t="s">
        <v>43</v>
      </c>
      <c r="B143" s="1">
        <v>11</v>
      </c>
      <c r="C143" s="1">
        <v>18</v>
      </c>
      <c r="D143" s="1" t="str">
        <f t="shared" si="2"/>
        <v>Yes</v>
      </c>
      <c r="E143" s="1">
        <v>7.7</v>
      </c>
      <c r="F143" s="1">
        <v>35</v>
      </c>
      <c r="G143" s="1" t="s">
        <v>109</v>
      </c>
      <c r="H143" s="1" t="s">
        <v>95</v>
      </c>
      <c r="I143" s="1">
        <v>13.2</v>
      </c>
      <c r="J143" s="1" t="s">
        <v>95</v>
      </c>
      <c r="M143" s="1" t="s">
        <v>101</v>
      </c>
      <c r="O143" s="1">
        <v>4</v>
      </c>
    </row>
    <row r="144" spans="1:18" ht="14.25" customHeight="1" x14ac:dyDescent="0.3">
      <c r="A144" s="1" t="s">
        <v>43</v>
      </c>
      <c r="B144" s="1">
        <v>11</v>
      </c>
      <c r="C144" s="1">
        <v>4</v>
      </c>
      <c r="D144" s="1" t="str">
        <f t="shared" si="2"/>
        <v>Yes</v>
      </c>
      <c r="E144" s="1">
        <v>7.5</v>
      </c>
      <c r="F144" s="1">
        <v>178</v>
      </c>
      <c r="G144" s="1" t="s">
        <v>106</v>
      </c>
      <c r="H144" s="1" t="s">
        <v>95</v>
      </c>
      <c r="I144" s="1">
        <v>33</v>
      </c>
      <c r="J144" s="1" t="s">
        <v>101</v>
      </c>
      <c r="M144" s="1" t="s">
        <v>102</v>
      </c>
      <c r="O144" s="1">
        <v>5</v>
      </c>
    </row>
    <row r="145" spans="1:15" ht="14.25" customHeight="1" x14ac:dyDescent="0.3">
      <c r="A145" s="1" t="s">
        <v>43</v>
      </c>
      <c r="B145" s="1">
        <v>11</v>
      </c>
      <c r="C145" s="1">
        <v>19</v>
      </c>
      <c r="D145" s="1" t="str">
        <f t="shared" si="2"/>
        <v>Yes</v>
      </c>
      <c r="E145" s="1">
        <v>5.5</v>
      </c>
      <c r="F145" s="1">
        <v>43</v>
      </c>
      <c r="G145" s="1" t="s">
        <v>106</v>
      </c>
      <c r="H145" s="1" t="s">
        <v>95</v>
      </c>
      <c r="I145" s="1">
        <v>15.5</v>
      </c>
      <c r="J145" s="1" t="s">
        <v>95</v>
      </c>
      <c r="M145" s="1" t="s">
        <v>101</v>
      </c>
      <c r="O145" s="1">
        <v>1</v>
      </c>
    </row>
    <row r="146" spans="1:15" ht="14.25" customHeight="1" x14ac:dyDescent="0.3">
      <c r="A146" s="1" t="s">
        <v>43</v>
      </c>
      <c r="B146" s="1">
        <v>11</v>
      </c>
      <c r="C146" s="1">
        <v>5</v>
      </c>
      <c r="D146" s="1" t="str">
        <f t="shared" si="2"/>
        <v>Yes</v>
      </c>
      <c r="E146" s="1">
        <v>9.8000000000000007</v>
      </c>
      <c r="F146" s="1">
        <v>178</v>
      </c>
      <c r="G146" s="1" t="s">
        <v>93</v>
      </c>
      <c r="H146" s="1" t="s">
        <v>95</v>
      </c>
      <c r="I146" s="1">
        <v>64.099999999999994</v>
      </c>
      <c r="J146" s="1" t="s">
        <v>95</v>
      </c>
      <c r="M146" s="1" t="s">
        <v>102</v>
      </c>
      <c r="O146" s="1">
        <v>1</v>
      </c>
    </row>
    <row r="147" spans="1:15" ht="14.25" customHeight="1" x14ac:dyDescent="0.3">
      <c r="A147" s="1" t="s">
        <v>43</v>
      </c>
      <c r="B147" s="1">
        <v>11</v>
      </c>
      <c r="C147" s="1">
        <v>20</v>
      </c>
      <c r="D147" s="1" t="str">
        <f t="shared" si="2"/>
        <v>Yes</v>
      </c>
      <c r="E147" s="1">
        <v>8.8000000000000007</v>
      </c>
      <c r="F147" s="1">
        <v>51</v>
      </c>
      <c r="G147" s="1" t="s">
        <v>93</v>
      </c>
      <c r="H147" s="1" t="s">
        <v>95</v>
      </c>
      <c r="I147" s="1">
        <v>62.8</v>
      </c>
      <c r="J147" s="1" t="s">
        <v>95</v>
      </c>
      <c r="M147" s="1" t="s">
        <v>97</v>
      </c>
      <c r="O147" s="1">
        <v>3</v>
      </c>
    </row>
    <row r="148" spans="1:15" ht="14.25" customHeight="1" x14ac:dyDescent="0.3">
      <c r="A148" s="1" t="s">
        <v>43</v>
      </c>
      <c r="B148" s="1">
        <v>11</v>
      </c>
      <c r="C148" s="1">
        <v>9</v>
      </c>
      <c r="D148" s="1" t="str">
        <f t="shared" si="2"/>
        <v>Yes</v>
      </c>
      <c r="E148" s="1">
        <v>12.5</v>
      </c>
      <c r="F148" s="1">
        <v>258</v>
      </c>
      <c r="G148" s="1" t="s">
        <v>93</v>
      </c>
      <c r="H148" s="1" t="s">
        <v>95</v>
      </c>
      <c r="I148" s="1">
        <v>61.9</v>
      </c>
      <c r="J148" s="1" t="s">
        <v>95</v>
      </c>
      <c r="M148" s="1" t="s">
        <v>102</v>
      </c>
      <c r="O148" s="1">
        <v>3</v>
      </c>
    </row>
    <row r="149" spans="1:15" ht="14.25" customHeight="1" x14ac:dyDescent="0.3">
      <c r="A149" s="1" t="s">
        <v>43</v>
      </c>
      <c r="B149" s="1">
        <v>11</v>
      </c>
      <c r="C149" s="1">
        <v>13</v>
      </c>
      <c r="D149" s="1" t="str">
        <f t="shared" si="2"/>
        <v>Yes</v>
      </c>
      <c r="E149" s="1">
        <v>5.9</v>
      </c>
      <c r="F149" s="1">
        <v>298</v>
      </c>
      <c r="G149" s="1" t="s">
        <v>93</v>
      </c>
      <c r="H149" s="1" t="s">
        <v>95</v>
      </c>
      <c r="I149" s="1">
        <v>61.8</v>
      </c>
      <c r="J149" s="1" t="s">
        <v>95</v>
      </c>
      <c r="M149" s="1" t="s">
        <v>102</v>
      </c>
      <c r="O149" s="1">
        <v>1</v>
      </c>
    </row>
    <row r="150" spans="1:15" ht="14.25" customHeight="1" x14ac:dyDescent="0.3">
      <c r="A150" s="1" t="s">
        <v>43</v>
      </c>
      <c r="B150" s="1">
        <v>11</v>
      </c>
      <c r="C150" s="1">
        <v>7</v>
      </c>
      <c r="D150" s="1" t="str">
        <f t="shared" si="2"/>
        <v>Yes</v>
      </c>
      <c r="E150" s="1">
        <v>11.5</v>
      </c>
      <c r="F150" s="1">
        <v>219</v>
      </c>
      <c r="G150" s="1" t="s">
        <v>93</v>
      </c>
      <c r="H150" s="1" t="s">
        <v>95</v>
      </c>
      <c r="I150" s="1">
        <v>56.4</v>
      </c>
      <c r="J150" s="1" t="s">
        <v>95</v>
      </c>
      <c r="M150" s="1" t="s">
        <v>102</v>
      </c>
      <c r="O150" s="1">
        <v>1</v>
      </c>
    </row>
    <row r="151" spans="1:15" ht="14.25" customHeight="1" x14ac:dyDescent="0.3">
      <c r="A151" s="1" t="s">
        <v>43</v>
      </c>
      <c r="B151" s="1">
        <v>11</v>
      </c>
      <c r="C151" s="1">
        <v>17</v>
      </c>
      <c r="D151" s="1" t="str">
        <f t="shared" si="2"/>
        <v>Yes</v>
      </c>
      <c r="E151" s="1">
        <v>10.6</v>
      </c>
      <c r="F151" s="1">
        <v>12</v>
      </c>
      <c r="G151" s="1" t="s">
        <v>93</v>
      </c>
      <c r="H151" s="1" t="s">
        <v>95</v>
      </c>
      <c r="I151" s="1">
        <v>54.1</v>
      </c>
      <c r="J151" s="1" t="s">
        <v>95</v>
      </c>
      <c r="M151" s="1" t="s">
        <v>102</v>
      </c>
      <c r="O151" s="1">
        <v>3</v>
      </c>
    </row>
    <row r="152" spans="1:15" ht="14.25" customHeight="1" x14ac:dyDescent="0.3">
      <c r="A152" s="1" t="s">
        <v>43</v>
      </c>
      <c r="B152" s="1">
        <v>11</v>
      </c>
      <c r="C152" s="1">
        <v>6</v>
      </c>
      <c r="D152" s="1" t="str">
        <f t="shared" si="2"/>
        <v>Yes</v>
      </c>
      <c r="E152" s="1">
        <v>8.1</v>
      </c>
      <c r="F152" s="1">
        <v>210</v>
      </c>
      <c r="G152" s="1" t="s">
        <v>93</v>
      </c>
      <c r="H152" s="1" t="s">
        <v>95</v>
      </c>
      <c r="I152" s="1">
        <v>46.8</v>
      </c>
      <c r="J152" s="1" t="s">
        <v>95</v>
      </c>
      <c r="M152" s="1" t="s">
        <v>102</v>
      </c>
      <c r="O152" s="1">
        <v>1</v>
      </c>
    </row>
    <row r="153" spans="1:15" ht="14.25" customHeight="1" x14ac:dyDescent="0.3">
      <c r="A153" s="1" t="s">
        <v>43</v>
      </c>
      <c r="B153" s="1">
        <v>11</v>
      </c>
      <c r="C153" s="1">
        <v>12</v>
      </c>
      <c r="D153" s="1" t="str">
        <f t="shared" si="2"/>
        <v>Yes</v>
      </c>
      <c r="E153" s="1">
        <v>5.7</v>
      </c>
      <c r="F153" s="1">
        <v>247</v>
      </c>
      <c r="G153" s="1" t="s">
        <v>93</v>
      </c>
      <c r="H153" s="1" t="s">
        <v>95</v>
      </c>
      <c r="I153" s="1">
        <v>39.5</v>
      </c>
      <c r="J153" s="1" t="s">
        <v>101</v>
      </c>
      <c r="M153" s="1" t="s">
        <v>102</v>
      </c>
      <c r="O153" s="1">
        <v>5</v>
      </c>
    </row>
    <row r="154" spans="1:15" ht="14.25" customHeight="1" x14ac:dyDescent="0.3">
      <c r="A154" s="1" t="s">
        <v>43</v>
      </c>
      <c r="B154" s="1">
        <v>11</v>
      </c>
      <c r="C154" s="1">
        <v>3</v>
      </c>
      <c r="D154" s="1" t="str">
        <f t="shared" si="2"/>
        <v>Yes</v>
      </c>
      <c r="E154" s="1">
        <v>5.5</v>
      </c>
      <c r="F154" s="1">
        <v>141</v>
      </c>
      <c r="G154" s="1" t="s">
        <v>93</v>
      </c>
      <c r="H154" s="1" t="s">
        <v>95</v>
      </c>
      <c r="I154" s="1">
        <v>36.1</v>
      </c>
      <c r="J154" s="1" t="s">
        <v>101</v>
      </c>
      <c r="M154" s="1" t="s">
        <v>101</v>
      </c>
      <c r="O154" s="1">
        <v>5</v>
      </c>
    </row>
    <row r="155" spans="1:15" ht="14.25" customHeight="1" x14ac:dyDescent="0.3">
      <c r="A155" s="1" t="s">
        <v>43</v>
      </c>
      <c r="B155" s="1">
        <v>11</v>
      </c>
      <c r="C155" s="1">
        <v>15</v>
      </c>
      <c r="D155" s="1" t="str">
        <f t="shared" si="2"/>
        <v>Yes</v>
      </c>
      <c r="E155" s="1">
        <v>7.4</v>
      </c>
      <c r="F155" s="1">
        <v>333</v>
      </c>
      <c r="G155" s="1" t="s">
        <v>93</v>
      </c>
      <c r="H155" s="1" t="s">
        <v>95</v>
      </c>
      <c r="I155" s="1">
        <v>34.299999999999997</v>
      </c>
      <c r="J155" s="1" t="s">
        <v>95</v>
      </c>
      <c r="M155" s="1" t="s">
        <v>101</v>
      </c>
      <c r="O155" s="1">
        <v>1</v>
      </c>
    </row>
    <row r="156" spans="1:15" ht="14.25" customHeight="1" x14ac:dyDescent="0.3">
      <c r="A156" s="1" t="s">
        <v>43</v>
      </c>
      <c r="B156" s="1">
        <v>11</v>
      </c>
      <c r="C156" s="1">
        <v>21</v>
      </c>
      <c r="D156" s="1" t="str">
        <f t="shared" si="2"/>
        <v>Yes</v>
      </c>
      <c r="E156" s="1">
        <v>5.9</v>
      </c>
      <c r="F156" s="1">
        <v>89</v>
      </c>
      <c r="G156" s="1" t="s">
        <v>93</v>
      </c>
      <c r="H156" s="1" t="s">
        <v>95</v>
      </c>
      <c r="I156" s="1">
        <v>32.1</v>
      </c>
      <c r="J156" s="1" t="s">
        <v>101</v>
      </c>
      <c r="M156" s="1" t="s">
        <v>102</v>
      </c>
      <c r="O156" s="1">
        <v>1</v>
      </c>
    </row>
    <row r="157" spans="1:15" ht="14.25" customHeight="1" x14ac:dyDescent="0.3">
      <c r="A157" s="1" t="s">
        <v>43</v>
      </c>
      <c r="B157" s="1">
        <v>11</v>
      </c>
      <c r="C157" s="1">
        <v>14</v>
      </c>
      <c r="D157" s="1" t="str">
        <f t="shared" si="2"/>
        <v>Yes</v>
      </c>
      <c r="E157" s="1">
        <v>8.6</v>
      </c>
      <c r="F157" s="1">
        <v>310</v>
      </c>
      <c r="G157" s="1" t="s">
        <v>93</v>
      </c>
      <c r="H157" s="1" t="s">
        <v>95</v>
      </c>
      <c r="I157" s="1">
        <v>30.7</v>
      </c>
      <c r="J157" s="1" t="s">
        <v>95</v>
      </c>
      <c r="M157" s="1" t="s">
        <v>101</v>
      </c>
      <c r="O157" s="1">
        <v>1</v>
      </c>
    </row>
    <row r="158" spans="1:15" ht="14.25" customHeight="1" x14ac:dyDescent="0.3">
      <c r="A158" s="1" t="s">
        <v>43</v>
      </c>
      <c r="B158" s="1">
        <v>11</v>
      </c>
      <c r="C158" s="1">
        <v>2</v>
      </c>
      <c r="D158" s="1" t="str">
        <f t="shared" si="2"/>
        <v>Yes</v>
      </c>
      <c r="E158" s="1">
        <v>3.8</v>
      </c>
      <c r="F158" s="1">
        <v>104</v>
      </c>
      <c r="G158" s="1" t="s">
        <v>93</v>
      </c>
      <c r="H158" s="1" t="s">
        <v>95</v>
      </c>
      <c r="I158" s="1">
        <v>27</v>
      </c>
      <c r="J158" s="1" t="s">
        <v>101</v>
      </c>
      <c r="M158" s="1" t="s">
        <v>102</v>
      </c>
      <c r="O158" s="1">
        <v>5</v>
      </c>
    </row>
    <row r="159" spans="1:15" ht="14.25" customHeight="1" x14ac:dyDescent="0.3">
      <c r="A159" s="1" t="s">
        <v>43</v>
      </c>
      <c r="B159" s="1">
        <v>11</v>
      </c>
      <c r="C159" s="1">
        <v>10</v>
      </c>
      <c r="D159" s="1" t="str">
        <f t="shared" si="2"/>
        <v>Yes</v>
      </c>
      <c r="E159" s="1">
        <v>11.2</v>
      </c>
      <c r="F159" s="1">
        <v>264</v>
      </c>
      <c r="G159" s="1" t="s">
        <v>93</v>
      </c>
      <c r="H159" s="1" t="s">
        <v>95</v>
      </c>
      <c r="I159" s="1">
        <v>26.3</v>
      </c>
      <c r="J159" s="1" t="s">
        <v>95</v>
      </c>
      <c r="M159" s="1" t="s">
        <v>101</v>
      </c>
      <c r="O159" s="1">
        <v>1</v>
      </c>
    </row>
    <row r="160" spans="1:15" ht="14.25" customHeight="1" x14ac:dyDescent="0.3">
      <c r="A160" s="1" t="s">
        <v>43</v>
      </c>
      <c r="B160" s="1">
        <v>11</v>
      </c>
      <c r="C160" s="1">
        <v>8</v>
      </c>
      <c r="D160" s="1" t="str">
        <f t="shared" si="2"/>
        <v>Yes</v>
      </c>
      <c r="E160" s="1">
        <v>10.8</v>
      </c>
      <c r="F160" s="1">
        <v>253</v>
      </c>
      <c r="G160" s="1" t="s">
        <v>96</v>
      </c>
      <c r="H160" s="1" t="s">
        <v>94</v>
      </c>
      <c r="I160" s="1">
        <v>56</v>
      </c>
      <c r="J160" s="1" t="s">
        <v>95</v>
      </c>
      <c r="K160" s="1">
        <v>0</v>
      </c>
      <c r="L160" s="1">
        <v>0</v>
      </c>
      <c r="M160" s="1" t="s">
        <v>102</v>
      </c>
    </row>
    <row r="161" spans="1:18" ht="14.25" customHeight="1" x14ac:dyDescent="0.3">
      <c r="A161" s="1" t="s">
        <v>43</v>
      </c>
      <c r="B161" s="1">
        <v>11</v>
      </c>
      <c r="C161" s="1">
        <v>1</v>
      </c>
      <c r="D161" s="1" t="str">
        <f t="shared" si="2"/>
        <v>Yes</v>
      </c>
      <c r="E161" s="1">
        <v>7.5</v>
      </c>
      <c r="F161" s="1">
        <v>116</v>
      </c>
      <c r="G161" s="1" t="s">
        <v>106</v>
      </c>
      <c r="H161" s="1" t="s">
        <v>94</v>
      </c>
      <c r="I161" s="1">
        <v>32</v>
      </c>
      <c r="J161" s="1" t="s">
        <v>95</v>
      </c>
      <c r="K161" s="1">
        <v>5</v>
      </c>
      <c r="L161" s="1">
        <v>50</v>
      </c>
      <c r="M161" s="1" t="s">
        <v>102</v>
      </c>
    </row>
    <row r="162" spans="1:18" ht="14.25" customHeight="1" x14ac:dyDescent="0.3">
      <c r="A162" s="1" t="s">
        <v>43</v>
      </c>
      <c r="B162" s="1">
        <v>12</v>
      </c>
      <c r="C162" s="1">
        <v>24</v>
      </c>
      <c r="D162" s="1" t="str">
        <f t="shared" si="2"/>
        <v>No</v>
      </c>
      <c r="E162" s="1">
        <v>16.399999999999999</v>
      </c>
      <c r="F162" s="1">
        <v>317</v>
      </c>
      <c r="G162" s="1" t="s">
        <v>111</v>
      </c>
      <c r="H162" s="1" t="s">
        <v>95</v>
      </c>
      <c r="I162" s="1">
        <v>50.3</v>
      </c>
      <c r="J162" s="1" t="s">
        <v>95</v>
      </c>
      <c r="M162" s="1" t="s">
        <v>102</v>
      </c>
      <c r="O162" s="1">
        <v>1</v>
      </c>
      <c r="P162" s="1">
        <v>542</v>
      </c>
      <c r="Q162" s="1" t="s">
        <v>113</v>
      </c>
    </row>
    <row r="163" spans="1:18" ht="14.25" customHeight="1" x14ac:dyDescent="0.3">
      <c r="A163" s="1" t="s">
        <v>43</v>
      </c>
      <c r="B163" s="1">
        <v>12</v>
      </c>
      <c r="C163" s="1">
        <v>23</v>
      </c>
      <c r="D163" s="1" t="str">
        <f t="shared" si="2"/>
        <v>No</v>
      </c>
      <c r="E163" s="1">
        <v>12.6</v>
      </c>
      <c r="F163" s="1">
        <v>303</v>
      </c>
      <c r="G163" s="1" t="s">
        <v>93</v>
      </c>
      <c r="H163" s="1" t="s">
        <v>95</v>
      </c>
      <c r="I163" s="1">
        <v>14.7</v>
      </c>
      <c r="J163" s="1" t="s">
        <v>95</v>
      </c>
      <c r="M163" s="1" t="s">
        <v>101</v>
      </c>
      <c r="O163" s="1">
        <v>1</v>
      </c>
      <c r="R163" s="1"/>
    </row>
    <row r="164" spans="1:18" ht="14.25" customHeight="1" x14ac:dyDescent="0.3">
      <c r="A164" s="1" t="s">
        <v>43</v>
      </c>
      <c r="B164" s="1">
        <v>12</v>
      </c>
      <c r="C164" s="1">
        <v>4</v>
      </c>
      <c r="D164" s="1" t="str">
        <f t="shared" si="2"/>
        <v>Yes</v>
      </c>
      <c r="E164" s="1">
        <v>7.2</v>
      </c>
      <c r="F164" s="1">
        <v>55</v>
      </c>
      <c r="G164" s="66" t="s">
        <v>111</v>
      </c>
      <c r="H164" s="1" t="s">
        <v>95</v>
      </c>
      <c r="I164" s="1">
        <v>115.5</v>
      </c>
      <c r="J164" s="1" t="s">
        <v>95</v>
      </c>
      <c r="M164" s="1" t="s">
        <v>95</v>
      </c>
      <c r="O164" s="1">
        <v>1</v>
      </c>
      <c r="P164" s="1">
        <v>540</v>
      </c>
    </row>
    <row r="165" spans="1:18" ht="14.25" customHeight="1" x14ac:dyDescent="0.3">
      <c r="A165" s="1" t="s">
        <v>43</v>
      </c>
      <c r="B165" s="1">
        <v>12</v>
      </c>
      <c r="C165" s="1">
        <v>19</v>
      </c>
      <c r="D165" s="1" t="str">
        <f t="shared" si="2"/>
        <v>Yes</v>
      </c>
      <c r="E165" s="1">
        <v>2.9</v>
      </c>
      <c r="F165" s="1">
        <v>328</v>
      </c>
      <c r="G165" s="1" t="s">
        <v>106</v>
      </c>
      <c r="H165" s="1" t="s">
        <v>95</v>
      </c>
      <c r="I165" s="1">
        <v>12</v>
      </c>
      <c r="J165" s="1" t="s">
        <v>95</v>
      </c>
      <c r="M165" s="1" t="s">
        <v>102</v>
      </c>
      <c r="O165" s="1">
        <v>5</v>
      </c>
      <c r="Q165" s="1" t="s">
        <v>114</v>
      </c>
    </row>
    <row r="166" spans="1:18" ht="14.25" customHeight="1" x14ac:dyDescent="0.3">
      <c r="A166" s="1" t="s">
        <v>43</v>
      </c>
      <c r="B166" s="1">
        <v>12</v>
      </c>
      <c r="C166" s="1">
        <v>9</v>
      </c>
      <c r="D166" s="1" t="str">
        <f t="shared" si="2"/>
        <v>Yes</v>
      </c>
      <c r="E166" s="1">
        <v>10.5</v>
      </c>
      <c r="F166" s="1">
        <v>129</v>
      </c>
      <c r="G166" s="1" t="s">
        <v>93</v>
      </c>
      <c r="H166" s="1" t="s">
        <v>95</v>
      </c>
      <c r="I166" s="1">
        <v>41.1</v>
      </c>
      <c r="J166" s="1" t="s">
        <v>95</v>
      </c>
      <c r="M166" s="1" t="s">
        <v>101</v>
      </c>
      <c r="O166" s="1">
        <v>1</v>
      </c>
    </row>
    <row r="167" spans="1:18" ht="14.25" customHeight="1" x14ac:dyDescent="0.3">
      <c r="A167" s="1" t="s">
        <v>43</v>
      </c>
      <c r="B167" s="1">
        <v>12</v>
      </c>
      <c r="C167" s="1">
        <v>5</v>
      </c>
      <c r="D167" s="1" t="str">
        <f t="shared" si="2"/>
        <v>Yes</v>
      </c>
      <c r="E167" s="1">
        <v>8.8000000000000007</v>
      </c>
      <c r="F167" s="1">
        <v>81</v>
      </c>
      <c r="G167" s="1" t="s">
        <v>93</v>
      </c>
      <c r="H167" s="1" t="s">
        <v>95</v>
      </c>
      <c r="I167" s="1">
        <v>39.4</v>
      </c>
      <c r="J167" s="1" t="s">
        <v>95</v>
      </c>
      <c r="M167" s="1" t="s">
        <v>101</v>
      </c>
      <c r="O167" s="1">
        <v>2</v>
      </c>
      <c r="R167" s="1"/>
    </row>
    <row r="168" spans="1:18" ht="14.25" customHeight="1" x14ac:dyDescent="0.3">
      <c r="A168" s="1" t="s">
        <v>43</v>
      </c>
      <c r="B168" s="1">
        <v>12</v>
      </c>
      <c r="C168" s="1">
        <v>14</v>
      </c>
      <c r="D168" s="1" t="str">
        <f t="shared" si="2"/>
        <v>Yes</v>
      </c>
      <c r="E168" s="1">
        <v>4.5999999999999996</v>
      </c>
      <c r="F168" s="1">
        <v>173</v>
      </c>
      <c r="G168" s="1" t="s">
        <v>93</v>
      </c>
      <c r="H168" s="1" t="s">
        <v>95</v>
      </c>
      <c r="I168" s="1">
        <v>35.799999999999997</v>
      </c>
      <c r="J168" s="1" t="s">
        <v>95</v>
      </c>
      <c r="M168" s="1" t="s">
        <v>102</v>
      </c>
      <c r="O168" s="1">
        <v>1</v>
      </c>
    </row>
    <row r="169" spans="1:18" ht="14.25" customHeight="1" x14ac:dyDescent="0.3">
      <c r="A169" s="1" t="s">
        <v>43</v>
      </c>
      <c r="B169" s="1">
        <v>12</v>
      </c>
      <c r="C169" s="1">
        <v>13</v>
      </c>
      <c r="D169" s="1" t="str">
        <f t="shared" si="2"/>
        <v>Yes</v>
      </c>
      <c r="E169" s="1">
        <v>7.5</v>
      </c>
      <c r="F169" s="1">
        <v>169</v>
      </c>
      <c r="G169" s="1" t="s">
        <v>93</v>
      </c>
      <c r="H169" s="1" t="s">
        <v>95</v>
      </c>
      <c r="I169" s="1">
        <v>33.9</v>
      </c>
      <c r="J169" s="1" t="s">
        <v>95</v>
      </c>
      <c r="M169" s="1" t="s">
        <v>102</v>
      </c>
      <c r="O169" s="1">
        <v>2</v>
      </c>
    </row>
    <row r="170" spans="1:18" ht="14.25" customHeight="1" x14ac:dyDescent="0.3">
      <c r="A170" s="1" t="s">
        <v>43</v>
      </c>
      <c r="B170" s="1">
        <v>12</v>
      </c>
      <c r="C170" s="1">
        <v>7</v>
      </c>
      <c r="D170" s="1" t="str">
        <f t="shared" si="2"/>
        <v>Yes</v>
      </c>
      <c r="E170" s="1">
        <v>6.3</v>
      </c>
      <c r="F170" s="1">
        <v>116</v>
      </c>
      <c r="G170" s="1" t="s">
        <v>93</v>
      </c>
      <c r="H170" s="1" t="s">
        <v>95</v>
      </c>
      <c r="I170" s="1">
        <v>31.1</v>
      </c>
      <c r="J170" s="1" t="s">
        <v>95</v>
      </c>
      <c r="M170" s="1" t="s">
        <v>101</v>
      </c>
      <c r="O170" s="1">
        <v>2</v>
      </c>
      <c r="Q170" s="1" t="s">
        <v>115</v>
      </c>
    </row>
    <row r="171" spans="1:18" ht="14.25" customHeight="1" x14ac:dyDescent="0.3">
      <c r="A171" s="1" t="s">
        <v>43</v>
      </c>
      <c r="B171" s="1">
        <v>12</v>
      </c>
      <c r="C171" s="1">
        <v>18</v>
      </c>
      <c r="D171" s="1" t="str">
        <f t="shared" si="2"/>
        <v>Yes</v>
      </c>
      <c r="E171" s="1">
        <v>2.2999999999999998</v>
      </c>
      <c r="F171" s="1">
        <v>297</v>
      </c>
      <c r="G171" s="1" t="s">
        <v>93</v>
      </c>
      <c r="H171" s="1" t="s">
        <v>95</v>
      </c>
      <c r="I171" s="1">
        <v>31</v>
      </c>
      <c r="J171" s="1" t="s">
        <v>95</v>
      </c>
      <c r="M171" s="1" t="s">
        <v>102</v>
      </c>
      <c r="O171" s="1">
        <v>5</v>
      </c>
      <c r="Q171" s="1" t="s">
        <v>114</v>
      </c>
    </row>
    <row r="172" spans="1:18" ht="14.25" customHeight="1" x14ac:dyDescent="0.3">
      <c r="A172" s="1" t="s">
        <v>43</v>
      </c>
      <c r="B172" s="1">
        <v>12</v>
      </c>
      <c r="C172" s="1">
        <v>17</v>
      </c>
      <c r="D172" s="1" t="str">
        <f t="shared" si="2"/>
        <v>Yes</v>
      </c>
      <c r="E172" s="1">
        <v>8.8000000000000007</v>
      </c>
      <c r="F172" s="1">
        <v>252</v>
      </c>
      <c r="G172" s="1" t="s">
        <v>93</v>
      </c>
      <c r="H172" s="1" t="s">
        <v>95</v>
      </c>
      <c r="I172" s="1">
        <v>29.4</v>
      </c>
      <c r="J172" s="1" t="s">
        <v>95</v>
      </c>
      <c r="M172" s="1" t="s">
        <v>102</v>
      </c>
      <c r="O172" s="1">
        <v>1</v>
      </c>
    </row>
    <row r="173" spans="1:18" ht="14.25" customHeight="1" x14ac:dyDescent="0.3">
      <c r="A173" s="1" t="s">
        <v>43</v>
      </c>
      <c r="B173" s="1">
        <v>12</v>
      </c>
      <c r="C173" s="1">
        <v>2</v>
      </c>
      <c r="D173" s="1" t="str">
        <f t="shared" si="2"/>
        <v>Yes</v>
      </c>
      <c r="E173" s="1">
        <v>10.9</v>
      </c>
      <c r="F173" s="1">
        <v>33</v>
      </c>
      <c r="G173" s="1" t="s">
        <v>93</v>
      </c>
      <c r="H173" s="1" t="s">
        <v>95</v>
      </c>
      <c r="I173" s="1">
        <v>24.8</v>
      </c>
      <c r="J173" s="1" t="s">
        <v>95</v>
      </c>
      <c r="M173" s="1" t="s">
        <v>101</v>
      </c>
      <c r="O173" s="1">
        <v>2</v>
      </c>
    </row>
    <row r="174" spans="1:18" ht="14.25" customHeight="1" x14ac:dyDescent="0.3">
      <c r="A174" s="1" t="s">
        <v>43</v>
      </c>
      <c r="B174" s="1">
        <v>12</v>
      </c>
      <c r="C174" s="1">
        <v>16</v>
      </c>
      <c r="D174" s="1" t="str">
        <f t="shared" si="2"/>
        <v>Yes</v>
      </c>
      <c r="E174" s="1">
        <v>2</v>
      </c>
      <c r="F174" s="1">
        <v>157</v>
      </c>
      <c r="G174" s="1" t="s">
        <v>93</v>
      </c>
      <c r="H174" s="1" t="s">
        <v>95</v>
      </c>
      <c r="I174" s="1">
        <v>22.9</v>
      </c>
      <c r="J174" s="1" t="s">
        <v>95</v>
      </c>
      <c r="M174" s="1" t="s">
        <v>102</v>
      </c>
      <c r="O174" s="1">
        <v>5</v>
      </c>
    </row>
    <row r="175" spans="1:18" ht="14.25" customHeight="1" x14ac:dyDescent="0.3">
      <c r="A175" s="1" t="s">
        <v>43</v>
      </c>
      <c r="B175" s="1">
        <v>12</v>
      </c>
      <c r="C175" s="1">
        <v>21</v>
      </c>
      <c r="D175" s="1" t="str">
        <f t="shared" si="2"/>
        <v>Yes</v>
      </c>
      <c r="E175" s="1">
        <v>12</v>
      </c>
      <c r="F175" s="1">
        <v>335</v>
      </c>
      <c r="G175" s="1" t="s">
        <v>93</v>
      </c>
      <c r="H175" s="1" t="s">
        <v>95</v>
      </c>
      <c r="I175" s="1">
        <v>22.7</v>
      </c>
      <c r="J175" s="1" t="s">
        <v>95</v>
      </c>
      <c r="M175" s="1" t="s">
        <v>101</v>
      </c>
      <c r="O175" s="1">
        <v>1</v>
      </c>
    </row>
    <row r="176" spans="1:18" ht="14.25" customHeight="1" x14ac:dyDescent="0.3">
      <c r="A176" s="1" t="s">
        <v>43</v>
      </c>
      <c r="B176" s="1">
        <v>12</v>
      </c>
      <c r="C176" s="1">
        <v>20</v>
      </c>
      <c r="D176" s="1" t="str">
        <f t="shared" si="2"/>
        <v>Yes</v>
      </c>
      <c r="E176" s="1">
        <v>11.6</v>
      </c>
      <c r="F176" s="1">
        <v>347</v>
      </c>
      <c r="G176" s="1" t="s">
        <v>93</v>
      </c>
      <c r="H176" s="1" t="s">
        <v>95</v>
      </c>
      <c r="I176" s="1">
        <v>21.2</v>
      </c>
      <c r="J176" s="1" t="s">
        <v>95</v>
      </c>
      <c r="M176" s="1" t="s">
        <v>102</v>
      </c>
      <c r="O176" s="1">
        <v>2</v>
      </c>
    </row>
    <row r="177" spans="1:18" ht="14.25" customHeight="1" x14ac:dyDescent="0.3">
      <c r="A177" s="1" t="s">
        <v>43</v>
      </c>
      <c r="B177" s="1">
        <v>12</v>
      </c>
      <c r="C177" s="1">
        <v>10</v>
      </c>
      <c r="D177" s="1" t="str">
        <f t="shared" si="2"/>
        <v>Yes</v>
      </c>
      <c r="E177" s="1">
        <v>11.4</v>
      </c>
      <c r="F177" s="1">
        <v>143</v>
      </c>
      <c r="G177" s="1" t="s">
        <v>93</v>
      </c>
      <c r="H177" s="1" t="s">
        <v>95</v>
      </c>
      <c r="I177" s="1">
        <v>20.399999999999999</v>
      </c>
      <c r="J177" s="1" t="s">
        <v>95</v>
      </c>
      <c r="M177" s="1" t="s">
        <v>102</v>
      </c>
      <c r="O177" s="1">
        <v>1</v>
      </c>
      <c r="R177" s="1"/>
    </row>
    <row r="178" spans="1:18" ht="14.25" customHeight="1" x14ac:dyDescent="0.3">
      <c r="A178" s="1" t="s">
        <v>43</v>
      </c>
      <c r="B178" s="1">
        <v>12</v>
      </c>
      <c r="C178" s="1">
        <v>1</v>
      </c>
      <c r="D178" s="1" t="str">
        <f t="shared" si="2"/>
        <v>Yes</v>
      </c>
      <c r="E178" s="1">
        <v>8.5</v>
      </c>
      <c r="F178" s="1">
        <v>11</v>
      </c>
      <c r="G178" s="1" t="s">
        <v>93</v>
      </c>
      <c r="H178" s="1" t="s">
        <v>95</v>
      </c>
      <c r="I178" s="1">
        <v>19</v>
      </c>
      <c r="J178" s="1" t="s">
        <v>95</v>
      </c>
      <c r="M178" s="1" t="s">
        <v>101</v>
      </c>
      <c r="O178" s="1">
        <v>2</v>
      </c>
      <c r="R178" s="1"/>
    </row>
    <row r="179" spans="1:18" ht="14.25" customHeight="1" x14ac:dyDescent="0.3">
      <c r="A179" s="1" t="s">
        <v>43</v>
      </c>
      <c r="B179" s="1">
        <v>12</v>
      </c>
      <c r="C179" s="1">
        <v>22</v>
      </c>
      <c r="D179" s="1" t="str">
        <f t="shared" si="2"/>
        <v>Yes</v>
      </c>
      <c r="E179" s="1">
        <v>11.9</v>
      </c>
      <c r="F179" s="1">
        <v>317</v>
      </c>
      <c r="G179" s="1" t="s">
        <v>93</v>
      </c>
      <c r="H179" s="1" t="s">
        <v>95</v>
      </c>
      <c r="I179" s="1">
        <v>14.2</v>
      </c>
      <c r="J179" s="1" t="s">
        <v>95</v>
      </c>
      <c r="M179" s="1" t="s">
        <v>101</v>
      </c>
      <c r="O179" s="1">
        <v>1</v>
      </c>
    </row>
    <row r="180" spans="1:18" ht="14.25" customHeight="1" x14ac:dyDescent="0.3">
      <c r="A180" s="1" t="s">
        <v>43</v>
      </c>
      <c r="B180" s="1">
        <v>12</v>
      </c>
      <c r="C180" s="1">
        <v>15</v>
      </c>
      <c r="D180" s="1" t="str">
        <f t="shared" si="2"/>
        <v>Yes</v>
      </c>
      <c r="E180" s="1">
        <v>4</v>
      </c>
      <c r="F180" s="1">
        <v>175</v>
      </c>
      <c r="G180" s="1" t="s">
        <v>93</v>
      </c>
      <c r="H180" s="1" t="s">
        <v>95</v>
      </c>
      <c r="I180" s="1">
        <v>12.4</v>
      </c>
      <c r="J180" s="1" t="s">
        <v>95</v>
      </c>
      <c r="M180" s="1" t="s">
        <v>101</v>
      </c>
      <c r="O180" s="1">
        <v>5</v>
      </c>
    </row>
    <row r="181" spans="1:18" ht="14.25" customHeight="1" x14ac:dyDescent="0.3">
      <c r="A181" s="1" t="s">
        <v>43</v>
      </c>
      <c r="B181" s="1">
        <v>12</v>
      </c>
      <c r="C181" s="1">
        <v>8</v>
      </c>
      <c r="D181" s="1" t="str">
        <f t="shared" si="2"/>
        <v>Yes</v>
      </c>
      <c r="E181" s="1">
        <v>9.5</v>
      </c>
      <c r="F181" s="1">
        <v>113</v>
      </c>
      <c r="G181" s="1" t="s">
        <v>93</v>
      </c>
      <c r="H181" s="1" t="s">
        <v>95</v>
      </c>
      <c r="I181" s="1">
        <v>11.9</v>
      </c>
      <c r="J181" s="1" t="s">
        <v>95</v>
      </c>
      <c r="M181" s="1" t="s">
        <v>101</v>
      </c>
      <c r="O181" s="1">
        <v>2</v>
      </c>
    </row>
    <row r="182" spans="1:18" ht="14.25" customHeight="1" x14ac:dyDescent="0.3">
      <c r="A182" s="1" t="s">
        <v>43</v>
      </c>
      <c r="B182" s="1">
        <v>12</v>
      </c>
      <c r="C182" s="1">
        <v>12</v>
      </c>
      <c r="D182" s="1" t="str">
        <f t="shared" si="2"/>
        <v>Yes</v>
      </c>
      <c r="E182" s="1">
        <v>9.8000000000000007</v>
      </c>
      <c r="F182" s="1">
        <v>159</v>
      </c>
      <c r="G182" s="1" t="s">
        <v>93</v>
      </c>
      <c r="H182" s="1" t="s">
        <v>95</v>
      </c>
      <c r="I182" s="1">
        <v>11.2</v>
      </c>
      <c r="J182" s="1" t="s">
        <v>95</v>
      </c>
      <c r="M182" s="1" t="s">
        <v>102</v>
      </c>
      <c r="O182" s="1">
        <v>1</v>
      </c>
    </row>
    <row r="183" spans="1:18" ht="14.25" customHeight="1" x14ac:dyDescent="0.3">
      <c r="A183" s="1" t="s">
        <v>43</v>
      </c>
      <c r="B183" s="1">
        <v>12</v>
      </c>
      <c r="C183" s="1">
        <v>11</v>
      </c>
      <c r="D183" s="1" t="str">
        <f t="shared" si="2"/>
        <v>Yes</v>
      </c>
      <c r="E183" s="1">
        <v>11.8</v>
      </c>
      <c r="F183" s="1">
        <v>153</v>
      </c>
      <c r="G183" s="1" t="s">
        <v>93</v>
      </c>
      <c r="H183" s="1" t="s">
        <v>95</v>
      </c>
      <c r="I183" s="1">
        <v>8.1</v>
      </c>
      <c r="J183" s="1" t="s">
        <v>95</v>
      </c>
      <c r="M183" s="1" t="s">
        <v>102</v>
      </c>
      <c r="O183" s="1">
        <v>1</v>
      </c>
    </row>
    <row r="184" spans="1:18" ht="14.25" customHeight="1" x14ac:dyDescent="0.3">
      <c r="A184" s="1" t="s">
        <v>43</v>
      </c>
      <c r="B184" s="1">
        <v>12</v>
      </c>
      <c r="C184" s="1">
        <v>6</v>
      </c>
      <c r="D184" s="1" t="str">
        <f t="shared" si="2"/>
        <v>Yes</v>
      </c>
      <c r="E184" s="1">
        <v>7.5</v>
      </c>
      <c r="F184" s="1">
        <v>103</v>
      </c>
      <c r="G184" s="1" t="s">
        <v>106</v>
      </c>
      <c r="H184" s="1" t="s">
        <v>94</v>
      </c>
      <c r="I184" s="1">
        <v>134.19999999999999</v>
      </c>
      <c r="J184" s="1" t="s">
        <v>95</v>
      </c>
      <c r="K184" s="1">
        <v>0</v>
      </c>
      <c r="L184" s="1">
        <v>0</v>
      </c>
      <c r="M184" s="1" t="s">
        <v>97</v>
      </c>
      <c r="N184" s="1" t="s">
        <v>100</v>
      </c>
      <c r="P184" s="1">
        <v>541</v>
      </c>
    </row>
    <row r="185" spans="1:18" ht="14.25" customHeight="1" x14ac:dyDescent="0.3">
      <c r="A185" s="1" t="s">
        <v>43</v>
      </c>
      <c r="B185" s="1">
        <v>12</v>
      </c>
      <c r="C185" s="1">
        <v>3</v>
      </c>
      <c r="D185" s="1" t="str">
        <f t="shared" si="2"/>
        <v>Yes</v>
      </c>
      <c r="E185" s="1">
        <v>10</v>
      </c>
      <c r="F185" s="1">
        <v>43</v>
      </c>
      <c r="G185" s="1" t="s">
        <v>93</v>
      </c>
      <c r="H185" s="1" t="s">
        <v>94</v>
      </c>
      <c r="I185" s="1">
        <v>24.6</v>
      </c>
      <c r="J185" s="1" t="s">
        <v>95</v>
      </c>
      <c r="K185" s="1">
        <v>0</v>
      </c>
      <c r="L185" s="1">
        <v>1</v>
      </c>
      <c r="M185" s="1" t="s">
        <v>102</v>
      </c>
    </row>
    <row r="186" spans="1:18" ht="14.25" customHeight="1" x14ac:dyDescent="0.3">
      <c r="A186" s="1" t="s">
        <v>43</v>
      </c>
      <c r="B186" s="1">
        <v>13</v>
      </c>
      <c r="C186" s="1">
        <v>13</v>
      </c>
      <c r="D186" s="1" t="str">
        <f t="shared" si="2"/>
        <v>Yes</v>
      </c>
      <c r="E186" s="1">
        <v>7.4</v>
      </c>
      <c r="F186" s="1">
        <v>102</v>
      </c>
      <c r="G186" s="1" t="s">
        <v>98</v>
      </c>
      <c r="H186" s="1" t="s">
        <v>95</v>
      </c>
      <c r="I186" s="1">
        <v>30.9</v>
      </c>
      <c r="J186" s="1" t="s">
        <v>95</v>
      </c>
      <c r="M186" s="1" t="s">
        <v>101</v>
      </c>
    </row>
    <row r="187" spans="1:18" ht="14.25" customHeight="1" x14ac:dyDescent="0.3">
      <c r="A187" s="1" t="s">
        <v>43</v>
      </c>
      <c r="B187" s="1">
        <v>13</v>
      </c>
      <c r="C187" s="1">
        <v>1</v>
      </c>
      <c r="D187" s="1" t="str">
        <f t="shared" si="2"/>
        <v>Yes</v>
      </c>
      <c r="E187" s="1">
        <v>4.8</v>
      </c>
      <c r="F187" s="1">
        <v>16</v>
      </c>
      <c r="G187" s="66" t="s">
        <v>111</v>
      </c>
      <c r="H187" s="1" t="s">
        <v>95</v>
      </c>
      <c r="I187" s="1">
        <v>56</v>
      </c>
      <c r="J187" s="1" t="s">
        <v>95</v>
      </c>
      <c r="M187" s="1" t="s">
        <v>101</v>
      </c>
    </row>
    <row r="188" spans="1:18" ht="14.25" customHeight="1" x14ac:dyDescent="0.3">
      <c r="A188" s="1" t="s">
        <v>43</v>
      </c>
      <c r="B188" s="1">
        <v>13</v>
      </c>
      <c r="C188" s="1">
        <v>11</v>
      </c>
      <c r="D188" s="1" t="str">
        <f t="shared" si="2"/>
        <v>Yes</v>
      </c>
      <c r="E188" s="1">
        <v>5.5</v>
      </c>
      <c r="F188" s="1">
        <v>82</v>
      </c>
      <c r="G188" s="66" t="s">
        <v>111</v>
      </c>
      <c r="H188" s="1" t="s">
        <v>95</v>
      </c>
      <c r="I188" s="1">
        <v>18.5</v>
      </c>
      <c r="J188" s="1" t="s">
        <v>95</v>
      </c>
      <c r="M188" s="1" t="s">
        <v>101</v>
      </c>
    </row>
    <row r="189" spans="1:18" ht="14.25" customHeight="1" x14ac:dyDescent="0.3">
      <c r="A189" s="1" t="s">
        <v>43</v>
      </c>
      <c r="B189" s="1">
        <v>13</v>
      </c>
      <c r="C189" s="1">
        <v>12</v>
      </c>
      <c r="D189" s="1" t="str">
        <f t="shared" si="2"/>
        <v>Yes</v>
      </c>
      <c r="E189" s="1">
        <v>5.3</v>
      </c>
      <c r="F189" s="1">
        <v>90</v>
      </c>
      <c r="G189" s="66" t="s">
        <v>111</v>
      </c>
      <c r="H189" s="1" t="s">
        <v>95</v>
      </c>
      <c r="I189" s="1">
        <v>10.8</v>
      </c>
      <c r="J189" s="1" t="s">
        <v>95</v>
      </c>
      <c r="M189" s="1" t="s">
        <v>101</v>
      </c>
    </row>
    <row r="190" spans="1:18" ht="14.25" customHeight="1" x14ac:dyDescent="0.3">
      <c r="A190" s="1" t="s">
        <v>43</v>
      </c>
      <c r="B190" s="1">
        <v>13</v>
      </c>
      <c r="C190" s="1">
        <v>25</v>
      </c>
      <c r="D190" s="1" t="str">
        <f t="shared" si="2"/>
        <v>Yes</v>
      </c>
      <c r="E190" s="1">
        <v>5.3</v>
      </c>
      <c r="F190" s="1">
        <v>302</v>
      </c>
      <c r="G190" s="66" t="s">
        <v>111</v>
      </c>
      <c r="H190" s="1" t="s">
        <v>95</v>
      </c>
      <c r="I190" s="1">
        <v>9.8000000000000007</v>
      </c>
      <c r="J190" s="1" t="s">
        <v>95</v>
      </c>
      <c r="M190" s="1" t="s">
        <v>101</v>
      </c>
    </row>
    <row r="191" spans="1:18" ht="14.25" customHeight="1" x14ac:dyDescent="0.3">
      <c r="A191" s="1" t="s">
        <v>43</v>
      </c>
      <c r="B191" s="1">
        <v>13</v>
      </c>
      <c r="C191" s="1">
        <v>23</v>
      </c>
      <c r="D191" s="1" t="str">
        <f t="shared" si="2"/>
        <v>Yes</v>
      </c>
      <c r="E191" s="1">
        <v>6.8</v>
      </c>
      <c r="F191" s="1">
        <v>299</v>
      </c>
      <c r="G191" s="66" t="s">
        <v>111</v>
      </c>
      <c r="H191" s="1" t="s">
        <v>95</v>
      </c>
      <c r="I191" s="1">
        <v>9</v>
      </c>
      <c r="J191" s="1" t="s">
        <v>101</v>
      </c>
      <c r="M191" s="1" t="s">
        <v>101</v>
      </c>
    </row>
    <row r="192" spans="1:18" ht="14.25" customHeight="1" x14ac:dyDescent="0.3">
      <c r="A192" s="1" t="s">
        <v>43</v>
      </c>
      <c r="B192" s="1">
        <v>13</v>
      </c>
      <c r="C192" s="1">
        <v>4</v>
      </c>
      <c r="D192" s="1" t="str">
        <f t="shared" si="2"/>
        <v>Yes</v>
      </c>
      <c r="E192" s="1">
        <v>11.2</v>
      </c>
      <c r="F192" s="1">
        <v>18</v>
      </c>
      <c r="G192" s="1" t="s">
        <v>106</v>
      </c>
      <c r="H192" s="1" t="s">
        <v>95</v>
      </c>
      <c r="I192" s="1">
        <v>15.7</v>
      </c>
      <c r="J192" s="1" t="s">
        <v>95</v>
      </c>
      <c r="M192" s="1" t="s">
        <v>101</v>
      </c>
    </row>
    <row r="193" spans="1:18" ht="14.25" customHeight="1" x14ac:dyDescent="0.3">
      <c r="A193" s="1" t="s">
        <v>43</v>
      </c>
      <c r="B193" s="1">
        <v>13</v>
      </c>
      <c r="C193" s="1">
        <v>30</v>
      </c>
      <c r="D193" s="1" t="str">
        <f t="shared" si="2"/>
        <v>Yes</v>
      </c>
      <c r="E193" s="1">
        <v>8</v>
      </c>
      <c r="F193" s="1">
        <v>350</v>
      </c>
      <c r="G193" s="1" t="s">
        <v>106</v>
      </c>
      <c r="H193" s="1" t="s">
        <v>95</v>
      </c>
      <c r="I193" s="1">
        <v>15.1</v>
      </c>
      <c r="J193" s="1" t="s">
        <v>95</v>
      </c>
      <c r="M193" s="1" t="s">
        <v>101</v>
      </c>
      <c r="O193" s="1">
        <v>1</v>
      </c>
      <c r="Q193" s="1" t="s">
        <v>116</v>
      </c>
    </row>
    <row r="194" spans="1:18" ht="14.25" customHeight="1" x14ac:dyDescent="0.3">
      <c r="A194" s="1" t="s">
        <v>43</v>
      </c>
      <c r="B194" s="1">
        <v>13</v>
      </c>
      <c r="C194" s="1">
        <v>6</v>
      </c>
      <c r="D194" s="1" t="str">
        <f t="shared" ref="D194:D257" si="3">IF(E194&gt;12.5, "No", "Yes")</f>
        <v>Yes</v>
      </c>
      <c r="E194" s="1">
        <v>10.199999999999999</v>
      </c>
      <c r="F194" s="1">
        <v>25</v>
      </c>
      <c r="G194" s="1" t="s">
        <v>106</v>
      </c>
      <c r="H194" s="1" t="s">
        <v>95</v>
      </c>
      <c r="I194" s="1">
        <v>13.6</v>
      </c>
      <c r="J194" s="1" t="s">
        <v>95</v>
      </c>
      <c r="M194" s="1" t="s">
        <v>102</v>
      </c>
    </row>
    <row r="195" spans="1:18" ht="14.25" customHeight="1" x14ac:dyDescent="0.3">
      <c r="A195" s="1" t="s">
        <v>43</v>
      </c>
      <c r="B195" s="1">
        <v>13</v>
      </c>
      <c r="C195" s="1">
        <v>10</v>
      </c>
      <c r="D195" s="1" t="str">
        <f t="shared" si="3"/>
        <v>Yes</v>
      </c>
      <c r="E195" s="1">
        <v>2.1</v>
      </c>
      <c r="F195" s="1">
        <v>92</v>
      </c>
      <c r="G195" s="1" t="s">
        <v>106</v>
      </c>
      <c r="H195" s="1" t="s">
        <v>95</v>
      </c>
      <c r="I195" s="1">
        <v>11.3</v>
      </c>
      <c r="J195" s="1" t="s">
        <v>95</v>
      </c>
      <c r="M195" s="1" t="s">
        <v>101</v>
      </c>
      <c r="Q195" s="1" t="s">
        <v>117</v>
      </c>
      <c r="R195" s="1"/>
    </row>
    <row r="196" spans="1:18" ht="14.25" customHeight="1" x14ac:dyDescent="0.3">
      <c r="A196" s="1" t="s">
        <v>43</v>
      </c>
      <c r="B196" s="1">
        <v>13</v>
      </c>
      <c r="C196" s="1">
        <v>2</v>
      </c>
      <c r="D196" s="1" t="str">
        <f t="shared" si="3"/>
        <v>Yes</v>
      </c>
      <c r="E196" s="1">
        <v>10.5</v>
      </c>
      <c r="F196" s="1">
        <v>8</v>
      </c>
      <c r="G196" s="1" t="s">
        <v>106</v>
      </c>
      <c r="H196" s="1" t="s">
        <v>95</v>
      </c>
      <c r="I196" s="1">
        <v>10.5</v>
      </c>
      <c r="J196" s="1" t="s">
        <v>95</v>
      </c>
      <c r="M196" s="1" t="s">
        <v>101</v>
      </c>
    </row>
    <row r="197" spans="1:18" ht="14.25" customHeight="1" x14ac:dyDescent="0.3">
      <c r="A197" s="1" t="s">
        <v>43</v>
      </c>
      <c r="B197" s="1">
        <v>13</v>
      </c>
      <c r="C197" s="1">
        <v>3</v>
      </c>
      <c r="D197" s="1" t="str">
        <f t="shared" si="3"/>
        <v>Yes</v>
      </c>
      <c r="E197" s="1">
        <v>12.4</v>
      </c>
      <c r="F197" s="1">
        <v>12</v>
      </c>
      <c r="G197" s="1" t="s">
        <v>106</v>
      </c>
      <c r="H197" s="1" t="s">
        <v>95</v>
      </c>
      <c r="I197" s="1">
        <v>9.6</v>
      </c>
      <c r="J197" s="1" t="s">
        <v>95</v>
      </c>
      <c r="M197" s="1" t="s">
        <v>101</v>
      </c>
    </row>
    <row r="198" spans="1:18" ht="14.25" customHeight="1" x14ac:dyDescent="0.3">
      <c r="A198" s="1" t="s">
        <v>43</v>
      </c>
      <c r="B198" s="1">
        <v>13</v>
      </c>
      <c r="C198" s="1">
        <v>26</v>
      </c>
      <c r="D198" s="1" t="str">
        <f t="shared" si="3"/>
        <v>Yes</v>
      </c>
      <c r="E198" s="1">
        <v>5.7</v>
      </c>
      <c r="F198" s="1">
        <v>321</v>
      </c>
      <c r="G198" s="1" t="s">
        <v>93</v>
      </c>
      <c r="H198" s="1" t="s">
        <v>95</v>
      </c>
      <c r="I198" s="1">
        <v>94.5</v>
      </c>
      <c r="J198" s="1" t="s">
        <v>95</v>
      </c>
      <c r="M198" s="1" t="s">
        <v>102</v>
      </c>
    </row>
    <row r="199" spans="1:18" ht="14.25" customHeight="1" x14ac:dyDescent="0.3">
      <c r="A199" s="1" t="s">
        <v>43</v>
      </c>
      <c r="B199" s="1">
        <v>13</v>
      </c>
      <c r="C199" s="1">
        <v>27</v>
      </c>
      <c r="D199" s="1" t="str">
        <f t="shared" si="3"/>
        <v>Yes</v>
      </c>
      <c r="E199" s="1">
        <v>9.8000000000000007</v>
      </c>
      <c r="F199" s="1">
        <v>314</v>
      </c>
      <c r="G199" s="1" t="s">
        <v>93</v>
      </c>
      <c r="H199" s="1" t="s">
        <v>95</v>
      </c>
      <c r="I199" s="1">
        <v>94.5</v>
      </c>
      <c r="J199" s="1" t="s">
        <v>95</v>
      </c>
      <c r="M199" s="1" t="s">
        <v>101</v>
      </c>
    </row>
    <row r="200" spans="1:18" ht="14.25" customHeight="1" x14ac:dyDescent="0.3">
      <c r="A200" s="1" t="s">
        <v>43</v>
      </c>
      <c r="B200" s="1">
        <v>13</v>
      </c>
      <c r="C200" s="1">
        <v>7</v>
      </c>
      <c r="D200" s="1" t="str">
        <f t="shared" si="3"/>
        <v>Yes</v>
      </c>
      <c r="E200" s="1">
        <v>8</v>
      </c>
      <c r="F200" s="1">
        <v>48</v>
      </c>
      <c r="G200" s="1" t="s">
        <v>93</v>
      </c>
      <c r="H200" s="1" t="s">
        <v>95</v>
      </c>
      <c r="I200" s="1">
        <v>63.7</v>
      </c>
      <c r="J200" s="1" t="s">
        <v>95</v>
      </c>
      <c r="M200" s="1" t="s">
        <v>101</v>
      </c>
      <c r="R200" s="1"/>
    </row>
    <row r="201" spans="1:18" ht="14.25" customHeight="1" x14ac:dyDescent="0.3">
      <c r="A201" s="1" t="s">
        <v>43</v>
      </c>
      <c r="B201" s="1">
        <v>13</v>
      </c>
      <c r="C201" s="1">
        <v>17</v>
      </c>
      <c r="D201" s="1" t="str">
        <f t="shared" si="3"/>
        <v>Yes</v>
      </c>
      <c r="E201" s="1">
        <v>7.2</v>
      </c>
      <c r="F201" s="1">
        <v>170</v>
      </c>
      <c r="G201" s="1" t="s">
        <v>93</v>
      </c>
      <c r="H201" s="1" t="s">
        <v>95</v>
      </c>
      <c r="I201" s="1">
        <v>28.8</v>
      </c>
      <c r="J201" s="1" t="s">
        <v>95</v>
      </c>
      <c r="M201" s="1" t="s">
        <v>101</v>
      </c>
    </row>
    <row r="202" spans="1:18" ht="14.25" customHeight="1" x14ac:dyDescent="0.3">
      <c r="A202" s="1" t="s">
        <v>43</v>
      </c>
      <c r="B202" s="1">
        <v>13</v>
      </c>
      <c r="C202" s="1">
        <v>20</v>
      </c>
      <c r="D202" s="1" t="str">
        <f t="shared" si="3"/>
        <v>Yes</v>
      </c>
      <c r="E202" s="1">
        <v>9</v>
      </c>
      <c r="F202" s="1">
        <v>248</v>
      </c>
      <c r="G202" s="1" t="s">
        <v>93</v>
      </c>
      <c r="H202" s="1" t="s">
        <v>95</v>
      </c>
      <c r="I202" s="1">
        <v>22.8</v>
      </c>
      <c r="J202" s="1" t="s">
        <v>95</v>
      </c>
      <c r="M202" s="1" t="s">
        <v>101</v>
      </c>
    </row>
    <row r="203" spans="1:18" ht="14.25" customHeight="1" x14ac:dyDescent="0.3">
      <c r="A203" s="1" t="s">
        <v>43</v>
      </c>
      <c r="B203" s="1">
        <v>13</v>
      </c>
      <c r="C203" s="1">
        <v>15</v>
      </c>
      <c r="D203" s="1" t="str">
        <f t="shared" si="3"/>
        <v>Yes</v>
      </c>
      <c r="E203" s="1">
        <v>10.8</v>
      </c>
      <c r="F203" s="1">
        <v>150</v>
      </c>
      <c r="G203" s="1" t="s">
        <v>93</v>
      </c>
      <c r="H203" s="1" t="s">
        <v>95</v>
      </c>
      <c r="I203" s="1">
        <v>21.9</v>
      </c>
      <c r="J203" s="1" t="s">
        <v>95</v>
      </c>
      <c r="M203" s="1" t="s">
        <v>101</v>
      </c>
    </row>
    <row r="204" spans="1:18" ht="14.25" customHeight="1" x14ac:dyDescent="0.3">
      <c r="A204" s="1" t="s">
        <v>43</v>
      </c>
      <c r="B204" s="1">
        <v>13</v>
      </c>
      <c r="C204" s="1">
        <v>22</v>
      </c>
      <c r="D204" s="1" t="str">
        <f t="shared" si="3"/>
        <v>Yes</v>
      </c>
      <c r="E204" s="1">
        <v>11.2</v>
      </c>
      <c r="F204" s="1">
        <v>272</v>
      </c>
      <c r="G204" s="1" t="s">
        <v>93</v>
      </c>
      <c r="H204" s="1" t="s">
        <v>95</v>
      </c>
      <c r="I204" s="1">
        <v>18.7</v>
      </c>
      <c r="J204" s="1" t="s">
        <v>95</v>
      </c>
      <c r="M204" s="1" t="s">
        <v>101</v>
      </c>
    </row>
    <row r="205" spans="1:18" ht="14.25" customHeight="1" x14ac:dyDescent="0.3">
      <c r="A205" s="1" t="s">
        <v>43</v>
      </c>
      <c r="B205" s="1">
        <v>13</v>
      </c>
      <c r="C205" s="1">
        <v>28</v>
      </c>
      <c r="D205" s="1" t="str">
        <f t="shared" si="3"/>
        <v>Yes</v>
      </c>
      <c r="E205" s="1">
        <v>10.5</v>
      </c>
      <c r="F205" s="1">
        <v>338</v>
      </c>
      <c r="G205" s="1" t="s">
        <v>93</v>
      </c>
      <c r="H205" s="1" t="s">
        <v>95</v>
      </c>
      <c r="I205" s="1">
        <v>15</v>
      </c>
      <c r="J205" s="1" t="s">
        <v>95</v>
      </c>
      <c r="M205" s="1" t="s">
        <v>101</v>
      </c>
    </row>
    <row r="206" spans="1:18" ht="14.25" customHeight="1" x14ac:dyDescent="0.3">
      <c r="A206" s="1" t="s">
        <v>43</v>
      </c>
      <c r="B206" s="1">
        <v>13</v>
      </c>
      <c r="C206" s="1">
        <v>31</v>
      </c>
      <c r="D206" s="1" t="str">
        <f t="shared" si="3"/>
        <v>Yes</v>
      </c>
      <c r="E206" s="1">
        <v>11.8</v>
      </c>
      <c r="F206" s="1">
        <v>353</v>
      </c>
      <c r="G206" s="1" t="s">
        <v>93</v>
      </c>
      <c r="H206" s="1" t="s">
        <v>95</v>
      </c>
      <c r="I206" s="1">
        <v>12.9</v>
      </c>
      <c r="J206" s="1" t="s">
        <v>95</v>
      </c>
      <c r="M206" s="1" t="s">
        <v>101</v>
      </c>
      <c r="O206" s="1">
        <v>2</v>
      </c>
    </row>
    <row r="207" spans="1:18" ht="14.25" customHeight="1" x14ac:dyDescent="0.3">
      <c r="A207" s="1" t="s">
        <v>43</v>
      </c>
      <c r="B207" s="1">
        <v>13</v>
      </c>
      <c r="C207" s="1">
        <v>29</v>
      </c>
      <c r="D207" s="1" t="str">
        <f t="shared" si="3"/>
        <v>Yes</v>
      </c>
      <c r="E207" s="1">
        <v>10.199999999999999</v>
      </c>
      <c r="F207" s="1">
        <v>347</v>
      </c>
      <c r="G207" s="1" t="s">
        <v>93</v>
      </c>
      <c r="H207" s="1" t="s">
        <v>95</v>
      </c>
      <c r="I207" s="1">
        <v>11.6</v>
      </c>
      <c r="J207" s="1" t="s">
        <v>95</v>
      </c>
      <c r="M207" s="1" t="s">
        <v>101</v>
      </c>
      <c r="O207" s="1">
        <v>1</v>
      </c>
    </row>
    <row r="208" spans="1:18" ht="14.25" customHeight="1" x14ac:dyDescent="0.3">
      <c r="A208" s="1" t="s">
        <v>43</v>
      </c>
      <c r="B208" s="1">
        <v>13</v>
      </c>
      <c r="C208" s="1">
        <v>19</v>
      </c>
      <c r="D208" s="1" t="str">
        <f t="shared" si="3"/>
        <v>Yes</v>
      </c>
      <c r="E208" s="1">
        <v>7.9</v>
      </c>
      <c r="F208" s="1">
        <v>189</v>
      </c>
      <c r="G208" s="1" t="s">
        <v>93</v>
      </c>
      <c r="H208" s="1" t="s">
        <v>95</v>
      </c>
      <c r="I208" s="1">
        <v>9.6999999999999993</v>
      </c>
      <c r="J208" s="1" t="s">
        <v>95</v>
      </c>
      <c r="M208" s="1" t="s">
        <v>101</v>
      </c>
    </row>
    <row r="209" spans="1:16" ht="14.25" customHeight="1" x14ac:dyDescent="0.3">
      <c r="A209" s="1" t="s">
        <v>43</v>
      </c>
      <c r="B209" s="1">
        <v>13</v>
      </c>
      <c r="C209" s="1">
        <v>8</v>
      </c>
      <c r="D209" s="1" t="str">
        <f t="shared" si="3"/>
        <v>Yes</v>
      </c>
      <c r="E209" s="1">
        <v>6.3</v>
      </c>
      <c r="F209" s="1">
        <v>67</v>
      </c>
      <c r="G209" s="1" t="s">
        <v>93</v>
      </c>
      <c r="H209" s="1" t="s">
        <v>95</v>
      </c>
      <c r="I209" s="1">
        <v>8.9</v>
      </c>
      <c r="J209" s="1" t="s">
        <v>95</v>
      </c>
      <c r="M209" s="1" t="s">
        <v>101</v>
      </c>
    </row>
    <row r="210" spans="1:16" ht="14.25" customHeight="1" x14ac:dyDescent="0.3">
      <c r="A210" s="1" t="s">
        <v>43</v>
      </c>
      <c r="B210" s="1">
        <v>13</v>
      </c>
      <c r="C210" s="1">
        <v>21</v>
      </c>
      <c r="D210" s="1" t="str">
        <f t="shared" si="3"/>
        <v>Yes</v>
      </c>
      <c r="E210" s="1">
        <v>11.2</v>
      </c>
      <c r="F210" s="1">
        <v>256</v>
      </c>
      <c r="G210" s="1" t="s">
        <v>93</v>
      </c>
      <c r="H210" s="1" t="s">
        <v>95</v>
      </c>
      <c r="I210" s="1">
        <v>7.8</v>
      </c>
      <c r="J210" s="1" t="s">
        <v>95</v>
      </c>
      <c r="M210" s="1" t="s">
        <v>101</v>
      </c>
    </row>
    <row r="211" spans="1:16" ht="14.25" customHeight="1" x14ac:dyDescent="0.3">
      <c r="A211" s="1" t="s">
        <v>43</v>
      </c>
      <c r="B211" s="1">
        <v>13</v>
      </c>
      <c r="C211" s="1">
        <v>16</v>
      </c>
      <c r="D211" s="1" t="str">
        <f t="shared" si="3"/>
        <v>Yes</v>
      </c>
      <c r="E211" s="1">
        <v>5.6</v>
      </c>
      <c r="F211" s="1">
        <v>165</v>
      </c>
      <c r="G211" s="1" t="s">
        <v>93</v>
      </c>
      <c r="H211" s="1" t="s">
        <v>95</v>
      </c>
      <c r="I211" s="1">
        <v>7.6</v>
      </c>
      <c r="J211" s="1" t="s">
        <v>95</v>
      </c>
      <c r="M211" s="1" t="s">
        <v>101</v>
      </c>
    </row>
    <row r="212" spans="1:16" ht="14.25" customHeight="1" x14ac:dyDescent="0.3">
      <c r="A212" s="1" t="s">
        <v>43</v>
      </c>
      <c r="B212" s="1">
        <v>13</v>
      </c>
      <c r="C212" s="1">
        <v>24</v>
      </c>
      <c r="D212" s="1" t="str">
        <f t="shared" si="3"/>
        <v>Yes</v>
      </c>
      <c r="E212" s="1">
        <v>11</v>
      </c>
      <c r="F212" s="1">
        <v>292</v>
      </c>
      <c r="G212" s="1" t="s">
        <v>106</v>
      </c>
      <c r="H212" s="1" t="s">
        <v>94</v>
      </c>
      <c r="I212" s="1">
        <v>82.3</v>
      </c>
      <c r="J212" s="1" t="s">
        <v>95</v>
      </c>
      <c r="K212" s="1">
        <v>0</v>
      </c>
      <c r="L212" s="1">
        <v>0</v>
      </c>
      <c r="M212" s="1" t="s">
        <v>102</v>
      </c>
    </row>
    <row r="213" spans="1:16" ht="14.25" customHeight="1" x14ac:dyDescent="0.3">
      <c r="A213" s="1" t="s">
        <v>43</v>
      </c>
      <c r="B213" s="1">
        <v>13</v>
      </c>
      <c r="C213" s="1">
        <v>9</v>
      </c>
      <c r="D213" s="1" t="str">
        <f t="shared" si="3"/>
        <v>Yes</v>
      </c>
      <c r="E213" s="1">
        <v>4.3</v>
      </c>
      <c r="F213" s="1">
        <v>74</v>
      </c>
      <c r="G213" s="1" t="s">
        <v>106</v>
      </c>
      <c r="H213" s="1" t="s">
        <v>94</v>
      </c>
      <c r="I213" s="1">
        <v>21.7</v>
      </c>
      <c r="J213" s="1" t="s">
        <v>95</v>
      </c>
      <c r="K213" s="1">
        <v>0</v>
      </c>
      <c r="L213" s="1">
        <v>0</v>
      </c>
      <c r="M213" s="1" t="s">
        <v>101</v>
      </c>
      <c r="N213" s="1" t="s">
        <v>100</v>
      </c>
    </row>
    <row r="214" spans="1:16" ht="14.25" customHeight="1" x14ac:dyDescent="0.3">
      <c r="A214" s="1" t="s">
        <v>43</v>
      </c>
      <c r="B214" s="1">
        <v>13</v>
      </c>
      <c r="C214" s="1">
        <v>5</v>
      </c>
      <c r="D214" s="1" t="str">
        <f t="shared" si="3"/>
        <v>Yes</v>
      </c>
      <c r="E214" s="1">
        <v>9.3000000000000007</v>
      </c>
      <c r="F214" s="1">
        <v>22</v>
      </c>
      <c r="G214" s="1" t="s">
        <v>106</v>
      </c>
      <c r="H214" s="1" t="s">
        <v>94</v>
      </c>
      <c r="I214" s="1">
        <v>15.4</v>
      </c>
      <c r="J214" s="1" t="s">
        <v>95</v>
      </c>
      <c r="K214" s="1">
        <v>0</v>
      </c>
      <c r="L214" s="1">
        <v>0</v>
      </c>
      <c r="M214" s="1" t="s">
        <v>101</v>
      </c>
    </row>
    <row r="215" spans="1:16" ht="14.25" customHeight="1" x14ac:dyDescent="0.3">
      <c r="A215" s="1" t="s">
        <v>43</v>
      </c>
      <c r="B215" s="1">
        <v>13</v>
      </c>
      <c r="C215" s="1">
        <v>14</v>
      </c>
      <c r="D215" s="1" t="str">
        <f t="shared" si="3"/>
        <v>Yes</v>
      </c>
      <c r="E215" s="1">
        <v>11.3</v>
      </c>
      <c r="F215" s="1">
        <v>109</v>
      </c>
      <c r="G215" s="1" t="s">
        <v>93</v>
      </c>
      <c r="H215" s="1" t="s">
        <v>94</v>
      </c>
      <c r="I215" s="1">
        <v>34.700000000000003</v>
      </c>
      <c r="J215" s="1" t="s">
        <v>95</v>
      </c>
      <c r="K215" s="1">
        <v>0</v>
      </c>
      <c r="L215" s="1">
        <v>0</v>
      </c>
      <c r="M215" s="1" t="s">
        <v>101</v>
      </c>
      <c r="P215" s="1">
        <v>537</v>
      </c>
    </row>
    <row r="216" spans="1:16" ht="14.25" customHeight="1" x14ac:dyDescent="0.3">
      <c r="A216" s="1" t="s">
        <v>43</v>
      </c>
      <c r="B216" s="1">
        <v>13</v>
      </c>
      <c r="C216" s="1">
        <v>18</v>
      </c>
      <c r="D216" s="1" t="str">
        <f t="shared" si="3"/>
        <v>Yes</v>
      </c>
      <c r="E216" s="1">
        <v>5.0999999999999996</v>
      </c>
      <c r="F216" s="1">
        <v>191</v>
      </c>
      <c r="G216" s="1" t="s">
        <v>93</v>
      </c>
      <c r="H216" s="1" t="s">
        <v>94</v>
      </c>
      <c r="I216" s="1">
        <v>19.8</v>
      </c>
      <c r="J216" s="1" t="s">
        <v>95</v>
      </c>
      <c r="K216" s="1">
        <v>0</v>
      </c>
      <c r="L216" s="1">
        <v>0</v>
      </c>
      <c r="M216" s="1" t="s">
        <v>101</v>
      </c>
      <c r="P216" s="1">
        <v>539</v>
      </c>
    </row>
    <row r="217" spans="1:16" ht="14.25" customHeight="1" x14ac:dyDescent="0.3">
      <c r="A217" s="1" t="s">
        <v>43</v>
      </c>
      <c r="B217" s="1">
        <v>14</v>
      </c>
      <c r="C217" s="1">
        <v>2</v>
      </c>
      <c r="D217" s="1" t="str">
        <f t="shared" si="3"/>
        <v>Yes</v>
      </c>
      <c r="E217" s="1">
        <v>8.8000000000000007</v>
      </c>
      <c r="F217" s="1">
        <v>46</v>
      </c>
      <c r="G217" s="66" t="s">
        <v>111</v>
      </c>
      <c r="H217" s="1" t="s">
        <v>95</v>
      </c>
      <c r="I217" s="1">
        <v>143.69999999999999</v>
      </c>
      <c r="J217" s="1" t="s">
        <v>101</v>
      </c>
      <c r="M217" s="1" t="s">
        <v>97</v>
      </c>
      <c r="O217" s="1">
        <v>5</v>
      </c>
    </row>
    <row r="218" spans="1:16" ht="14.25" customHeight="1" x14ac:dyDescent="0.3">
      <c r="A218" s="1" t="s">
        <v>43</v>
      </c>
      <c r="B218" s="1">
        <v>14</v>
      </c>
      <c r="C218" s="1">
        <v>1</v>
      </c>
      <c r="D218" s="1" t="str">
        <f t="shared" si="3"/>
        <v>Yes</v>
      </c>
      <c r="E218" s="1">
        <v>10</v>
      </c>
      <c r="F218" s="1">
        <v>23</v>
      </c>
      <c r="G218" s="66" t="s">
        <v>111</v>
      </c>
      <c r="H218" s="1" t="s">
        <v>95</v>
      </c>
      <c r="I218" s="1">
        <v>121.3</v>
      </c>
      <c r="J218" s="1" t="s">
        <v>95</v>
      </c>
      <c r="M218" s="1" t="s">
        <v>97</v>
      </c>
      <c r="O218" s="1">
        <v>1</v>
      </c>
    </row>
    <row r="219" spans="1:16" ht="14.25" customHeight="1" x14ac:dyDescent="0.3">
      <c r="A219" s="1" t="s">
        <v>43</v>
      </c>
      <c r="B219" s="1">
        <v>14</v>
      </c>
      <c r="C219" s="1">
        <v>4</v>
      </c>
      <c r="D219" s="1" t="str">
        <f t="shared" si="3"/>
        <v>Yes</v>
      </c>
      <c r="E219" s="1">
        <v>5.7</v>
      </c>
      <c r="F219" s="1">
        <v>138</v>
      </c>
      <c r="G219" s="66" t="s">
        <v>111</v>
      </c>
      <c r="H219" s="1" t="s">
        <v>95</v>
      </c>
      <c r="I219" s="1">
        <v>101.8</v>
      </c>
      <c r="J219" s="1" t="s">
        <v>95</v>
      </c>
      <c r="M219" s="1" t="s">
        <v>97</v>
      </c>
      <c r="O219" s="1">
        <v>2</v>
      </c>
    </row>
    <row r="220" spans="1:16" ht="14.25" customHeight="1" x14ac:dyDescent="0.3">
      <c r="A220" s="1" t="s">
        <v>43</v>
      </c>
      <c r="B220" s="1">
        <v>14</v>
      </c>
      <c r="C220" s="1">
        <v>3</v>
      </c>
      <c r="D220" s="1" t="str">
        <f t="shared" si="3"/>
        <v>Yes</v>
      </c>
      <c r="E220" s="1">
        <v>10.4</v>
      </c>
      <c r="F220" s="1">
        <v>93</v>
      </c>
      <c r="G220" s="1" t="s">
        <v>106</v>
      </c>
      <c r="H220" s="1" t="s">
        <v>95</v>
      </c>
      <c r="I220" s="1">
        <v>52</v>
      </c>
      <c r="J220" s="1" t="s">
        <v>95</v>
      </c>
      <c r="M220" s="1" t="s">
        <v>102</v>
      </c>
      <c r="O220" s="1">
        <v>4</v>
      </c>
    </row>
    <row r="221" spans="1:16" ht="14.25" customHeight="1" x14ac:dyDescent="0.3">
      <c r="A221" s="1" t="s">
        <v>43</v>
      </c>
      <c r="B221" s="1">
        <v>14</v>
      </c>
      <c r="C221" s="1">
        <v>5</v>
      </c>
      <c r="D221" s="1" t="str">
        <f t="shared" si="3"/>
        <v>Yes</v>
      </c>
      <c r="E221" s="1">
        <v>12.2</v>
      </c>
      <c r="F221" s="1">
        <v>118</v>
      </c>
      <c r="G221" s="1" t="s">
        <v>106</v>
      </c>
      <c r="H221" s="1" t="s">
        <v>95</v>
      </c>
      <c r="I221" s="1">
        <v>42.6</v>
      </c>
      <c r="J221" s="1" t="s">
        <v>95</v>
      </c>
      <c r="M221" s="1" t="s">
        <v>101</v>
      </c>
      <c r="O221" s="1">
        <v>3</v>
      </c>
    </row>
    <row r="222" spans="1:16" ht="14.25" customHeight="1" x14ac:dyDescent="0.3">
      <c r="A222" s="1" t="s">
        <v>43</v>
      </c>
      <c r="B222" s="1">
        <v>14</v>
      </c>
      <c r="C222" s="1">
        <v>13</v>
      </c>
      <c r="D222" s="1" t="str">
        <f t="shared" si="3"/>
        <v>Yes</v>
      </c>
      <c r="E222" s="1">
        <v>9.1999999999999993</v>
      </c>
      <c r="F222" s="1">
        <v>354</v>
      </c>
      <c r="G222" s="1" t="s">
        <v>93</v>
      </c>
      <c r="H222" s="1" t="s">
        <v>95</v>
      </c>
      <c r="I222" s="1">
        <v>43.1</v>
      </c>
      <c r="J222" s="1" t="s">
        <v>101</v>
      </c>
      <c r="M222" s="1" t="s">
        <v>102</v>
      </c>
      <c r="O222" s="1">
        <v>5</v>
      </c>
    </row>
    <row r="223" spans="1:16" ht="14.25" customHeight="1" x14ac:dyDescent="0.3">
      <c r="A223" s="1" t="s">
        <v>43</v>
      </c>
      <c r="B223" s="1">
        <v>14</v>
      </c>
      <c r="C223" s="1">
        <v>9</v>
      </c>
      <c r="D223" s="1" t="str">
        <f t="shared" si="3"/>
        <v>Yes</v>
      </c>
      <c r="E223" s="1">
        <v>10.199999999999999</v>
      </c>
      <c r="F223" s="1">
        <v>281</v>
      </c>
      <c r="G223" s="1" t="s">
        <v>93</v>
      </c>
      <c r="H223" s="1" t="s">
        <v>95</v>
      </c>
      <c r="I223" s="1">
        <v>38.6</v>
      </c>
      <c r="J223" s="1" t="s">
        <v>95</v>
      </c>
      <c r="M223" s="1" t="s">
        <v>97</v>
      </c>
      <c r="O223" s="1">
        <v>2</v>
      </c>
    </row>
    <row r="224" spans="1:16" ht="14.25" customHeight="1" x14ac:dyDescent="0.3">
      <c r="A224" s="1" t="s">
        <v>43</v>
      </c>
      <c r="B224" s="1">
        <v>14</v>
      </c>
      <c r="C224" s="1">
        <v>11</v>
      </c>
      <c r="D224" s="1" t="str">
        <f t="shared" si="3"/>
        <v>Yes</v>
      </c>
      <c r="E224" s="1">
        <v>10.8</v>
      </c>
      <c r="F224" s="1">
        <v>340</v>
      </c>
      <c r="G224" s="1" t="s">
        <v>93</v>
      </c>
      <c r="H224" s="1" t="s">
        <v>95</v>
      </c>
      <c r="I224" s="1">
        <v>36</v>
      </c>
      <c r="J224" s="1" t="s">
        <v>95</v>
      </c>
      <c r="M224" s="1" t="s">
        <v>102</v>
      </c>
      <c r="O224" s="1">
        <v>2</v>
      </c>
      <c r="P224" s="1">
        <v>533</v>
      </c>
    </row>
    <row r="225" spans="1:16" ht="14.25" customHeight="1" x14ac:dyDescent="0.3">
      <c r="A225" s="1" t="s">
        <v>43</v>
      </c>
      <c r="B225" s="1">
        <v>14</v>
      </c>
      <c r="C225" s="1">
        <v>12</v>
      </c>
      <c r="D225" s="1" t="str">
        <f t="shared" si="3"/>
        <v>Yes</v>
      </c>
      <c r="E225" s="1">
        <v>11.9</v>
      </c>
      <c r="F225" s="1">
        <v>357</v>
      </c>
      <c r="G225" s="1" t="s">
        <v>93</v>
      </c>
      <c r="H225" s="1" t="s">
        <v>95</v>
      </c>
      <c r="I225" s="1">
        <v>25.1</v>
      </c>
      <c r="J225" s="1" t="s">
        <v>101</v>
      </c>
      <c r="M225" s="1" t="s">
        <v>102</v>
      </c>
      <c r="O225" s="1">
        <v>5</v>
      </c>
    </row>
    <row r="226" spans="1:16" ht="14.25" customHeight="1" x14ac:dyDescent="0.3">
      <c r="A226" s="1" t="s">
        <v>43</v>
      </c>
      <c r="B226" s="1">
        <v>14</v>
      </c>
      <c r="C226" s="1">
        <v>10</v>
      </c>
      <c r="D226" s="1" t="str">
        <f t="shared" si="3"/>
        <v>Yes</v>
      </c>
      <c r="E226" s="1">
        <v>5.5</v>
      </c>
      <c r="F226" s="1">
        <v>292</v>
      </c>
      <c r="G226" s="1" t="s">
        <v>93</v>
      </c>
      <c r="H226" s="1" t="s">
        <v>95</v>
      </c>
      <c r="I226" s="1">
        <v>20.100000000000001</v>
      </c>
      <c r="J226" s="1" t="s">
        <v>95</v>
      </c>
      <c r="M226" s="1" t="s">
        <v>102</v>
      </c>
      <c r="O226" s="1">
        <v>4</v>
      </c>
    </row>
    <row r="227" spans="1:16" ht="14.25" customHeight="1" x14ac:dyDescent="0.3">
      <c r="A227" s="1" t="s">
        <v>43</v>
      </c>
      <c r="B227" s="1">
        <v>14</v>
      </c>
      <c r="C227" s="1">
        <v>8</v>
      </c>
      <c r="D227" s="1" t="str">
        <f t="shared" si="3"/>
        <v>Yes</v>
      </c>
      <c r="E227" s="1">
        <v>9.6</v>
      </c>
      <c r="F227" s="1">
        <v>215</v>
      </c>
      <c r="G227" s="1" t="s">
        <v>106</v>
      </c>
      <c r="H227" s="1" t="s">
        <v>94</v>
      </c>
      <c r="I227" s="1">
        <v>83.4</v>
      </c>
      <c r="J227" s="1" t="s">
        <v>95</v>
      </c>
      <c r="K227" s="1">
        <v>0</v>
      </c>
      <c r="L227" s="1">
        <v>0</v>
      </c>
      <c r="M227" s="1" t="s">
        <v>102</v>
      </c>
      <c r="N227" s="1" t="s">
        <v>100</v>
      </c>
      <c r="P227" s="1">
        <v>532</v>
      </c>
    </row>
    <row r="228" spans="1:16" ht="14.25" customHeight="1" x14ac:dyDescent="0.3">
      <c r="A228" s="1" t="s">
        <v>43</v>
      </c>
      <c r="B228" s="1">
        <v>14</v>
      </c>
      <c r="C228" s="1">
        <v>6</v>
      </c>
      <c r="D228" s="1" t="str">
        <f t="shared" si="3"/>
        <v>Yes</v>
      </c>
      <c r="E228" s="1">
        <v>10.9</v>
      </c>
      <c r="F228" s="1">
        <v>179</v>
      </c>
      <c r="G228" s="1" t="s">
        <v>106</v>
      </c>
      <c r="H228" s="1" t="s">
        <v>94</v>
      </c>
      <c r="I228" s="1">
        <v>82.2</v>
      </c>
      <c r="J228" s="1" t="s">
        <v>95</v>
      </c>
      <c r="K228" s="1">
        <v>0</v>
      </c>
      <c r="L228" s="1">
        <v>0</v>
      </c>
      <c r="M228" s="1" t="s">
        <v>102</v>
      </c>
      <c r="P228" s="1">
        <v>531</v>
      </c>
    </row>
    <row r="229" spans="1:16" ht="14.25" customHeight="1" x14ac:dyDescent="0.3">
      <c r="A229" s="1" t="s">
        <v>43</v>
      </c>
      <c r="B229" s="1">
        <v>14</v>
      </c>
      <c r="C229" s="1">
        <v>7</v>
      </c>
      <c r="D229" s="1" t="str">
        <f t="shared" si="3"/>
        <v>Yes</v>
      </c>
      <c r="E229" s="1">
        <v>11.4</v>
      </c>
      <c r="F229" s="1">
        <v>198</v>
      </c>
      <c r="G229" s="1" t="s">
        <v>106</v>
      </c>
      <c r="H229" s="1" t="s">
        <v>94</v>
      </c>
      <c r="I229" s="1">
        <v>49.9</v>
      </c>
      <c r="J229" s="1" t="s">
        <v>95</v>
      </c>
      <c r="K229" s="1">
        <v>0</v>
      </c>
      <c r="L229" s="1">
        <v>0</v>
      </c>
      <c r="M229" s="1" t="s">
        <v>102</v>
      </c>
      <c r="N229" s="1" t="s">
        <v>100</v>
      </c>
    </row>
    <row r="230" spans="1:16" ht="14.25" customHeight="1" x14ac:dyDescent="0.3">
      <c r="A230" s="1" t="s">
        <v>43</v>
      </c>
      <c r="B230" s="1">
        <v>15</v>
      </c>
      <c r="C230" s="1">
        <v>46</v>
      </c>
      <c r="D230" s="1" t="str">
        <f t="shared" si="3"/>
        <v>Yes</v>
      </c>
      <c r="E230" s="1">
        <v>10.4</v>
      </c>
      <c r="F230" s="1">
        <v>319</v>
      </c>
      <c r="G230" s="1" t="s">
        <v>105</v>
      </c>
      <c r="H230" s="1" t="s">
        <v>95</v>
      </c>
      <c r="I230" s="1">
        <v>175</v>
      </c>
      <c r="J230" s="1" t="s">
        <v>101</v>
      </c>
      <c r="M230" s="1" t="s">
        <v>95</v>
      </c>
      <c r="O230" s="1">
        <v>5</v>
      </c>
    </row>
    <row r="231" spans="1:16" ht="14.25" customHeight="1" x14ac:dyDescent="0.3">
      <c r="A231" s="1" t="s">
        <v>43</v>
      </c>
      <c r="B231" s="1">
        <v>15</v>
      </c>
      <c r="C231" s="1">
        <v>36</v>
      </c>
      <c r="D231" s="1" t="str">
        <f t="shared" si="3"/>
        <v>Yes</v>
      </c>
      <c r="E231" s="1">
        <v>12.3</v>
      </c>
      <c r="F231" s="1">
        <v>230</v>
      </c>
      <c r="G231" s="1" t="s">
        <v>111</v>
      </c>
      <c r="H231" s="1" t="s">
        <v>95</v>
      </c>
      <c r="I231" s="1">
        <v>147.5</v>
      </c>
      <c r="J231" s="1" t="s">
        <v>95</v>
      </c>
      <c r="M231" s="1" t="s">
        <v>95</v>
      </c>
      <c r="O231" s="1">
        <v>1</v>
      </c>
      <c r="P231" s="1">
        <v>536</v>
      </c>
    </row>
    <row r="232" spans="1:16" ht="14.25" customHeight="1" x14ac:dyDescent="0.3">
      <c r="A232" s="1" t="s">
        <v>43</v>
      </c>
      <c r="B232" s="1">
        <v>15</v>
      </c>
      <c r="C232" s="1">
        <v>23</v>
      </c>
      <c r="D232" s="1" t="str">
        <f t="shared" si="3"/>
        <v>Yes</v>
      </c>
      <c r="E232" s="1">
        <v>4</v>
      </c>
      <c r="F232" s="1">
        <v>172</v>
      </c>
      <c r="G232" s="66" t="s">
        <v>111</v>
      </c>
      <c r="H232" s="1" t="s">
        <v>95</v>
      </c>
      <c r="I232" s="1">
        <v>101.4</v>
      </c>
      <c r="J232" s="1" t="s">
        <v>95</v>
      </c>
      <c r="M232" s="1" t="s">
        <v>97</v>
      </c>
      <c r="O232" s="1">
        <v>1</v>
      </c>
      <c r="P232" s="1">
        <v>535</v>
      </c>
    </row>
    <row r="233" spans="1:16" ht="14.25" customHeight="1" x14ac:dyDescent="0.3">
      <c r="A233" s="1" t="s">
        <v>43</v>
      </c>
      <c r="B233" s="1">
        <v>15</v>
      </c>
      <c r="C233" s="1">
        <v>37</v>
      </c>
      <c r="D233" s="1" t="str">
        <f t="shared" si="3"/>
        <v>Yes</v>
      </c>
      <c r="E233" s="1">
        <v>12.3</v>
      </c>
      <c r="F233" s="1">
        <v>253</v>
      </c>
      <c r="G233" s="1" t="s">
        <v>106</v>
      </c>
      <c r="H233" s="1" t="s">
        <v>95</v>
      </c>
      <c r="I233" s="1">
        <v>37.4</v>
      </c>
      <c r="J233" s="1" t="s">
        <v>95</v>
      </c>
      <c r="M233" s="1" t="s">
        <v>102</v>
      </c>
      <c r="O233" s="1">
        <v>1</v>
      </c>
    </row>
    <row r="234" spans="1:16" ht="14.25" customHeight="1" x14ac:dyDescent="0.3">
      <c r="A234" s="1" t="s">
        <v>43</v>
      </c>
      <c r="B234" s="1">
        <v>15</v>
      </c>
      <c r="C234" s="1">
        <v>16</v>
      </c>
      <c r="D234" s="1" t="str">
        <f t="shared" si="3"/>
        <v>Yes</v>
      </c>
      <c r="E234" s="1">
        <v>5.8</v>
      </c>
      <c r="F234" s="1">
        <v>85</v>
      </c>
      <c r="G234" s="1" t="s">
        <v>106</v>
      </c>
      <c r="H234" s="1" t="s">
        <v>95</v>
      </c>
      <c r="I234" s="1">
        <v>27.3</v>
      </c>
      <c r="J234" s="1" t="s">
        <v>95</v>
      </c>
      <c r="M234" s="1" t="s">
        <v>102</v>
      </c>
      <c r="O234" s="1">
        <v>1</v>
      </c>
    </row>
    <row r="235" spans="1:16" ht="14.25" customHeight="1" x14ac:dyDescent="0.3">
      <c r="A235" s="1" t="s">
        <v>43</v>
      </c>
      <c r="B235" s="1">
        <v>15</v>
      </c>
      <c r="C235" s="1">
        <v>28</v>
      </c>
      <c r="D235" s="1" t="str">
        <f t="shared" si="3"/>
        <v>Yes</v>
      </c>
      <c r="E235" s="1">
        <v>7</v>
      </c>
      <c r="F235" s="1">
        <v>126</v>
      </c>
      <c r="G235" s="1" t="s">
        <v>106</v>
      </c>
      <c r="H235" s="1" t="s">
        <v>95</v>
      </c>
      <c r="I235" s="1">
        <v>25.6</v>
      </c>
      <c r="J235" s="1" t="s">
        <v>95</v>
      </c>
      <c r="M235" s="1" t="s">
        <v>102</v>
      </c>
      <c r="O235" s="1">
        <v>1</v>
      </c>
    </row>
    <row r="236" spans="1:16" ht="14.25" customHeight="1" x14ac:dyDescent="0.3">
      <c r="A236" s="1" t="s">
        <v>43</v>
      </c>
      <c r="B236" s="1">
        <v>15</v>
      </c>
      <c r="C236" s="1">
        <v>29</v>
      </c>
      <c r="D236" s="1" t="str">
        <f t="shared" si="3"/>
        <v>Yes</v>
      </c>
      <c r="E236" s="1">
        <v>3.7</v>
      </c>
      <c r="F236" s="1">
        <v>137</v>
      </c>
      <c r="G236" s="1" t="s">
        <v>106</v>
      </c>
      <c r="H236" s="1" t="s">
        <v>95</v>
      </c>
      <c r="I236" s="1">
        <v>24.5</v>
      </c>
      <c r="J236" s="1" t="s">
        <v>95</v>
      </c>
      <c r="M236" s="1" t="s">
        <v>101</v>
      </c>
      <c r="O236" s="1">
        <v>1</v>
      </c>
    </row>
    <row r="237" spans="1:16" ht="14.25" customHeight="1" x14ac:dyDescent="0.3">
      <c r="A237" s="1" t="s">
        <v>43</v>
      </c>
      <c r="B237" s="1">
        <v>15</v>
      </c>
      <c r="C237" s="1">
        <v>25</v>
      </c>
      <c r="D237" s="1" t="str">
        <f t="shared" si="3"/>
        <v>Yes</v>
      </c>
      <c r="E237" s="1">
        <v>7</v>
      </c>
      <c r="F237" s="1">
        <v>110</v>
      </c>
      <c r="G237" s="1" t="s">
        <v>106</v>
      </c>
      <c r="H237" s="1" t="s">
        <v>95</v>
      </c>
      <c r="I237" s="1">
        <v>22.7</v>
      </c>
      <c r="J237" s="1" t="s">
        <v>95</v>
      </c>
      <c r="M237" s="1" t="s">
        <v>102</v>
      </c>
      <c r="O237" s="1">
        <v>1</v>
      </c>
    </row>
    <row r="238" spans="1:16" ht="14.25" customHeight="1" x14ac:dyDescent="0.3">
      <c r="A238" s="1" t="s">
        <v>43</v>
      </c>
      <c r="B238" s="1">
        <v>15</v>
      </c>
      <c r="C238" s="1">
        <v>20</v>
      </c>
      <c r="D238" s="1" t="str">
        <f t="shared" si="3"/>
        <v>Yes</v>
      </c>
      <c r="E238" s="1">
        <v>6.8</v>
      </c>
      <c r="F238" s="1">
        <v>93</v>
      </c>
      <c r="G238" s="1" t="s">
        <v>106</v>
      </c>
      <c r="H238" s="1" t="s">
        <v>95</v>
      </c>
      <c r="I238" s="1">
        <v>20</v>
      </c>
      <c r="J238" s="1" t="s">
        <v>101</v>
      </c>
      <c r="M238" s="1" t="s">
        <v>101</v>
      </c>
      <c r="O238" s="1">
        <v>5</v>
      </c>
    </row>
    <row r="239" spans="1:16" ht="14.25" customHeight="1" x14ac:dyDescent="0.3">
      <c r="A239" s="1" t="s">
        <v>43</v>
      </c>
      <c r="B239" s="1">
        <v>15</v>
      </c>
      <c r="C239" s="1">
        <v>17</v>
      </c>
      <c r="D239" s="1" t="str">
        <f t="shared" si="3"/>
        <v>Yes</v>
      </c>
      <c r="E239" s="1">
        <v>8</v>
      </c>
      <c r="F239" s="1">
        <v>87</v>
      </c>
      <c r="G239" s="1" t="s">
        <v>106</v>
      </c>
      <c r="H239" s="1" t="s">
        <v>95</v>
      </c>
      <c r="I239" s="1">
        <v>18.7</v>
      </c>
      <c r="J239" s="1" t="s">
        <v>95</v>
      </c>
      <c r="M239" s="1" t="s">
        <v>101</v>
      </c>
      <c r="O239" s="1">
        <v>1</v>
      </c>
    </row>
    <row r="240" spans="1:16" ht="14.25" customHeight="1" x14ac:dyDescent="0.3">
      <c r="A240" s="1" t="s">
        <v>43</v>
      </c>
      <c r="B240" s="1">
        <v>15</v>
      </c>
      <c r="C240" s="1">
        <v>14</v>
      </c>
      <c r="D240" s="1" t="str">
        <f t="shared" si="3"/>
        <v>Yes</v>
      </c>
      <c r="E240" s="1">
        <v>10.9</v>
      </c>
      <c r="F240" s="1">
        <v>82</v>
      </c>
      <c r="G240" s="1" t="s">
        <v>106</v>
      </c>
      <c r="H240" s="1" t="s">
        <v>95</v>
      </c>
      <c r="I240" s="1">
        <v>18.3</v>
      </c>
      <c r="J240" s="1" t="s">
        <v>95</v>
      </c>
      <c r="M240" s="1" t="s">
        <v>101</v>
      </c>
      <c r="O240" s="1">
        <v>1</v>
      </c>
    </row>
    <row r="241" spans="1:15" ht="14.25" customHeight="1" x14ac:dyDescent="0.3">
      <c r="A241" s="1" t="s">
        <v>43</v>
      </c>
      <c r="B241" s="1">
        <v>15</v>
      </c>
      <c r="C241" s="1">
        <v>32</v>
      </c>
      <c r="D241" s="1" t="str">
        <f t="shared" si="3"/>
        <v>Yes</v>
      </c>
      <c r="E241" s="1">
        <v>5.5</v>
      </c>
      <c r="F241" s="1">
        <v>144</v>
      </c>
      <c r="G241" s="1" t="s">
        <v>106</v>
      </c>
      <c r="H241" s="1" t="s">
        <v>95</v>
      </c>
      <c r="I241" s="1">
        <v>18.100000000000001</v>
      </c>
      <c r="J241" s="1" t="s">
        <v>101</v>
      </c>
      <c r="M241" s="1" t="s">
        <v>101</v>
      </c>
      <c r="O241" s="1">
        <v>5</v>
      </c>
    </row>
    <row r="242" spans="1:15" ht="14.25" customHeight="1" x14ac:dyDescent="0.3">
      <c r="A242" s="1" t="s">
        <v>43</v>
      </c>
      <c r="B242" s="1">
        <v>15</v>
      </c>
      <c r="C242" s="1">
        <v>1</v>
      </c>
      <c r="D242" s="1" t="str">
        <f t="shared" si="3"/>
        <v>Yes</v>
      </c>
      <c r="E242" s="1">
        <v>11.9</v>
      </c>
      <c r="F242" s="1">
        <v>14</v>
      </c>
      <c r="G242" s="1" t="s">
        <v>106</v>
      </c>
      <c r="H242" s="1" t="s">
        <v>95</v>
      </c>
      <c r="I242" s="1">
        <v>17.3</v>
      </c>
      <c r="J242" s="1" t="s">
        <v>95</v>
      </c>
      <c r="M242" s="1" t="s">
        <v>101</v>
      </c>
      <c r="O242" s="1">
        <v>1</v>
      </c>
    </row>
    <row r="243" spans="1:15" ht="14.25" customHeight="1" x14ac:dyDescent="0.3">
      <c r="A243" s="1" t="s">
        <v>43</v>
      </c>
      <c r="B243" s="1">
        <v>15</v>
      </c>
      <c r="C243" s="1">
        <v>27</v>
      </c>
      <c r="D243" s="1" t="str">
        <f t="shared" si="3"/>
        <v>Yes</v>
      </c>
      <c r="E243" s="1">
        <v>12.4</v>
      </c>
      <c r="F243" s="1">
        <v>113</v>
      </c>
      <c r="G243" s="1" t="s">
        <v>106</v>
      </c>
      <c r="H243" s="1" t="s">
        <v>95</v>
      </c>
      <c r="I243" s="1">
        <v>17.100000000000001</v>
      </c>
      <c r="J243" s="1" t="s">
        <v>95</v>
      </c>
      <c r="M243" s="1" t="s">
        <v>101</v>
      </c>
      <c r="O243" s="1">
        <v>1</v>
      </c>
    </row>
    <row r="244" spans="1:15" ht="14.25" customHeight="1" x14ac:dyDescent="0.3">
      <c r="A244" s="1" t="s">
        <v>43</v>
      </c>
      <c r="B244" s="1">
        <v>15</v>
      </c>
      <c r="C244" s="1">
        <v>19</v>
      </c>
      <c r="D244" s="1" t="str">
        <f t="shared" si="3"/>
        <v>Yes</v>
      </c>
      <c r="E244" s="1">
        <v>9.8000000000000007</v>
      </c>
      <c r="F244" s="1">
        <v>92</v>
      </c>
      <c r="G244" s="1" t="s">
        <v>106</v>
      </c>
      <c r="H244" s="1" t="s">
        <v>95</v>
      </c>
      <c r="I244" s="1">
        <v>15.4</v>
      </c>
      <c r="J244" s="1" t="s">
        <v>95</v>
      </c>
      <c r="M244" s="1" t="s">
        <v>101</v>
      </c>
      <c r="O244" s="1">
        <v>1</v>
      </c>
    </row>
    <row r="245" spans="1:15" ht="14.25" customHeight="1" x14ac:dyDescent="0.3">
      <c r="A245" s="1" t="s">
        <v>43</v>
      </c>
      <c r="B245" s="1">
        <v>15</v>
      </c>
      <c r="C245" s="1">
        <v>12</v>
      </c>
      <c r="D245" s="1" t="str">
        <f t="shared" si="3"/>
        <v>Yes</v>
      </c>
      <c r="E245" s="1">
        <v>10.1</v>
      </c>
      <c r="F245" s="1">
        <v>78</v>
      </c>
      <c r="G245" s="1" t="s">
        <v>106</v>
      </c>
      <c r="H245" s="1" t="s">
        <v>95</v>
      </c>
      <c r="I245" s="1">
        <v>14.6</v>
      </c>
      <c r="J245" s="1" t="s">
        <v>95</v>
      </c>
      <c r="M245" s="1" t="s">
        <v>101</v>
      </c>
      <c r="O245" s="1">
        <v>1</v>
      </c>
    </row>
    <row r="246" spans="1:15" ht="14.25" customHeight="1" x14ac:dyDescent="0.3">
      <c r="A246" s="1" t="s">
        <v>43</v>
      </c>
      <c r="B246" s="1">
        <v>15</v>
      </c>
      <c r="C246" s="1">
        <v>30</v>
      </c>
      <c r="D246" s="1" t="str">
        <f t="shared" si="3"/>
        <v>Yes</v>
      </c>
      <c r="E246" s="1">
        <v>7.2</v>
      </c>
      <c r="F246" s="1">
        <v>140</v>
      </c>
      <c r="G246" s="1" t="s">
        <v>106</v>
      </c>
      <c r="H246" s="1" t="s">
        <v>95</v>
      </c>
      <c r="I246" s="1">
        <v>13.6</v>
      </c>
      <c r="J246" s="1" t="s">
        <v>95</v>
      </c>
      <c r="M246" s="1" t="s">
        <v>101</v>
      </c>
      <c r="O246" s="1">
        <v>1</v>
      </c>
    </row>
    <row r="247" spans="1:15" ht="14.25" customHeight="1" x14ac:dyDescent="0.3">
      <c r="A247" s="1" t="s">
        <v>43</v>
      </c>
      <c r="B247" s="1">
        <v>15</v>
      </c>
      <c r="C247" s="1">
        <v>34</v>
      </c>
      <c r="D247" s="1" t="str">
        <f t="shared" si="3"/>
        <v>Yes</v>
      </c>
      <c r="E247" s="1">
        <v>7.9</v>
      </c>
      <c r="F247" s="1">
        <v>170</v>
      </c>
      <c r="G247" s="1" t="s">
        <v>106</v>
      </c>
      <c r="H247" s="1" t="s">
        <v>95</v>
      </c>
      <c r="I247" s="1">
        <v>12.5</v>
      </c>
      <c r="J247" s="1" t="s">
        <v>95</v>
      </c>
      <c r="M247" s="1" t="s">
        <v>101</v>
      </c>
      <c r="O247" s="1">
        <v>1</v>
      </c>
    </row>
    <row r="248" spans="1:15" ht="14.25" customHeight="1" x14ac:dyDescent="0.3">
      <c r="A248" s="1" t="s">
        <v>43</v>
      </c>
      <c r="B248" s="1">
        <v>15</v>
      </c>
      <c r="C248" s="1">
        <v>18</v>
      </c>
      <c r="D248" s="1" t="str">
        <f t="shared" si="3"/>
        <v>Yes</v>
      </c>
      <c r="E248" s="1">
        <v>9.4</v>
      </c>
      <c r="F248" s="1">
        <v>87</v>
      </c>
      <c r="G248" s="1" t="s">
        <v>106</v>
      </c>
      <c r="H248" s="1" t="s">
        <v>95</v>
      </c>
      <c r="I248" s="1">
        <v>12.3</v>
      </c>
      <c r="J248" s="1" t="s">
        <v>95</v>
      </c>
      <c r="M248" s="1" t="s">
        <v>101</v>
      </c>
      <c r="O248" s="1">
        <v>2</v>
      </c>
    </row>
    <row r="249" spans="1:15" ht="14.25" customHeight="1" x14ac:dyDescent="0.3">
      <c r="A249" s="1" t="s">
        <v>43</v>
      </c>
      <c r="B249" s="1">
        <v>15</v>
      </c>
      <c r="C249" s="1">
        <v>24</v>
      </c>
      <c r="D249" s="1" t="str">
        <f t="shared" si="3"/>
        <v>Yes</v>
      </c>
      <c r="E249" s="1">
        <v>10</v>
      </c>
      <c r="F249" s="1">
        <v>109</v>
      </c>
      <c r="G249" s="1" t="s">
        <v>106</v>
      </c>
      <c r="H249" s="1" t="s">
        <v>95</v>
      </c>
      <c r="I249" s="1">
        <v>12</v>
      </c>
      <c r="J249" s="1" t="s">
        <v>95</v>
      </c>
      <c r="M249" s="1" t="s">
        <v>101</v>
      </c>
      <c r="O249" s="1">
        <v>1</v>
      </c>
    </row>
    <row r="250" spans="1:15" ht="14.25" customHeight="1" x14ac:dyDescent="0.3">
      <c r="A250" s="1" t="s">
        <v>43</v>
      </c>
      <c r="B250" s="1">
        <v>15</v>
      </c>
      <c r="C250" s="1">
        <v>5</v>
      </c>
      <c r="D250" s="1" t="str">
        <f t="shared" si="3"/>
        <v>Yes</v>
      </c>
      <c r="E250" s="1">
        <v>8.4</v>
      </c>
      <c r="F250" s="1">
        <v>34</v>
      </c>
      <c r="G250" s="1" t="s">
        <v>106</v>
      </c>
      <c r="H250" s="1" t="s">
        <v>95</v>
      </c>
      <c r="I250" s="1">
        <v>11.8</v>
      </c>
      <c r="J250" s="1" t="s">
        <v>95</v>
      </c>
      <c r="M250" s="1" t="s">
        <v>101</v>
      </c>
      <c r="O250" s="1">
        <v>1</v>
      </c>
    </row>
    <row r="251" spans="1:15" ht="14.25" customHeight="1" x14ac:dyDescent="0.3">
      <c r="A251" s="1" t="s">
        <v>43</v>
      </c>
      <c r="B251" s="1">
        <v>15</v>
      </c>
      <c r="C251" s="1">
        <v>6</v>
      </c>
      <c r="D251" s="1" t="str">
        <f t="shared" si="3"/>
        <v>Yes</v>
      </c>
      <c r="E251" s="1">
        <v>11.7</v>
      </c>
      <c r="F251" s="1">
        <v>37</v>
      </c>
      <c r="G251" s="1" t="s">
        <v>106</v>
      </c>
      <c r="H251" s="1" t="s">
        <v>95</v>
      </c>
      <c r="I251" s="1">
        <v>10.5</v>
      </c>
      <c r="J251" s="1" t="s">
        <v>95</v>
      </c>
      <c r="M251" s="1" t="s">
        <v>101</v>
      </c>
      <c r="O251" s="1">
        <v>1</v>
      </c>
    </row>
    <row r="252" spans="1:15" ht="14.25" customHeight="1" x14ac:dyDescent="0.3">
      <c r="A252" s="1" t="s">
        <v>43</v>
      </c>
      <c r="B252" s="1">
        <v>15</v>
      </c>
      <c r="C252" s="1">
        <v>21</v>
      </c>
      <c r="D252" s="1" t="str">
        <f t="shared" si="3"/>
        <v>Yes</v>
      </c>
      <c r="E252" s="1">
        <v>7.8</v>
      </c>
      <c r="F252" s="1">
        <v>101</v>
      </c>
      <c r="G252" s="1" t="s">
        <v>106</v>
      </c>
      <c r="H252" s="1" t="s">
        <v>95</v>
      </c>
      <c r="I252" s="1">
        <v>10.5</v>
      </c>
      <c r="J252" s="1" t="s">
        <v>95</v>
      </c>
      <c r="M252" s="1" t="s">
        <v>101</v>
      </c>
      <c r="O252" s="1">
        <v>1</v>
      </c>
    </row>
    <row r="253" spans="1:15" ht="14.25" customHeight="1" x14ac:dyDescent="0.3">
      <c r="A253" s="1" t="s">
        <v>43</v>
      </c>
      <c r="B253" s="1">
        <v>15</v>
      </c>
      <c r="C253" s="1">
        <v>31</v>
      </c>
      <c r="D253" s="1" t="str">
        <f t="shared" si="3"/>
        <v>Yes</v>
      </c>
      <c r="E253" s="1">
        <v>5.5</v>
      </c>
      <c r="F253" s="1">
        <v>142</v>
      </c>
      <c r="G253" s="1" t="s">
        <v>106</v>
      </c>
      <c r="H253" s="1" t="s">
        <v>95</v>
      </c>
      <c r="I253" s="1">
        <v>10.5</v>
      </c>
      <c r="J253" s="1" t="s">
        <v>95</v>
      </c>
      <c r="M253" s="1" t="s">
        <v>101</v>
      </c>
      <c r="O253" s="1">
        <v>4</v>
      </c>
    </row>
    <row r="254" spans="1:15" ht="14.25" customHeight="1" x14ac:dyDescent="0.3">
      <c r="A254" s="1" t="s">
        <v>43</v>
      </c>
      <c r="B254" s="1">
        <v>15</v>
      </c>
      <c r="C254" s="1">
        <v>47</v>
      </c>
      <c r="D254" s="1" t="str">
        <f t="shared" si="3"/>
        <v>Yes</v>
      </c>
      <c r="E254" s="1">
        <v>2</v>
      </c>
      <c r="F254" s="1">
        <v>347</v>
      </c>
      <c r="G254" s="1" t="s">
        <v>106</v>
      </c>
      <c r="H254" s="1" t="s">
        <v>95</v>
      </c>
      <c r="I254" s="1">
        <v>9.8000000000000007</v>
      </c>
      <c r="J254" s="1" t="s">
        <v>101</v>
      </c>
      <c r="M254" s="1" t="s">
        <v>101</v>
      </c>
      <c r="O254" s="1">
        <v>1</v>
      </c>
    </row>
    <row r="255" spans="1:15" ht="14.25" customHeight="1" x14ac:dyDescent="0.3">
      <c r="A255" s="1" t="s">
        <v>43</v>
      </c>
      <c r="B255" s="1">
        <v>15</v>
      </c>
      <c r="C255" s="1">
        <v>8</v>
      </c>
      <c r="D255" s="1" t="str">
        <f t="shared" si="3"/>
        <v>Yes</v>
      </c>
      <c r="E255" s="1">
        <v>12.3</v>
      </c>
      <c r="F255" s="1">
        <v>47</v>
      </c>
      <c r="G255" s="1" t="s">
        <v>106</v>
      </c>
      <c r="H255" s="1" t="s">
        <v>95</v>
      </c>
      <c r="I255" s="1">
        <v>9.1999999999999993</v>
      </c>
      <c r="J255" s="1" t="s">
        <v>95</v>
      </c>
      <c r="M255" s="1" t="s">
        <v>101</v>
      </c>
      <c r="O255" s="1">
        <v>1</v>
      </c>
    </row>
    <row r="256" spans="1:15" ht="14.25" customHeight="1" x14ac:dyDescent="0.3">
      <c r="A256" s="1" t="s">
        <v>43</v>
      </c>
      <c r="B256" s="1">
        <v>15</v>
      </c>
      <c r="C256" s="1">
        <v>3</v>
      </c>
      <c r="D256" s="1" t="str">
        <f t="shared" si="3"/>
        <v>Yes</v>
      </c>
      <c r="E256" s="1">
        <v>11.5</v>
      </c>
      <c r="F256" s="1">
        <v>22</v>
      </c>
      <c r="G256" s="1" t="s">
        <v>106</v>
      </c>
      <c r="H256" s="1" t="s">
        <v>95</v>
      </c>
      <c r="I256" s="1">
        <v>8.6999999999999993</v>
      </c>
      <c r="J256" s="1" t="s">
        <v>95</v>
      </c>
      <c r="M256" s="1" t="s">
        <v>101</v>
      </c>
      <c r="O256" s="1">
        <v>1</v>
      </c>
    </row>
    <row r="257" spans="1:18" ht="14.25" customHeight="1" x14ac:dyDescent="0.3">
      <c r="A257" s="1" t="s">
        <v>43</v>
      </c>
      <c r="B257" s="1">
        <v>15</v>
      </c>
      <c r="C257" s="1">
        <v>2</v>
      </c>
      <c r="D257" s="1" t="str">
        <f t="shared" si="3"/>
        <v>Yes</v>
      </c>
      <c r="E257" s="1">
        <v>10.199999999999999</v>
      </c>
      <c r="F257" s="1">
        <v>14</v>
      </c>
      <c r="G257" s="1" t="s">
        <v>106</v>
      </c>
      <c r="H257" s="1" t="s">
        <v>95</v>
      </c>
      <c r="I257" s="1">
        <v>8.6</v>
      </c>
      <c r="J257" s="1" t="s">
        <v>95</v>
      </c>
      <c r="M257" s="1" t="s">
        <v>101</v>
      </c>
      <c r="O257" s="1">
        <v>2</v>
      </c>
    </row>
    <row r="258" spans="1:18" ht="14.25" customHeight="1" x14ac:dyDescent="0.3">
      <c r="A258" s="1" t="s">
        <v>43</v>
      </c>
      <c r="B258" s="1">
        <v>15</v>
      </c>
      <c r="C258" s="1">
        <v>13</v>
      </c>
      <c r="D258" s="1" t="str">
        <f t="shared" ref="D258:D321" si="4">IF(E258&gt;12.5, "No", "Yes")</f>
        <v>Yes</v>
      </c>
      <c r="E258" s="1">
        <v>11.6</v>
      </c>
      <c r="F258" s="1">
        <v>80</v>
      </c>
      <c r="G258" s="1" t="s">
        <v>106</v>
      </c>
      <c r="H258" s="1" t="s">
        <v>95</v>
      </c>
      <c r="I258" s="1">
        <v>7.8</v>
      </c>
      <c r="J258" s="1" t="s">
        <v>95</v>
      </c>
      <c r="M258" s="1" t="s">
        <v>101</v>
      </c>
      <c r="O258" s="1">
        <v>1</v>
      </c>
    </row>
    <row r="259" spans="1:18" ht="14.25" customHeight="1" x14ac:dyDescent="0.3">
      <c r="A259" s="1" t="s">
        <v>43</v>
      </c>
      <c r="B259" s="1">
        <v>15</v>
      </c>
      <c r="C259" s="1">
        <v>10</v>
      </c>
      <c r="D259" s="1" t="str">
        <f t="shared" si="4"/>
        <v>Yes</v>
      </c>
      <c r="E259" s="1">
        <v>11.7</v>
      </c>
      <c r="F259" s="1">
        <v>73</v>
      </c>
      <c r="G259" s="1" t="s">
        <v>106</v>
      </c>
      <c r="H259" s="1" t="s">
        <v>95</v>
      </c>
      <c r="I259" s="1">
        <v>7.7</v>
      </c>
      <c r="J259" s="1" t="s">
        <v>95</v>
      </c>
      <c r="M259" s="1" t="s">
        <v>101</v>
      </c>
      <c r="O259" s="1">
        <v>1</v>
      </c>
    </row>
    <row r="260" spans="1:18" ht="14.25" customHeight="1" x14ac:dyDescent="0.3">
      <c r="A260" s="1" t="s">
        <v>43</v>
      </c>
      <c r="B260" s="1">
        <v>15</v>
      </c>
      <c r="C260" s="1">
        <v>35</v>
      </c>
      <c r="D260" s="1" t="str">
        <f t="shared" si="4"/>
        <v>Yes</v>
      </c>
      <c r="E260" s="1">
        <v>10.1</v>
      </c>
      <c r="F260" s="1">
        <v>214</v>
      </c>
      <c r="G260" s="1" t="s">
        <v>93</v>
      </c>
      <c r="H260" s="1" t="s">
        <v>95</v>
      </c>
      <c r="I260" s="1">
        <v>47.2</v>
      </c>
      <c r="J260" s="1" t="s">
        <v>95</v>
      </c>
      <c r="M260" s="1" t="s">
        <v>102</v>
      </c>
      <c r="O260" s="1">
        <v>1</v>
      </c>
    </row>
    <row r="261" spans="1:18" ht="14.25" customHeight="1" x14ac:dyDescent="0.3">
      <c r="A261" s="1" t="s">
        <v>43</v>
      </c>
      <c r="B261" s="1">
        <v>15</v>
      </c>
      <c r="C261" s="1">
        <v>48</v>
      </c>
      <c r="D261" s="1" t="str">
        <f t="shared" si="4"/>
        <v>Yes</v>
      </c>
      <c r="E261" s="1">
        <v>11.4</v>
      </c>
      <c r="F261" s="1">
        <v>350</v>
      </c>
      <c r="G261" s="1" t="s">
        <v>93</v>
      </c>
      <c r="H261" s="1" t="s">
        <v>95</v>
      </c>
      <c r="I261" s="1">
        <v>38.5</v>
      </c>
      <c r="J261" s="1" t="s">
        <v>101</v>
      </c>
      <c r="M261" s="1" t="s">
        <v>102</v>
      </c>
      <c r="O261" s="1">
        <v>1</v>
      </c>
    </row>
    <row r="262" spans="1:18" ht="14.25" customHeight="1" x14ac:dyDescent="0.3">
      <c r="A262" s="1" t="s">
        <v>43</v>
      </c>
      <c r="B262" s="1">
        <v>15</v>
      </c>
      <c r="C262" s="1">
        <v>40</v>
      </c>
      <c r="D262" s="1" t="str">
        <f t="shared" si="4"/>
        <v>Yes</v>
      </c>
      <c r="E262" s="1">
        <v>10</v>
      </c>
      <c r="F262" s="1">
        <v>259</v>
      </c>
      <c r="G262" s="1" t="s">
        <v>93</v>
      </c>
      <c r="H262" s="1" t="s">
        <v>95</v>
      </c>
      <c r="I262" s="1">
        <v>23.6</v>
      </c>
      <c r="J262" s="1" t="s">
        <v>101</v>
      </c>
      <c r="M262" s="1" t="s">
        <v>102</v>
      </c>
      <c r="O262" s="1">
        <v>5</v>
      </c>
    </row>
    <row r="263" spans="1:18" ht="14.25" customHeight="1" x14ac:dyDescent="0.3">
      <c r="A263" s="1" t="s">
        <v>43</v>
      </c>
      <c r="B263" s="1">
        <v>15</v>
      </c>
      <c r="C263" s="1">
        <v>45</v>
      </c>
      <c r="D263" s="1" t="str">
        <f t="shared" si="4"/>
        <v>Yes</v>
      </c>
      <c r="E263" s="1">
        <v>11</v>
      </c>
      <c r="F263" s="1">
        <v>294</v>
      </c>
      <c r="G263" s="1" t="s">
        <v>93</v>
      </c>
      <c r="H263" s="1" t="s">
        <v>95</v>
      </c>
      <c r="I263" s="1">
        <v>20.5</v>
      </c>
      <c r="J263" s="1" t="s">
        <v>95</v>
      </c>
      <c r="M263" s="1" t="s">
        <v>102</v>
      </c>
      <c r="O263" s="1">
        <v>1</v>
      </c>
    </row>
    <row r="264" spans="1:18" ht="14.25" customHeight="1" x14ac:dyDescent="0.3">
      <c r="A264" s="1" t="s">
        <v>43</v>
      </c>
      <c r="B264" s="1">
        <v>15</v>
      </c>
      <c r="C264" s="1">
        <v>49</v>
      </c>
      <c r="D264" s="1" t="str">
        <f t="shared" si="4"/>
        <v>Yes</v>
      </c>
      <c r="E264" s="1">
        <v>7.9</v>
      </c>
      <c r="F264" s="1">
        <v>357</v>
      </c>
      <c r="G264" s="1" t="s">
        <v>93</v>
      </c>
      <c r="H264" s="1" t="s">
        <v>95</v>
      </c>
      <c r="I264" s="1">
        <v>20</v>
      </c>
      <c r="J264" s="1" t="s">
        <v>95</v>
      </c>
      <c r="M264" s="1" t="s">
        <v>101</v>
      </c>
      <c r="O264" s="1">
        <v>5</v>
      </c>
    </row>
    <row r="265" spans="1:18" ht="14.25" customHeight="1" x14ac:dyDescent="0.3">
      <c r="A265" s="1" t="s">
        <v>43</v>
      </c>
      <c r="B265" s="1">
        <v>15</v>
      </c>
      <c r="C265" s="1">
        <v>38</v>
      </c>
      <c r="D265" s="1" t="str">
        <f t="shared" si="4"/>
        <v>Yes</v>
      </c>
      <c r="E265" s="1">
        <v>8.9</v>
      </c>
      <c r="F265" s="1">
        <v>256</v>
      </c>
      <c r="G265" s="1" t="s">
        <v>93</v>
      </c>
      <c r="H265" s="1" t="s">
        <v>95</v>
      </c>
      <c r="I265" s="1">
        <v>10.5</v>
      </c>
      <c r="J265" s="1" t="s">
        <v>95</v>
      </c>
      <c r="M265" s="1" t="s">
        <v>101</v>
      </c>
      <c r="O265" s="1">
        <v>1</v>
      </c>
    </row>
    <row r="266" spans="1:18" ht="14.25" customHeight="1" x14ac:dyDescent="0.3">
      <c r="A266" s="1" t="s">
        <v>43</v>
      </c>
      <c r="B266" s="1">
        <v>15</v>
      </c>
      <c r="C266" s="1">
        <v>39</v>
      </c>
      <c r="D266" s="1" t="str">
        <f t="shared" si="4"/>
        <v>Yes</v>
      </c>
      <c r="E266" s="1">
        <v>10.7</v>
      </c>
      <c r="F266" s="1">
        <v>256</v>
      </c>
      <c r="G266" s="1" t="s">
        <v>93</v>
      </c>
      <c r="H266" s="1" t="s">
        <v>95</v>
      </c>
      <c r="I266" s="1">
        <v>7.6</v>
      </c>
      <c r="J266" s="1" t="s">
        <v>95</v>
      </c>
      <c r="M266" s="1" t="s">
        <v>101</v>
      </c>
      <c r="O266" s="1">
        <v>2</v>
      </c>
    </row>
    <row r="267" spans="1:18" ht="14.25" customHeight="1" x14ac:dyDescent="0.3">
      <c r="A267" s="1" t="s">
        <v>43</v>
      </c>
      <c r="B267" s="1">
        <v>15</v>
      </c>
      <c r="C267" s="1">
        <v>33</v>
      </c>
      <c r="D267" s="1" t="str">
        <f t="shared" si="4"/>
        <v>Yes</v>
      </c>
      <c r="E267" s="1">
        <v>7.2</v>
      </c>
      <c r="F267" s="1">
        <v>145</v>
      </c>
      <c r="G267" s="1" t="s">
        <v>106</v>
      </c>
      <c r="H267" s="1" t="s">
        <v>94</v>
      </c>
      <c r="I267" s="1">
        <v>42.8</v>
      </c>
      <c r="J267" s="1" t="s">
        <v>95</v>
      </c>
      <c r="K267" s="1">
        <v>0</v>
      </c>
      <c r="L267" s="1">
        <v>0</v>
      </c>
      <c r="M267" s="1" t="s">
        <v>102</v>
      </c>
      <c r="R267" s="1"/>
    </row>
    <row r="268" spans="1:18" ht="14.25" customHeight="1" x14ac:dyDescent="0.3">
      <c r="A268" s="1" t="s">
        <v>43</v>
      </c>
      <c r="B268" s="1">
        <v>15</v>
      </c>
      <c r="C268" s="1">
        <v>15</v>
      </c>
      <c r="D268" s="1" t="str">
        <f t="shared" si="4"/>
        <v>Yes</v>
      </c>
      <c r="E268" s="1">
        <v>8.8000000000000007</v>
      </c>
      <c r="F268" s="1">
        <v>79</v>
      </c>
      <c r="G268" s="1" t="s">
        <v>106</v>
      </c>
      <c r="H268" s="1" t="s">
        <v>94</v>
      </c>
      <c r="I268" s="1">
        <v>31.7</v>
      </c>
      <c r="J268" s="1" t="s">
        <v>95</v>
      </c>
      <c r="K268" s="1">
        <v>0</v>
      </c>
      <c r="L268" s="1">
        <v>0</v>
      </c>
      <c r="M268" s="1" t="s">
        <v>102</v>
      </c>
      <c r="R268" s="1"/>
    </row>
    <row r="269" spans="1:18" ht="14.25" customHeight="1" x14ac:dyDescent="0.3">
      <c r="A269" s="1" t="s">
        <v>43</v>
      </c>
      <c r="B269" s="1">
        <v>15</v>
      </c>
      <c r="C269" s="1">
        <v>11</v>
      </c>
      <c r="D269" s="1" t="str">
        <f t="shared" si="4"/>
        <v>Yes</v>
      </c>
      <c r="E269" s="1">
        <v>11.2</v>
      </c>
      <c r="F269" s="1">
        <v>77</v>
      </c>
      <c r="G269" s="1" t="s">
        <v>106</v>
      </c>
      <c r="H269" s="1" t="s">
        <v>94</v>
      </c>
      <c r="I269" s="1">
        <v>31.1</v>
      </c>
      <c r="J269" s="1" t="s">
        <v>95</v>
      </c>
      <c r="K269" s="1">
        <v>0</v>
      </c>
      <c r="L269" s="1">
        <v>0</v>
      </c>
      <c r="M269" s="1" t="s">
        <v>102</v>
      </c>
    </row>
    <row r="270" spans="1:18" ht="14.25" customHeight="1" x14ac:dyDescent="0.3">
      <c r="A270" s="1" t="s">
        <v>43</v>
      </c>
      <c r="B270" s="1">
        <v>15</v>
      </c>
      <c r="C270" s="1">
        <v>4</v>
      </c>
      <c r="D270" s="1" t="str">
        <f t="shared" si="4"/>
        <v>Yes</v>
      </c>
      <c r="E270" s="1">
        <v>8.6</v>
      </c>
      <c r="F270" s="1">
        <v>26</v>
      </c>
      <c r="G270" s="1" t="s">
        <v>106</v>
      </c>
      <c r="H270" s="1" t="s">
        <v>94</v>
      </c>
      <c r="I270" s="1">
        <v>27.3</v>
      </c>
      <c r="J270" s="1" t="s">
        <v>95</v>
      </c>
      <c r="M270" s="1" t="s">
        <v>102</v>
      </c>
      <c r="N270" s="1" t="s">
        <v>100</v>
      </c>
      <c r="P270" s="1">
        <v>535</v>
      </c>
    </row>
    <row r="271" spans="1:18" ht="14.25" customHeight="1" x14ac:dyDescent="0.3">
      <c r="A271" s="1" t="s">
        <v>43</v>
      </c>
      <c r="B271" s="1">
        <v>15</v>
      </c>
      <c r="C271" s="1">
        <v>7</v>
      </c>
      <c r="D271" s="1" t="str">
        <f t="shared" si="4"/>
        <v>Yes</v>
      </c>
      <c r="E271" s="1">
        <v>12.3</v>
      </c>
      <c r="F271" s="1">
        <v>40</v>
      </c>
      <c r="G271" s="1" t="s">
        <v>106</v>
      </c>
      <c r="H271" s="1" t="s">
        <v>94</v>
      </c>
      <c r="I271" s="1">
        <v>25.7</v>
      </c>
      <c r="J271" s="1" t="s">
        <v>95</v>
      </c>
      <c r="K271" s="1">
        <v>0</v>
      </c>
      <c r="L271" s="1">
        <v>0</v>
      </c>
      <c r="M271" s="1" t="s">
        <v>102</v>
      </c>
      <c r="N271" s="1" t="s">
        <v>118</v>
      </c>
      <c r="R271" s="1"/>
    </row>
    <row r="272" spans="1:18" ht="14.25" customHeight="1" x14ac:dyDescent="0.3">
      <c r="A272" s="1" t="s">
        <v>43</v>
      </c>
      <c r="B272" s="1">
        <v>15</v>
      </c>
      <c r="C272" s="1">
        <v>9</v>
      </c>
      <c r="D272" s="1" t="str">
        <f t="shared" si="4"/>
        <v>Yes</v>
      </c>
      <c r="E272" s="1">
        <v>7.2</v>
      </c>
      <c r="F272" s="1">
        <v>70</v>
      </c>
      <c r="G272" s="1" t="s">
        <v>106</v>
      </c>
      <c r="H272" s="1" t="s">
        <v>94</v>
      </c>
      <c r="I272" s="12">
        <v>24</v>
      </c>
      <c r="J272" s="1" t="s">
        <v>95</v>
      </c>
      <c r="K272" s="1">
        <v>0</v>
      </c>
      <c r="L272" s="1">
        <v>0</v>
      </c>
      <c r="M272" s="1" t="s">
        <v>102</v>
      </c>
    </row>
    <row r="273" spans="1:18" ht="14.25" customHeight="1" x14ac:dyDescent="0.3">
      <c r="A273" s="1" t="s">
        <v>43</v>
      </c>
      <c r="B273" s="1">
        <v>15</v>
      </c>
      <c r="C273" s="1">
        <v>22</v>
      </c>
      <c r="D273" s="1" t="str">
        <f t="shared" si="4"/>
        <v>Yes</v>
      </c>
      <c r="E273" s="1">
        <v>10.9</v>
      </c>
      <c r="F273" s="1">
        <v>103</v>
      </c>
      <c r="G273" s="1" t="s">
        <v>106</v>
      </c>
      <c r="H273" s="1" t="s">
        <v>94</v>
      </c>
      <c r="I273" s="1">
        <v>23</v>
      </c>
      <c r="J273" s="1" t="s">
        <v>95</v>
      </c>
      <c r="K273" s="1">
        <v>0</v>
      </c>
      <c r="L273" s="1">
        <v>0</v>
      </c>
      <c r="M273" s="1" t="s">
        <v>95</v>
      </c>
    </row>
    <row r="274" spans="1:18" ht="14.25" customHeight="1" x14ac:dyDescent="0.3">
      <c r="A274" s="1" t="s">
        <v>43</v>
      </c>
      <c r="B274" s="1">
        <v>15</v>
      </c>
      <c r="C274" s="1">
        <v>43</v>
      </c>
      <c r="D274" s="1" t="str">
        <f t="shared" si="4"/>
        <v>Yes</v>
      </c>
      <c r="E274" s="1">
        <v>3.1</v>
      </c>
      <c r="F274" s="1">
        <v>280</v>
      </c>
      <c r="G274" s="1" t="s">
        <v>106</v>
      </c>
      <c r="H274" s="1" t="s">
        <v>94</v>
      </c>
      <c r="I274" s="1">
        <v>19.5</v>
      </c>
      <c r="J274" s="1" t="s">
        <v>95</v>
      </c>
      <c r="K274" s="1">
        <v>0</v>
      </c>
      <c r="L274" s="1">
        <v>0</v>
      </c>
      <c r="M274" s="1" t="s">
        <v>102</v>
      </c>
      <c r="N274" s="1" t="s">
        <v>118</v>
      </c>
      <c r="Q274" s="1" t="s">
        <v>119</v>
      </c>
    </row>
    <row r="275" spans="1:18" ht="14.25" customHeight="1" x14ac:dyDescent="0.3">
      <c r="A275" s="1" t="s">
        <v>43</v>
      </c>
      <c r="B275" s="1">
        <v>15</v>
      </c>
      <c r="C275" s="1">
        <v>26</v>
      </c>
      <c r="D275" s="1" t="str">
        <f t="shared" si="4"/>
        <v>Yes</v>
      </c>
      <c r="E275" s="1">
        <v>11.8</v>
      </c>
      <c r="F275" s="1">
        <v>111</v>
      </c>
      <c r="G275" s="1" t="s">
        <v>106</v>
      </c>
      <c r="H275" s="1" t="s">
        <v>94</v>
      </c>
      <c r="I275" s="1">
        <v>19.3</v>
      </c>
      <c r="J275" s="1" t="s">
        <v>95</v>
      </c>
      <c r="K275" s="1">
        <v>0</v>
      </c>
      <c r="L275" s="1">
        <v>0</v>
      </c>
      <c r="M275" s="1" t="s">
        <v>102</v>
      </c>
    </row>
    <row r="276" spans="1:18" ht="14.25" customHeight="1" x14ac:dyDescent="0.3">
      <c r="A276" s="1" t="s">
        <v>43</v>
      </c>
      <c r="B276" s="1">
        <v>15</v>
      </c>
      <c r="C276" s="1">
        <v>42</v>
      </c>
      <c r="D276" s="1" t="str">
        <f t="shared" si="4"/>
        <v>Yes</v>
      </c>
      <c r="E276" s="1">
        <v>3.5</v>
      </c>
      <c r="F276" s="1">
        <v>265</v>
      </c>
      <c r="G276" s="1" t="s">
        <v>106</v>
      </c>
      <c r="H276" s="1" t="s">
        <v>94</v>
      </c>
      <c r="I276" s="1">
        <v>17.100000000000001</v>
      </c>
      <c r="J276" s="1" t="s">
        <v>95</v>
      </c>
      <c r="K276" s="1">
        <v>0</v>
      </c>
      <c r="L276" s="1">
        <v>5</v>
      </c>
      <c r="M276" s="1" t="s">
        <v>102</v>
      </c>
      <c r="Q276" s="1" t="s">
        <v>119</v>
      </c>
    </row>
    <row r="277" spans="1:18" ht="14.25" customHeight="1" x14ac:dyDescent="0.3">
      <c r="A277" s="1" t="s">
        <v>43</v>
      </c>
      <c r="B277" s="1">
        <v>15</v>
      </c>
      <c r="C277" s="1">
        <v>44</v>
      </c>
      <c r="D277" s="1" t="str">
        <f t="shared" si="4"/>
        <v>Yes</v>
      </c>
      <c r="E277" s="1">
        <v>8.3000000000000007</v>
      </c>
      <c r="F277" s="1">
        <v>281</v>
      </c>
      <c r="G277" s="1" t="s">
        <v>106</v>
      </c>
      <c r="H277" s="1" t="s">
        <v>94</v>
      </c>
      <c r="I277" s="1">
        <v>16</v>
      </c>
      <c r="J277" s="1" t="s">
        <v>95</v>
      </c>
      <c r="K277" s="1">
        <v>0</v>
      </c>
      <c r="L277" s="1">
        <v>0</v>
      </c>
      <c r="M277" s="1" t="s">
        <v>101</v>
      </c>
      <c r="N277" s="1" t="s">
        <v>118</v>
      </c>
      <c r="Q277" s="1" t="s">
        <v>119</v>
      </c>
    </row>
    <row r="278" spans="1:18" ht="14.25" customHeight="1" x14ac:dyDescent="0.3">
      <c r="A278" s="1" t="s">
        <v>43</v>
      </c>
      <c r="B278" s="1">
        <v>15</v>
      </c>
      <c r="C278" s="1">
        <v>41</v>
      </c>
      <c r="D278" s="1" t="str">
        <f t="shared" si="4"/>
        <v>Yes</v>
      </c>
      <c r="E278" s="1">
        <v>7.4</v>
      </c>
      <c r="F278" s="1">
        <v>261</v>
      </c>
      <c r="G278" s="1" t="s">
        <v>93</v>
      </c>
      <c r="H278" s="1" t="s">
        <v>94</v>
      </c>
      <c r="I278" s="1">
        <v>19.5</v>
      </c>
      <c r="J278" s="1" t="s">
        <v>95</v>
      </c>
      <c r="M278" s="1" t="s">
        <v>102</v>
      </c>
      <c r="N278" s="1" t="s">
        <v>100</v>
      </c>
    </row>
    <row r="279" spans="1:18" ht="14.25" customHeight="1" x14ac:dyDescent="0.3">
      <c r="A279" s="1" t="s">
        <v>989</v>
      </c>
      <c r="B279" s="1">
        <v>1</v>
      </c>
      <c r="C279" s="1">
        <v>9</v>
      </c>
      <c r="D279" s="1" t="str">
        <f t="shared" si="4"/>
        <v>No</v>
      </c>
      <c r="E279" s="1">
        <v>12.6</v>
      </c>
      <c r="F279" s="1">
        <v>129</v>
      </c>
      <c r="G279" s="1" t="s">
        <v>109</v>
      </c>
      <c r="H279" s="1" t="s">
        <v>95</v>
      </c>
      <c r="I279" s="1">
        <v>45</v>
      </c>
      <c r="J279" s="1" t="s">
        <v>95</v>
      </c>
      <c r="M279" s="1" t="s">
        <v>102</v>
      </c>
      <c r="O279" s="1">
        <v>5</v>
      </c>
    </row>
    <row r="280" spans="1:18" ht="14.25" customHeight="1" x14ac:dyDescent="0.3">
      <c r="A280" s="1" t="s">
        <v>989</v>
      </c>
      <c r="B280" s="1">
        <v>1</v>
      </c>
      <c r="C280" s="1">
        <v>25</v>
      </c>
      <c r="D280" s="1" t="str">
        <f t="shared" si="4"/>
        <v>Yes</v>
      </c>
      <c r="E280" s="1">
        <v>10.6</v>
      </c>
      <c r="F280" s="1">
        <v>341</v>
      </c>
      <c r="G280" s="1" t="s">
        <v>109</v>
      </c>
      <c r="H280" s="1" t="s">
        <v>95</v>
      </c>
      <c r="I280" s="1">
        <v>9.8000000000000007</v>
      </c>
      <c r="J280" s="1" t="s">
        <v>95</v>
      </c>
      <c r="M280" s="1" t="s">
        <v>101</v>
      </c>
      <c r="O280" s="1">
        <v>2</v>
      </c>
    </row>
    <row r="281" spans="1:18" ht="14.25" customHeight="1" x14ac:dyDescent="0.3">
      <c r="A281" s="1" t="s">
        <v>989</v>
      </c>
      <c r="B281" s="1">
        <v>1</v>
      </c>
      <c r="C281" s="1">
        <v>11</v>
      </c>
      <c r="D281" s="1" t="str">
        <f t="shared" si="4"/>
        <v>Yes</v>
      </c>
      <c r="E281" s="1">
        <v>6.8</v>
      </c>
      <c r="F281" s="1">
        <v>140</v>
      </c>
      <c r="G281" s="1" t="s">
        <v>106</v>
      </c>
      <c r="H281" s="1" t="s">
        <v>95</v>
      </c>
      <c r="I281" s="1">
        <v>79.5</v>
      </c>
      <c r="J281" s="1" t="s">
        <v>95</v>
      </c>
      <c r="M281" s="1" t="s">
        <v>97</v>
      </c>
      <c r="O281" s="1">
        <v>5</v>
      </c>
    </row>
    <row r="282" spans="1:18" ht="14.25" customHeight="1" x14ac:dyDescent="0.3">
      <c r="A282" s="1" t="s">
        <v>989</v>
      </c>
      <c r="B282" s="1">
        <v>1</v>
      </c>
      <c r="C282" s="1">
        <v>24</v>
      </c>
      <c r="D282" s="1" t="str">
        <f t="shared" si="4"/>
        <v>Yes</v>
      </c>
      <c r="E282" s="1">
        <v>8.3000000000000007</v>
      </c>
      <c r="F282" s="1">
        <v>341</v>
      </c>
      <c r="G282" s="1" t="s">
        <v>106</v>
      </c>
      <c r="H282" s="1" t="s">
        <v>95</v>
      </c>
      <c r="I282" s="1">
        <v>76.8</v>
      </c>
      <c r="J282" s="1" t="s">
        <v>95</v>
      </c>
      <c r="M282" s="1" t="s">
        <v>97</v>
      </c>
      <c r="O282" s="1">
        <v>1</v>
      </c>
      <c r="Q282" s="20"/>
      <c r="R282" s="20"/>
    </row>
    <row r="283" spans="1:18" ht="14.25" customHeight="1" x14ac:dyDescent="0.3">
      <c r="A283" s="1" t="s">
        <v>989</v>
      </c>
      <c r="B283" s="1">
        <v>1</v>
      </c>
      <c r="C283" s="1">
        <v>4</v>
      </c>
      <c r="D283" s="1" t="str">
        <f t="shared" si="4"/>
        <v>Yes</v>
      </c>
      <c r="E283" s="1">
        <v>7</v>
      </c>
      <c r="F283" s="1">
        <v>59</v>
      </c>
      <c r="G283" s="1" t="s">
        <v>106</v>
      </c>
      <c r="H283" s="1" t="s">
        <v>95</v>
      </c>
      <c r="I283" s="1">
        <v>76</v>
      </c>
      <c r="J283" s="1" t="s">
        <v>95</v>
      </c>
      <c r="M283" s="1" t="s">
        <v>97</v>
      </c>
      <c r="O283" s="1">
        <v>1</v>
      </c>
      <c r="P283" s="1">
        <v>762</v>
      </c>
    </row>
    <row r="284" spans="1:18" ht="14.25" customHeight="1" x14ac:dyDescent="0.3">
      <c r="A284" s="1" t="s">
        <v>989</v>
      </c>
      <c r="B284" s="1">
        <v>1</v>
      </c>
      <c r="C284" s="1">
        <v>10</v>
      </c>
      <c r="D284" s="1" t="str">
        <f t="shared" si="4"/>
        <v>Yes</v>
      </c>
      <c r="E284" s="1">
        <v>12</v>
      </c>
      <c r="F284" s="1">
        <v>133</v>
      </c>
      <c r="G284" s="1" t="s">
        <v>106</v>
      </c>
      <c r="H284" s="1" t="s">
        <v>95</v>
      </c>
      <c r="I284" s="1">
        <v>71.8</v>
      </c>
      <c r="J284" s="1" t="s">
        <v>95</v>
      </c>
      <c r="M284" s="1" t="s">
        <v>97</v>
      </c>
      <c r="O284" s="1">
        <v>5</v>
      </c>
    </row>
    <row r="285" spans="1:18" ht="14.25" customHeight="1" x14ac:dyDescent="0.3">
      <c r="A285" s="1" t="s">
        <v>989</v>
      </c>
      <c r="B285" s="1">
        <v>1</v>
      </c>
      <c r="C285" s="1">
        <v>23</v>
      </c>
      <c r="D285" s="1" t="str">
        <f t="shared" si="4"/>
        <v>Yes</v>
      </c>
      <c r="E285" s="1">
        <v>8.3000000000000007</v>
      </c>
      <c r="F285" s="1">
        <v>341</v>
      </c>
      <c r="G285" s="1" t="s">
        <v>106</v>
      </c>
      <c r="H285" s="1" t="s">
        <v>95</v>
      </c>
      <c r="I285" s="1">
        <v>66.5</v>
      </c>
      <c r="J285" s="1" t="s">
        <v>95</v>
      </c>
      <c r="M285" s="1" t="s">
        <v>97</v>
      </c>
      <c r="O285" s="1">
        <v>1</v>
      </c>
      <c r="P285" s="1">
        <v>764</v>
      </c>
    </row>
    <row r="286" spans="1:18" ht="14.25" customHeight="1" x14ac:dyDescent="0.3">
      <c r="A286" s="1" t="s">
        <v>989</v>
      </c>
      <c r="B286" s="1">
        <v>1</v>
      </c>
      <c r="C286" s="1">
        <v>8</v>
      </c>
      <c r="D286" s="1" t="str">
        <f t="shared" si="4"/>
        <v>Yes</v>
      </c>
      <c r="E286" s="1">
        <v>10.199999999999999</v>
      </c>
      <c r="F286" s="1">
        <v>122</v>
      </c>
      <c r="G286" s="1" t="s">
        <v>106</v>
      </c>
      <c r="H286" s="1" t="s">
        <v>95</v>
      </c>
      <c r="I286" s="1">
        <v>61.5</v>
      </c>
      <c r="J286" s="1" t="s">
        <v>95</v>
      </c>
      <c r="M286" s="1" t="s">
        <v>97</v>
      </c>
      <c r="O286" s="1">
        <v>1</v>
      </c>
      <c r="P286" s="1">
        <v>763</v>
      </c>
    </row>
    <row r="287" spans="1:18" ht="14.25" customHeight="1" x14ac:dyDescent="0.3">
      <c r="A287" s="1" t="s">
        <v>989</v>
      </c>
      <c r="B287" s="1">
        <v>1</v>
      </c>
      <c r="C287" s="1">
        <v>18</v>
      </c>
      <c r="D287" s="1" t="str">
        <f t="shared" si="4"/>
        <v>Yes</v>
      </c>
      <c r="E287" s="1">
        <v>4.5</v>
      </c>
      <c r="F287" s="1">
        <v>236</v>
      </c>
      <c r="G287" s="1" t="s">
        <v>106</v>
      </c>
      <c r="H287" s="1" t="s">
        <v>95</v>
      </c>
      <c r="I287" s="1">
        <v>30</v>
      </c>
      <c r="J287" s="1" t="s">
        <v>95</v>
      </c>
      <c r="M287" s="1" t="s">
        <v>101</v>
      </c>
      <c r="O287" s="1">
        <v>5</v>
      </c>
    </row>
    <row r="288" spans="1:18" ht="14.25" customHeight="1" x14ac:dyDescent="0.3">
      <c r="A288" s="1" t="s">
        <v>989</v>
      </c>
      <c r="B288" s="1">
        <v>1</v>
      </c>
      <c r="C288" s="1">
        <v>12</v>
      </c>
      <c r="D288" s="1" t="str">
        <f t="shared" si="4"/>
        <v>Yes</v>
      </c>
      <c r="E288" s="1">
        <v>8.4</v>
      </c>
      <c r="F288" s="1">
        <v>146</v>
      </c>
      <c r="G288" s="1" t="s">
        <v>106</v>
      </c>
      <c r="H288" s="1" t="s">
        <v>95</v>
      </c>
      <c r="I288" s="1">
        <v>9.5</v>
      </c>
      <c r="J288" s="1" t="s">
        <v>95</v>
      </c>
      <c r="M288" s="1" t="s">
        <v>101</v>
      </c>
      <c r="O288" s="1">
        <v>2</v>
      </c>
    </row>
    <row r="289" spans="1:18" ht="14.25" customHeight="1" x14ac:dyDescent="0.3">
      <c r="A289" s="1" t="s">
        <v>989</v>
      </c>
      <c r="B289" s="1">
        <v>1</v>
      </c>
      <c r="C289" s="1">
        <v>6</v>
      </c>
      <c r="D289" s="1" t="str">
        <f t="shared" si="4"/>
        <v>Yes</v>
      </c>
      <c r="E289" s="1">
        <v>11.4</v>
      </c>
      <c r="F289" s="1">
        <v>70</v>
      </c>
      <c r="G289" s="1" t="s">
        <v>93</v>
      </c>
      <c r="H289" s="1" t="s">
        <v>95</v>
      </c>
      <c r="I289" s="1">
        <v>67.7</v>
      </c>
      <c r="J289" s="1" t="s">
        <v>95</v>
      </c>
      <c r="M289" s="1" t="s">
        <v>102</v>
      </c>
      <c r="O289" s="1">
        <v>5</v>
      </c>
    </row>
    <row r="290" spans="1:18" ht="14.25" customHeight="1" x14ac:dyDescent="0.3">
      <c r="A290" s="1" t="s">
        <v>989</v>
      </c>
      <c r="B290" s="1">
        <v>1</v>
      </c>
      <c r="C290" s="1">
        <v>7</v>
      </c>
      <c r="D290" s="1" t="str">
        <f t="shared" si="4"/>
        <v>Yes</v>
      </c>
      <c r="E290" s="1">
        <v>5.8</v>
      </c>
      <c r="F290" s="1">
        <v>79</v>
      </c>
      <c r="G290" s="1" t="s">
        <v>93</v>
      </c>
      <c r="H290" s="1" t="s">
        <v>95</v>
      </c>
      <c r="I290" s="1">
        <v>55</v>
      </c>
      <c r="J290" s="1" t="s">
        <v>101</v>
      </c>
      <c r="M290" s="1" t="s">
        <v>97</v>
      </c>
      <c r="O290" s="1">
        <v>5</v>
      </c>
    </row>
    <row r="291" spans="1:18" ht="14.25" customHeight="1" x14ac:dyDescent="0.3">
      <c r="A291" s="1" t="s">
        <v>989</v>
      </c>
      <c r="B291" s="1">
        <v>1</v>
      </c>
      <c r="C291" s="1">
        <v>1</v>
      </c>
      <c r="D291" s="1" t="str">
        <f t="shared" si="4"/>
        <v>Yes</v>
      </c>
      <c r="E291" s="1">
        <v>12.4</v>
      </c>
      <c r="F291" s="1">
        <v>46</v>
      </c>
      <c r="G291" s="1" t="s">
        <v>93</v>
      </c>
      <c r="H291" s="1" t="s">
        <v>95</v>
      </c>
      <c r="I291" s="1">
        <v>54.6</v>
      </c>
      <c r="J291" s="1" t="s">
        <v>95</v>
      </c>
      <c r="M291" s="1" t="s">
        <v>102</v>
      </c>
      <c r="O291" s="1">
        <v>5</v>
      </c>
    </row>
    <row r="292" spans="1:18" ht="14.25" customHeight="1" x14ac:dyDescent="0.3">
      <c r="A292" s="1" t="s">
        <v>989</v>
      </c>
      <c r="B292" s="1">
        <v>1</v>
      </c>
      <c r="C292" s="1">
        <v>22</v>
      </c>
      <c r="D292" s="1" t="str">
        <f t="shared" si="4"/>
        <v>Yes</v>
      </c>
      <c r="E292" s="1">
        <v>4.9000000000000004</v>
      </c>
      <c r="F292" s="1">
        <v>324</v>
      </c>
      <c r="G292" s="1" t="s">
        <v>93</v>
      </c>
      <c r="H292" s="1" t="s">
        <v>95</v>
      </c>
      <c r="I292" s="1">
        <v>50</v>
      </c>
      <c r="J292" s="1" t="s">
        <v>101</v>
      </c>
      <c r="M292" s="1" t="s">
        <v>102</v>
      </c>
      <c r="O292" s="1">
        <v>5</v>
      </c>
    </row>
    <row r="293" spans="1:18" ht="14.25" customHeight="1" x14ac:dyDescent="0.3">
      <c r="A293" s="1" t="s">
        <v>989</v>
      </c>
      <c r="B293" s="1">
        <v>1</v>
      </c>
      <c r="C293" s="1">
        <v>16</v>
      </c>
      <c r="D293" s="1" t="str">
        <f t="shared" si="4"/>
        <v>Yes</v>
      </c>
      <c r="E293" s="1">
        <v>8.6999999999999993</v>
      </c>
      <c r="F293" s="1">
        <v>229</v>
      </c>
      <c r="G293" s="1" t="s">
        <v>93</v>
      </c>
      <c r="H293" s="1" t="s">
        <v>95</v>
      </c>
      <c r="I293" s="1">
        <v>48.5</v>
      </c>
      <c r="J293" s="1" t="s">
        <v>95</v>
      </c>
      <c r="M293" s="1" t="s">
        <v>102</v>
      </c>
      <c r="O293" s="1">
        <v>1</v>
      </c>
    </row>
    <row r="294" spans="1:18" ht="14.25" customHeight="1" x14ac:dyDescent="0.3">
      <c r="A294" s="1" t="s">
        <v>989</v>
      </c>
      <c r="B294" s="1">
        <v>1</v>
      </c>
      <c r="C294" s="1">
        <v>19</v>
      </c>
      <c r="D294" s="1" t="str">
        <f t="shared" si="4"/>
        <v>Yes</v>
      </c>
      <c r="E294" s="1">
        <v>4</v>
      </c>
      <c r="F294" s="1">
        <v>238</v>
      </c>
      <c r="G294" s="1" t="s">
        <v>93</v>
      </c>
      <c r="H294" s="1" t="s">
        <v>95</v>
      </c>
      <c r="I294" s="1">
        <v>48</v>
      </c>
      <c r="J294" s="1" t="s">
        <v>95</v>
      </c>
      <c r="M294" s="1" t="s">
        <v>102</v>
      </c>
      <c r="O294" s="1">
        <v>5</v>
      </c>
    </row>
    <row r="295" spans="1:18" ht="14.25" customHeight="1" x14ac:dyDescent="0.3">
      <c r="A295" s="1" t="s">
        <v>989</v>
      </c>
      <c r="B295" s="1">
        <v>1</v>
      </c>
      <c r="C295" s="1">
        <v>2</v>
      </c>
      <c r="D295" s="1" t="str">
        <f t="shared" si="4"/>
        <v>Yes</v>
      </c>
      <c r="E295" s="1">
        <v>11.1</v>
      </c>
      <c r="F295" s="1">
        <v>43</v>
      </c>
      <c r="G295" s="1" t="s">
        <v>93</v>
      </c>
      <c r="H295" s="1" t="s">
        <v>95</v>
      </c>
      <c r="I295" s="1">
        <v>44.9</v>
      </c>
      <c r="J295" s="1" t="s">
        <v>95</v>
      </c>
      <c r="M295" s="1" t="s">
        <v>102</v>
      </c>
      <c r="O295" s="1">
        <v>5</v>
      </c>
    </row>
    <row r="296" spans="1:18" ht="14.25" customHeight="1" x14ac:dyDescent="0.3">
      <c r="A296" s="1" t="s">
        <v>989</v>
      </c>
      <c r="B296" s="1">
        <v>1</v>
      </c>
      <c r="C296" s="1">
        <v>3</v>
      </c>
      <c r="D296" s="1" t="str">
        <f t="shared" si="4"/>
        <v>Yes</v>
      </c>
      <c r="E296" s="1">
        <v>7.7</v>
      </c>
      <c r="F296" s="1">
        <v>55</v>
      </c>
      <c r="G296" s="1" t="s">
        <v>93</v>
      </c>
      <c r="H296" s="1" t="s">
        <v>95</v>
      </c>
      <c r="I296" s="1">
        <v>25.7</v>
      </c>
      <c r="J296" s="1" t="s">
        <v>95</v>
      </c>
      <c r="M296" s="1" t="s">
        <v>101</v>
      </c>
      <c r="O296" s="1">
        <v>2</v>
      </c>
    </row>
    <row r="297" spans="1:18" ht="14.25" customHeight="1" x14ac:dyDescent="0.3">
      <c r="A297" s="1" t="s">
        <v>989</v>
      </c>
      <c r="B297" s="1">
        <v>1</v>
      </c>
      <c r="C297" s="1">
        <v>15</v>
      </c>
      <c r="D297" s="1" t="str">
        <f t="shared" si="4"/>
        <v>Yes</v>
      </c>
      <c r="E297" s="1">
        <v>10.6</v>
      </c>
      <c r="F297" s="1">
        <v>177</v>
      </c>
      <c r="G297" s="1" t="s">
        <v>93</v>
      </c>
      <c r="H297" s="1" t="s">
        <v>95</v>
      </c>
      <c r="I297" s="1">
        <v>20.5</v>
      </c>
      <c r="J297" s="1" t="s">
        <v>95</v>
      </c>
      <c r="M297" s="1" t="s">
        <v>101</v>
      </c>
      <c r="O297" s="1">
        <v>2</v>
      </c>
      <c r="Q297" s="20"/>
      <c r="R297" s="20"/>
    </row>
    <row r="298" spans="1:18" ht="14.25" customHeight="1" x14ac:dyDescent="0.3">
      <c r="A298" s="1" t="s">
        <v>989</v>
      </c>
      <c r="B298" s="1">
        <v>1</v>
      </c>
      <c r="C298" s="1">
        <v>20</v>
      </c>
      <c r="D298" s="1" t="str">
        <f t="shared" si="4"/>
        <v>Yes</v>
      </c>
      <c r="E298" s="1">
        <v>12.2</v>
      </c>
      <c r="F298" s="1">
        <v>284</v>
      </c>
      <c r="G298" s="1" t="s">
        <v>93</v>
      </c>
      <c r="H298" s="1" t="s">
        <v>95</v>
      </c>
      <c r="I298" s="1">
        <v>17.899999999999999</v>
      </c>
      <c r="J298" s="1" t="s">
        <v>95</v>
      </c>
      <c r="M298" s="1" t="s">
        <v>101</v>
      </c>
      <c r="O298" s="1">
        <v>2</v>
      </c>
    </row>
    <row r="299" spans="1:18" ht="14.25" customHeight="1" x14ac:dyDescent="0.3">
      <c r="A299" s="1" t="s">
        <v>989</v>
      </c>
      <c r="B299" s="1">
        <v>1</v>
      </c>
      <c r="C299" s="1">
        <v>13</v>
      </c>
      <c r="D299" s="1" t="str">
        <f t="shared" si="4"/>
        <v>Yes</v>
      </c>
      <c r="E299" s="1">
        <v>11.9</v>
      </c>
      <c r="F299" s="1">
        <v>162</v>
      </c>
      <c r="G299" s="1" t="s">
        <v>93</v>
      </c>
      <c r="H299" s="1" t="s">
        <v>95</v>
      </c>
      <c r="I299" s="1">
        <v>16.899999999999999</v>
      </c>
      <c r="J299" s="1" t="s">
        <v>95</v>
      </c>
      <c r="M299" s="1" t="s">
        <v>101</v>
      </c>
      <c r="O299" s="1">
        <v>1</v>
      </c>
    </row>
    <row r="300" spans="1:18" ht="14.25" customHeight="1" x14ac:dyDescent="0.3">
      <c r="A300" s="1" t="s">
        <v>989</v>
      </c>
      <c r="B300" s="1">
        <v>1</v>
      </c>
      <c r="C300" s="1">
        <v>17</v>
      </c>
      <c r="D300" s="1" t="str">
        <f t="shared" si="4"/>
        <v>Yes</v>
      </c>
      <c r="E300" s="1">
        <v>11.8</v>
      </c>
      <c r="F300" s="1">
        <v>252</v>
      </c>
      <c r="G300" s="1" t="s">
        <v>93</v>
      </c>
      <c r="H300" s="1" t="s">
        <v>95</v>
      </c>
      <c r="I300" s="1">
        <v>11.4</v>
      </c>
      <c r="J300" s="1" t="s">
        <v>95</v>
      </c>
      <c r="M300" s="1" t="s">
        <v>101</v>
      </c>
      <c r="O300" s="1">
        <v>2</v>
      </c>
    </row>
    <row r="301" spans="1:18" ht="14.25" customHeight="1" x14ac:dyDescent="0.3">
      <c r="A301" s="1" t="s">
        <v>989</v>
      </c>
      <c r="B301" s="1">
        <v>1</v>
      </c>
      <c r="C301" s="1">
        <v>5</v>
      </c>
      <c r="D301" s="1" t="str">
        <f t="shared" si="4"/>
        <v>Yes</v>
      </c>
      <c r="E301" s="1">
        <v>11.4</v>
      </c>
      <c r="F301" s="1">
        <v>70</v>
      </c>
      <c r="G301" s="1" t="s">
        <v>93</v>
      </c>
      <c r="H301" s="1" t="s">
        <v>95</v>
      </c>
      <c r="I301" s="1">
        <v>11</v>
      </c>
      <c r="J301" s="1" t="s">
        <v>95</v>
      </c>
      <c r="M301" s="1" t="s">
        <v>101</v>
      </c>
      <c r="O301" s="1">
        <v>5</v>
      </c>
    </row>
    <row r="302" spans="1:18" ht="14.25" customHeight="1" x14ac:dyDescent="0.3">
      <c r="A302" s="1" t="s">
        <v>989</v>
      </c>
      <c r="B302" s="1">
        <v>1</v>
      </c>
      <c r="C302" s="1">
        <v>14</v>
      </c>
      <c r="D302" s="1" t="str">
        <f t="shared" si="4"/>
        <v>Yes</v>
      </c>
      <c r="E302" s="1">
        <v>10.8</v>
      </c>
      <c r="F302" s="1">
        <v>170</v>
      </c>
      <c r="G302" s="1" t="s">
        <v>93</v>
      </c>
      <c r="H302" s="1" t="s">
        <v>95</v>
      </c>
      <c r="I302" s="1">
        <v>10.5</v>
      </c>
      <c r="J302" s="1" t="s">
        <v>95</v>
      </c>
      <c r="M302" s="1" t="s">
        <v>101</v>
      </c>
      <c r="O302" s="1">
        <v>1</v>
      </c>
    </row>
    <row r="303" spans="1:18" ht="14.25" customHeight="1" x14ac:dyDescent="0.3">
      <c r="A303" s="1" t="s">
        <v>989</v>
      </c>
      <c r="B303" s="1">
        <v>1</v>
      </c>
      <c r="C303" s="1">
        <v>21</v>
      </c>
      <c r="D303" s="1" t="str">
        <f t="shared" si="4"/>
        <v>Yes</v>
      </c>
      <c r="E303" s="1">
        <v>12.2</v>
      </c>
      <c r="F303" s="1">
        <v>284</v>
      </c>
      <c r="G303" s="1" t="s">
        <v>93</v>
      </c>
      <c r="H303" s="1" t="s">
        <v>95</v>
      </c>
      <c r="I303" s="1">
        <v>8.8000000000000007</v>
      </c>
      <c r="J303" s="1" t="s">
        <v>95</v>
      </c>
      <c r="M303" s="1" t="s">
        <v>101</v>
      </c>
      <c r="O303" s="1">
        <v>2</v>
      </c>
    </row>
    <row r="304" spans="1:18" ht="14.25" customHeight="1" x14ac:dyDescent="0.3">
      <c r="A304" s="1" t="s">
        <v>989</v>
      </c>
      <c r="B304" s="1">
        <v>1</v>
      </c>
      <c r="C304" s="1">
        <v>26</v>
      </c>
      <c r="D304" s="1" t="str">
        <f t="shared" si="4"/>
        <v>Yes</v>
      </c>
      <c r="E304" s="1">
        <v>7.2</v>
      </c>
      <c r="F304" s="1">
        <v>346</v>
      </c>
      <c r="G304" s="31"/>
      <c r="H304" s="1" t="s">
        <v>95</v>
      </c>
      <c r="I304" s="1">
        <v>8.4</v>
      </c>
      <c r="J304" s="1" t="s">
        <v>95</v>
      </c>
      <c r="M304" s="1" t="s">
        <v>101</v>
      </c>
      <c r="O304" s="1">
        <v>3</v>
      </c>
    </row>
    <row r="305" spans="1:17" ht="14.25" customHeight="1" x14ac:dyDescent="0.3">
      <c r="A305" s="1" t="s">
        <v>989</v>
      </c>
      <c r="B305" s="1">
        <v>2</v>
      </c>
      <c r="C305" s="1">
        <v>22</v>
      </c>
      <c r="D305" s="1" t="str">
        <f t="shared" si="4"/>
        <v>No</v>
      </c>
      <c r="E305" s="1">
        <v>13.8</v>
      </c>
      <c r="F305" s="1">
        <v>358</v>
      </c>
      <c r="G305" s="1" t="s">
        <v>96</v>
      </c>
      <c r="H305" s="1" t="s">
        <v>95</v>
      </c>
      <c r="I305" s="1">
        <v>57.8</v>
      </c>
      <c r="J305" s="1" t="s">
        <v>95</v>
      </c>
      <c r="M305" s="1" t="s">
        <v>102</v>
      </c>
      <c r="O305" s="1">
        <v>1</v>
      </c>
      <c r="P305" s="1">
        <v>761</v>
      </c>
    </row>
    <row r="306" spans="1:17" ht="14.25" customHeight="1" x14ac:dyDescent="0.3">
      <c r="A306" s="1" t="s">
        <v>989</v>
      </c>
      <c r="B306" s="1">
        <v>2</v>
      </c>
      <c r="C306" s="1">
        <v>9</v>
      </c>
      <c r="D306" s="1" t="str">
        <f t="shared" si="4"/>
        <v>Yes</v>
      </c>
      <c r="E306" s="1">
        <v>7.3</v>
      </c>
      <c r="F306" s="1">
        <v>134</v>
      </c>
      <c r="G306" s="1" t="s">
        <v>96</v>
      </c>
      <c r="H306" s="1" t="s">
        <v>95</v>
      </c>
      <c r="I306" s="10">
        <v>471.1</v>
      </c>
      <c r="J306" s="1" t="s">
        <v>95</v>
      </c>
      <c r="M306" s="1" t="s">
        <v>97</v>
      </c>
      <c r="O306" s="1">
        <v>1</v>
      </c>
      <c r="P306" s="1">
        <v>759</v>
      </c>
      <c r="Q306" t="s">
        <v>824</v>
      </c>
    </row>
    <row r="307" spans="1:17" ht="14.25" customHeight="1" x14ac:dyDescent="0.3">
      <c r="A307" s="1" t="s">
        <v>989</v>
      </c>
      <c r="B307" s="1">
        <v>2</v>
      </c>
      <c r="C307" s="1">
        <v>2</v>
      </c>
      <c r="D307" s="1" t="str">
        <f t="shared" si="4"/>
        <v>Yes</v>
      </c>
      <c r="E307" s="1">
        <v>11.9</v>
      </c>
      <c r="F307" s="1">
        <v>42</v>
      </c>
      <c r="G307" s="1" t="s">
        <v>96</v>
      </c>
      <c r="H307" s="1" t="s">
        <v>95</v>
      </c>
      <c r="I307" s="10">
        <v>439.3</v>
      </c>
      <c r="J307" s="1" t="s">
        <v>95</v>
      </c>
      <c r="M307" s="1" t="s">
        <v>97</v>
      </c>
      <c r="O307" s="1">
        <v>1</v>
      </c>
      <c r="P307" s="1">
        <v>760</v>
      </c>
      <c r="Q307" t="s">
        <v>825</v>
      </c>
    </row>
    <row r="308" spans="1:17" ht="14.25" customHeight="1" x14ac:dyDescent="0.3">
      <c r="A308" s="1" t="s">
        <v>989</v>
      </c>
      <c r="B308" s="1">
        <v>2</v>
      </c>
      <c r="C308" s="1">
        <v>21</v>
      </c>
      <c r="D308" s="1" t="str">
        <f t="shared" si="4"/>
        <v>Yes</v>
      </c>
      <c r="E308" s="1">
        <v>2.7</v>
      </c>
      <c r="F308" s="1">
        <v>344</v>
      </c>
      <c r="G308" s="1" t="s">
        <v>96</v>
      </c>
      <c r="H308" s="1" t="s">
        <v>95</v>
      </c>
      <c r="I308" s="1">
        <v>14.3</v>
      </c>
      <c r="J308" s="1" t="s">
        <v>95</v>
      </c>
      <c r="M308" s="1" t="s">
        <v>101</v>
      </c>
      <c r="O308" s="1">
        <v>1</v>
      </c>
    </row>
    <row r="309" spans="1:17" ht="14.25" customHeight="1" x14ac:dyDescent="0.3">
      <c r="A309" s="1" t="s">
        <v>989</v>
      </c>
      <c r="B309" s="1">
        <v>2</v>
      </c>
      <c r="C309" s="1">
        <v>18</v>
      </c>
      <c r="D309" s="1" t="str">
        <f t="shared" si="4"/>
        <v>Yes</v>
      </c>
      <c r="E309" s="1">
        <v>10.7</v>
      </c>
      <c r="F309" s="1">
        <v>304</v>
      </c>
      <c r="G309" s="1" t="s">
        <v>109</v>
      </c>
      <c r="H309" s="1" t="s">
        <v>95</v>
      </c>
      <c r="I309" s="1">
        <v>40</v>
      </c>
      <c r="J309" s="1" t="s">
        <v>101</v>
      </c>
      <c r="M309" s="1" t="s">
        <v>102</v>
      </c>
      <c r="O309" s="1">
        <v>5</v>
      </c>
      <c r="Q309" s="1" t="s">
        <v>162</v>
      </c>
    </row>
    <row r="310" spans="1:17" ht="14.25" customHeight="1" x14ac:dyDescent="0.3">
      <c r="A310" s="1" t="s">
        <v>989</v>
      </c>
      <c r="B310" s="1">
        <v>2</v>
      </c>
      <c r="C310" s="1">
        <v>6</v>
      </c>
      <c r="D310" s="1" t="str">
        <f t="shared" si="4"/>
        <v>Yes</v>
      </c>
      <c r="E310" s="1">
        <v>12</v>
      </c>
      <c r="F310" s="1">
        <v>92</v>
      </c>
      <c r="G310" s="1" t="s">
        <v>106</v>
      </c>
      <c r="H310" s="1" t="s">
        <v>95</v>
      </c>
      <c r="I310" s="1">
        <v>52.9</v>
      </c>
      <c r="J310" s="1" t="s">
        <v>95</v>
      </c>
      <c r="M310" s="1" t="s">
        <v>102</v>
      </c>
      <c r="O310" s="1">
        <v>1</v>
      </c>
    </row>
    <row r="311" spans="1:17" ht="14.25" customHeight="1" x14ac:dyDescent="0.3">
      <c r="A311" s="1" t="s">
        <v>989</v>
      </c>
      <c r="B311" s="1">
        <v>2</v>
      </c>
      <c r="C311" s="1">
        <v>14</v>
      </c>
      <c r="D311" s="1" t="str">
        <f t="shared" si="4"/>
        <v>Yes</v>
      </c>
      <c r="E311" s="1">
        <v>2.8</v>
      </c>
      <c r="F311" s="1">
        <v>221</v>
      </c>
      <c r="G311" s="1" t="s">
        <v>106</v>
      </c>
      <c r="H311" s="1" t="s">
        <v>95</v>
      </c>
      <c r="I311" s="1">
        <v>33</v>
      </c>
      <c r="J311" s="1" t="s">
        <v>101</v>
      </c>
      <c r="M311" s="1" t="s">
        <v>101</v>
      </c>
      <c r="O311" s="1">
        <v>5</v>
      </c>
      <c r="Q311" s="1" t="s">
        <v>162</v>
      </c>
    </row>
    <row r="312" spans="1:17" ht="14.25" customHeight="1" x14ac:dyDescent="0.3">
      <c r="A312" s="1" t="s">
        <v>989</v>
      </c>
      <c r="B312" s="1">
        <v>2</v>
      </c>
      <c r="C312" s="1">
        <v>16</v>
      </c>
      <c r="D312" s="1" t="str">
        <f t="shared" si="4"/>
        <v>Yes</v>
      </c>
      <c r="E312" s="1">
        <v>7.2</v>
      </c>
      <c r="F312" s="1">
        <v>266</v>
      </c>
      <c r="G312" s="1" t="s">
        <v>106</v>
      </c>
      <c r="H312" s="1" t="s">
        <v>95</v>
      </c>
      <c r="I312" s="1">
        <v>17.3</v>
      </c>
      <c r="J312" s="1" t="s">
        <v>95</v>
      </c>
      <c r="M312" s="1" t="s">
        <v>101</v>
      </c>
      <c r="O312" s="1">
        <v>1</v>
      </c>
    </row>
    <row r="313" spans="1:17" ht="14.25" customHeight="1" x14ac:dyDescent="0.3">
      <c r="A313" s="1" t="s">
        <v>989</v>
      </c>
      <c r="B313" s="1">
        <v>2</v>
      </c>
      <c r="C313" s="1">
        <v>10</v>
      </c>
      <c r="D313" s="1" t="str">
        <f t="shared" si="4"/>
        <v>Yes</v>
      </c>
      <c r="E313" s="1">
        <v>8.9</v>
      </c>
      <c r="F313" s="1">
        <v>162</v>
      </c>
      <c r="G313" s="1" t="s">
        <v>106</v>
      </c>
      <c r="H313" s="1" t="s">
        <v>95</v>
      </c>
      <c r="I313" s="1">
        <v>17</v>
      </c>
      <c r="J313" s="1" t="s">
        <v>95</v>
      </c>
      <c r="M313" s="1" t="s">
        <v>101</v>
      </c>
      <c r="O313" s="1">
        <v>5</v>
      </c>
    </row>
    <row r="314" spans="1:17" ht="14.25" customHeight="1" x14ac:dyDescent="0.3">
      <c r="A314" s="1" t="s">
        <v>989</v>
      </c>
      <c r="B314" s="1">
        <v>2</v>
      </c>
      <c r="C314" s="1">
        <v>13</v>
      </c>
      <c r="D314" s="1" t="str">
        <f t="shared" si="4"/>
        <v>Yes</v>
      </c>
      <c r="E314" s="1">
        <v>8</v>
      </c>
      <c r="F314" s="1">
        <v>189</v>
      </c>
      <c r="G314" s="1" t="s">
        <v>106</v>
      </c>
      <c r="H314" s="1" t="s">
        <v>95</v>
      </c>
      <c r="I314" s="1">
        <v>13.4</v>
      </c>
      <c r="J314" s="1" t="s">
        <v>101</v>
      </c>
      <c r="M314" s="1" t="s">
        <v>101</v>
      </c>
      <c r="O314" s="1">
        <v>5</v>
      </c>
    </row>
    <row r="315" spans="1:17" ht="14.25" customHeight="1" x14ac:dyDescent="0.3">
      <c r="A315" s="1" t="s">
        <v>989</v>
      </c>
      <c r="B315" s="1">
        <v>2</v>
      </c>
      <c r="C315" s="1">
        <v>19</v>
      </c>
      <c r="D315" s="1" t="str">
        <f t="shared" si="4"/>
        <v>Yes</v>
      </c>
      <c r="E315" s="1">
        <v>9.5</v>
      </c>
      <c r="F315" s="1">
        <v>304</v>
      </c>
      <c r="G315" s="1" t="s">
        <v>106</v>
      </c>
      <c r="H315" s="1" t="s">
        <v>95</v>
      </c>
      <c r="I315" s="1">
        <v>10.7</v>
      </c>
      <c r="J315" s="1" t="s">
        <v>95</v>
      </c>
      <c r="M315" s="1" t="s">
        <v>101</v>
      </c>
      <c r="O315" s="1">
        <v>1</v>
      </c>
    </row>
    <row r="316" spans="1:17" ht="14.25" customHeight="1" x14ac:dyDescent="0.3">
      <c r="A316" s="1" t="s">
        <v>989</v>
      </c>
      <c r="B316" s="1">
        <v>2</v>
      </c>
      <c r="C316" s="1">
        <v>15</v>
      </c>
      <c r="D316" s="1" t="str">
        <f t="shared" si="4"/>
        <v>Yes</v>
      </c>
      <c r="E316" s="1">
        <v>7.6</v>
      </c>
      <c r="F316" s="1">
        <v>253</v>
      </c>
      <c r="G316" s="1" t="s">
        <v>106</v>
      </c>
      <c r="H316" s="1" t="s">
        <v>95</v>
      </c>
      <c r="I316" s="1">
        <v>10.6</v>
      </c>
      <c r="J316" s="1" t="s">
        <v>95</v>
      </c>
      <c r="M316" s="1" t="s">
        <v>101</v>
      </c>
      <c r="O316" s="1">
        <v>1</v>
      </c>
    </row>
    <row r="317" spans="1:17" ht="14.25" customHeight="1" x14ac:dyDescent="0.3">
      <c r="A317" s="1" t="s">
        <v>989</v>
      </c>
      <c r="B317" s="1">
        <v>2</v>
      </c>
      <c r="C317" s="1">
        <v>17</v>
      </c>
      <c r="D317" s="1" t="str">
        <f t="shared" si="4"/>
        <v>Yes</v>
      </c>
      <c r="E317" s="1">
        <v>10.1</v>
      </c>
      <c r="F317" s="1">
        <v>280</v>
      </c>
      <c r="G317" s="1" t="s">
        <v>106</v>
      </c>
      <c r="H317" s="1" t="s">
        <v>95</v>
      </c>
      <c r="I317" s="1">
        <v>7.7</v>
      </c>
      <c r="J317" s="1" t="s">
        <v>95</v>
      </c>
      <c r="M317" s="1" t="s">
        <v>101</v>
      </c>
      <c r="O317" s="1">
        <v>2</v>
      </c>
    </row>
    <row r="318" spans="1:17" ht="14.25" customHeight="1" x14ac:dyDescent="0.3">
      <c r="A318" s="1" t="s">
        <v>989</v>
      </c>
      <c r="B318" s="1">
        <v>2</v>
      </c>
      <c r="C318" s="1">
        <v>7</v>
      </c>
      <c r="D318" s="1" t="str">
        <f t="shared" si="4"/>
        <v>Yes</v>
      </c>
      <c r="E318" s="1">
        <v>6</v>
      </c>
      <c r="F318" s="1">
        <v>11.7</v>
      </c>
      <c r="G318" s="1" t="s">
        <v>93</v>
      </c>
      <c r="H318" s="1" t="s">
        <v>95</v>
      </c>
      <c r="I318" s="1">
        <v>33.299999999999997</v>
      </c>
      <c r="J318" s="1" t="s">
        <v>95</v>
      </c>
      <c r="M318" s="1" t="s">
        <v>101</v>
      </c>
      <c r="O318" s="1">
        <v>1</v>
      </c>
    </row>
    <row r="319" spans="1:17" ht="14.25" customHeight="1" x14ac:dyDescent="0.3">
      <c r="A319" s="1" t="s">
        <v>989</v>
      </c>
      <c r="B319" s="1">
        <v>2</v>
      </c>
      <c r="C319" s="1">
        <v>8</v>
      </c>
      <c r="D319" s="1" t="str">
        <f t="shared" si="4"/>
        <v>Yes</v>
      </c>
      <c r="E319" s="1">
        <v>5</v>
      </c>
      <c r="F319" s="1">
        <v>11.7</v>
      </c>
      <c r="G319" s="1" t="s">
        <v>93</v>
      </c>
      <c r="H319" s="1" t="s">
        <v>95</v>
      </c>
      <c r="I319" s="1">
        <v>31.1</v>
      </c>
      <c r="J319" s="1" t="s">
        <v>95</v>
      </c>
      <c r="M319" s="1" t="s">
        <v>101</v>
      </c>
      <c r="O319" s="1">
        <v>1</v>
      </c>
    </row>
    <row r="320" spans="1:17" ht="14.25" customHeight="1" x14ac:dyDescent="0.3">
      <c r="A320" s="1" t="s">
        <v>989</v>
      </c>
      <c r="B320" s="1">
        <v>2</v>
      </c>
      <c r="C320" s="1">
        <v>3</v>
      </c>
      <c r="D320" s="1" t="str">
        <f t="shared" si="4"/>
        <v>Yes</v>
      </c>
      <c r="E320" s="1">
        <v>5.6</v>
      </c>
      <c r="F320" s="1">
        <v>51</v>
      </c>
      <c r="G320" s="1" t="s">
        <v>93</v>
      </c>
      <c r="H320" s="1" t="s">
        <v>95</v>
      </c>
      <c r="I320" s="1">
        <v>26.3</v>
      </c>
      <c r="J320" s="1" t="s">
        <v>95</v>
      </c>
      <c r="M320" s="1" t="s">
        <v>101</v>
      </c>
      <c r="O320" s="1">
        <v>1</v>
      </c>
    </row>
    <row r="321" spans="1:18" ht="14.25" customHeight="1" x14ac:dyDescent="0.3">
      <c r="A321" s="1" t="s">
        <v>989</v>
      </c>
      <c r="B321" s="1">
        <v>2</v>
      </c>
      <c r="C321" s="1">
        <v>20</v>
      </c>
      <c r="D321" s="1" t="str">
        <f t="shared" si="4"/>
        <v>Yes</v>
      </c>
      <c r="E321" s="1">
        <v>10</v>
      </c>
      <c r="F321" s="1">
        <v>344</v>
      </c>
      <c r="G321" s="1" t="s">
        <v>93</v>
      </c>
      <c r="H321" s="1" t="s">
        <v>95</v>
      </c>
      <c r="I321" s="1">
        <v>21.8</v>
      </c>
      <c r="J321" s="1" t="s">
        <v>95</v>
      </c>
      <c r="M321" s="1" t="s">
        <v>101</v>
      </c>
      <c r="O321" s="1">
        <v>1</v>
      </c>
      <c r="R321" s="1"/>
    </row>
    <row r="322" spans="1:18" ht="14.25" customHeight="1" x14ac:dyDescent="0.3">
      <c r="A322" s="1" t="s">
        <v>989</v>
      </c>
      <c r="B322" s="1">
        <v>2</v>
      </c>
      <c r="C322" s="1">
        <v>12</v>
      </c>
      <c r="D322" s="1" t="str">
        <f t="shared" ref="D322:D385" si="5">IF(E322&gt;12.5, "No", "Yes")</f>
        <v>Yes</v>
      </c>
      <c r="E322" s="1">
        <v>12.2</v>
      </c>
      <c r="F322" s="1">
        <v>176</v>
      </c>
      <c r="G322" s="1" t="s">
        <v>93</v>
      </c>
      <c r="H322" s="1" t="s">
        <v>95</v>
      </c>
      <c r="I322" s="1">
        <v>19.5</v>
      </c>
      <c r="J322" s="1" t="s">
        <v>95</v>
      </c>
      <c r="M322" s="1" t="s">
        <v>101</v>
      </c>
      <c r="O322" s="1">
        <v>1</v>
      </c>
    </row>
    <row r="323" spans="1:18" ht="14.25" customHeight="1" x14ac:dyDescent="0.3">
      <c r="A323" s="1" t="s">
        <v>989</v>
      </c>
      <c r="B323" s="1">
        <v>2</v>
      </c>
      <c r="C323" s="1">
        <v>5</v>
      </c>
      <c r="D323" s="1" t="str">
        <f t="shared" si="5"/>
        <v>Yes</v>
      </c>
      <c r="E323" s="1">
        <v>9.8000000000000007</v>
      </c>
      <c r="F323" s="1">
        <v>82</v>
      </c>
      <c r="G323" s="1" t="s">
        <v>93</v>
      </c>
      <c r="H323" s="1" t="s">
        <v>95</v>
      </c>
      <c r="I323" s="1">
        <v>13.1</v>
      </c>
      <c r="J323" s="1" t="s">
        <v>95</v>
      </c>
      <c r="M323" s="1" t="s">
        <v>101</v>
      </c>
      <c r="O323" s="1">
        <v>1</v>
      </c>
      <c r="R323" s="1"/>
    </row>
    <row r="324" spans="1:18" ht="14.25" customHeight="1" x14ac:dyDescent="0.3">
      <c r="A324" s="1" t="s">
        <v>989</v>
      </c>
      <c r="B324" s="1">
        <v>2</v>
      </c>
      <c r="C324" s="1">
        <v>1</v>
      </c>
      <c r="D324" s="1" t="str">
        <f t="shared" si="5"/>
        <v>Yes</v>
      </c>
      <c r="E324" s="1">
        <v>7.7</v>
      </c>
      <c r="F324" s="1">
        <v>7</v>
      </c>
      <c r="G324" s="1" t="s">
        <v>93</v>
      </c>
      <c r="H324" s="1" t="s">
        <v>95</v>
      </c>
      <c r="I324" s="1">
        <v>11.1</v>
      </c>
      <c r="J324" s="1" t="s">
        <v>95</v>
      </c>
      <c r="M324" s="1" t="s">
        <v>101</v>
      </c>
      <c r="O324" s="1">
        <v>1</v>
      </c>
    </row>
    <row r="325" spans="1:18" ht="14.25" customHeight="1" x14ac:dyDescent="0.3">
      <c r="A325" s="1" t="s">
        <v>989</v>
      </c>
      <c r="B325" s="1">
        <v>2</v>
      </c>
      <c r="C325" s="1">
        <v>11</v>
      </c>
      <c r="D325" s="1" t="str">
        <f t="shared" si="5"/>
        <v>Yes</v>
      </c>
      <c r="E325" s="1">
        <v>12.2</v>
      </c>
      <c r="F325" s="1">
        <v>176</v>
      </c>
      <c r="G325" s="1" t="s">
        <v>93</v>
      </c>
      <c r="H325" s="1" t="s">
        <v>95</v>
      </c>
      <c r="I325" s="1">
        <v>9.5</v>
      </c>
      <c r="J325" s="1" t="s">
        <v>95</v>
      </c>
      <c r="M325" s="1" t="s">
        <v>101</v>
      </c>
      <c r="O325" s="1">
        <v>1</v>
      </c>
    </row>
    <row r="326" spans="1:18" ht="14.25" customHeight="1" x14ac:dyDescent="0.3">
      <c r="A326" s="1" t="s">
        <v>989</v>
      </c>
      <c r="B326" s="1">
        <v>2</v>
      </c>
      <c r="C326" s="1">
        <v>4</v>
      </c>
      <c r="D326" s="1" t="str">
        <f t="shared" si="5"/>
        <v>Yes</v>
      </c>
      <c r="E326" s="1">
        <v>11.9</v>
      </c>
      <c r="F326" s="1">
        <v>70</v>
      </c>
      <c r="G326" s="1" t="s">
        <v>93</v>
      </c>
      <c r="H326" s="1" t="s">
        <v>95</v>
      </c>
      <c r="I326" s="1">
        <v>9.3000000000000007</v>
      </c>
      <c r="J326" s="1" t="s">
        <v>95</v>
      </c>
      <c r="M326" s="1" t="s">
        <v>101</v>
      </c>
      <c r="O326" s="1">
        <v>2</v>
      </c>
    </row>
    <row r="327" spans="1:18" ht="14.25" customHeight="1" x14ac:dyDescent="0.3">
      <c r="A327" s="1" t="s">
        <v>989</v>
      </c>
      <c r="B327" s="1">
        <v>3</v>
      </c>
      <c r="C327" s="1">
        <v>23</v>
      </c>
      <c r="D327" s="1" t="str">
        <f t="shared" si="5"/>
        <v>Yes</v>
      </c>
      <c r="E327" s="1">
        <v>12.4</v>
      </c>
      <c r="F327" s="1">
        <v>245</v>
      </c>
      <c r="G327" s="1" t="s">
        <v>96</v>
      </c>
      <c r="H327" s="1" t="s">
        <v>95</v>
      </c>
      <c r="I327" s="1">
        <v>69</v>
      </c>
      <c r="J327" s="1" t="s">
        <v>95</v>
      </c>
      <c r="M327" s="1" t="s">
        <v>102</v>
      </c>
      <c r="O327" s="1">
        <v>1</v>
      </c>
    </row>
    <row r="328" spans="1:18" ht="14.25" customHeight="1" x14ac:dyDescent="0.3">
      <c r="A328" s="1" t="s">
        <v>989</v>
      </c>
      <c r="B328" s="1">
        <v>3</v>
      </c>
      <c r="C328" s="1">
        <v>28</v>
      </c>
      <c r="D328" s="1" t="str">
        <f t="shared" si="5"/>
        <v>Yes</v>
      </c>
      <c r="E328" s="1">
        <v>3.8</v>
      </c>
      <c r="F328" s="1">
        <v>318</v>
      </c>
      <c r="G328" s="1" t="s">
        <v>96</v>
      </c>
      <c r="H328" s="1" t="s">
        <v>95</v>
      </c>
      <c r="I328" s="1">
        <v>62.8</v>
      </c>
      <c r="J328" s="1" t="s">
        <v>95</v>
      </c>
      <c r="M328" s="1" t="s">
        <v>102</v>
      </c>
      <c r="O328" s="1">
        <v>1</v>
      </c>
      <c r="P328" s="1">
        <v>711</v>
      </c>
    </row>
    <row r="329" spans="1:18" ht="14.25" customHeight="1" x14ac:dyDescent="0.3">
      <c r="A329" s="1" t="s">
        <v>989</v>
      </c>
      <c r="B329" s="1">
        <v>3</v>
      </c>
      <c r="C329" s="1">
        <v>22</v>
      </c>
      <c r="D329" s="1" t="str">
        <f t="shared" si="5"/>
        <v>Yes</v>
      </c>
      <c r="E329" s="1">
        <v>10.8</v>
      </c>
      <c r="F329" s="1">
        <v>244</v>
      </c>
      <c r="G329" s="1" t="s">
        <v>96</v>
      </c>
      <c r="H329" s="1" t="s">
        <v>95</v>
      </c>
      <c r="I329" s="1">
        <v>59.6</v>
      </c>
      <c r="J329" s="1" t="s">
        <v>95</v>
      </c>
      <c r="M329" s="1" t="s">
        <v>102</v>
      </c>
      <c r="O329" s="1">
        <v>1</v>
      </c>
    </row>
    <row r="330" spans="1:18" ht="14.25" customHeight="1" x14ac:dyDescent="0.3">
      <c r="A330" s="1" t="s">
        <v>989</v>
      </c>
      <c r="B330" s="1">
        <v>3</v>
      </c>
      <c r="C330" s="1">
        <v>21</v>
      </c>
      <c r="D330" s="1" t="str">
        <f t="shared" si="5"/>
        <v>Yes</v>
      </c>
      <c r="E330" s="1">
        <v>11.1</v>
      </c>
      <c r="F330" s="1">
        <v>234</v>
      </c>
      <c r="G330" s="1" t="s">
        <v>96</v>
      </c>
      <c r="H330" s="1" t="s">
        <v>95</v>
      </c>
      <c r="I330" s="1">
        <v>59</v>
      </c>
      <c r="J330" s="1" t="s">
        <v>95</v>
      </c>
      <c r="M330" s="1" t="s">
        <v>102</v>
      </c>
      <c r="O330" s="1">
        <v>1</v>
      </c>
      <c r="R330" s="1"/>
    </row>
    <row r="331" spans="1:18" ht="14.25" customHeight="1" x14ac:dyDescent="0.3">
      <c r="A331" s="1" t="s">
        <v>989</v>
      </c>
      <c r="B331" s="1">
        <v>3</v>
      </c>
      <c r="C331" s="1">
        <v>29</v>
      </c>
      <c r="D331" s="1" t="str">
        <f t="shared" si="5"/>
        <v>Yes</v>
      </c>
      <c r="E331" s="1">
        <v>11.8</v>
      </c>
      <c r="F331" s="1">
        <v>317</v>
      </c>
      <c r="G331" s="1" t="s">
        <v>96</v>
      </c>
      <c r="H331" s="1" t="s">
        <v>95</v>
      </c>
      <c r="I331" s="1">
        <v>58.8</v>
      </c>
      <c r="J331" s="1" t="s">
        <v>95</v>
      </c>
      <c r="M331" s="1" t="s">
        <v>102</v>
      </c>
      <c r="O331" s="1">
        <v>1</v>
      </c>
    </row>
    <row r="332" spans="1:18" ht="14.25" customHeight="1" x14ac:dyDescent="0.3">
      <c r="A332" s="1" t="s">
        <v>989</v>
      </c>
      <c r="B332" s="1">
        <v>3</v>
      </c>
      <c r="C332" s="1">
        <v>1</v>
      </c>
      <c r="D332" s="1" t="str">
        <f t="shared" si="5"/>
        <v>Yes</v>
      </c>
      <c r="E332" s="1">
        <v>7.7</v>
      </c>
      <c r="F332" s="1">
        <v>4</v>
      </c>
      <c r="G332" s="1" t="s">
        <v>96</v>
      </c>
      <c r="H332" s="1" t="s">
        <v>95</v>
      </c>
      <c r="I332" s="1">
        <v>50</v>
      </c>
      <c r="J332" s="1" t="s">
        <v>95</v>
      </c>
      <c r="M332" s="1" t="s">
        <v>102</v>
      </c>
      <c r="O332" s="1">
        <v>1</v>
      </c>
      <c r="R332" s="1"/>
    </row>
    <row r="333" spans="1:18" ht="14.25" customHeight="1" x14ac:dyDescent="0.3">
      <c r="A333" s="1" t="s">
        <v>989</v>
      </c>
      <c r="B333" s="1">
        <v>3</v>
      </c>
      <c r="C333" s="1">
        <v>13</v>
      </c>
      <c r="D333" s="1" t="str">
        <f t="shared" si="5"/>
        <v>Yes</v>
      </c>
      <c r="E333" s="1">
        <v>8.6999999999999993</v>
      </c>
      <c r="F333" s="1">
        <v>165</v>
      </c>
      <c r="G333" s="1" t="s">
        <v>96</v>
      </c>
      <c r="H333" s="1" t="s">
        <v>95</v>
      </c>
      <c r="I333" s="1">
        <v>49.2</v>
      </c>
      <c r="J333" s="1" t="s">
        <v>95</v>
      </c>
      <c r="M333" s="1" t="s">
        <v>102</v>
      </c>
      <c r="O333" s="1">
        <v>1</v>
      </c>
    </row>
    <row r="334" spans="1:18" ht="14.25" customHeight="1" x14ac:dyDescent="0.3">
      <c r="A334" s="1" t="s">
        <v>989</v>
      </c>
      <c r="B334" s="1">
        <v>3</v>
      </c>
      <c r="C334" s="1">
        <v>12</v>
      </c>
      <c r="D334" s="1" t="str">
        <f t="shared" si="5"/>
        <v>Yes</v>
      </c>
      <c r="E334" s="1">
        <v>7.9</v>
      </c>
      <c r="F334" s="1">
        <v>160</v>
      </c>
      <c r="G334" s="1" t="s">
        <v>96</v>
      </c>
      <c r="H334" s="1" t="s">
        <v>95</v>
      </c>
      <c r="I334" s="1">
        <v>47.5</v>
      </c>
      <c r="J334" s="1" t="s">
        <v>95</v>
      </c>
      <c r="M334" s="1" t="s">
        <v>102</v>
      </c>
      <c r="O334" s="1">
        <v>1</v>
      </c>
    </row>
    <row r="335" spans="1:18" ht="14.25" customHeight="1" x14ac:dyDescent="0.3">
      <c r="A335" s="1" t="s">
        <v>989</v>
      </c>
      <c r="B335" s="1">
        <v>3</v>
      </c>
      <c r="C335" s="1">
        <v>17</v>
      </c>
      <c r="D335" s="1" t="str">
        <f t="shared" si="5"/>
        <v>Yes</v>
      </c>
      <c r="E335" s="1">
        <v>11.8</v>
      </c>
      <c r="F335" s="1">
        <v>183</v>
      </c>
      <c r="G335" s="1" t="s">
        <v>96</v>
      </c>
      <c r="H335" s="1" t="s">
        <v>95</v>
      </c>
      <c r="I335" s="1">
        <v>46.5</v>
      </c>
      <c r="J335" s="1" t="s">
        <v>95</v>
      </c>
      <c r="M335" s="1" t="s">
        <v>102</v>
      </c>
      <c r="O335" s="1">
        <v>1</v>
      </c>
    </row>
    <row r="336" spans="1:18" ht="14.25" customHeight="1" x14ac:dyDescent="0.3">
      <c r="A336" s="1" t="s">
        <v>989</v>
      </c>
      <c r="B336" s="1">
        <v>3</v>
      </c>
      <c r="C336" s="1">
        <v>16</v>
      </c>
      <c r="D336" s="1" t="str">
        <f t="shared" si="5"/>
        <v>Yes</v>
      </c>
      <c r="E336" s="1">
        <v>10.9</v>
      </c>
      <c r="F336" s="1">
        <v>183</v>
      </c>
      <c r="G336" s="1" t="s">
        <v>96</v>
      </c>
      <c r="H336" s="1" t="s">
        <v>95</v>
      </c>
      <c r="I336" s="1">
        <v>42.6</v>
      </c>
      <c r="J336" s="1" t="s">
        <v>95</v>
      </c>
      <c r="M336" s="1" t="s">
        <v>102</v>
      </c>
      <c r="O336" s="1">
        <v>1</v>
      </c>
    </row>
    <row r="337" spans="1:17" ht="14.25" customHeight="1" x14ac:dyDescent="0.3">
      <c r="A337" s="1" t="s">
        <v>989</v>
      </c>
      <c r="B337" s="1">
        <v>3</v>
      </c>
      <c r="C337" s="1">
        <v>14</v>
      </c>
      <c r="D337" s="1" t="str">
        <f t="shared" si="5"/>
        <v>Yes</v>
      </c>
      <c r="E337" s="1">
        <v>11.4</v>
      </c>
      <c r="F337" s="1">
        <v>159</v>
      </c>
      <c r="G337" s="1" t="s">
        <v>96</v>
      </c>
      <c r="H337" s="1" t="s">
        <v>95</v>
      </c>
      <c r="I337" s="1">
        <v>42.4</v>
      </c>
      <c r="J337" s="1" t="s">
        <v>95</v>
      </c>
      <c r="M337" s="1" t="s">
        <v>102</v>
      </c>
      <c r="O337" s="1">
        <v>1</v>
      </c>
    </row>
    <row r="338" spans="1:17" ht="14.25" customHeight="1" x14ac:dyDescent="0.3">
      <c r="A338" s="1" t="s">
        <v>989</v>
      </c>
      <c r="B338" s="1">
        <v>3</v>
      </c>
      <c r="C338" s="1">
        <v>26</v>
      </c>
      <c r="D338" s="1" t="str">
        <f t="shared" si="5"/>
        <v>Yes</v>
      </c>
      <c r="E338" s="1">
        <v>10.3</v>
      </c>
      <c r="F338" s="1">
        <v>305</v>
      </c>
      <c r="G338" s="1" t="s">
        <v>96</v>
      </c>
      <c r="H338" s="1" t="s">
        <v>95</v>
      </c>
      <c r="I338" s="1">
        <v>41.2</v>
      </c>
      <c r="J338" s="1" t="s">
        <v>95</v>
      </c>
      <c r="M338" s="1" t="s">
        <v>102</v>
      </c>
      <c r="O338" s="1">
        <v>1</v>
      </c>
    </row>
    <row r="339" spans="1:17" ht="14.25" customHeight="1" x14ac:dyDescent="0.3">
      <c r="A339" s="1" t="s">
        <v>989</v>
      </c>
      <c r="B339" s="1">
        <v>3</v>
      </c>
      <c r="C339" s="1">
        <v>4</v>
      </c>
      <c r="D339" s="1" t="str">
        <f t="shared" si="5"/>
        <v>Yes</v>
      </c>
      <c r="E339" s="1">
        <v>3.7</v>
      </c>
      <c r="F339" s="1">
        <v>58</v>
      </c>
      <c r="G339" s="1" t="s">
        <v>96</v>
      </c>
      <c r="H339" s="1" t="s">
        <v>95</v>
      </c>
      <c r="I339" s="1">
        <v>37.6</v>
      </c>
      <c r="J339" s="1" t="s">
        <v>95</v>
      </c>
      <c r="M339" s="1" t="s">
        <v>102</v>
      </c>
      <c r="O339" s="1">
        <v>1</v>
      </c>
      <c r="P339" s="1">
        <v>712</v>
      </c>
    </row>
    <row r="340" spans="1:17" ht="14.25" customHeight="1" x14ac:dyDescent="0.3">
      <c r="A340" s="1" t="s">
        <v>989</v>
      </c>
      <c r="B340" s="1">
        <v>3</v>
      </c>
      <c r="C340" s="1">
        <v>6</v>
      </c>
      <c r="D340" s="1" t="str">
        <f t="shared" si="5"/>
        <v>Yes</v>
      </c>
      <c r="E340" s="1">
        <v>7.6</v>
      </c>
      <c r="F340" s="1">
        <v>61</v>
      </c>
      <c r="G340" s="1" t="s">
        <v>96</v>
      </c>
      <c r="H340" s="1" t="s">
        <v>95</v>
      </c>
      <c r="I340" s="1">
        <v>36.299999999999997</v>
      </c>
      <c r="J340" s="1" t="s">
        <v>95</v>
      </c>
      <c r="M340" s="1" t="s">
        <v>102</v>
      </c>
      <c r="O340" s="1">
        <v>1</v>
      </c>
    </row>
    <row r="341" spans="1:17" ht="14.25" customHeight="1" x14ac:dyDescent="0.3">
      <c r="A341" s="1" t="s">
        <v>989</v>
      </c>
      <c r="B341" s="1">
        <v>3</v>
      </c>
      <c r="C341" s="1">
        <v>20</v>
      </c>
      <c r="D341" s="1" t="str">
        <f t="shared" si="5"/>
        <v>Yes</v>
      </c>
      <c r="E341" s="1">
        <v>8.4</v>
      </c>
      <c r="F341" s="1">
        <v>231</v>
      </c>
      <c r="G341" s="1" t="s">
        <v>96</v>
      </c>
      <c r="H341" s="1" t="s">
        <v>95</v>
      </c>
      <c r="I341" s="1">
        <v>36.299999999999997</v>
      </c>
      <c r="J341" s="1" t="s">
        <v>95</v>
      </c>
      <c r="M341" s="1" t="s">
        <v>102</v>
      </c>
      <c r="O341" s="1">
        <v>1</v>
      </c>
    </row>
    <row r="342" spans="1:17" ht="14.25" customHeight="1" x14ac:dyDescent="0.3">
      <c r="A342" s="1" t="s">
        <v>989</v>
      </c>
      <c r="B342" s="1">
        <v>3</v>
      </c>
      <c r="C342" s="1">
        <v>25</v>
      </c>
      <c r="D342" s="1" t="str">
        <f t="shared" si="5"/>
        <v>Yes</v>
      </c>
      <c r="E342" s="1">
        <v>10.3</v>
      </c>
      <c r="F342" s="1">
        <v>305</v>
      </c>
      <c r="G342" s="1" t="s">
        <v>96</v>
      </c>
      <c r="H342" s="1" t="s">
        <v>95</v>
      </c>
      <c r="I342" s="1">
        <v>36</v>
      </c>
      <c r="J342" s="1" t="s">
        <v>95</v>
      </c>
      <c r="M342" s="1" t="s">
        <v>102</v>
      </c>
      <c r="O342" s="1">
        <v>5</v>
      </c>
    </row>
    <row r="343" spans="1:17" ht="14.25" customHeight="1" x14ac:dyDescent="0.3">
      <c r="A343" s="1" t="s">
        <v>989</v>
      </c>
      <c r="B343" s="1">
        <v>3</v>
      </c>
      <c r="C343" s="1">
        <v>5</v>
      </c>
      <c r="D343" s="1" t="str">
        <f t="shared" si="5"/>
        <v>Yes</v>
      </c>
      <c r="E343" s="1">
        <v>5.5</v>
      </c>
      <c r="F343" s="1">
        <v>63</v>
      </c>
      <c r="G343" s="1" t="s">
        <v>96</v>
      </c>
      <c r="H343" s="1" t="s">
        <v>95</v>
      </c>
      <c r="I343" s="1">
        <v>30.2</v>
      </c>
      <c r="J343" s="1" t="s">
        <v>95</v>
      </c>
      <c r="M343" s="1" t="s">
        <v>102</v>
      </c>
      <c r="O343" s="1">
        <v>1</v>
      </c>
    </row>
    <row r="344" spans="1:17" ht="14.25" customHeight="1" x14ac:dyDescent="0.3">
      <c r="A344" s="1" t="s">
        <v>989</v>
      </c>
      <c r="B344" s="1">
        <v>3</v>
      </c>
      <c r="C344" s="1">
        <v>19</v>
      </c>
      <c r="D344" s="1" t="str">
        <f t="shared" si="5"/>
        <v>Yes</v>
      </c>
      <c r="E344" s="1">
        <v>4.4000000000000004</v>
      </c>
      <c r="F344" s="1">
        <v>223</v>
      </c>
      <c r="G344" s="1" t="s">
        <v>96</v>
      </c>
      <c r="H344" s="1" t="s">
        <v>95</v>
      </c>
      <c r="I344" s="1">
        <v>28.5</v>
      </c>
      <c r="J344" s="1" t="s">
        <v>95</v>
      </c>
      <c r="M344" s="1" t="s">
        <v>102</v>
      </c>
      <c r="O344" s="1">
        <v>1</v>
      </c>
    </row>
    <row r="345" spans="1:17" ht="14.25" customHeight="1" x14ac:dyDescent="0.3">
      <c r="A345" s="1" t="s">
        <v>989</v>
      </c>
      <c r="B345" s="1">
        <v>3</v>
      </c>
      <c r="C345" s="1">
        <v>9</v>
      </c>
      <c r="D345" s="1" t="str">
        <f t="shared" si="5"/>
        <v>Yes</v>
      </c>
      <c r="E345" s="1">
        <v>7.9</v>
      </c>
      <c r="F345" s="1">
        <v>103</v>
      </c>
      <c r="G345" s="1" t="s">
        <v>96</v>
      </c>
      <c r="H345" s="1" t="s">
        <v>95</v>
      </c>
      <c r="I345" s="1">
        <v>27</v>
      </c>
      <c r="J345" s="1" t="s">
        <v>95</v>
      </c>
      <c r="M345" s="1" t="s">
        <v>102</v>
      </c>
      <c r="O345" s="1">
        <v>1</v>
      </c>
    </row>
    <row r="346" spans="1:17" ht="14.25" customHeight="1" x14ac:dyDescent="0.3">
      <c r="A346" s="1" t="s">
        <v>989</v>
      </c>
      <c r="B346" s="1">
        <v>3</v>
      </c>
      <c r="C346" s="1">
        <v>27</v>
      </c>
      <c r="D346" s="1" t="str">
        <f t="shared" si="5"/>
        <v>Yes</v>
      </c>
      <c r="E346" s="1">
        <v>10.5</v>
      </c>
      <c r="F346" s="1">
        <v>308</v>
      </c>
      <c r="G346" s="1" t="s">
        <v>96</v>
      </c>
      <c r="H346" s="1" t="s">
        <v>95</v>
      </c>
      <c r="I346" s="1">
        <v>18.899999999999999</v>
      </c>
      <c r="J346" s="1" t="s">
        <v>95</v>
      </c>
      <c r="M346" s="1" t="s">
        <v>101</v>
      </c>
      <c r="O346" s="1">
        <v>5</v>
      </c>
    </row>
    <row r="347" spans="1:17" ht="14.25" customHeight="1" x14ac:dyDescent="0.3">
      <c r="A347" s="1" t="s">
        <v>989</v>
      </c>
      <c r="B347" s="1">
        <v>3</v>
      </c>
      <c r="C347" s="1">
        <v>3</v>
      </c>
      <c r="D347" s="1" t="str">
        <f t="shared" si="5"/>
        <v>Yes</v>
      </c>
      <c r="E347" s="1">
        <v>7.2</v>
      </c>
      <c r="F347" s="1">
        <v>53</v>
      </c>
      <c r="G347" s="1" t="s">
        <v>96</v>
      </c>
      <c r="H347" s="1" t="s">
        <v>95</v>
      </c>
      <c r="I347" s="1">
        <v>18.399999999999999</v>
      </c>
      <c r="J347" s="1" t="s">
        <v>101</v>
      </c>
      <c r="M347" s="1" t="s">
        <v>101</v>
      </c>
      <c r="O347" s="1">
        <v>5</v>
      </c>
      <c r="Q347" s="1" t="s">
        <v>162</v>
      </c>
    </row>
    <row r="348" spans="1:17" ht="14.25" customHeight="1" x14ac:dyDescent="0.3">
      <c r="A348" s="1" t="s">
        <v>989</v>
      </c>
      <c r="B348" s="1">
        <v>3</v>
      </c>
      <c r="C348" s="1">
        <v>8</v>
      </c>
      <c r="D348" s="1" t="str">
        <f t="shared" si="5"/>
        <v>Yes</v>
      </c>
      <c r="E348" s="1">
        <v>9.4</v>
      </c>
      <c r="F348" s="1">
        <v>62</v>
      </c>
      <c r="G348" s="1" t="s">
        <v>96</v>
      </c>
      <c r="H348" s="1" t="s">
        <v>95</v>
      </c>
      <c r="I348" s="1">
        <v>17.600000000000001</v>
      </c>
      <c r="J348" s="1" t="s">
        <v>95</v>
      </c>
      <c r="M348" s="1" t="s">
        <v>101</v>
      </c>
      <c r="O348" s="1">
        <v>5</v>
      </c>
    </row>
    <row r="349" spans="1:17" ht="14.25" customHeight="1" x14ac:dyDescent="0.3">
      <c r="A349" s="1" t="s">
        <v>989</v>
      </c>
      <c r="B349" s="1">
        <v>3</v>
      </c>
      <c r="C349" s="1">
        <v>15</v>
      </c>
      <c r="D349" s="1" t="str">
        <f t="shared" si="5"/>
        <v>Yes</v>
      </c>
      <c r="E349" s="1">
        <v>10</v>
      </c>
      <c r="F349" s="1">
        <v>185</v>
      </c>
      <c r="G349" s="1" t="s">
        <v>96</v>
      </c>
      <c r="H349" s="1" t="s">
        <v>95</v>
      </c>
      <c r="I349" s="1">
        <v>17.399999999999999</v>
      </c>
      <c r="J349" s="1" t="s">
        <v>101</v>
      </c>
      <c r="M349" s="1" t="s">
        <v>101</v>
      </c>
      <c r="O349" s="1">
        <v>5</v>
      </c>
    </row>
    <row r="350" spans="1:17" ht="14.25" customHeight="1" x14ac:dyDescent="0.3">
      <c r="A350" s="1" t="s">
        <v>989</v>
      </c>
      <c r="B350" s="1">
        <v>3</v>
      </c>
      <c r="C350" s="1">
        <v>7</v>
      </c>
      <c r="D350" s="1" t="str">
        <f t="shared" si="5"/>
        <v>Yes</v>
      </c>
      <c r="E350" s="1">
        <v>9.5</v>
      </c>
      <c r="F350" s="1">
        <v>59</v>
      </c>
      <c r="G350" s="1" t="s">
        <v>96</v>
      </c>
      <c r="H350" s="1" t="s">
        <v>95</v>
      </c>
      <c r="I350" s="1">
        <v>15.8</v>
      </c>
      <c r="J350" s="1" t="s">
        <v>95</v>
      </c>
      <c r="M350" s="1" t="s">
        <v>101</v>
      </c>
      <c r="O350" s="1">
        <v>1</v>
      </c>
    </row>
    <row r="351" spans="1:17" ht="14.25" customHeight="1" x14ac:dyDescent="0.3">
      <c r="A351" s="1" t="s">
        <v>989</v>
      </c>
      <c r="B351" s="1">
        <v>3</v>
      </c>
      <c r="C351" s="1">
        <v>30</v>
      </c>
      <c r="D351" s="1" t="str">
        <f t="shared" si="5"/>
        <v>Yes</v>
      </c>
      <c r="E351" s="1">
        <v>8.1999999999999993</v>
      </c>
      <c r="F351" s="1">
        <v>339</v>
      </c>
      <c r="G351" s="1" t="s">
        <v>106</v>
      </c>
      <c r="H351" s="1" t="s">
        <v>95</v>
      </c>
      <c r="I351" s="1">
        <v>63</v>
      </c>
      <c r="J351" s="1" t="s">
        <v>101</v>
      </c>
      <c r="M351" s="1" t="s">
        <v>102</v>
      </c>
      <c r="O351" s="1">
        <v>5</v>
      </c>
    </row>
    <row r="352" spans="1:17" ht="14.25" customHeight="1" x14ac:dyDescent="0.3">
      <c r="A352" s="1" t="s">
        <v>989</v>
      </c>
      <c r="B352" s="1">
        <v>3</v>
      </c>
      <c r="C352" s="1">
        <v>11</v>
      </c>
      <c r="D352" s="1" t="str">
        <f t="shared" si="5"/>
        <v>Yes</v>
      </c>
      <c r="E352" s="1">
        <v>1.9</v>
      </c>
      <c r="F352" s="1">
        <v>133</v>
      </c>
      <c r="G352" s="1" t="s">
        <v>106</v>
      </c>
      <c r="H352" s="1" t="s">
        <v>95</v>
      </c>
      <c r="I352" s="1">
        <v>49.3</v>
      </c>
      <c r="J352" s="1" t="s">
        <v>95</v>
      </c>
      <c r="M352" s="1" t="s">
        <v>102</v>
      </c>
      <c r="O352" s="1">
        <v>1</v>
      </c>
      <c r="P352" s="1">
        <v>710</v>
      </c>
    </row>
    <row r="353" spans="1:18" ht="14.25" customHeight="1" x14ac:dyDescent="0.3">
      <c r="A353" s="1" t="s">
        <v>989</v>
      </c>
      <c r="B353" s="1">
        <v>3</v>
      </c>
      <c r="C353" s="1">
        <v>31</v>
      </c>
      <c r="D353" s="1" t="str">
        <f t="shared" si="5"/>
        <v>Yes</v>
      </c>
      <c r="E353" s="1">
        <v>9.6</v>
      </c>
      <c r="F353" s="1">
        <v>356</v>
      </c>
      <c r="G353" s="1" t="s">
        <v>106</v>
      </c>
      <c r="H353" s="1" t="s">
        <v>95</v>
      </c>
      <c r="I353" s="1">
        <v>36.4</v>
      </c>
      <c r="J353" s="1" t="s">
        <v>95</v>
      </c>
      <c r="M353" s="1" t="s">
        <v>102</v>
      </c>
      <c r="O353" s="1">
        <v>1</v>
      </c>
    </row>
    <row r="354" spans="1:18" ht="14.25" customHeight="1" x14ac:dyDescent="0.3">
      <c r="A354" s="1" t="s">
        <v>989</v>
      </c>
      <c r="B354" s="1">
        <v>3</v>
      </c>
      <c r="C354" s="1">
        <v>10</v>
      </c>
      <c r="D354" s="1" t="str">
        <f t="shared" si="5"/>
        <v>Yes</v>
      </c>
      <c r="E354" s="1">
        <v>2.4</v>
      </c>
      <c r="F354" s="1">
        <v>132</v>
      </c>
      <c r="G354" s="1" t="s">
        <v>106</v>
      </c>
      <c r="H354" s="1" t="s">
        <v>95</v>
      </c>
      <c r="I354" s="1">
        <v>32.1</v>
      </c>
      <c r="J354" s="1" t="s">
        <v>95</v>
      </c>
      <c r="M354" s="1" t="s">
        <v>101</v>
      </c>
      <c r="O354" s="1">
        <v>5</v>
      </c>
    </row>
    <row r="355" spans="1:18" ht="14.25" customHeight="1" x14ac:dyDescent="0.3">
      <c r="A355" s="1" t="s">
        <v>989</v>
      </c>
      <c r="B355" s="1">
        <v>3</v>
      </c>
      <c r="C355" s="1">
        <v>24</v>
      </c>
      <c r="D355" s="1" t="str">
        <f t="shared" si="5"/>
        <v>Yes</v>
      </c>
      <c r="E355" s="1">
        <v>1.8</v>
      </c>
      <c r="F355" s="1">
        <v>272</v>
      </c>
      <c r="G355" s="1" t="s">
        <v>106</v>
      </c>
      <c r="H355" s="1" t="s">
        <v>95</v>
      </c>
      <c r="I355" s="1">
        <v>17.5</v>
      </c>
      <c r="J355" s="1" t="s">
        <v>95</v>
      </c>
      <c r="M355" s="1" t="s">
        <v>101</v>
      </c>
      <c r="O355" s="1">
        <v>5</v>
      </c>
      <c r="Q355" s="1" t="s">
        <v>162</v>
      </c>
    </row>
    <row r="356" spans="1:18" ht="14.25" customHeight="1" x14ac:dyDescent="0.3">
      <c r="A356" s="1" t="s">
        <v>989</v>
      </c>
      <c r="B356" s="1">
        <v>3</v>
      </c>
      <c r="C356" s="1">
        <v>2</v>
      </c>
      <c r="D356" s="1" t="str">
        <f t="shared" si="5"/>
        <v>Yes</v>
      </c>
      <c r="E356" s="1">
        <v>10.6</v>
      </c>
      <c r="F356" s="1">
        <v>20</v>
      </c>
      <c r="G356" s="1" t="s">
        <v>93</v>
      </c>
      <c r="H356" s="1" t="s">
        <v>95</v>
      </c>
      <c r="I356" s="1">
        <v>94.2</v>
      </c>
      <c r="J356" s="1" t="s">
        <v>95</v>
      </c>
      <c r="M356" s="1" t="s">
        <v>102</v>
      </c>
      <c r="O356" s="1">
        <v>5</v>
      </c>
    </row>
    <row r="357" spans="1:18" ht="14.25" customHeight="1" x14ac:dyDescent="0.3">
      <c r="A357" s="1" t="s">
        <v>989</v>
      </c>
      <c r="B357" s="1">
        <v>3</v>
      </c>
      <c r="C357" s="1">
        <v>18</v>
      </c>
      <c r="D357" s="1" t="str">
        <f t="shared" si="5"/>
        <v>Yes</v>
      </c>
      <c r="E357" s="1">
        <v>7.3</v>
      </c>
      <c r="F357" s="1">
        <v>221</v>
      </c>
      <c r="G357" s="1" t="s">
        <v>93</v>
      </c>
      <c r="H357" s="1" t="s">
        <v>95</v>
      </c>
      <c r="I357" s="1">
        <v>10.5</v>
      </c>
      <c r="J357" s="1" t="s">
        <v>95</v>
      </c>
      <c r="M357" s="1" t="s">
        <v>101</v>
      </c>
      <c r="O357" s="1">
        <v>1</v>
      </c>
    </row>
    <row r="358" spans="1:18" ht="14.25" customHeight="1" x14ac:dyDescent="0.3">
      <c r="A358" s="1" t="s">
        <v>989</v>
      </c>
      <c r="B358" s="1">
        <v>4</v>
      </c>
      <c r="D358" s="1" t="str">
        <f t="shared" si="5"/>
        <v>No</v>
      </c>
      <c r="E358" s="1">
        <v>20.3</v>
      </c>
      <c r="F358" s="1">
        <v>330</v>
      </c>
      <c r="G358" s="1" t="s">
        <v>96</v>
      </c>
      <c r="H358" s="1" t="s">
        <v>95</v>
      </c>
      <c r="I358" s="45">
        <v>7.4</v>
      </c>
      <c r="J358" s="1" t="s">
        <v>95</v>
      </c>
      <c r="M358" s="1" t="s">
        <v>97</v>
      </c>
      <c r="N358" s="1" t="s">
        <v>186</v>
      </c>
      <c r="O358" s="1">
        <v>1</v>
      </c>
      <c r="P358" s="1">
        <v>706</v>
      </c>
      <c r="Q358" s="1" t="s">
        <v>187</v>
      </c>
      <c r="R358" s="1"/>
    </row>
    <row r="359" spans="1:18" ht="14.25" customHeight="1" x14ac:dyDescent="0.3">
      <c r="A359" s="1" t="s">
        <v>989</v>
      </c>
      <c r="B359" s="1">
        <v>4</v>
      </c>
      <c r="D359" s="1" t="str">
        <f t="shared" si="5"/>
        <v>No</v>
      </c>
      <c r="E359" s="1">
        <v>19.100000000000001</v>
      </c>
      <c r="F359" s="1">
        <v>213</v>
      </c>
      <c r="G359" s="1" t="s">
        <v>93</v>
      </c>
      <c r="H359" s="1" t="s">
        <v>95</v>
      </c>
      <c r="I359" s="1">
        <v>70.099999999999994</v>
      </c>
      <c r="J359" s="1" t="s">
        <v>95</v>
      </c>
      <c r="M359" s="1" t="s">
        <v>102</v>
      </c>
      <c r="O359" s="1">
        <v>1</v>
      </c>
      <c r="P359" s="1">
        <v>707</v>
      </c>
    </row>
    <row r="360" spans="1:18" ht="14.25" customHeight="1" x14ac:dyDescent="0.3">
      <c r="A360" s="1" t="s">
        <v>989</v>
      </c>
      <c r="B360" s="1">
        <v>4</v>
      </c>
      <c r="C360" s="1">
        <v>12</v>
      </c>
      <c r="D360" s="1" t="str">
        <f t="shared" si="5"/>
        <v>Yes</v>
      </c>
      <c r="E360" s="1">
        <v>11.1</v>
      </c>
      <c r="F360" s="1">
        <v>213</v>
      </c>
      <c r="G360" s="1" t="s">
        <v>96</v>
      </c>
      <c r="H360" s="1" t="s">
        <v>95</v>
      </c>
      <c r="I360" s="1">
        <v>18.2</v>
      </c>
      <c r="J360" s="1" t="s">
        <v>95</v>
      </c>
      <c r="M360" s="1" t="s">
        <v>101</v>
      </c>
      <c r="O360" s="1">
        <v>1</v>
      </c>
    </row>
    <row r="361" spans="1:18" ht="14.25" customHeight="1" x14ac:dyDescent="0.3">
      <c r="A361" s="1" t="s">
        <v>989</v>
      </c>
      <c r="B361" s="1">
        <v>4</v>
      </c>
      <c r="C361" s="1">
        <v>13</v>
      </c>
      <c r="D361" s="1" t="str">
        <f t="shared" si="5"/>
        <v>Yes</v>
      </c>
      <c r="E361" s="1">
        <v>11.1</v>
      </c>
      <c r="F361" s="1">
        <v>216</v>
      </c>
      <c r="G361" s="1" t="s">
        <v>96</v>
      </c>
      <c r="H361" s="1" t="s">
        <v>95</v>
      </c>
      <c r="I361" s="1">
        <v>18</v>
      </c>
      <c r="J361" s="1" t="s">
        <v>95</v>
      </c>
      <c r="M361" s="1" t="s">
        <v>101</v>
      </c>
      <c r="O361" s="1">
        <v>1</v>
      </c>
    </row>
    <row r="362" spans="1:18" ht="14.25" customHeight="1" x14ac:dyDescent="0.3">
      <c r="A362" s="1" t="s">
        <v>989</v>
      </c>
      <c r="B362" s="1">
        <v>4</v>
      </c>
      <c r="C362" s="1">
        <v>21</v>
      </c>
      <c r="D362" s="1" t="str">
        <f t="shared" si="5"/>
        <v>Yes</v>
      </c>
      <c r="E362" s="1">
        <v>7.8</v>
      </c>
      <c r="F362" s="1">
        <v>293</v>
      </c>
      <c r="G362" s="1" t="s">
        <v>96</v>
      </c>
      <c r="H362" s="1" t="s">
        <v>95</v>
      </c>
      <c r="I362" s="1">
        <v>16.3</v>
      </c>
      <c r="J362" s="1" t="s">
        <v>95</v>
      </c>
      <c r="M362" s="1" t="s">
        <v>101</v>
      </c>
      <c r="O362" s="1">
        <v>1</v>
      </c>
    </row>
    <row r="363" spans="1:18" ht="14.25" customHeight="1" x14ac:dyDescent="0.3">
      <c r="A363" s="1" t="s">
        <v>989</v>
      </c>
      <c r="B363" s="1">
        <v>4</v>
      </c>
      <c r="C363" s="1">
        <v>18</v>
      </c>
      <c r="D363" s="1" t="str">
        <f t="shared" si="5"/>
        <v>Yes</v>
      </c>
      <c r="E363" s="1">
        <v>9.1999999999999993</v>
      </c>
      <c r="F363" s="1">
        <v>271</v>
      </c>
      <c r="G363" s="1" t="s">
        <v>96</v>
      </c>
      <c r="H363" s="1" t="s">
        <v>95</v>
      </c>
      <c r="I363" s="1">
        <v>15.4</v>
      </c>
      <c r="J363" s="1" t="s">
        <v>95</v>
      </c>
      <c r="M363" s="1" t="s">
        <v>101</v>
      </c>
      <c r="O363" s="1">
        <v>1</v>
      </c>
    </row>
    <row r="364" spans="1:18" ht="14.25" customHeight="1" x14ac:dyDescent="0.3">
      <c r="A364" s="1" t="s">
        <v>989</v>
      </c>
      <c r="B364" s="1">
        <v>4</v>
      </c>
      <c r="C364" s="1">
        <v>5</v>
      </c>
      <c r="D364" s="1" t="str">
        <f t="shared" si="5"/>
        <v>Yes</v>
      </c>
      <c r="E364" s="1">
        <v>7.8</v>
      </c>
      <c r="F364" s="1">
        <v>71</v>
      </c>
      <c r="G364" s="1" t="s">
        <v>106</v>
      </c>
      <c r="H364" s="1" t="s">
        <v>95</v>
      </c>
      <c r="I364" s="1">
        <v>42.6</v>
      </c>
      <c r="J364" s="1" t="s">
        <v>95</v>
      </c>
      <c r="M364" s="1" t="s">
        <v>101</v>
      </c>
      <c r="O364" s="1">
        <v>1</v>
      </c>
      <c r="P364" s="1">
        <v>705</v>
      </c>
    </row>
    <row r="365" spans="1:18" ht="14.25" customHeight="1" x14ac:dyDescent="0.3">
      <c r="A365" s="1" t="s">
        <v>989</v>
      </c>
      <c r="B365" s="1">
        <v>4</v>
      </c>
      <c r="C365" s="1">
        <v>20</v>
      </c>
      <c r="D365" s="1" t="str">
        <f t="shared" si="5"/>
        <v>Yes</v>
      </c>
      <c r="E365" s="1">
        <v>7</v>
      </c>
      <c r="F365" s="1">
        <v>321</v>
      </c>
      <c r="G365" s="1" t="s">
        <v>106</v>
      </c>
      <c r="H365" s="1" t="s">
        <v>95</v>
      </c>
      <c r="I365" s="1">
        <v>27.3</v>
      </c>
      <c r="J365" s="1" t="s">
        <v>95</v>
      </c>
      <c r="M365" s="1" t="s">
        <v>101</v>
      </c>
      <c r="O365" s="1">
        <v>1</v>
      </c>
    </row>
    <row r="366" spans="1:18" ht="14.25" customHeight="1" x14ac:dyDescent="0.3">
      <c r="A366" s="1" t="s">
        <v>989</v>
      </c>
      <c r="B366" s="1">
        <v>4</v>
      </c>
      <c r="C366" s="1">
        <v>23</v>
      </c>
      <c r="D366" s="1" t="str">
        <f t="shared" si="5"/>
        <v>Yes</v>
      </c>
      <c r="E366" s="1">
        <v>7.4</v>
      </c>
      <c r="F366" s="1">
        <v>340</v>
      </c>
      <c r="G366" s="1" t="s">
        <v>106</v>
      </c>
      <c r="H366" s="1" t="s">
        <v>95</v>
      </c>
      <c r="I366" s="1">
        <v>23.9</v>
      </c>
      <c r="J366" s="1" t="s">
        <v>95</v>
      </c>
      <c r="M366" s="1" t="s">
        <v>101</v>
      </c>
      <c r="O366" s="1">
        <v>5</v>
      </c>
    </row>
    <row r="367" spans="1:18" ht="14.25" customHeight="1" x14ac:dyDescent="0.3">
      <c r="A367" s="1" t="s">
        <v>989</v>
      </c>
      <c r="B367" s="1">
        <v>4</v>
      </c>
      <c r="C367" s="1">
        <v>3</v>
      </c>
      <c r="D367" s="1" t="str">
        <f t="shared" si="5"/>
        <v>Yes</v>
      </c>
      <c r="E367" s="1">
        <v>4.5</v>
      </c>
      <c r="F367" s="1">
        <v>50</v>
      </c>
      <c r="G367" s="1" t="s">
        <v>106</v>
      </c>
      <c r="H367" s="1" t="s">
        <v>95</v>
      </c>
      <c r="I367" s="1">
        <v>19.100000000000001</v>
      </c>
      <c r="J367" s="1" t="s">
        <v>95</v>
      </c>
      <c r="M367" s="1" t="s">
        <v>101</v>
      </c>
      <c r="O367" s="1">
        <v>1</v>
      </c>
    </row>
    <row r="368" spans="1:18" ht="14.25" customHeight="1" x14ac:dyDescent="0.3">
      <c r="A368" s="1" t="s">
        <v>989</v>
      </c>
      <c r="B368" s="1">
        <v>4</v>
      </c>
      <c r="C368" s="1">
        <v>16</v>
      </c>
      <c r="D368" s="1" t="str">
        <f t="shared" si="5"/>
        <v>Yes</v>
      </c>
      <c r="E368" s="1">
        <v>10.5</v>
      </c>
      <c r="F368" s="17">
        <v>249</v>
      </c>
      <c r="G368" s="1" t="s">
        <v>106</v>
      </c>
      <c r="H368" s="1" t="s">
        <v>95</v>
      </c>
      <c r="I368" s="1">
        <v>17.5</v>
      </c>
      <c r="J368" s="1" t="s">
        <v>95</v>
      </c>
      <c r="M368" s="1" t="s">
        <v>101</v>
      </c>
      <c r="O368" s="1">
        <v>2</v>
      </c>
      <c r="Q368" s="1" t="s">
        <v>185</v>
      </c>
    </row>
    <row r="369" spans="1:18" ht="14.25" customHeight="1" x14ac:dyDescent="0.3">
      <c r="A369" s="1" t="s">
        <v>989</v>
      </c>
      <c r="B369" s="1">
        <v>4</v>
      </c>
      <c r="C369" s="1">
        <v>14</v>
      </c>
      <c r="D369" s="1" t="str">
        <f t="shared" si="5"/>
        <v>Yes</v>
      </c>
      <c r="E369" s="1">
        <v>7.3</v>
      </c>
      <c r="F369" s="1">
        <v>234</v>
      </c>
      <c r="G369" s="1" t="s">
        <v>106</v>
      </c>
      <c r="H369" s="1" t="s">
        <v>95</v>
      </c>
      <c r="I369" s="1">
        <v>17.399999999999999</v>
      </c>
      <c r="J369" s="1" t="s">
        <v>95</v>
      </c>
      <c r="M369" s="1" t="s">
        <v>101</v>
      </c>
      <c r="O369" s="1">
        <v>1</v>
      </c>
      <c r="Q369" s="1" t="s">
        <v>185</v>
      </c>
    </row>
    <row r="370" spans="1:18" ht="14.25" customHeight="1" x14ac:dyDescent="0.3">
      <c r="A370" s="1" t="s">
        <v>989</v>
      </c>
      <c r="B370" s="1">
        <v>4</v>
      </c>
      <c r="C370" s="1">
        <v>15</v>
      </c>
      <c r="D370" s="1" t="str">
        <f t="shared" si="5"/>
        <v>Yes</v>
      </c>
      <c r="E370" s="1">
        <v>8.1</v>
      </c>
      <c r="F370" s="1">
        <v>245</v>
      </c>
      <c r="G370" s="1" t="s">
        <v>106</v>
      </c>
      <c r="H370" s="1" t="s">
        <v>95</v>
      </c>
      <c r="I370" s="1">
        <v>16.2</v>
      </c>
      <c r="J370" s="1" t="s">
        <v>95</v>
      </c>
      <c r="M370" s="1" t="s">
        <v>101</v>
      </c>
      <c r="O370" s="1">
        <v>5</v>
      </c>
      <c r="Q370" s="1" t="s">
        <v>185</v>
      </c>
    </row>
    <row r="371" spans="1:18" ht="14.25" customHeight="1" x14ac:dyDescent="0.3">
      <c r="A371" s="1" t="s">
        <v>989</v>
      </c>
      <c r="B371" s="1">
        <v>4</v>
      </c>
      <c r="C371" s="1">
        <v>17</v>
      </c>
      <c r="D371" s="1" t="str">
        <f t="shared" si="5"/>
        <v>Yes</v>
      </c>
      <c r="E371" s="1">
        <v>2.4</v>
      </c>
      <c r="F371" s="1">
        <v>268</v>
      </c>
      <c r="G371" s="1" t="s">
        <v>106</v>
      </c>
      <c r="H371" s="1" t="s">
        <v>95</v>
      </c>
      <c r="I371" s="1">
        <v>14.9</v>
      </c>
      <c r="J371" s="1" t="s">
        <v>95</v>
      </c>
      <c r="M371" s="1" t="s">
        <v>101</v>
      </c>
      <c r="O371" s="1">
        <v>1</v>
      </c>
      <c r="R371" s="1"/>
    </row>
    <row r="372" spans="1:18" ht="14.25" customHeight="1" x14ac:dyDescent="0.3">
      <c r="A372" s="1" t="s">
        <v>989</v>
      </c>
      <c r="B372" s="1">
        <v>4</v>
      </c>
      <c r="C372" s="1">
        <v>19</v>
      </c>
      <c r="D372" s="1" t="str">
        <f t="shared" si="5"/>
        <v>Yes</v>
      </c>
      <c r="E372" s="1">
        <v>10.199999999999999</v>
      </c>
      <c r="F372" s="1">
        <v>292</v>
      </c>
      <c r="G372" s="1" t="s">
        <v>106</v>
      </c>
      <c r="H372" s="1" t="s">
        <v>95</v>
      </c>
      <c r="I372" s="1">
        <v>14.9</v>
      </c>
      <c r="J372" s="1" t="s">
        <v>95</v>
      </c>
      <c r="M372" s="1" t="s">
        <v>101</v>
      </c>
      <c r="O372" s="1">
        <v>1</v>
      </c>
    </row>
    <row r="373" spans="1:18" ht="14.25" customHeight="1" x14ac:dyDescent="0.3">
      <c r="A373" s="1" t="s">
        <v>989</v>
      </c>
      <c r="B373" s="1">
        <v>4</v>
      </c>
      <c r="C373" s="1">
        <v>9</v>
      </c>
      <c r="D373" s="1" t="str">
        <f t="shared" si="5"/>
        <v>Yes</v>
      </c>
      <c r="E373" s="1">
        <v>11.4</v>
      </c>
      <c r="F373" s="1">
        <v>178</v>
      </c>
      <c r="G373" s="1" t="s">
        <v>106</v>
      </c>
      <c r="H373" s="1" t="s">
        <v>95</v>
      </c>
      <c r="I373" s="1">
        <v>14.1</v>
      </c>
      <c r="J373" s="1" t="s">
        <v>95</v>
      </c>
      <c r="M373" s="1" t="s">
        <v>101</v>
      </c>
      <c r="O373" s="1">
        <v>1</v>
      </c>
      <c r="R373" s="1"/>
    </row>
    <row r="374" spans="1:18" ht="14.25" customHeight="1" x14ac:dyDescent="0.3">
      <c r="A374" s="1" t="s">
        <v>989</v>
      </c>
      <c r="B374" s="1">
        <v>4</v>
      </c>
      <c r="C374" s="1">
        <v>7</v>
      </c>
      <c r="D374" s="1" t="str">
        <f t="shared" si="5"/>
        <v>Yes</v>
      </c>
      <c r="E374" s="1">
        <v>9.6</v>
      </c>
      <c r="F374" s="1">
        <v>144</v>
      </c>
      <c r="G374" s="1" t="s">
        <v>106</v>
      </c>
      <c r="H374" s="1" t="s">
        <v>95</v>
      </c>
      <c r="I374" s="1">
        <v>12.4</v>
      </c>
      <c r="J374" s="1" t="s">
        <v>95</v>
      </c>
      <c r="M374" s="1" t="s">
        <v>101</v>
      </c>
      <c r="O374" s="1">
        <v>1</v>
      </c>
      <c r="R374" s="1"/>
    </row>
    <row r="375" spans="1:18" ht="14.25" customHeight="1" x14ac:dyDescent="0.3">
      <c r="A375" s="1" t="s">
        <v>989</v>
      </c>
      <c r="B375" s="1">
        <v>4</v>
      </c>
      <c r="C375" s="1">
        <v>11</v>
      </c>
      <c r="D375" s="1" t="str">
        <f t="shared" si="5"/>
        <v>Yes</v>
      </c>
      <c r="E375" s="1">
        <v>12</v>
      </c>
      <c r="F375" s="1">
        <v>194</v>
      </c>
      <c r="G375" s="1" t="s">
        <v>106</v>
      </c>
      <c r="H375" s="1" t="s">
        <v>95</v>
      </c>
      <c r="I375" s="1">
        <v>11.6</v>
      </c>
      <c r="J375" s="1" t="s">
        <v>95</v>
      </c>
      <c r="M375" s="1" t="s">
        <v>101</v>
      </c>
      <c r="O375" s="1">
        <v>1</v>
      </c>
    </row>
    <row r="376" spans="1:18" ht="14.25" customHeight="1" x14ac:dyDescent="0.3">
      <c r="A376" s="1" t="s">
        <v>989</v>
      </c>
      <c r="B376" s="1">
        <v>4</v>
      </c>
      <c r="C376" s="1">
        <v>8</v>
      </c>
      <c r="D376" s="1" t="str">
        <f t="shared" si="5"/>
        <v>Yes</v>
      </c>
      <c r="E376" s="1">
        <v>9.6</v>
      </c>
      <c r="F376" s="1">
        <v>169</v>
      </c>
      <c r="G376" s="1" t="s">
        <v>106</v>
      </c>
      <c r="H376" s="1" t="s">
        <v>95</v>
      </c>
      <c r="I376" s="1">
        <v>11.5</v>
      </c>
      <c r="J376" s="1" t="s">
        <v>95</v>
      </c>
      <c r="M376" s="1" t="s">
        <v>101</v>
      </c>
      <c r="O376" s="1">
        <v>1</v>
      </c>
    </row>
    <row r="377" spans="1:18" ht="14.25" customHeight="1" x14ac:dyDescent="0.3">
      <c r="A377" s="1" t="s">
        <v>989</v>
      </c>
      <c r="B377" s="1">
        <v>4</v>
      </c>
      <c r="C377" s="1">
        <v>22</v>
      </c>
      <c r="D377" s="1" t="str">
        <f t="shared" si="5"/>
        <v>Yes</v>
      </c>
      <c r="E377" s="1">
        <v>7.1</v>
      </c>
      <c r="F377" s="1">
        <v>337</v>
      </c>
      <c r="G377" s="1" t="s">
        <v>106</v>
      </c>
      <c r="H377" s="1" t="s">
        <v>95</v>
      </c>
      <c r="I377" s="1">
        <v>9.8000000000000007</v>
      </c>
      <c r="J377" s="1" t="s">
        <v>101</v>
      </c>
      <c r="M377" s="1" t="s">
        <v>101</v>
      </c>
      <c r="O377" s="1">
        <v>5</v>
      </c>
    </row>
    <row r="378" spans="1:18" ht="14.25" customHeight="1" x14ac:dyDescent="0.3">
      <c r="A378" s="1" t="s">
        <v>989</v>
      </c>
      <c r="B378" s="1">
        <v>4</v>
      </c>
      <c r="C378" s="1">
        <v>4</v>
      </c>
      <c r="D378" s="1" t="str">
        <f t="shared" si="5"/>
        <v>Yes</v>
      </c>
      <c r="E378" s="1">
        <v>5.6</v>
      </c>
      <c r="F378" s="1">
        <v>62</v>
      </c>
      <c r="G378" s="1" t="s">
        <v>106</v>
      </c>
      <c r="H378" s="1" t="s">
        <v>95</v>
      </c>
      <c r="I378" s="1">
        <v>8.1999999999999993</v>
      </c>
      <c r="J378" s="1" t="s">
        <v>95</v>
      </c>
      <c r="M378" s="1" t="s">
        <v>101</v>
      </c>
      <c r="O378" s="1">
        <v>5</v>
      </c>
    </row>
    <row r="379" spans="1:18" ht="14.25" customHeight="1" x14ac:dyDescent="0.3">
      <c r="A379" s="1" t="s">
        <v>989</v>
      </c>
      <c r="B379" s="1">
        <v>4</v>
      </c>
      <c r="C379" s="1">
        <v>24</v>
      </c>
      <c r="D379" s="1" t="str">
        <f t="shared" si="5"/>
        <v>Yes</v>
      </c>
      <c r="E379" s="1">
        <v>7.5</v>
      </c>
      <c r="F379" s="1">
        <v>178</v>
      </c>
      <c r="G379" s="1" t="s">
        <v>93</v>
      </c>
      <c r="H379" s="1" t="s">
        <v>95</v>
      </c>
      <c r="I379" s="1">
        <v>61.1</v>
      </c>
      <c r="J379" s="1" t="s">
        <v>95</v>
      </c>
      <c r="M379" s="1" t="s">
        <v>102</v>
      </c>
      <c r="O379" s="1">
        <v>5</v>
      </c>
    </row>
    <row r="380" spans="1:18" ht="14.25" customHeight="1" x14ac:dyDescent="0.3">
      <c r="A380" s="1" t="s">
        <v>989</v>
      </c>
      <c r="B380" s="1">
        <v>4</v>
      </c>
      <c r="C380" s="1">
        <v>1</v>
      </c>
      <c r="D380" s="1" t="str">
        <f t="shared" si="5"/>
        <v>Yes</v>
      </c>
      <c r="E380" s="1">
        <v>9.5</v>
      </c>
      <c r="F380" s="1">
        <v>5</v>
      </c>
      <c r="G380" s="1" t="s">
        <v>93</v>
      </c>
      <c r="H380" s="1" t="s">
        <v>95</v>
      </c>
      <c r="I380" s="1">
        <v>49.5</v>
      </c>
      <c r="J380" s="1" t="s">
        <v>95</v>
      </c>
      <c r="M380" s="1" t="s">
        <v>102</v>
      </c>
      <c r="O380" s="1">
        <v>5</v>
      </c>
    </row>
    <row r="381" spans="1:18" ht="14.25" customHeight="1" x14ac:dyDescent="0.3">
      <c r="A381" s="1" t="s">
        <v>989</v>
      </c>
      <c r="B381" s="1">
        <v>4</v>
      </c>
      <c r="C381" s="1">
        <v>6</v>
      </c>
      <c r="D381" s="1" t="str">
        <f t="shared" si="5"/>
        <v>Yes</v>
      </c>
      <c r="E381" s="1">
        <v>3.7</v>
      </c>
      <c r="F381" s="1">
        <v>174</v>
      </c>
      <c r="G381" s="1" t="s">
        <v>93</v>
      </c>
      <c r="H381" s="1" t="s">
        <v>95</v>
      </c>
      <c r="I381" s="1">
        <v>22.7</v>
      </c>
      <c r="J381" s="1" t="s">
        <v>95</v>
      </c>
      <c r="M381" s="1" t="s">
        <v>101</v>
      </c>
      <c r="O381" s="1">
        <v>1</v>
      </c>
    </row>
    <row r="382" spans="1:18" ht="14.25" customHeight="1" x14ac:dyDescent="0.3">
      <c r="A382" s="1" t="s">
        <v>989</v>
      </c>
      <c r="B382" s="1">
        <v>4</v>
      </c>
      <c r="C382" s="1">
        <v>2</v>
      </c>
      <c r="D382" s="1" t="str">
        <f t="shared" si="5"/>
        <v>Yes</v>
      </c>
      <c r="E382" s="1">
        <v>7.8</v>
      </c>
      <c r="F382" s="1">
        <v>34</v>
      </c>
      <c r="G382" s="1" t="s">
        <v>93</v>
      </c>
      <c r="H382" s="1" t="s">
        <v>95</v>
      </c>
      <c r="I382" s="1">
        <v>11.1</v>
      </c>
      <c r="J382" s="1" t="s">
        <v>95</v>
      </c>
      <c r="M382" s="1" t="s">
        <v>101</v>
      </c>
      <c r="O382" s="1">
        <v>5</v>
      </c>
    </row>
    <row r="383" spans="1:18" ht="14.25" customHeight="1" x14ac:dyDescent="0.3">
      <c r="A383" s="1" t="s">
        <v>989</v>
      </c>
      <c r="B383" s="1">
        <v>4</v>
      </c>
      <c r="C383" s="1">
        <v>10</v>
      </c>
      <c r="D383" s="1" t="str">
        <f t="shared" si="5"/>
        <v>Yes</v>
      </c>
      <c r="E383" s="1">
        <v>5.4</v>
      </c>
      <c r="F383" s="1">
        <v>186</v>
      </c>
      <c r="G383" s="1" t="s">
        <v>93</v>
      </c>
      <c r="H383" s="1" t="s">
        <v>95</v>
      </c>
      <c r="I383" s="1">
        <v>10.7</v>
      </c>
      <c r="J383" s="1" t="s">
        <v>95</v>
      </c>
      <c r="M383" s="1" t="s">
        <v>101</v>
      </c>
      <c r="O383" s="1">
        <v>1</v>
      </c>
    </row>
    <row r="384" spans="1:18" ht="14.25" customHeight="1" x14ac:dyDescent="0.3">
      <c r="A384" s="1" t="s">
        <v>989</v>
      </c>
      <c r="B384" s="1">
        <v>5</v>
      </c>
      <c r="C384" s="1">
        <v>9</v>
      </c>
      <c r="D384" s="1" t="str">
        <f t="shared" si="5"/>
        <v>Yes</v>
      </c>
      <c r="E384" s="1">
        <v>4.2</v>
      </c>
      <c r="F384" s="1">
        <v>146</v>
      </c>
      <c r="G384" s="1" t="s">
        <v>96</v>
      </c>
      <c r="H384" s="1" t="s">
        <v>95</v>
      </c>
      <c r="I384" s="1">
        <v>68.8</v>
      </c>
      <c r="J384" s="1" t="s">
        <v>95</v>
      </c>
      <c r="M384" s="1" t="s">
        <v>102</v>
      </c>
      <c r="O384" s="1">
        <v>1</v>
      </c>
      <c r="P384" s="1">
        <v>765</v>
      </c>
    </row>
    <row r="385" spans="1:18" ht="14.25" customHeight="1" x14ac:dyDescent="0.3">
      <c r="A385" s="1" t="s">
        <v>989</v>
      </c>
      <c r="B385" s="1">
        <v>5</v>
      </c>
      <c r="C385" s="1">
        <v>2</v>
      </c>
      <c r="D385" s="1" t="str">
        <f t="shared" si="5"/>
        <v>Yes</v>
      </c>
      <c r="E385" s="1">
        <v>2.7</v>
      </c>
      <c r="F385" s="1">
        <v>22</v>
      </c>
      <c r="G385" s="1" t="s">
        <v>96</v>
      </c>
      <c r="H385" s="1" t="s">
        <v>95</v>
      </c>
      <c r="I385" s="1">
        <v>66.2</v>
      </c>
      <c r="J385" s="1" t="s">
        <v>95</v>
      </c>
      <c r="M385" s="1" t="s">
        <v>102</v>
      </c>
      <c r="O385" s="1">
        <v>1</v>
      </c>
      <c r="P385" s="1">
        <v>767</v>
      </c>
    </row>
    <row r="386" spans="1:18" ht="14.25" customHeight="1" x14ac:dyDescent="0.3">
      <c r="A386" s="1" t="s">
        <v>989</v>
      </c>
      <c r="B386" s="1">
        <v>5</v>
      </c>
      <c r="C386" s="1">
        <v>3</v>
      </c>
      <c r="D386" s="1" t="str">
        <f t="shared" ref="D386:D449" si="6">IF(E386&gt;12.5, "No", "Yes")</f>
        <v>Yes</v>
      </c>
      <c r="E386" s="1">
        <v>2.7</v>
      </c>
      <c r="F386" s="1">
        <v>5</v>
      </c>
      <c r="G386" s="1" t="s">
        <v>96</v>
      </c>
      <c r="H386" s="1" t="s">
        <v>95</v>
      </c>
      <c r="I386" s="1">
        <v>12</v>
      </c>
      <c r="J386" s="1" t="s">
        <v>101</v>
      </c>
      <c r="M386" s="1" t="s">
        <v>101</v>
      </c>
      <c r="O386" s="1">
        <v>5</v>
      </c>
      <c r="Q386" s="1" t="s">
        <v>162</v>
      </c>
      <c r="R386" s="1"/>
    </row>
    <row r="387" spans="1:18" ht="14.25" customHeight="1" x14ac:dyDescent="0.3">
      <c r="A387" s="1" t="s">
        <v>989</v>
      </c>
      <c r="B387" s="1">
        <v>5</v>
      </c>
      <c r="C387" s="1">
        <v>6</v>
      </c>
      <c r="D387" s="1" t="str">
        <f t="shared" si="6"/>
        <v>Yes</v>
      </c>
      <c r="E387" s="1">
        <v>5.9</v>
      </c>
      <c r="F387" s="1">
        <v>77</v>
      </c>
      <c r="G387" s="1" t="s">
        <v>106</v>
      </c>
      <c r="H387" s="1" t="s">
        <v>95</v>
      </c>
      <c r="I387" s="1">
        <v>55</v>
      </c>
      <c r="J387" s="1" t="s">
        <v>101</v>
      </c>
      <c r="M387" s="1" t="s">
        <v>97</v>
      </c>
      <c r="O387" s="1">
        <v>5</v>
      </c>
      <c r="Q387" s="1" t="s">
        <v>162</v>
      </c>
      <c r="R387" s="1"/>
    </row>
    <row r="388" spans="1:18" ht="14.25" customHeight="1" x14ac:dyDescent="0.3">
      <c r="A388" s="1" t="s">
        <v>989</v>
      </c>
      <c r="B388" s="1">
        <v>5</v>
      </c>
      <c r="C388" s="1">
        <v>15</v>
      </c>
      <c r="D388" s="1" t="str">
        <f t="shared" si="6"/>
        <v>Yes</v>
      </c>
      <c r="E388" s="1">
        <v>7.6</v>
      </c>
      <c r="F388" s="1">
        <v>252</v>
      </c>
      <c r="G388" s="1" t="s">
        <v>106</v>
      </c>
      <c r="H388" s="1" t="s">
        <v>95</v>
      </c>
      <c r="I388" s="1">
        <v>31.4</v>
      </c>
      <c r="J388" s="1" t="s">
        <v>95</v>
      </c>
      <c r="M388" s="1" t="s">
        <v>101</v>
      </c>
      <c r="O388" s="1">
        <v>1</v>
      </c>
    </row>
    <row r="389" spans="1:18" ht="14.25" customHeight="1" x14ac:dyDescent="0.3">
      <c r="A389" s="1" t="s">
        <v>989</v>
      </c>
      <c r="B389" s="1">
        <v>5</v>
      </c>
      <c r="C389" s="1">
        <v>13</v>
      </c>
      <c r="D389" s="1" t="str">
        <f t="shared" si="6"/>
        <v>Yes</v>
      </c>
      <c r="E389" s="1">
        <v>6.5</v>
      </c>
      <c r="F389" s="1">
        <v>226</v>
      </c>
      <c r="G389" s="1" t="s">
        <v>106</v>
      </c>
      <c r="H389" s="1" t="s">
        <v>95</v>
      </c>
      <c r="I389" s="1">
        <v>24.1</v>
      </c>
      <c r="J389" s="1" t="s">
        <v>95</v>
      </c>
      <c r="M389" s="1" t="s">
        <v>101</v>
      </c>
      <c r="O389" s="1">
        <v>1</v>
      </c>
      <c r="R389" s="1"/>
    </row>
    <row r="390" spans="1:18" ht="14.25" customHeight="1" x14ac:dyDescent="0.3">
      <c r="A390" s="1" t="s">
        <v>989</v>
      </c>
      <c r="B390" s="1">
        <v>5</v>
      </c>
      <c r="C390" s="1">
        <v>23</v>
      </c>
      <c r="D390" s="1" t="str">
        <f t="shared" si="6"/>
        <v>Yes</v>
      </c>
      <c r="E390" s="1">
        <v>4.5</v>
      </c>
      <c r="F390" s="1">
        <v>350</v>
      </c>
      <c r="G390" s="1" t="s">
        <v>106</v>
      </c>
      <c r="H390" s="1" t="s">
        <v>95</v>
      </c>
      <c r="I390" s="1">
        <v>21.6</v>
      </c>
      <c r="J390" s="1" t="s">
        <v>95</v>
      </c>
      <c r="M390" s="1" t="s">
        <v>102</v>
      </c>
      <c r="O390" s="1">
        <v>5</v>
      </c>
      <c r="R390" s="1"/>
    </row>
    <row r="391" spans="1:18" ht="14.25" customHeight="1" x14ac:dyDescent="0.3">
      <c r="A391" s="1" t="s">
        <v>989</v>
      </c>
      <c r="B391" s="1">
        <v>5</v>
      </c>
      <c r="C391" s="1">
        <v>16</v>
      </c>
      <c r="D391" s="1" t="str">
        <f t="shared" si="6"/>
        <v>Yes</v>
      </c>
      <c r="E391" s="1">
        <v>3.2</v>
      </c>
      <c r="F391" s="1">
        <v>277</v>
      </c>
      <c r="G391" s="1" t="s">
        <v>106</v>
      </c>
      <c r="H391" s="1" t="s">
        <v>95</v>
      </c>
      <c r="I391" s="1">
        <v>14.6</v>
      </c>
      <c r="J391" s="1" t="s">
        <v>95</v>
      </c>
      <c r="M391" s="1" t="s">
        <v>101</v>
      </c>
      <c r="O391" s="1">
        <v>1</v>
      </c>
    </row>
    <row r="392" spans="1:18" ht="14.25" customHeight="1" x14ac:dyDescent="0.3">
      <c r="A392" s="1" t="s">
        <v>989</v>
      </c>
      <c r="B392" s="1">
        <v>5</v>
      </c>
      <c r="C392" s="1">
        <v>19</v>
      </c>
      <c r="D392" s="1" t="str">
        <f t="shared" si="6"/>
        <v>Yes</v>
      </c>
      <c r="E392" s="1">
        <v>12.4</v>
      </c>
      <c r="F392" s="1">
        <v>286</v>
      </c>
      <c r="G392" s="1" t="s">
        <v>106</v>
      </c>
      <c r="H392" s="1" t="s">
        <v>95</v>
      </c>
      <c r="I392" s="1">
        <v>13</v>
      </c>
      <c r="J392" s="1" t="s">
        <v>101</v>
      </c>
      <c r="M392" s="1" t="s">
        <v>101</v>
      </c>
      <c r="O392" s="1">
        <v>5</v>
      </c>
      <c r="Q392" s="1" t="s">
        <v>180</v>
      </c>
    </row>
    <row r="393" spans="1:18" ht="14.25" customHeight="1" x14ac:dyDescent="0.3">
      <c r="A393" s="1" t="s">
        <v>989</v>
      </c>
      <c r="B393" s="1">
        <v>5</v>
      </c>
      <c r="C393" s="1">
        <v>14</v>
      </c>
      <c r="D393" s="1" t="str">
        <f t="shared" si="6"/>
        <v>Yes</v>
      </c>
      <c r="E393" s="1">
        <v>6.5</v>
      </c>
      <c r="F393" s="1">
        <v>226</v>
      </c>
      <c r="G393" s="1" t="s">
        <v>106</v>
      </c>
      <c r="H393" s="1" t="s">
        <v>95</v>
      </c>
      <c r="I393" s="1">
        <v>12.5</v>
      </c>
      <c r="J393" s="1" t="s">
        <v>101</v>
      </c>
      <c r="M393" s="1" t="s">
        <v>101</v>
      </c>
      <c r="O393" s="1">
        <v>5</v>
      </c>
      <c r="Q393" s="17" t="s">
        <v>162</v>
      </c>
      <c r="R393" s="20"/>
    </row>
    <row r="394" spans="1:18" ht="14.25" customHeight="1" x14ac:dyDescent="0.3">
      <c r="A394" s="1" t="s">
        <v>989</v>
      </c>
      <c r="B394" s="1">
        <v>5</v>
      </c>
      <c r="C394" s="1">
        <v>11</v>
      </c>
      <c r="D394" s="1" t="str">
        <f t="shared" si="6"/>
        <v>Yes</v>
      </c>
      <c r="E394" s="1">
        <v>8.5</v>
      </c>
      <c r="F394" s="1">
        <v>171</v>
      </c>
      <c r="G394" s="1" t="s">
        <v>106</v>
      </c>
      <c r="H394" s="1" t="s">
        <v>95</v>
      </c>
      <c r="I394" s="1">
        <v>12.2</v>
      </c>
      <c r="J394" s="1" t="s">
        <v>95</v>
      </c>
      <c r="M394" s="1" t="s">
        <v>101</v>
      </c>
      <c r="O394" s="1">
        <v>5</v>
      </c>
    </row>
    <row r="395" spans="1:18" ht="14.25" customHeight="1" x14ac:dyDescent="0.3">
      <c r="A395" s="1" t="s">
        <v>989</v>
      </c>
      <c r="B395" s="1">
        <v>5</v>
      </c>
      <c r="C395" s="1">
        <v>5</v>
      </c>
      <c r="D395" s="1" t="str">
        <f t="shared" si="6"/>
        <v>Yes</v>
      </c>
      <c r="E395" s="1">
        <v>7.7</v>
      </c>
      <c r="F395" s="1">
        <v>50</v>
      </c>
      <c r="G395" s="1" t="s">
        <v>106</v>
      </c>
      <c r="H395" s="1" t="s">
        <v>95</v>
      </c>
      <c r="I395" s="1">
        <v>7.9</v>
      </c>
      <c r="J395" s="1" t="s">
        <v>95</v>
      </c>
      <c r="M395" s="1" t="s">
        <v>101</v>
      </c>
      <c r="O395" s="1">
        <v>2</v>
      </c>
      <c r="R395" s="1"/>
    </row>
    <row r="396" spans="1:18" ht="14.25" customHeight="1" x14ac:dyDescent="0.3">
      <c r="A396" s="1" t="s">
        <v>989</v>
      </c>
      <c r="B396" s="1">
        <v>5</v>
      </c>
      <c r="C396" s="1">
        <v>18</v>
      </c>
      <c r="D396" s="1" t="str">
        <f t="shared" si="6"/>
        <v>Yes</v>
      </c>
      <c r="E396" s="1">
        <v>11.4</v>
      </c>
      <c r="F396" s="1">
        <v>308</v>
      </c>
      <c r="G396" s="1" t="s">
        <v>93</v>
      </c>
      <c r="H396" s="1" t="s">
        <v>95</v>
      </c>
      <c r="I396" s="1">
        <v>59.4</v>
      </c>
      <c r="J396" s="1" t="s">
        <v>95</v>
      </c>
      <c r="M396" s="1" t="s">
        <v>102</v>
      </c>
      <c r="O396" s="1">
        <v>5</v>
      </c>
    </row>
    <row r="397" spans="1:18" ht="14.25" customHeight="1" x14ac:dyDescent="0.3">
      <c r="A397" s="1" t="s">
        <v>989</v>
      </c>
      <c r="B397" s="1">
        <v>5</v>
      </c>
      <c r="C397" s="1">
        <v>21</v>
      </c>
      <c r="D397" s="1" t="str">
        <f t="shared" si="6"/>
        <v>Yes</v>
      </c>
      <c r="E397" s="1">
        <v>11.6</v>
      </c>
      <c r="F397" s="1">
        <v>330</v>
      </c>
      <c r="G397" s="1" t="s">
        <v>93</v>
      </c>
      <c r="H397" s="1" t="s">
        <v>95</v>
      </c>
      <c r="I397" s="1">
        <v>57.3</v>
      </c>
      <c r="J397" s="1" t="s">
        <v>95</v>
      </c>
      <c r="M397" s="1" t="s">
        <v>102</v>
      </c>
      <c r="O397" s="1">
        <v>5</v>
      </c>
      <c r="R397" s="1"/>
    </row>
    <row r="398" spans="1:18" ht="14.25" customHeight="1" x14ac:dyDescent="0.3">
      <c r="A398" s="1" t="s">
        <v>989</v>
      </c>
      <c r="B398" s="1">
        <v>5</v>
      </c>
      <c r="C398" s="1">
        <v>7</v>
      </c>
      <c r="D398" s="1" t="str">
        <f t="shared" si="6"/>
        <v>Yes</v>
      </c>
      <c r="E398" s="1">
        <v>10.3</v>
      </c>
      <c r="F398" s="1">
        <v>81</v>
      </c>
      <c r="G398" s="1" t="s">
        <v>93</v>
      </c>
      <c r="H398" s="1" t="s">
        <v>95</v>
      </c>
      <c r="I398" s="1">
        <v>25</v>
      </c>
      <c r="J398" s="1" t="s">
        <v>101</v>
      </c>
      <c r="M398" s="1" t="s">
        <v>101</v>
      </c>
      <c r="O398" s="1">
        <v>5</v>
      </c>
      <c r="Q398" s="1" t="s">
        <v>162</v>
      </c>
    </row>
    <row r="399" spans="1:18" ht="14.25" customHeight="1" x14ac:dyDescent="0.3">
      <c r="A399" s="1" t="s">
        <v>989</v>
      </c>
      <c r="B399" s="1">
        <v>5</v>
      </c>
      <c r="C399" s="1">
        <v>20</v>
      </c>
      <c r="D399" s="1" t="str">
        <f t="shared" si="6"/>
        <v>Yes</v>
      </c>
      <c r="E399" s="1">
        <v>10.9</v>
      </c>
      <c r="F399" s="1">
        <v>330</v>
      </c>
      <c r="G399" s="1" t="s">
        <v>93</v>
      </c>
      <c r="H399" s="1" t="s">
        <v>95</v>
      </c>
      <c r="I399" s="1">
        <v>21.8</v>
      </c>
      <c r="J399" s="1" t="s">
        <v>95</v>
      </c>
      <c r="M399" s="1" t="s">
        <v>101</v>
      </c>
      <c r="O399" s="1">
        <v>1</v>
      </c>
      <c r="Q399" s="20"/>
      <c r="R399" s="20"/>
    </row>
    <row r="400" spans="1:18" ht="14.25" customHeight="1" x14ac:dyDescent="0.3">
      <c r="A400" s="1" t="s">
        <v>989</v>
      </c>
      <c r="B400" s="1">
        <v>5</v>
      </c>
      <c r="C400" s="1">
        <v>4</v>
      </c>
      <c r="D400" s="1" t="str">
        <f t="shared" si="6"/>
        <v>Yes</v>
      </c>
      <c r="E400" s="1">
        <v>8.5</v>
      </c>
      <c r="F400" s="1">
        <v>8</v>
      </c>
      <c r="G400" s="1" t="s">
        <v>93</v>
      </c>
      <c r="H400" s="1" t="s">
        <v>95</v>
      </c>
      <c r="I400" s="1">
        <v>11</v>
      </c>
      <c r="J400" s="1" t="s">
        <v>101</v>
      </c>
      <c r="M400" s="1" t="s">
        <v>101</v>
      </c>
      <c r="O400" s="1">
        <v>5</v>
      </c>
      <c r="Q400" s="1" t="s">
        <v>162</v>
      </c>
    </row>
    <row r="401" spans="1:18" ht="14.25" customHeight="1" x14ac:dyDescent="0.3">
      <c r="A401" s="1" t="s">
        <v>989</v>
      </c>
      <c r="B401" s="1">
        <v>5</v>
      </c>
      <c r="C401" s="1">
        <v>12</v>
      </c>
      <c r="D401" s="1" t="str">
        <f t="shared" si="6"/>
        <v>Yes</v>
      </c>
      <c r="E401" s="1">
        <v>4.2</v>
      </c>
      <c r="F401" s="1">
        <v>208</v>
      </c>
      <c r="G401" s="1" t="s">
        <v>93</v>
      </c>
      <c r="H401" s="1" t="s">
        <v>95</v>
      </c>
      <c r="I401" s="1">
        <v>8.6</v>
      </c>
      <c r="J401" s="1" t="s">
        <v>95</v>
      </c>
      <c r="M401" s="1" t="s">
        <v>101</v>
      </c>
      <c r="O401" s="1">
        <v>1</v>
      </c>
      <c r="P401" s="1">
        <v>766</v>
      </c>
    </row>
    <row r="402" spans="1:18" ht="14.25" customHeight="1" x14ac:dyDescent="0.3">
      <c r="A402" s="1" t="s">
        <v>989</v>
      </c>
      <c r="B402" s="1">
        <v>5</v>
      </c>
      <c r="C402" s="1">
        <v>17</v>
      </c>
      <c r="D402" s="1" t="str">
        <f t="shared" si="6"/>
        <v>Yes</v>
      </c>
      <c r="E402" s="1">
        <v>7.9</v>
      </c>
      <c r="F402" s="1">
        <v>302</v>
      </c>
      <c r="G402" s="1" t="s">
        <v>96</v>
      </c>
      <c r="H402" s="1" t="s">
        <v>94</v>
      </c>
      <c r="I402" s="1">
        <v>78.8</v>
      </c>
      <c r="J402" s="1" t="s">
        <v>95</v>
      </c>
      <c r="K402" s="1">
        <v>5</v>
      </c>
      <c r="L402" s="1">
        <v>25</v>
      </c>
      <c r="M402" s="1" t="s">
        <v>97</v>
      </c>
      <c r="N402" s="1" t="s">
        <v>178</v>
      </c>
      <c r="R402" s="1"/>
    </row>
    <row r="403" spans="1:18" ht="14.25" customHeight="1" x14ac:dyDescent="0.3">
      <c r="A403" s="1" t="s">
        <v>989</v>
      </c>
      <c r="B403" s="1">
        <v>5</v>
      </c>
      <c r="C403" s="1">
        <v>10</v>
      </c>
      <c r="D403" s="1" t="str">
        <f t="shared" si="6"/>
        <v>Yes</v>
      </c>
      <c r="E403" s="1">
        <v>5.7</v>
      </c>
      <c r="F403" s="1">
        <v>150</v>
      </c>
      <c r="G403" s="1" t="s">
        <v>96</v>
      </c>
      <c r="H403" s="1" t="s">
        <v>94</v>
      </c>
      <c r="I403" s="45">
        <v>3.5</v>
      </c>
      <c r="J403" s="1" t="s">
        <v>95</v>
      </c>
      <c r="K403" s="1">
        <v>5</v>
      </c>
      <c r="L403" s="1">
        <v>70</v>
      </c>
      <c r="M403" s="1" t="s">
        <v>97</v>
      </c>
      <c r="N403" s="1" t="s">
        <v>178</v>
      </c>
      <c r="Q403" s="1" t="s">
        <v>179</v>
      </c>
    </row>
    <row r="404" spans="1:18" ht="14.25" customHeight="1" x14ac:dyDescent="0.3">
      <c r="A404" s="1" t="s">
        <v>989</v>
      </c>
      <c r="B404" s="1">
        <v>5</v>
      </c>
      <c r="C404" s="1">
        <v>8</v>
      </c>
      <c r="D404" s="1" t="str">
        <f t="shared" si="6"/>
        <v>Yes</v>
      </c>
      <c r="E404" s="1">
        <v>7.3</v>
      </c>
      <c r="F404" s="1">
        <v>94</v>
      </c>
      <c r="G404" s="1" t="s">
        <v>106</v>
      </c>
      <c r="H404" s="1" t="s">
        <v>94</v>
      </c>
      <c r="I404" s="1">
        <v>86</v>
      </c>
      <c r="J404" s="1" t="s">
        <v>95</v>
      </c>
      <c r="K404" s="1">
        <v>0</v>
      </c>
      <c r="L404" s="1">
        <v>40</v>
      </c>
      <c r="M404" s="1" t="s">
        <v>97</v>
      </c>
      <c r="N404" s="1" t="s">
        <v>178</v>
      </c>
    </row>
    <row r="405" spans="1:18" ht="14.25" customHeight="1" x14ac:dyDescent="0.3">
      <c r="A405" s="1" t="s">
        <v>989</v>
      </c>
      <c r="B405" s="1">
        <v>5</v>
      </c>
      <c r="C405" s="1">
        <v>1</v>
      </c>
      <c r="D405" s="1" t="str">
        <f t="shared" si="6"/>
        <v>Yes</v>
      </c>
      <c r="E405" s="1">
        <v>8.6999999999999993</v>
      </c>
      <c r="F405" s="1">
        <v>2</v>
      </c>
      <c r="G405" s="1" t="s">
        <v>93</v>
      </c>
      <c r="H405" s="1" t="s">
        <v>94</v>
      </c>
      <c r="I405" s="1">
        <v>81.7</v>
      </c>
      <c r="J405" s="1" t="s">
        <v>95</v>
      </c>
      <c r="K405" s="1">
        <v>1</v>
      </c>
      <c r="L405" s="1">
        <v>50</v>
      </c>
      <c r="M405" s="1" t="s">
        <v>97</v>
      </c>
      <c r="N405" s="1" t="s">
        <v>100</v>
      </c>
    </row>
    <row r="406" spans="1:18" ht="14.25" customHeight="1" x14ac:dyDescent="0.3">
      <c r="A406" s="1" t="s">
        <v>989</v>
      </c>
      <c r="B406" s="1">
        <v>5</v>
      </c>
      <c r="C406" s="1">
        <v>22</v>
      </c>
      <c r="D406" s="1" t="str">
        <f t="shared" si="6"/>
        <v>Yes</v>
      </c>
      <c r="E406" s="1">
        <v>10.7</v>
      </c>
      <c r="F406" s="1">
        <v>350</v>
      </c>
      <c r="G406" s="1" t="s">
        <v>93</v>
      </c>
      <c r="H406" s="1" t="s">
        <v>94</v>
      </c>
      <c r="I406" s="1">
        <v>62.9</v>
      </c>
      <c r="J406" s="1" t="s">
        <v>95</v>
      </c>
      <c r="K406" s="1">
        <v>1</v>
      </c>
      <c r="L406" s="1">
        <v>95</v>
      </c>
      <c r="M406" s="1" t="s">
        <v>97</v>
      </c>
      <c r="N406" s="1" t="s">
        <v>178</v>
      </c>
    </row>
    <row r="407" spans="1:18" ht="14.25" customHeight="1" x14ac:dyDescent="0.3">
      <c r="A407" s="1" t="s">
        <v>989</v>
      </c>
      <c r="B407" s="1">
        <v>6</v>
      </c>
      <c r="C407" s="1">
        <v>10</v>
      </c>
      <c r="D407" s="1" t="str">
        <f t="shared" si="6"/>
        <v>No</v>
      </c>
      <c r="E407" s="1">
        <v>16.7</v>
      </c>
      <c r="F407" s="1">
        <v>241</v>
      </c>
      <c r="G407" s="1" t="s">
        <v>93</v>
      </c>
      <c r="H407" s="1" t="s">
        <v>95</v>
      </c>
      <c r="I407" s="1">
        <v>12.2</v>
      </c>
      <c r="J407" s="1" t="s">
        <v>95</v>
      </c>
      <c r="M407" s="1" t="s">
        <v>101</v>
      </c>
      <c r="O407" s="1">
        <v>1</v>
      </c>
    </row>
    <row r="408" spans="1:18" ht="14.25" customHeight="1" x14ac:dyDescent="0.3">
      <c r="A408" s="1" t="s">
        <v>989</v>
      </c>
      <c r="B408" s="1">
        <v>6</v>
      </c>
      <c r="C408" s="1">
        <v>11</v>
      </c>
      <c r="D408" s="1" t="str">
        <f t="shared" si="6"/>
        <v>Yes</v>
      </c>
      <c r="E408" s="1">
        <v>9.9</v>
      </c>
      <c r="F408" s="1">
        <v>251</v>
      </c>
      <c r="G408" s="1" t="s">
        <v>96</v>
      </c>
      <c r="H408" s="1" t="s">
        <v>95</v>
      </c>
      <c r="I408" s="1">
        <v>57.8</v>
      </c>
      <c r="J408" s="1" t="s">
        <v>95</v>
      </c>
      <c r="M408" s="1" t="s">
        <v>97</v>
      </c>
      <c r="O408" s="1">
        <v>1</v>
      </c>
      <c r="P408" s="1">
        <v>770</v>
      </c>
      <c r="R408" s="1"/>
    </row>
    <row r="409" spans="1:18" ht="14.25" customHeight="1" x14ac:dyDescent="0.3">
      <c r="A409" s="1" t="s">
        <v>989</v>
      </c>
      <c r="B409" s="1">
        <v>6</v>
      </c>
      <c r="C409" s="1">
        <v>13</v>
      </c>
      <c r="D409" s="1" t="str">
        <f t="shared" si="6"/>
        <v>Yes</v>
      </c>
      <c r="E409" s="1">
        <v>4.4000000000000004</v>
      </c>
      <c r="F409" s="1">
        <v>265</v>
      </c>
      <c r="G409" s="1" t="s">
        <v>96</v>
      </c>
      <c r="H409" s="1" t="s">
        <v>95</v>
      </c>
      <c r="I409" s="1">
        <v>37.200000000000003</v>
      </c>
      <c r="J409" s="1" t="s">
        <v>95</v>
      </c>
      <c r="M409" s="1" t="s">
        <v>102</v>
      </c>
      <c r="O409" s="1">
        <v>1</v>
      </c>
    </row>
    <row r="410" spans="1:18" ht="14.25" customHeight="1" x14ac:dyDescent="0.3">
      <c r="A410" s="1" t="s">
        <v>989</v>
      </c>
      <c r="B410" s="1">
        <v>6</v>
      </c>
      <c r="C410" s="1">
        <v>5</v>
      </c>
      <c r="D410" s="1" t="str">
        <f t="shared" si="6"/>
        <v>Yes</v>
      </c>
      <c r="E410" s="1">
        <v>2.7</v>
      </c>
      <c r="F410" s="1">
        <v>117</v>
      </c>
      <c r="G410" s="1" t="s">
        <v>96</v>
      </c>
      <c r="H410" s="1" t="s">
        <v>95</v>
      </c>
      <c r="I410" s="1">
        <v>28</v>
      </c>
      <c r="J410" s="1" t="s">
        <v>95</v>
      </c>
      <c r="M410" s="1" t="s">
        <v>102</v>
      </c>
      <c r="O410" s="1">
        <v>1</v>
      </c>
      <c r="R410" s="1"/>
    </row>
    <row r="411" spans="1:18" ht="14.25" customHeight="1" x14ac:dyDescent="0.3">
      <c r="A411" s="1" t="s">
        <v>989</v>
      </c>
      <c r="B411" s="1">
        <v>6</v>
      </c>
      <c r="C411" s="1">
        <v>17</v>
      </c>
      <c r="D411" s="1" t="str">
        <f t="shared" si="6"/>
        <v>Yes</v>
      </c>
      <c r="E411" s="1">
        <v>9.1999999999999993</v>
      </c>
      <c r="F411" s="1">
        <v>324</v>
      </c>
      <c r="G411" s="1" t="s">
        <v>173</v>
      </c>
      <c r="H411" s="1" t="s">
        <v>95</v>
      </c>
      <c r="I411" s="1">
        <v>10.6</v>
      </c>
      <c r="J411" s="1" t="s">
        <v>95</v>
      </c>
      <c r="M411" s="1" t="s">
        <v>101</v>
      </c>
      <c r="O411" s="1">
        <v>1</v>
      </c>
      <c r="Q411" s="1" t="s">
        <v>181</v>
      </c>
    </row>
    <row r="412" spans="1:18" ht="14.25" customHeight="1" x14ac:dyDescent="0.3">
      <c r="A412" s="1" t="s">
        <v>989</v>
      </c>
      <c r="B412" s="1">
        <v>6</v>
      </c>
      <c r="C412" s="1">
        <v>16</v>
      </c>
      <c r="D412" s="1" t="str">
        <f t="shared" si="6"/>
        <v>Yes</v>
      </c>
      <c r="E412" s="1">
        <v>9.1999999999999993</v>
      </c>
      <c r="F412" s="1">
        <v>324</v>
      </c>
      <c r="G412" s="1" t="s">
        <v>173</v>
      </c>
      <c r="H412" s="1" t="s">
        <v>95</v>
      </c>
      <c r="I412" s="1">
        <v>9.5</v>
      </c>
      <c r="J412" s="1" t="s">
        <v>95</v>
      </c>
      <c r="M412" s="1" t="s">
        <v>101</v>
      </c>
      <c r="O412" s="1">
        <v>1</v>
      </c>
      <c r="Q412" s="1" t="s">
        <v>181</v>
      </c>
    </row>
    <row r="413" spans="1:18" ht="14.25" customHeight="1" x14ac:dyDescent="0.3">
      <c r="A413" s="1" t="s">
        <v>989</v>
      </c>
      <c r="B413" s="1">
        <v>6</v>
      </c>
      <c r="C413" s="1">
        <v>18</v>
      </c>
      <c r="D413" s="1" t="str">
        <f t="shared" si="6"/>
        <v>Yes</v>
      </c>
      <c r="E413" s="1">
        <v>12</v>
      </c>
      <c r="F413" s="1">
        <v>353</v>
      </c>
      <c r="G413" s="1" t="s">
        <v>106</v>
      </c>
      <c r="H413" s="1" t="s">
        <v>95</v>
      </c>
      <c r="I413" s="1">
        <v>35.200000000000003</v>
      </c>
      <c r="J413" s="1" t="s">
        <v>95</v>
      </c>
      <c r="M413" s="1" t="s">
        <v>102</v>
      </c>
      <c r="O413" s="1">
        <v>1</v>
      </c>
    </row>
    <row r="414" spans="1:18" ht="14.25" customHeight="1" x14ac:dyDescent="0.3">
      <c r="A414" s="1" t="s">
        <v>989</v>
      </c>
      <c r="B414" s="1">
        <v>6</v>
      </c>
      <c r="C414" s="1">
        <v>1</v>
      </c>
      <c r="D414" s="1" t="str">
        <f t="shared" si="6"/>
        <v>Yes</v>
      </c>
      <c r="E414" s="1">
        <v>6</v>
      </c>
      <c r="F414" s="1">
        <v>11</v>
      </c>
      <c r="G414" s="1" t="s">
        <v>106</v>
      </c>
      <c r="H414" s="1" t="s">
        <v>95</v>
      </c>
      <c r="I414" s="1">
        <v>30</v>
      </c>
      <c r="J414" s="1" t="s">
        <v>101</v>
      </c>
      <c r="M414" s="1" t="s">
        <v>101</v>
      </c>
      <c r="O414" s="1">
        <v>5</v>
      </c>
    </row>
    <row r="415" spans="1:18" ht="14.25" customHeight="1" x14ac:dyDescent="0.3">
      <c r="A415" s="1" t="s">
        <v>989</v>
      </c>
      <c r="B415" s="1">
        <v>6</v>
      </c>
      <c r="C415" s="1">
        <v>3</v>
      </c>
      <c r="D415" s="1" t="str">
        <f t="shared" si="6"/>
        <v>Yes</v>
      </c>
      <c r="E415" s="1">
        <v>5.9</v>
      </c>
      <c r="F415" s="1">
        <v>59</v>
      </c>
      <c r="G415" s="1" t="s">
        <v>106</v>
      </c>
      <c r="H415" s="1" t="s">
        <v>95</v>
      </c>
      <c r="I415" s="1">
        <v>21.5</v>
      </c>
      <c r="J415" s="1" t="s">
        <v>95</v>
      </c>
      <c r="M415" s="1" t="s">
        <v>95</v>
      </c>
      <c r="O415" s="1">
        <v>1</v>
      </c>
      <c r="P415" s="1">
        <v>769</v>
      </c>
    </row>
    <row r="416" spans="1:18" ht="14.25" customHeight="1" x14ac:dyDescent="0.3">
      <c r="A416" s="1" t="s">
        <v>989</v>
      </c>
      <c r="B416" s="1">
        <v>6</v>
      </c>
      <c r="C416" s="1">
        <v>15</v>
      </c>
      <c r="D416" s="1" t="str">
        <f t="shared" si="6"/>
        <v>Yes</v>
      </c>
      <c r="E416" s="1">
        <v>9.9</v>
      </c>
      <c r="F416" s="1">
        <v>306</v>
      </c>
      <c r="G416" s="1" t="s">
        <v>106</v>
      </c>
      <c r="H416" s="1" t="s">
        <v>95</v>
      </c>
      <c r="I416" s="1">
        <v>19</v>
      </c>
      <c r="J416" s="1" t="s">
        <v>101</v>
      </c>
      <c r="M416" s="1" t="s">
        <v>101</v>
      </c>
      <c r="O416" s="1">
        <v>5</v>
      </c>
    </row>
    <row r="417" spans="1:18" ht="14.25" customHeight="1" x14ac:dyDescent="0.3">
      <c r="A417" s="1" t="s">
        <v>989</v>
      </c>
      <c r="B417" s="1">
        <v>6</v>
      </c>
      <c r="C417" s="1">
        <v>14</v>
      </c>
      <c r="D417" s="1" t="str">
        <f t="shared" si="6"/>
        <v>Yes</v>
      </c>
      <c r="E417" s="1">
        <v>10.5</v>
      </c>
      <c r="F417" s="1">
        <v>296</v>
      </c>
      <c r="G417" s="1" t="s">
        <v>106</v>
      </c>
      <c r="H417" s="1" t="s">
        <v>95</v>
      </c>
      <c r="I417" s="1">
        <v>18.2</v>
      </c>
      <c r="J417" s="1" t="s">
        <v>95</v>
      </c>
      <c r="M417" s="1" t="s">
        <v>101</v>
      </c>
      <c r="O417" s="1">
        <v>1</v>
      </c>
    </row>
    <row r="418" spans="1:18" ht="14.25" customHeight="1" x14ac:dyDescent="0.3">
      <c r="A418" s="1" t="s">
        <v>989</v>
      </c>
      <c r="B418" s="1">
        <v>6</v>
      </c>
      <c r="C418" s="1">
        <v>6</v>
      </c>
      <c r="D418" s="1" t="str">
        <f t="shared" si="6"/>
        <v>Yes</v>
      </c>
      <c r="E418" s="1">
        <v>9</v>
      </c>
      <c r="F418" s="1">
        <v>160</v>
      </c>
      <c r="G418" s="1" t="s">
        <v>106</v>
      </c>
      <c r="H418" s="1" t="s">
        <v>95</v>
      </c>
      <c r="I418" s="1">
        <v>12.6</v>
      </c>
      <c r="J418" s="1" t="s">
        <v>95</v>
      </c>
      <c r="M418" s="1" t="s">
        <v>101</v>
      </c>
      <c r="O418" s="1">
        <v>2</v>
      </c>
      <c r="Q418" s="20"/>
      <c r="R418" s="20"/>
    </row>
    <row r="419" spans="1:18" ht="14.25" customHeight="1" x14ac:dyDescent="0.3">
      <c r="A419" s="1" t="s">
        <v>989</v>
      </c>
      <c r="B419" s="1">
        <v>6</v>
      </c>
      <c r="C419" s="1">
        <v>8</v>
      </c>
      <c r="D419" s="1" t="str">
        <f t="shared" si="6"/>
        <v>Yes</v>
      </c>
      <c r="E419" s="1">
        <v>6.5</v>
      </c>
      <c r="F419" s="1">
        <v>198</v>
      </c>
      <c r="G419" s="1" t="s">
        <v>106</v>
      </c>
      <c r="H419" s="1" t="s">
        <v>95</v>
      </c>
      <c r="I419" s="1">
        <v>12.2</v>
      </c>
      <c r="J419" s="1" t="s">
        <v>95</v>
      </c>
      <c r="M419" s="1" t="s">
        <v>101</v>
      </c>
      <c r="O419" s="1">
        <v>2</v>
      </c>
    </row>
    <row r="420" spans="1:18" ht="14.25" customHeight="1" x14ac:dyDescent="0.3">
      <c r="A420" s="1" t="s">
        <v>989</v>
      </c>
      <c r="B420" s="1">
        <v>6</v>
      </c>
      <c r="C420" s="1">
        <v>9</v>
      </c>
      <c r="D420" s="1" t="str">
        <f t="shared" si="6"/>
        <v>Yes</v>
      </c>
      <c r="E420" s="1">
        <v>9.1999999999999993</v>
      </c>
      <c r="F420" s="1">
        <v>214</v>
      </c>
      <c r="G420" s="1" t="s">
        <v>106</v>
      </c>
      <c r="H420" s="1" t="s">
        <v>95</v>
      </c>
      <c r="I420" s="1">
        <v>10.8</v>
      </c>
      <c r="J420" s="1" t="s">
        <v>95</v>
      </c>
      <c r="M420" s="1" t="s">
        <v>101</v>
      </c>
      <c r="O420" s="1">
        <v>2</v>
      </c>
    </row>
    <row r="421" spans="1:18" ht="14.25" customHeight="1" x14ac:dyDescent="0.3">
      <c r="A421" s="1" t="s">
        <v>989</v>
      </c>
      <c r="B421" s="1">
        <v>6</v>
      </c>
      <c r="C421" s="1">
        <v>4</v>
      </c>
      <c r="D421" s="1" t="str">
        <f t="shared" si="6"/>
        <v>Yes</v>
      </c>
      <c r="E421" s="1">
        <v>9.8000000000000007</v>
      </c>
      <c r="F421" s="1">
        <v>74</v>
      </c>
      <c r="G421" s="1" t="s">
        <v>93</v>
      </c>
      <c r="H421" s="1" t="s">
        <v>95</v>
      </c>
      <c r="I421" s="1">
        <v>65</v>
      </c>
      <c r="J421" s="1" t="s">
        <v>95</v>
      </c>
      <c r="M421" s="1" t="s">
        <v>102</v>
      </c>
      <c r="O421" s="1">
        <v>5</v>
      </c>
    </row>
    <row r="422" spans="1:18" ht="14.25" customHeight="1" x14ac:dyDescent="0.3">
      <c r="A422" s="1" t="s">
        <v>989</v>
      </c>
      <c r="B422" s="1">
        <v>6</v>
      </c>
      <c r="C422" s="1">
        <v>2</v>
      </c>
      <c r="D422" s="1" t="str">
        <f t="shared" si="6"/>
        <v>Yes</v>
      </c>
      <c r="E422" s="1">
        <v>7.7</v>
      </c>
      <c r="F422" s="1">
        <v>29</v>
      </c>
      <c r="G422" s="1" t="s">
        <v>93</v>
      </c>
      <c r="H422" s="1" t="s">
        <v>95</v>
      </c>
      <c r="I422" s="1">
        <v>54.4</v>
      </c>
      <c r="J422" s="1" t="s">
        <v>95</v>
      </c>
      <c r="M422" s="1" t="s">
        <v>102</v>
      </c>
      <c r="O422" s="1">
        <v>1</v>
      </c>
      <c r="P422" s="1">
        <v>768</v>
      </c>
    </row>
    <row r="423" spans="1:18" ht="14.25" customHeight="1" x14ac:dyDescent="0.3">
      <c r="A423" s="1" t="s">
        <v>989</v>
      </c>
      <c r="B423" s="1">
        <v>6</v>
      </c>
      <c r="C423" s="1">
        <v>7</v>
      </c>
      <c r="D423" s="1" t="str">
        <f t="shared" si="6"/>
        <v>Yes</v>
      </c>
      <c r="E423" s="1">
        <v>10.3</v>
      </c>
      <c r="F423" s="1">
        <v>190</v>
      </c>
      <c r="G423" s="1" t="s">
        <v>93</v>
      </c>
      <c r="H423" s="1" t="s">
        <v>95</v>
      </c>
      <c r="I423" s="1">
        <v>15.5</v>
      </c>
      <c r="J423" s="1" t="s">
        <v>95</v>
      </c>
      <c r="M423" s="1" t="s">
        <v>101</v>
      </c>
      <c r="O423" s="1">
        <v>2</v>
      </c>
    </row>
    <row r="424" spans="1:18" ht="14.25" customHeight="1" x14ac:dyDescent="0.3">
      <c r="A424" s="1" t="s">
        <v>989</v>
      </c>
      <c r="B424" s="1">
        <v>6</v>
      </c>
      <c r="C424" s="1">
        <v>12</v>
      </c>
      <c r="D424" s="1" t="str">
        <f t="shared" si="6"/>
        <v>Yes</v>
      </c>
      <c r="E424" s="1">
        <v>6.2</v>
      </c>
      <c r="F424" s="1">
        <v>161</v>
      </c>
      <c r="G424" s="1" t="s">
        <v>93</v>
      </c>
      <c r="H424" s="1" t="s">
        <v>95</v>
      </c>
      <c r="I424" s="1">
        <v>10.5</v>
      </c>
      <c r="J424" s="1" t="s">
        <v>101</v>
      </c>
      <c r="M424" s="1" t="s">
        <v>101</v>
      </c>
      <c r="O424" s="1">
        <v>5</v>
      </c>
      <c r="Q424" s="20"/>
      <c r="R424" s="20"/>
    </row>
    <row r="425" spans="1:18" ht="14.25" customHeight="1" x14ac:dyDescent="0.3">
      <c r="A425" s="1" t="s">
        <v>989</v>
      </c>
      <c r="B425" s="1">
        <v>7</v>
      </c>
      <c r="D425" s="1" t="str">
        <f t="shared" si="6"/>
        <v>No</v>
      </c>
      <c r="E425" s="1">
        <v>15</v>
      </c>
      <c r="F425" s="1">
        <v>291</v>
      </c>
      <c r="G425" s="1" t="s">
        <v>93</v>
      </c>
      <c r="H425" s="1" t="s">
        <v>95</v>
      </c>
      <c r="I425" s="1">
        <v>86.3</v>
      </c>
      <c r="J425" s="1" t="s">
        <v>95</v>
      </c>
      <c r="M425" s="1" t="s">
        <v>102</v>
      </c>
      <c r="O425" s="1">
        <v>1</v>
      </c>
      <c r="P425" s="1">
        <v>726</v>
      </c>
    </row>
    <row r="426" spans="1:18" ht="14.25" customHeight="1" x14ac:dyDescent="0.3">
      <c r="A426" s="1" t="s">
        <v>989</v>
      </c>
      <c r="B426" s="1">
        <v>7</v>
      </c>
      <c r="C426" s="1">
        <v>24</v>
      </c>
      <c r="D426" s="1" t="str">
        <f t="shared" si="6"/>
        <v>Yes</v>
      </c>
      <c r="E426" s="1">
        <v>7.9</v>
      </c>
      <c r="F426" s="1">
        <v>160</v>
      </c>
      <c r="G426" s="1" t="s">
        <v>96</v>
      </c>
      <c r="H426" s="1" t="s">
        <v>95</v>
      </c>
      <c r="I426" s="1">
        <v>106.5</v>
      </c>
      <c r="J426" s="1" t="s">
        <v>95</v>
      </c>
      <c r="M426" s="1" t="s">
        <v>95</v>
      </c>
      <c r="O426" s="1">
        <v>5</v>
      </c>
      <c r="Q426" s="1" t="s">
        <v>175</v>
      </c>
    </row>
    <row r="427" spans="1:18" ht="14.25" customHeight="1" x14ac:dyDescent="0.3">
      <c r="A427" s="1" t="s">
        <v>989</v>
      </c>
      <c r="B427" s="1">
        <v>7</v>
      </c>
      <c r="C427" s="1">
        <v>22</v>
      </c>
      <c r="D427" s="1" t="str">
        <f t="shared" si="6"/>
        <v>Yes</v>
      </c>
      <c r="E427" s="1">
        <v>10.8</v>
      </c>
      <c r="F427" s="1">
        <v>342</v>
      </c>
      <c r="G427" s="1" t="s">
        <v>96</v>
      </c>
      <c r="H427" s="1" t="s">
        <v>95</v>
      </c>
      <c r="I427" s="1">
        <v>26.3</v>
      </c>
      <c r="J427" s="1" t="s">
        <v>95</v>
      </c>
      <c r="M427" s="1" t="s">
        <v>101</v>
      </c>
      <c r="O427" s="1">
        <v>1</v>
      </c>
    </row>
    <row r="428" spans="1:18" ht="14.25" customHeight="1" x14ac:dyDescent="0.3">
      <c r="A428" s="1" t="s">
        <v>989</v>
      </c>
      <c r="B428" s="1">
        <v>7</v>
      </c>
      <c r="C428" s="1">
        <v>21</v>
      </c>
      <c r="D428" s="1" t="str">
        <f t="shared" si="6"/>
        <v>Yes</v>
      </c>
      <c r="E428" s="1">
        <v>12</v>
      </c>
      <c r="F428" s="1">
        <v>327</v>
      </c>
      <c r="G428" s="1" t="s">
        <v>96</v>
      </c>
      <c r="H428" s="1" t="s">
        <v>95</v>
      </c>
      <c r="I428" s="1">
        <v>21.6</v>
      </c>
      <c r="J428" s="1" t="s">
        <v>95</v>
      </c>
      <c r="M428" s="1" t="s">
        <v>101</v>
      </c>
      <c r="O428" s="1">
        <v>1</v>
      </c>
    </row>
    <row r="429" spans="1:18" ht="14.25" customHeight="1" x14ac:dyDescent="0.3">
      <c r="A429" s="1" t="s">
        <v>989</v>
      </c>
      <c r="B429" s="1">
        <v>7</v>
      </c>
      <c r="C429" s="1">
        <v>4</v>
      </c>
      <c r="D429" s="1" t="str">
        <f t="shared" si="6"/>
        <v>Yes</v>
      </c>
      <c r="E429" s="1">
        <v>7.6</v>
      </c>
      <c r="F429" s="1">
        <v>48</v>
      </c>
      <c r="G429" s="1" t="s">
        <v>96</v>
      </c>
      <c r="H429" s="1" t="s">
        <v>95</v>
      </c>
      <c r="I429" s="1">
        <v>19.2</v>
      </c>
      <c r="J429" s="1" t="s">
        <v>95</v>
      </c>
      <c r="M429" s="1" t="s">
        <v>101</v>
      </c>
      <c r="O429" s="1">
        <v>1</v>
      </c>
    </row>
    <row r="430" spans="1:18" ht="14.25" customHeight="1" x14ac:dyDescent="0.3">
      <c r="A430" s="1" t="s">
        <v>989</v>
      </c>
      <c r="B430" s="1">
        <v>7</v>
      </c>
      <c r="C430" s="1">
        <v>23</v>
      </c>
      <c r="D430" s="1" t="str">
        <f t="shared" si="6"/>
        <v>Yes</v>
      </c>
      <c r="E430" s="1">
        <v>10.3</v>
      </c>
      <c r="F430" s="1">
        <v>348</v>
      </c>
      <c r="G430" s="1" t="s">
        <v>96</v>
      </c>
      <c r="H430" s="1" t="s">
        <v>95</v>
      </c>
      <c r="I430" s="1">
        <v>18.3</v>
      </c>
      <c r="J430" s="1" t="s">
        <v>95</v>
      </c>
      <c r="M430" s="1" t="s">
        <v>101</v>
      </c>
      <c r="O430" s="1">
        <v>1</v>
      </c>
      <c r="R430" s="1"/>
    </row>
    <row r="431" spans="1:18" ht="14.25" customHeight="1" x14ac:dyDescent="0.3">
      <c r="A431" s="1" t="s">
        <v>989</v>
      </c>
      <c r="B431" s="1">
        <v>7</v>
      </c>
      <c r="C431" s="1">
        <v>2</v>
      </c>
      <c r="D431" s="1" t="str">
        <f t="shared" si="6"/>
        <v>Yes</v>
      </c>
      <c r="E431" s="1">
        <v>8.1999999999999993</v>
      </c>
      <c r="F431" s="1">
        <v>29</v>
      </c>
      <c r="G431" s="1" t="s">
        <v>96</v>
      </c>
      <c r="H431" s="1" t="s">
        <v>95</v>
      </c>
      <c r="I431" s="1">
        <v>16</v>
      </c>
      <c r="J431" s="1" t="s">
        <v>95</v>
      </c>
      <c r="M431" s="1" t="s">
        <v>101</v>
      </c>
      <c r="O431" s="1">
        <v>1</v>
      </c>
    </row>
    <row r="432" spans="1:18" ht="14.25" customHeight="1" x14ac:dyDescent="0.3">
      <c r="A432" s="1" t="s">
        <v>989</v>
      </c>
      <c r="B432" s="1">
        <v>7</v>
      </c>
      <c r="C432" s="1">
        <v>9</v>
      </c>
      <c r="D432" s="1" t="str">
        <f t="shared" si="6"/>
        <v>Yes</v>
      </c>
      <c r="E432" s="1">
        <v>5.2</v>
      </c>
      <c r="F432" s="1">
        <v>90</v>
      </c>
      <c r="G432" s="66" t="s">
        <v>111</v>
      </c>
      <c r="H432" s="1" t="s">
        <v>95</v>
      </c>
      <c r="I432" s="1">
        <v>19</v>
      </c>
      <c r="J432" s="1" t="s">
        <v>95</v>
      </c>
      <c r="M432" s="1" t="s">
        <v>101</v>
      </c>
      <c r="O432" s="1">
        <v>1</v>
      </c>
    </row>
    <row r="433" spans="1:17" ht="14.25" customHeight="1" x14ac:dyDescent="0.3">
      <c r="A433" s="1" t="s">
        <v>989</v>
      </c>
      <c r="B433" s="1">
        <v>7</v>
      </c>
      <c r="C433" s="1">
        <v>10</v>
      </c>
      <c r="D433" s="1" t="str">
        <f t="shared" si="6"/>
        <v>Yes</v>
      </c>
      <c r="E433" s="1">
        <v>5.4</v>
      </c>
      <c r="F433" s="1">
        <v>91</v>
      </c>
      <c r="G433" s="66" t="s">
        <v>111</v>
      </c>
      <c r="H433" s="1" t="s">
        <v>95</v>
      </c>
      <c r="I433" s="1">
        <v>18.2</v>
      </c>
      <c r="J433" s="1" t="s">
        <v>95</v>
      </c>
      <c r="M433" s="1" t="s">
        <v>101</v>
      </c>
      <c r="O433" s="1">
        <v>1</v>
      </c>
    </row>
    <row r="434" spans="1:17" ht="14.25" customHeight="1" x14ac:dyDescent="0.3">
      <c r="A434" s="1" t="s">
        <v>989</v>
      </c>
      <c r="B434" s="1">
        <v>7</v>
      </c>
      <c r="C434" s="1">
        <v>19</v>
      </c>
      <c r="D434" s="1" t="str">
        <f t="shared" si="6"/>
        <v>Yes</v>
      </c>
      <c r="E434" s="1">
        <v>4.5999999999999996</v>
      </c>
      <c r="F434" s="1">
        <v>328</v>
      </c>
      <c r="G434" s="66" t="s">
        <v>111</v>
      </c>
      <c r="H434" s="1" t="s">
        <v>95</v>
      </c>
      <c r="I434" s="1">
        <v>13.9</v>
      </c>
      <c r="J434" s="1" t="s">
        <v>95</v>
      </c>
      <c r="M434" s="1" t="s">
        <v>101</v>
      </c>
      <c r="O434" s="1">
        <v>1</v>
      </c>
    </row>
    <row r="435" spans="1:17" ht="14.25" customHeight="1" x14ac:dyDescent="0.3">
      <c r="A435" s="1" t="s">
        <v>989</v>
      </c>
      <c r="B435" s="1">
        <v>7</v>
      </c>
      <c r="C435" s="1">
        <v>11</v>
      </c>
      <c r="D435" s="1" t="str">
        <f t="shared" si="6"/>
        <v>Yes</v>
      </c>
      <c r="E435" s="1">
        <v>12</v>
      </c>
      <c r="F435" s="1">
        <v>113</v>
      </c>
      <c r="G435" s="1" t="s">
        <v>173</v>
      </c>
      <c r="H435" s="1" t="s">
        <v>95</v>
      </c>
      <c r="I435" s="1">
        <v>11.5</v>
      </c>
      <c r="J435" s="1" t="s">
        <v>95</v>
      </c>
      <c r="M435" s="1" t="s">
        <v>101</v>
      </c>
      <c r="O435" s="1">
        <v>1</v>
      </c>
      <c r="Q435" s="1" t="s">
        <v>174</v>
      </c>
    </row>
    <row r="436" spans="1:17" ht="14.25" customHeight="1" x14ac:dyDescent="0.3">
      <c r="A436" s="1" t="s">
        <v>989</v>
      </c>
      <c r="B436" s="1">
        <v>7</v>
      </c>
      <c r="C436" s="1">
        <v>18</v>
      </c>
      <c r="D436" s="1" t="str">
        <f t="shared" si="6"/>
        <v>Yes</v>
      </c>
      <c r="E436" s="1">
        <v>8.8000000000000007</v>
      </c>
      <c r="F436" s="1">
        <v>279</v>
      </c>
      <c r="G436" s="1" t="s">
        <v>106</v>
      </c>
      <c r="H436" s="1" t="s">
        <v>95</v>
      </c>
      <c r="I436" s="1">
        <v>33.200000000000003</v>
      </c>
      <c r="J436" s="1" t="s">
        <v>95</v>
      </c>
      <c r="M436" s="1" t="s">
        <v>101</v>
      </c>
      <c r="O436" s="1">
        <v>1</v>
      </c>
    </row>
    <row r="437" spans="1:17" ht="14.25" customHeight="1" x14ac:dyDescent="0.3">
      <c r="A437" s="1" t="s">
        <v>989</v>
      </c>
      <c r="B437" s="1">
        <v>7</v>
      </c>
      <c r="C437" s="1">
        <v>20</v>
      </c>
      <c r="D437" s="1" t="str">
        <f t="shared" si="6"/>
        <v>Yes</v>
      </c>
      <c r="E437" s="1">
        <v>11.1</v>
      </c>
      <c r="F437" s="1">
        <v>320</v>
      </c>
      <c r="G437" s="1" t="s">
        <v>106</v>
      </c>
      <c r="H437" s="1" t="s">
        <v>95</v>
      </c>
      <c r="I437" s="1">
        <v>32.1</v>
      </c>
      <c r="J437" s="1" t="s">
        <v>95</v>
      </c>
      <c r="M437" s="1" t="s">
        <v>101</v>
      </c>
      <c r="O437" s="1">
        <v>1</v>
      </c>
    </row>
    <row r="438" spans="1:17" ht="14.25" customHeight="1" x14ac:dyDescent="0.3">
      <c r="A438" s="1" t="s">
        <v>989</v>
      </c>
      <c r="B438" s="1">
        <v>7</v>
      </c>
      <c r="C438" s="1">
        <v>3</v>
      </c>
      <c r="D438" s="1" t="str">
        <f t="shared" si="6"/>
        <v>Yes</v>
      </c>
      <c r="E438" s="1">
        <v>5.6</v>
      </c>
      <c r="F438" s="1">
        <v>36</v>
      </c>
      <c r="G438" s="1" t="s">
        <v>106</v>
      </c>
      <c r="H438" s="1" t="s">
        <v>95</v>
      </c>
      <c r="I438" s="1">
        <v>26.2</v>
      </c>
      <c r="J438" s="1" t="s">
        <v>95</v>
      </c>
      <c r="M438" s="1" t="s">
        <v>101</v>
      </c>
      <c r="O438" s="1">
        <v>1</v>
      </c>
    </row>
    <row r="439" spans="1:17" ht="14.25" customHeight="1" x14ac:dyDescent="0.3">
      <c r="A439" s="1" t="s">
        <v>989</v>
      </c>
      <c r="B439" s="1">
        <v>7</v>
      </c>
      <c r="C439" s="1">
        <v>1</v>
      </c>
      <c r="D439" s="1" t="str">
        <f t="shared" si="6"/>
        <v>Yes</v>
      </c>
      <c r="E439" s="1">
        <v>7.1</v>
      </c>
      <c r="F439" s="1">
        <v>9</v>
      </c>
      <c r="G439" s="1" t="s">
        <v>106</v>
      </c>
      <c r="H439" s="1" t="s">
        <v>95</v>
      </c>
      <c r="I439" s="19">
        <v>22.8</v>
      </c>
      <c r="J439" s="1" t="s">
        <v>95</v>
      </c>
      <c r="M439" s="1" t="s">
        <v>101</v>
      </c>
      <c r="O439" s="1">
        <v>1</v>
      </c>
      <c r="P439" s="1">
        <v>727</v>
      </c>
    </row>
    <row r="440" spans="1:17" ht="14.25" customHeight="1" x14ac:dyDescent="0.3">
      <c r="A440" s="1" t="s">
        <v>989</v>
      </c>
      <c r="B440" s="1">
        <v>7</v>
      </c>
      <c r="C440" s="1">
        <v>15</v>
      </c>
      <c r="D440" s="1" t="str">
        <f t="shared" si="6"/>
        <v>Yes</v>
      </c>
      <c r="E440" s="1">
        <v>9.6</v>
      </c>
      <c r="F440" s="1">
        <v>225</v>
      </c>
      <c r="G440" s="1" t="s">
        <v>106</v>
      </c>
      <c r="H440" s="1" t="s">
        <v>95</v>
      </c>
      <c r="I440" s="1">
        <v>21.8</v>
      </c>
      <c r="J440" s="1" t="s">
        <v>95</v>
      </c>
      <c r="M440" s="1" t="s">
        <v>101</v>
      </c>
      <c r="O440" s="1">
        <v>1</v>
      </c>
    </row>
    <row r="441" spans="1:17" ht="14.25" customHeight="1" x14ac:dyDescent="0.3">
      <c r="A441" s="1" t="s">
        <v>989</v>
      </c>
      <c r="B441" s="1">
        <v>7</v>
      </c>
      <c r="C441" s="1">
        <v>17</v>
      </c>
      <c r="D441" s="1" t="str">
        <f t="shared" si="6"/>
        <v>Yes</v>
      </c>
      <c r="E441" s="1">
        <v>4.5999999999999996</v>
      </c>
      <c r="F441" s="1">
        <v>264</v>
      </c>
      <c r="G441" s="1" t="s">
        <v>106</v>
      </c>
      <c r="H441" s="1" t="s">
        <v>95</v>
      </c>
      <c r="I441" s="1">
        <v>20</v>
      </c>
      <c r="J441" s="1" t="s">
        <v>95</v>
      </c>
      <c r="M441" s="1" t="s">
        <v>101</v>
      </c>
      <c r="O441" s="1">
        <v>1</v>
      </c>
    </row>
    <row r="442" spans="1:17" ht="14.25" customHeight="1" x14ac:dyDescent="0.3">
      <c r="A442" s="1" t="s">
        <v>989</v>
      </c>
      <c r="B442" s="1">
        <v>7</v>
      </c>
      <c r="C442" s="1">
        <v>14</v>
      </c>
      <c r="D442" s="1" t="str">
        <f t="shared" si="6"/>
        <v>Yes</v>
      </c>
      <c r="E442" s="1">
        <v>9</v>
      </c>
      <c r="F442" s="1">
        <v>192</v>
      </c>
      <c r="G442" s="1" t="s">
        <v>106</v>
      </c>
      <c r="H442" s="1" t="s">
        <v>95</v>
      </c>
      <c r="I442" s="1">
        <v>11.5</v>
      </c>
      <c r="J442" s="1" t="s">
        <v>95</v>
      </c>
      <c r="M442" s="1" t="s">
        <v>101</v>
      </c>
      <c r="O442" s="1">
        <v>1</v>
      </c>
    </row>
    <row r="443" spans="1:17" ht="14.25" customHeight="1" x14ac:dyDescent="0.3">
      <c r="A443" s="1" t="s">
        <v>989</v>
      </c>
      <c r="B443" s="1">
        <v>7</v>
      </c>
      <c r="C443" s="1">
        <v>12</v>
      </c>
      <c r="D443" s="1" t="str">
        <f t="shared" si="6"/>
        <v>Yes</v>
      </c>
      <c r="E443" s="1">
        <v>3.7</v>
      </c>
      <c r="F443" s="1">
        <v>115</v>
      </c>
      <c r="G443" s="1" t="s">
        <v>106</v>
      </c>
      <c r="H443" s="1" t="s">
        <v>95</v>
      </c>
      <c r="I443" s="1">
        <v>11.4</v>
      </c>
      <c r="J443" s="1" t="s">
        <v>95</v>
      </c>
      <c r="M443" s="1" t="s">
        <v>101</v>
      </c>
      <c r="O443" s="1">
        <v>1</v>
      </c>
    </row>
    <row r="444" spans="1:17" ht="14.25" customHeight="1" x14ac:dyDescent="0.3">
      <c r="A444" s="1" t="s">
        <v>989</v>
      </c>
      <c r="B444" s="1">
        <v>7</v>
      </c>
      <c r="C444" s="1">
        <v>16</v>
      </c>
      <c r="D444" s="1" t="str">
        <f t="shared" si="6"/>
        <v>Yes</v>
      </c>
      <c r="E444" s="1">
        <v>4.7</v>
      </c>
      <c r="F444" s="1">
        <v>236</v>
      </c>
      <c r="G444" s="1" t="s">
        <v>106</v>
      </c>
      <c r="H444" s="1" t="s">
        <v>95</v>
      </c>
      <c r="I444" s="1">
        <v>10.1</v>
      </c>
      <c r="J444" s="1" t="s">
        <v>95</v>
      </c>
      <c r="M444" s="1" t="s">
        <v>101</v>
      </c>
      <c r="O444" s="1">
        <v>1</v>
      </c>
    </row>
    <row r="445" spans="1:17" ht="14.25" customHeight="1" x14ac:dyDescent="0.3">
      <c r="A445" s="1" t="s">
        <v>989</v>
      </c>
      <c r="B445" s="1">
        <v>7</v>
      </c>
      <c r="C445" s="1">
        <v>7</v>
      </c>
      <c r="D445" s="1" t="str">
        <f t="shared" si="6"/>
        <v>Yes</v>
      </c>
      <c r="E445" s="1">
        <v>9.3000000000000007</v>
      </c>
      <c r="F445" s="1">
        <v>75</v>
      </c>
      <c r="G445" s="1" t="s">
        <v>106</v>
      </c>
      <c r="H445" s="1" t="s">
        <v>95</v>
      </c>
      <c r="I445" s="1">
        <v>9.1999999999999993</v>
      </c>
      <c r="J445" s="1" t="s">
        <v>95</v>
      </c>
      <c r="M445" s="1" t="s">
        <v>101</v>
      </c>
      <c r="O445" s="1">
        <v>1</v>
      </c>
    </row>
    <row r="446" spans="1:17" ht="14.25" customHeight="1" x14ac:dyDescent="0.3">
      <c r="A446" s="1" t="s">
        <v>989</v>
      </c>
      <c r="B446" s="1">
        <v>7</v>
      </c>
      <c r="C446" s="1">
        <v>13</v>
      </c>
      <c r="D446" s="1" t="str">
        <f t="shared" si="6"/>
        <v>Yes</v>
      </c>
      <c r="E446" s="1">
        <v>12.3</v>
      </c>
      <c r="F446" s="1">
        <v>169</v>
      </c>
      <c r="G446" s="1" t="s">
        <v>93</v>
      </c>
      <c r="H446" s="1" t="s">
        <v>95</v>
      </c>
      <c r="I446" s="1">
        <v>69</v>
      </c>
      <c r="J446" s="1" t="s">
        <v>95</v>
      </c>
      <c r="M446" s="1" t="s">
        <v>102</v>
      </c>
      <c r="O446" s="1">
        <v>5</v>
      </c>
    </row>
    <row r="447" spans="1:17" ht="14.25" customHeight="1" x14ac:dyDescent="0.3">
      <c r="A447" s="1" t="s">
        <v>989</v>
      </c>
      <c r="B447" s="1">
        <v>7</v>
      </c>
      <c r="C447" s="1">
        <v>8</v>
      </c>
      <c r="D447" s="1" t="str">
        <f t="shared" si="6"/>
        <v>Yes</v>
      </c>
      <c r="E447" s="1">
        <v>6.9</v>
      </c>
      <c r="F447" s="1">
        <v>83</v>
      </c>
      <c r="G447" s="1" t="s">
        <v>93</v>
      </c>
      <c r="H447" s="1" t="s">
        <v>95</v>
      </c>
      <c r="I447" s="1">
        <v>58.2</v>
      </c>
      <c r="J447" s="1" t="s">
        <v>95</v>
      </c>
      <c r="M447" s="1" t="s">
        <v>102</v>
      </c>
      <c r="O447" s="1">
        <v>1</v>
      </c>
      <c r="P447" s="1">
        <v>725</v>
      </c>
    </row>
    <row r="448" spans="1:17" ht="14.25" customHeight="1" x14ac:dyDescent="0.3">
      <c r="A448" s="1" t="s">
        <v>989</v>
      </c>
      <c r="B448" s="1">
        <v>7</v>
      </c>
      <c r="C448" s="1">
        <v>5</v>
      </c>
      <c r="D448" s="1" t="str">
        <f t="shared" si="6"/>
        <v>Yes</v>
      </c>
      <c r="E448" s="1">
        <v>11.4</v>
      </c>
      <c r="F448" s="1">
        <v>46</v>
      </c>
      <c r="G448" s="1" t="s">
        <v>93</v>
      </c>
      <c r="H448" s="1" t="s">
        <v>95</v>
      </c>
      <c r="I448" s="1">
        <v>29</v>
      </c>
      <c r="J448" s="1" t="s">
        <v>95</v>
      </c>
      <c r="M448" s="1" t="s">
        <v>101</v>
      </c>
      <c r="O448" s="1">
        <v>1</v>
      </c>
    </row>
    <row r="449" spans="1:18" ht="14.25" customHeight="1" x14ac:dyDescent="0.3">
      <c r="A449" s="1" t="s">
        <v>989</v>
      </c>
      <c r="B449" s="1">
        <v>7</v>
      </c>
      <c r="C449" s="1">
        <v>6</v>
      </c>
      <c r="D449" s="1" t="str">
        <f t="shared" si="6"/>
        <v>Yes</v>
      </c>
      <c r="E449" s="1">
        <v>10.9</v>
      </c>
      <c r="F449" s="1">
        <v>50</v>
      </c>
      <c r="G449" s="1" t="s">
        <v>93</v>
      </c>
      <c r="H449" s="1" t="s">
        <v>95</v>
      </c>
      <c r="I449" s="19">
        <v>28.5</v>
      </c>
      <c r="J449" s="1" t="s">
        <v>95</v>
      </c>
      <c r="M449" s="1" t="s">
        <v>101</v>
      </c>
      <c r="O449" s="1">
        <v>1</v>
      </c>
      <c r="R449" s="1"/>
    </row>
    <row r="450" spans="1:18" ht="14.25" customHeight="1" x14ac:dyDescent="0.3">
      <c r="A450" s="1" t="s">
        <v>989</v>
      </c>
      <c r="B450" s="1">
        <v>8</v>
      </c>
      <c r="C450" s="1">
        <v>8</v>
      </c>
      <c r="D450" s="1" t="str">
        <f t="shared" ref="D450:D513" si="7">IF(E450&gt;12.5, "No", "Yes")</f>
        <v>Yes</v>
      </c>
      <c r="E450" s="1">
        <v>8.5</v>
      </c>
      <c r="F450" s="1">
        <v>119</v>
      </c>
      <c r="G450" s="1" t="s">
        <v>109</v>
      </c>
      <c r="H450" s="1" t="s">
        <v>95</v>
      </c>
      <c r="I450" s="1">
        <v>134.4</v>
      </c>
      <c r="J450" s="1" t="s">
        <v>95</v>
      </c>
      <c r="M450" s="1" t="s">
        <v>97</v>
      </c>
      <c r="O450" s="1">
        <v>1</v>
      </c>
      <c r="R450" s="1"/>
    </row>
    <row r="451" spans="1:18" ht="14.25" customHeight="1" x14ac:dyDescent="0.3">
      <c r="A451" s="1" t="s">
        <v>989</v>
      </c>
      <c r="B451" s="1">
        <v>8</v>
      </c>
      <c r="C451" s="1">
        <v>7</v>
      </c>
      <c r="D451" s="1" t="str">
        <f t="shared" si="7"/>
        <v>Yes</v>
      </c>
      <c r="E451" s="1">
        <v>5.9</v>
      </c>
      <c r="F451" s="1">
        <v>110</v>
      </c>
      <c r="G451" s="1" t="s">
        <v>109</v>
      </c>
      <c r="H451" s="1" t="s">
        <v>95</v>
      </c>
      <c r="I451" s="1">
        <v>34.700000000000003</v>
      </c>
      <c r="J451" s="1" t="s">
        <v>95</v>
      </c>
      <c r="M451" s="1" t="s">
        <v>97</v>
      </c>
      <c r="O451" s="1">
        <v>1</v>
      </c>
      <c r="P451" s="1">
        <v>728</v>
      </c>
      <c r="R451" s="1"/>
    </row>
    <row r="452" spans="1:18" ht="14.25" customHeight="1" x14ac:dyDescent="0.3">
      <c r="A452" s="1" t="s">
        <v>989</v>
      </c>
      <c r="B452" s="1">
        <v>8</v>
      </c>
      <c r="C452" s="1">
        <v>21</v>
      </c>
      <c r="D452" s="1" t="str">
        <f t="shared" si="7"/>
        <v>Yes</v>
      </c>
      <c r="E452" s="1">
        <v>11.7</v>
      </c>
      <c r="F452" s="1">
        <v>268</v>
      </c>
      <c r="G452" s="1" t="s">
        <v>173</v>
      </c>
      <c r="H452" s="1" t="s">
        <v>95</v>
      </c>
      <c r="I452" s="19">
        <v>25.4</v>
      </c>
      <c r="J452" s="1" t="s">
        <v>95</v>
      </c>
      <c r="M452" s="1" t="s">
        <v>101</v>
      </c>
      <c r="O452" s="1">
        <v>1</v>
      </c>
      <c r="Q452" s="1" t="s">
        <v>174</v>
      </c>
      <c r="R452" s="1"/>
    </row>
    <row r="453" spans="1:18" ht="14.25" customHeight="1" x14ac:dyDescent="0.3">
      <c r="A453" s="1" t="s">
        <v>989</v>
      </c>
      <c r="B453" s="1">
        <v>8</v>
      </c>
      <c r="C453" s="1">
        <v>26</v>
      </c>
      <c r="D453" s="1" t="str">
        <f t="shared" si="7"/>
        <v>Yes</v>
      </c>
      <c r="E453" s="1">
        <v>8.5</v>
      </c>
      <c r="F453" s="1">
        <v>351</v>
      </c>
      <c r="G453" s="1" t="s">
        <v>173</v>
      </c>
      <c r="H453" s="1" t="s">
        <v>95</v>
      </c>
      <c r="I453" s="1">
        <v>19.3</v>
      </c>
      <c r="J453" s="1" t="s">
        <v>95</v>
      </c>
      <c r="M453" s="1" t="s">
        <v>101</v>
      </c>
      <c r="O453" s="1">
        <v>1</v>
      </c>
      <c r="R453" s="1"/>
    </row>
    <row r="454" spans="1:18" ht="14.25" customHeight="1" x14ac:dyDescent="0.3">
      <c r="A454" s="1" t="s">
        <v>989</v>
      </c>
      <c r="B454" s="1">
        <v>8</v>
      </c>
      <c r="C454" s="1">
        <v>27</v>
      </c>
      <c r="D454" s="1" t="str">
        <f t="shared" si="7"/>
        <v>Yes</v>
      </c>
      <c r="E454" s="1">
        <v>8</v>
      </c>
      <c r="F454" s="1">
        <v>355</v>
      </c>
      <c r="G454" s="1" t="s">
        <v>173</v>
      </c>
      <c r="H454" s="1" t="s">
        <v>95</v>
      </c>
      <c r="I454" s="1">
        <v>17.7</v>
      </c>
      <c r="J454" s="1" t="s">
        <v>95</v>
      </c>
      <c r="M454" s="1" t="s">
        <v>101</v>
      </c>
      <c r="O454" s="1">
        <v>1</v>
      </c>
    </row>
    <row r="455" spans="1:18" ht="14.25" customHeight="1" x14ac:dyDescent="0.3">
      <c r="A455" s="1" t="s">
        <v>989</v>
      </c>
      <c r="B455" s="1">
        <v>8</v>
      </c>
      <c r="C455" s="1">
        <v>15</v>
      </c>
      <c r="D455" s="1" t="str">
        <f t="shared" si="7"/>
        <v>Yes</v>
      </c>
      <c r="E455" s="17">
        <v>10</v>
      </c>
      <c r="F455" s="1">
        <v>158</v>
      </c>
      <c r="G455" s="1" t="s">
        <v>173</v>
      </c>
      <c r="H455" s="1" t="s">
        <v>95</v>
      </c>
      <c r="I455" s="19">
        <v>15.5</v>
      </c>
      <c r="J455" s="1" t="s">
        <v>95</v>
      </c>
      <c r="M455" s="1" t="s">
        <v>101</v>
      </c>
      <c r="O455" s="1">
        <v>1</v>
      </c>
      <c r="Q455" s="1" t="s">
        <v>174</v>
      </c>
      <c r="R455" s="1"/>
    </row>
    <row r="456" spans="1:18" ht="14.25" customHeight="1" x14ac:dyDescent="0.3">
      <c r="A456" s="1" t="s">
        <v>989</v>
      </c>
      <c r="B456" s="1">
        <v>8</v>
      </c>
      <c r="C456" s="1">
        <v>19</v>
      </c>
      <c r="D456" s="1" t="str">
        <f t="shared" si="7"/>
        <v>Yes</v>
      </c>
      <c r="E456" s="1">
        <v>5.9</v>
      </c>
      <c r="F456" s="1">
        <v>250</v>
      </c>
      <c r="G456" s="1" t="s">
        <v>173</v>
      </c>
      <c r="H456" s="1" t="s">
        <v>95</v>
      </c>
      <c r="I456" s="1">
        <v>14.3</v>
      </c>
      <c r="J456" s="1" t="s">
        <v>95</v>
      </c>
      <c r="M456" s="1" t="s">
        <v>101</v>
      </c>
      <c r="O456" s="1">
        <v>1</v>
      </c>
      <c r="Q456" s="1" t="s">
        <v>174</v>
      </c>
      <c r="R456" s="1"/>
    </row>
    <row r="457" spans="1:18" ht="14.25" customHeight="1" x14ac:dyDescent="0.3">
      <c r="A457" s="1" t="s">
        <v>989</v>
      </c>
      <c r="B457" s="1">
        <v>8</v>
      </c>
      <c r="C457" s="1">
        <v>17</v>
      </c>
      <c r="D457" s="1" t="str">
        <f t="shared" si="7"/>
        <v>Yes</v>
      </c>
      <c r="E457" s="1">
        <v>10.8</v>
      </c>
      <c r="F457" s="1">
        <v>202</v>
      </c>
      <c r="G457" s="1" t="s">
        <v>173</v>
      </c>
      <c r="H457" s="1" t="s">
        <v>95</v>
      </c>
      <c r="I457" s="1">
        <v>14.1</v>
      </c>
      <c r="J457" s="1" t="s">
        <v>95</v>
      </c>
      <c r="M457" s="1" t="s">
        <v>101</v>
      </c>
      <c r="O457" s="1">
        <v>1</v>
      </c>
      <c r="Q457" s="1" t="s">
        <v>174</v>
      </c>
    </row>
    <row r="458" spans="1:18" ht="14.25" customHeight="1" x14ac:dyDescent="0.3">
      <c r="A458" s="1" t="s">
        <v>989</v>
      </c>
      <c r="B458" s="1">
        <v>8</v>
      </c>
      <c r="C458" s="1">
        <v>5</v>
      </c>
      <c r="D458" s="1" t="str">
        <f t="shared" si="7"/>
        <v>Yes</v>
      </c>
      <c r="E458" s="1">
        <v>11.2</v>
      </c>
      <c r="F458" s="1">
        <v>187</v>
      </c>
      <c r="G458" s="1" t="s">
        <v>173</v>
      </c>
      <c r="H458" s="1" t="s">
        <v>95</v>
      </c>
      <c r="I458" s="1">
        <v>13.8</v>
      </c>
      <c r="J458" s="1" t="s">
        <v>95</v>
      </c>
      <c r="M458" s="1" t="s">
        <v>101</v>
      </c>
      <c r="O458" s="1">
        <v>1</v>
      </c>
      <c r="Q458" s="1" t="s">
        <v>174</v>
      </c>
      <c r="R458" s="1"/>
    </row>
    <row r="459" spans="1:18" ht="14.25" customHeight="1" x14ac:dyDescent="0.3">
      <c r="A459" s="1" t="s">
        <v>989</v>
      </c>
      <c r="B459" s="1">
        <v>8</v>
      </c>
      <c r="C459" s="1">
        <v>6</v>
      </c>
      <c r="D459" s="1" t="str">
        <f t="shared" si="7"/>
        <v>Yes</v>
      </c>
      <c r="E459" s="1">
        <v>11.5</v>
      </c>
      <c r="F459" s="1">
        <v>102</v>
      </c>
      <c r="G459" s="66" t="s">
        <v>173</v>
      </c>
      <c r="H459" s="1" t="s">
        <v>95</v>
      </c>
      <c r="I459" s="1">
        <v>12.5</v>
      </c>
      <c r="J459" s="1" t="s">
        <v>95</v>
      </c>
      <c r="M459" s="1" t="s">
        <v>101</v>
      </c>
      <c r="O459" s="1">
        <v>1</v>
      </c>
      <c r="Q459" s="1" t="s">
        <v>174</v>
      </c>
    </row>
    <row r="460" spans="1:18" ht="14.25" customHeight="1" x14ac:dyDescent="0.3">
      <c r="A460" s="1" t="s">
        <v>989</v>
      </c>
      <c r="B460" s="1">
        <v>8</v>
      </c>
      <c r="C460" s="1">
        <v>3</v>
      </c>
      <c r="D460" s="1" t="str">
        <f t="shared" si="7"/>
        <v>Yes</v>
      </c>
      <c r="E460" s="1">
        <v>4.7</v>
      </c>
      <c r="F460" s="1">
        <v>88</v>
      </c>
      <c r="G460" s="1" t="s">
        <v>173</v>
      </c>
      <c r="H460" s="1" t="s">
        <v>95</v>
      </c>
      <c r="I460" s="1">
        <v>11.3</v>
      </c>
      <c r="J460" s="1" t="s">
        <v>101</v>
      </c>
      <c r="M460" s="1" t="s">
        <v>101</v>
      </c>
      <c r="O460" s="1">
        <v>5</v>
      </c>
      <c r="Q460" s="1" t="s">
        <v>176</v>
      </c>
      <c r="R460" s="1"/>
    </row>
    <row r="461" spans="1:18" ht="14.25" customHeight="1" x14ac:dyDescent="0.3">
      <c r="A461" s="1" t="s">
        <v>989</v>
      </c>
      <c r="B461" s="1">
        <v>8</v>
      </c>
      <c r="C461" s="1">
        <v>1</v>
      </c>
      <c r="D461" s="1" t="str">
        <f t="shared" si="7"/>
        <v>Yes</v>
      </c>
      <c r="E461" s="1">
        <v>10.8</v>
      </c>
      <c r="F461" s="19">
        <v>42</v>
      </c>
      <c r="G461" s="1" t="s">
        <v>173</v>
      </c>
      <c r="H461" s="1" t="s">
        <v>95</v>
      </c>
      <c r="I461" s="45">
        <v>3.5</v>
      </c>
      <c r="J461" s="1" t="s">
        <v>95</v>
      </c>
      <c r="M461" s="1" t="s">
        <v>101</v>
      </c>
      <c r="O461" s="1">
        <v>1</v>
      </c>
      <c r="Q461" s="1" t="s">
        <v>174</v>
      </c>
      <c r="R461" s="1"/>
    </row>
    <row r="462" spans="1:18" ht="14.25" customHeight="1" x14ac:dyDescent="0.3">
      <c r="A462" s="1" t="s">
        <v>989</v>
      </c>
      <c r="B462" s="1">
        <v>8</v>
      </c>
      <c r="C462" s="1">
        <v>4</v>
      </c>
      <c r="D462" s="1" t="str">
        <f t="shared" si="7"/>
        <v>Yes</v>
      </c>
      <c r="E462" s="1">
        <v>4.2</v>
      </c>
      <c r="F462" s="1">
        <v>89</v>
      </c>
      <c r="G462" s="1" t="s">
        <v>173</v>
      </c>
      <c r="H462" s="1" t="s">
        <v>95</v>
      </c>
      <c r="I462" s="44">
        <v>2.8</v>
      </c>
      <c r="J462" s="1" t="s">
        <v>101</v>
      </c>
      <c r="M462" s="1" t="s">
        <v>101</v>
      </c>
      <c r="O462" s="1">
        <v>5</v>
      </c>
      <c r="Q462" s="1" t="s">
        <v>176</v>
      </c>
    </row>
    <row r="463" spans="1:18" ht="14.25" customHeight="1" x14ac:dyDescent="0.3">
      <c r="A463" s="1" t="s">
        <v>989</v>
      </c>
      <c r="B463" s="1">
        <v>8</v>
      </c>
      <c r="C463" s="1">
        <v>20</v>
      </c>
      <c r="D463" s="1" t="str">
        <f t="shared" si="7"/>
        <v>Yes</v>
      </c>
      <c r="E463" s="1">
        <v>5.5</v>
      </c>
      <c r="F463" s="1">
        <v>253</v>
      </c>
      <c r="G463" s="1" t="s">
        <v>173</v>
      </c>
      <c r="H463" s="1" t="s">
        <v>95</v>
      </c>
      <c r="I463" s="45">
        <v>2.7</v>
      </c>
      <c r="J463" s="1" t="s">
        <v>95</v>
      </c>
      <c r="M463" s="1" t="s">
        <v>101</v>
      </c>
      <c r="O463" s="1">
        <v>1</v>
      </c>
      <c r="Q463" s="1" t="s">
        <v>174</v>
      </c>
      <c r="R463" s="1"/>
    </row>
    <row r="464" spans="1:18" ht="14.25" customHeight="1" x14ac:dyDescent="0.3">
      <c r="A464" s="1" t="s">
        <v>989</v>
      </c>
      <c r="B464" s="1">
        <v>8</v>
      </c>
      <c r="C464" s="1">
        <v>16</v>
      </c>
      <c r="D464" s="1" t="str">
        <f t="shared" si="7"/>
        <v>Yes</v>
      </c>
      <c r="E464" s="1">
        <v>10.5</v>
      </c>
      <c r="F464" s="1">
        <v>202</v>
      </c>
      <c r="G464" s="1" t="s">
        <v>173</v>
      </c>
      <c r="H464" s="1" t="s">
        <v>95</v>
      </c>
      <c r="I464" s="44">
        <v>0.3</v>
      </c>
      <c r="J464" s="1" t="s">
        <v>95</v>
      </c>
      <c r="M464" s="1" t="s">
        <v>101</v>
      </c>
      <c r="O464" s="1">
        <v>1</v>
      </c>
      <c r="Q464" s="1" t="s">
        <v>174</v>
      </c>
    </row>
    <row r="465" spans="1:18" ht="14.25" customHeight="1" x14ac:dyDescent="0.3">
      <c r="A465" s="1" t="s">
        <v>989</v>
      </c>
      <c r="B465" s="1">
        <v>8</v>
      </c>
      <c r="C465" s="1">
        <v>10</v>
      </c>
      <c r="D465" s="1" t="str">
        <f t="shared" si="7"/>
        <v>Yes</v>
      </c>
      <c r="E465" s="1">
        <v>12.3</v>
      </c>
      <c r="F465" s="1">
        <v>139</v>
      </c>
      <c r="G465" s="1" t="s">
        <v>106</v>
      </c>
      <c r="H465" s="1" t="s">
        <v>95</v>
      </c>
      <c r="I465" s="1">
        <v>77.400000000000006</v>
      </c>
      <c r="J465" s="1" t="s">
        <v>95</v>
      </c>
      <c r="M465" s="1" t="s">
        <v>101</v>
      </c>
      <c r="O465" s="1">
        <v>1</v>
      </c>
    </row>
    <row r="466" spans="1:18" ht="14.25" customHeight="1" x14ac:dyDescent="0.3">
      <c r="A466" s="1" t="s">
        <v>989</v>
      </c>
      <c r="B466" s="1">
        <v>8</v>
      </c>
      <c r="C466" s="1">
        <v>14</v>
      </c>
      <c r="D466" s="1" t="str">
        <f t="shared" si="7"/>
        <v>Yes</v>
      </c>
      <c r="E466" s="1">
        <v>4.7</v>
      </c>
      <c r="F466" s="1">
        <v>83</v>
      </c>
      <c r="G466" s="1" t="s">
        <v>106</v>
      </c>
      <c r="H466" s="1" t="s">
        <v>95</v>
      </c>
      <c r="I466" s="19">
        <v>14.7</v>
      </c>
      <c r="J466" s="1" t="s">
        <v>95</v>
      </c>
      <c r="M466" s="1" t="s">
        <v>101</v>
      </c>
      <c r="O466" s="1">
        <v>1</v>
      </c>
    </row>
    <row r="467" spans="1:18" ht="14.25" customHeight="1" x14ac:dyDescent="0.3">
      <c r="A467" s="1" t="s">
        <v>989</v>
      </c>
      <c r="B467" s="1">
        <v>8</v>
      </c>
      <c r="C467" s="1">
        <v>9</v>
      </c>
      <c r="D467" s="1" t="str">
        <f t="shared" si="7"/>
        <v>Yes</v>
      </c>
      <c r="E467" s="1">
        <v>11.3</v>
      </c>
      <c r="F467" s="1">
        <v>114</v>
      </c>
      <c r="G467" s="1" t="s">
        <v>106</v>
      </c>
      <c r="H467" s="1" t="s">
        <v>95</v>
      </c>
      <c r="I467" s="1">
        <v>14.1</v>
      </c>
      <c r="J467" s="1" t="s">
        <v>95</v>
      </c>
      <c r="M467" s="1" t="s">
        <v>101</v>
      </c>
      <c r="O467" s="1">
        <v>1</v>
      </c>
      <c r="R467" s="1"/>
    </row>
    <row r="468" spans="1:18" ht="14.25" customHeight="1" x14ac:dyDescent="0.3">
      <c r="A468" s="1" t="s">
        <v>989</v>
      </c>
      <c r="B468" s="1">
        <v>8</v>
      </c>
      <c r="C468" s="1">
        <v>25</v>
      </c>
      <c r="D468" s="1" t="str">
        <f t="shared" si="7"/>
        <v>Yes</v>
      </c>
      <c r="E468" s="1">
        <v>8.4</v>
      </c>
      <c r="F468" s="1">
        <v>308</v>
      </c>
      <c r="G468" s="1" t="s">
        <v>106</v>
      </c>
      <c r="H468" s="1" t="s">
        <v>95</v>
      </c>
      <c r="I468" s="1">
        <v>13.7</v>
      </c>
      <c r="J468" s="1" t="s">
        <v>95</v>
      </c>
      <c r="M468" s="1" t="s">
        <v>101</v>
      </c>
      <c r="O468" s="1">
        <v>1</v>
      </c>
    </row>
    <row r="469" spans="1:18" ht="14.25" customHeight="1" x14ac:dyDescent="0.3">
      <c r="A469" s="1" t="s">
        <v>989</v>
      </c>
      <c r="B469" s="1">
        <v>8</v>
      </c>
      <c r="C469" s="1">
        <v>23</v>
      </c>
      <c r="D469" s="1" t="str">
        <f t="shared" si="7"/>
        <v>Yes</v>
      </c>
      <c r="E469" s="1">
        <v>6.1</v>
      </c>
      <c r="F469" s="1">
        <v>285</v>
      </c>
      <c r="G469" s="1" t="s">
        <v>106</v>
      </c>
      <c r="H469" s="1" t="s">
        <v>95</v>
      </c>
      <c r="I469" s="1">
        <v>11.2</v>
      </c>
      <c r="J469" s="1" t="s">
        <v>95</v>
      </c>
      <c r="M469" s="1" t="s">
        <v>101</v>
      </c>
      <c r="O469" s="1">
        <v>1</v>
      </c>
    </row>
    <row r="470" spans="1:18" ht="14.25" customHeight="1" x14ac:dyDescent="0.3">
      <c r="A470" s="1" t="s">
        <v>989</v>
      </c>
      <c r="B470" s="1">
        <v>8</v>
      </c>
      <c r="C470" s="1">
        <v>24</v>
      </c>
      <c r="D470" s="1" t="str">
        <f t="shared" si="7"/>
        <v>Yes</v>
      </c>
      <c r="E470" s="1">
        <v>7.6</v>
      </c>
      <c r="F470" s="1">
        <v>304</v>
      </c>
      <c r="G470" s="1" t="s">
        <v>93</v>
      </c>
      <c r="H470" s="1" t="s">
        <v>95</v>
      </c>
      <c r="I470" s="1">
        <v>94.9</v>
      </c>
      <c r="J470" s="1" t="s">
        <v>95</v>
      </c>
      <c r="M470" s="1" t="s">
        <v>102</v>
      </c>
      <c r="O470" s="1">
        <v>1</v>
      </c>
      <c r="P470" s="1">
        <v>730</v>
      </c>
    </row>
    <row r="471" spans="1:18" ht="14.25" customHeight="1" x14ac:dyDescent="0.3">
      <c r="A471" s="1" t="s">
        <v>989</v>
      </c>
      <c r="B471" s="1">
        <v>8</v>
      </c>
      <c r="C471" s="1">
        <v>18</v>
      </c>
      <c r="D471" s="1" t="str">
        <f t="shared" si="7"/>
        <v>Yes</v>
      </c>
      <c r="E471" s="1">
        <v>11.2</v>
      </c>
      <c r="F471" s="1">
        <v>228</v>
      </c>
      <c r="G471" s="1" t="s">
        <v>93</v>
      </c>
      <c r="H471" s="1" t="s">
        <v>95</v>
      </c>
      <c r="I471" s="1">
        <v>78.2</v>
      </c>
      <c r="J471" s="1" t="s">
        <v>95</v>
      </c>
      <c r="M471" s="1" t="s">
        <v>102</v>
      </c>
      <c r="O471" s="1">
        <v>1</v>
      </c>
      <c r="P471" s="1">
        <v>729</v>
      </c>
    </row>
    <row r="472" spans="1:18" ht="14.25" customHeight="1" x14ac:dyDescent="0.3">
      <c r="A472" s="1" t="s">
        <v>989</v>
      </c>
      <c r="B472" s="1">
        <v>8</v>
      </c>
      <c r="C472" s="1">
        <v>11</v>
      </c>
      <c r="D472" s="1" t="str">
        <f t="shared" si="7"/>
        <v>Yes</v>
      </c>
      <c r="E472" s="1">
        <v>9.3000000000000007</v>
      </c>
      <c r="F472" s="1">
        <v>162</v>
      </c>
      <c r="G472" s="1" t="s">
        <v>93</v>
      </c>
      <c r="H472" s="1" t="s">
        <v>95</v>
      </c>
      <c r="I472" s="1">
        <v>66.5</v>
      </c>
      <c r="J472" s="1" t="s">
        <v>95</v>
      </c>
      <c r="M472" s="1" t="s">
        <v>102</v>
      </c>
      <c r="O472" s="1">
        <v>1</v>
      </c>
    </row>
    <row r="473" spans="1:18" ht="14.25" customHeight="1" x14ac:dyDescent="0.3">
      <c r="A473" s="1" t="s">
        <v>989</v>
      </c>
      <c r="B473" s="1">
        <v>8</v>
      </c>
      <c r="C473" s="1">
        <v>2</v>
      </c>
      <c r="D473" s="1" t="str">
        <f t="shared" si="7"/>
        <v>Yes</v>
      </c>
      <c r="E473" s="1">
        <v>6.3</v>
      </c>
      <c r="F473" s="1">
        <v>80</v>
      </c>
      <c r="G473" s="1" t="s">
        <v>93</v>
      </c>
      <c r="H473" s="1" t="s">
        <v>95</v>
      </c>
      <c r="I473" s="1">
        <v>58.5</v>
      </c>
      <c r="J473" s="1" t="s">
        <v>95</v>
      </c>
      <c r="M473" s="1" t="s">
        <v>102</v>
      </c>
      <c r="O473" s="1">
        <v>1</v>
      </c>
    </row>
    <row r="474" spans="1:18" ht="14.25" customHeight="1" x14ac:dyDescent="0.3">
      <c r="A474" s="1" t="s">
        <v>989</v>
      </c>
      <c r="B474" s="1">
        <v>8</v>
      </c>
      <c r="C474" s="1">
        <v>12</v>
      </c>
      <c r="D474" s="1" t="str">
        <f t="shared" si="7"/>
        <v>Yes</v>
      </c>
      <c r="E474" s="1">
        <v>6.3</v>
      </c>
      <c r="F474" s="1">
        <v>166</v>
      </c>
      <c r="G474" s="1" t="s">
        <v>93</v>
      </c>
      <c r="H474" s="1" t="s">
        <v>95</v>
      </c>
      <c r="I474" s="1">
        <v>56</v>
      </c>
      <c r="J474" s="1" t="s">
        <v>95</v>
      </c>
      <c r="M474" s="1" t="s">
        <v>102</v>
      </c>
      <c r="O474" s="1">
        <v>5</v>
      </c>
    </row>
    <row r="475" spans="1:18" ht="14.25" customHeight="1" x14ac:dyDescent="0.3">
      <c r="A475" s="1" t="s">
        <v>989</v>
      </c>
      <c r="B475" s="1">
        <v>8</v>
      </c>
      <c r="C475" s="1">
        <v>22</v>
      </c>
      <c r="D475" s="1" t="str">
        <f t="shared" si="7"/>
        <v>Yes</v>
      </c>
      <c r="E475" s="1">
        <v>5.2</v>
      </c>
      <c r="F475" s="1">
        <v>275</v>
      </c>
      <c r="G475" s="1" t="s">
        <v>93</v>
      </c>
      <c r="H475" s="1" t="s">
        <v>95</v>
      </c>
      <c r="I475" s="1">
        <v>33.5</v>
      </c>
      <c r="J475" s="1" t="s">
        <v>95</v>
      </c>
      <c r="M475" s="1" t="s">
        <v>102</v>
      </c>
      <c r="O475" s="1">
        <v>1</v>
      </c>
    </row>
    <row r="476" spans="1:18" ht="14.25" customHeight="1" x14ac:dyDescent="0.3">
      <c r="A476" s="1" t="s">
        <v>989</v>
      </c>
      <c r="B476" s="1">
        <v>8</v>
      </c>
      <c r="C476" s="1">
        <v>13</v>
      </c>
      <c r="D476" s="1" t="str">
        <f t="shared" si="7"/>
        <v>Yes</v>
      </c>
      <c r="E476" s="1">
        <v>5</v>
      </c>
      <c r="F476" s="1">
        <v>152</v>
      </c>
      <c r="G476" s="1" t="s">
        <v>93</v>
      </c>
      <c r="H476" s="1" t="s">
        <v>95</v>
      </c>
      <c r="I476" s="1">
        <v>21.5</v>
      </c>
      <c r="J476" s="1" t="s">
        <v>95</v>
      </c>
      <c r="M476" s="1" t="s">
        <v>101</v>
      </c>
      <c r="O476" s="1">
        <v>1</v>
      </c>
    </row>
    <row r="477" spans="1:18" ht="14.25" customHeight="1" x14ac:dyDescent="0.3">
      <c r="A477" s="1" t="s">
        <v>989</v>
      </c>
      <c r="B477" s="1">
        <v>9</v>
      </c>
      <c r="C477" s="1">
        <v>13</v>
      </c>
      <c r="D477" s="1" t="str">
        <f t="shared" si="7"/>
        <v>No</v>
      </c>
      <c r="E477" s="1">
        <v>12.6</v>
      </c>
      <c r="F477" s="19">
        <v>127</v>
      </c>
      <c r="G477" s="1" t="s">
        <v>106</v>
      </c>
      <c r="H477" s="1" t="s">
        <v>95</v>
      </c>
      <c r="I477" s="17">
        <v>40.9</v>
      </c>
      <c r="J477" s="1" t="s">
        <v>95</v>
      </c>
      <c r="M477" s="1" t="s">
        <v>102</v>
      </c>
      <c r="O477" s="1">
        <v>1</v>
      </c>
      <c r="P477" s="1">
        <v>817</v>
      </c>
    </row>
    <row r="478" spans="1:18" ht="14.25" customHeight="1" x14ac:dyDescent="0.3">
      <c r="A478" s="1" t="s">
        <v>989</v>
      </c>
      <c r="B478" s="1">
        <v>9</v>
      </c>
      <c r="C478" s="1">
        <v>16</v>
      </c>
      <c r="D478" s="1" t="str">
        <f t="shared" si="7"/>
        <v>No</v>
      </c>
      <c r="E478" s="1">
        <v>12.6</v>
      </c>
      <c r="F478" s="1">
        <v>326</v>
      </c>
      <c r="G478" s="1" t="s">
        <v>106</v>
      </c>
      <c r="H478" s="1" t="s">
        <v>95</v>
      </c>
      <c r="I478" s="1">
        <v>25.7</v>
      </c>
      <c r="J478" s="1" t="s">
        <v>95</v>
      </c>
      <c r="M478" s="1" t="s">
        <v>101</v>
      </c>
      <c r="O478" s="1">
        <v>1</v>
      </c>
    </row>
    <row r="479" spans="1:18" ht="14.25" customHeight="1" x14ac:dyDescent="0.3">
      <c r="A479" s="1" t="s">
        <v>989</v>
      </c>
      <c r="B479" s="1">
        <v>9</v>
      </c>
      <c r="D479" s="1" t="str">
        <f t="shared" si="7"/>
        <v>No</v>
      </c>
      <c r="E479" s="1">
        <v>18</v>
      </c>
      <c r="F479" s="1">
        <v>314</v>
      </c>
      <c r="G479" s="1" t="s">
        <v>106</v>
      </c>
      <c r="H479" s="1" t="s">
        <v>94</v>
      </c>
      <c r="I479" s="1">
        <v>72.400000000000006</v>
      </c>
      <c r="J479" s="1" t="s">
        <v>95</v>
      </c>
      <c r="K479" s="1">
        <v>5</v>
      </c>
      <c r="L479" s="1">
        <v>85</v>
      </c>
      <c r="M479" s="1" t="s">
        <v>102</v>
      </c>
      <c r="N479" s="1" t="s">
        <v>100</v>
      </c>
      <c r="P479" s="1">
        <v>815</v>
      </c>
    </row>
    <row r="480" spans="1:18" ht="14.25" customHeight="1" x14ac:dyDescent="0.3">
      <c r="A480" s="1" t="s">
        <v>989</v>
      </c>
      <c r="B480" s="1">
        <v>9</v>
      </c>
      <c r="C480" s="1">
        <v>6</v>
      </c>
      <c r="D480" s="1" t="str">
        <f t="shared" si="7"/>
        <v>Yes</v>
      </c>
      <c r="E480" s="1">
        <v>9.5</v>
      </c>
      <c r="F480" s="1">
        <v>147</v>
      </c>
      <c r="G480" s="1" t="s">
        <v>98</v>
      </c>
      <c r="H480" s="1" t="s">
        <v>95</v>
      </c>
      <c r="I480" s="1">
        <v>21.3</v>
      </c>
      <c r="J480" s="1" t="s">
        <v>95</v>
      </c>
      <c r="M480" s="1" t="s">
        <v>101</v>
      </c>
      <c r="O480" s="1">
        <v>1</v>
      </c>
    </row>
    <row r="481" spans="1:18" ht="14.25" customHeight="1" x14ac:dyDescent="0.3">
      <c r="A481" s="1" t="s">
        <v>989</v>
      </c>
      <c r="B481" s="1">
        <v>9</v>
      </c>
      <c r="C481" s="1">
        <v>14</v>
      </c>
      <c r="D481" s="1" t="str">
        <f t="shared" si="7"/>
        <v>Yes</v>
      </c>
      <c r="E481" s="1">
        <v>8</v>
      </c>
      <c r="F481" s="1">
        <v>309</v>
      </c>
      <c r="G481" s="1" t="s">
        <v>109</v>
      </c>
      <c r="H481" s="1" t="s">
        <v>95</v>
      </c>
      <c r="I481" s="1">
        <v>8.9</v>
      </c>
      <c r="J481" s="1" t="s">
        <v>95</v>
      </c>
      <c r="M481" s="1" t="s">
        <v>102</v>
      </c>
      <c r="O481" s="1">
        <v>1</v>
      </c>
    </row>
    <row r="482" spans="1:18" ht="14.25" customHeight="1" x14ac:dyDescent="0.3">
      <c r="A482" s="1" t="s">
        <v>989</v>
      </c>
      <c r="B482" s="1">
        <v>9</v>
      </c>
      <c r="C482" s="1">
        <v>7</v>
      </c>
      <c r="D482" s="1" t="str">
        <f t="shared" si="7"/>
        <v>Yes</v>
      </c>
      <c r="E482" s="1">
        <v>4</v>
      </c>
      <c r="F482" s="1">
        <v>200</v>
      </c>
      <c r="G482" s="1" t="s">
        <v>109</v>
      </c>
      <c r="H482" s="1" t="s">
        <v>95</v>
      </c>
      <c r="I482" s="1">
        <v>8.5</v>
      </c>
      <c r="J482" s="1" t="s">
        <v>95</v>
      </c>
      <c r="M482" s="1" t="s">
        <v>101</v>
      </c>
      <c r="O482" s="1">
        <v>1</v>
      </c>
    </row>
    <row r="483" spans="1:18" ht="14.25" customHeight="1" x14ac:dyDescent="0.3">
      <c r="A483" s="1" t="s">
        <v>989</v>
      </c>
      <c r="B483" s="1">
        <v>9</v>
      </c>
      <c r="C483" s="1">
        <v>11</v>
      </c>
      <c r="D483" s="1" t="str">
        <f t="shared" si="7"/>
        <v>Yes</v>
      </c>
      <c r="E483" s="1">
        <v>5.2</v>
      </c>
      <c r="F483" s="1">
        <v>258</v>
      </c>
      <c r="G483" s="1" t="s">
        <v>106</v>
      </c>
      <c r="H483" s="1" t="s">
        <v>95</v>
      </c>
      <c r="I483" s="1">
        <v>115</v>
      </c>
      <c r="J483" s="1" t="s">
        <v>101</v>
      </c>
      <c r="M483" s="1" t="s">
        <v>102</v>
      </c>
      <c r="O483" s="1">
        <v>5</v>
      </c>
      <c r="Q483" s="1" t="s">
        <v>176</v>
      </c>
    </row>
    <row r="484" spans="1:18" ht="14.25" customHeight="1" x14ac:dyDescent="0.3">
      <c r="A484" s="1" t="s">
        <v>989</v>
      </c>
      <c r="B484" s="1">
        <v>9</v>
      </c>
      <c r="C484" s="1">
        <v>5</v>
      </c>
      <c r="D484" s="1" t="str">
        <f t="shared" si="7"/>
        <v>Yes</v>
      </c>
      <c r="E484" s="1">
        <v>9</v>
      </c>
      <c r="F484" s="1">
        <v>129</v>
      </c>
      <c r="G484" s="1" t="s">
        <v>106</v>
      </c>
      <c r="H484" s="1" t="s">
        <v>95</v>
      </c>
      <c r="I484" s="1">
        <v>30.5</v>
      </c>
      <c r="J484" s="1" t="s">
        <v>95</v>
      </c>
      <c r="M484" s="1" t="s">
        <v>102</v>
      </c>
      <c r="O484" s="1">
        <v>4</v>
      </c>
    </row>
    <row r="485" spans="1:18" ht="14.25" customHeight="1" x14ac:dyDescent="0.3">
      <c r="A485" s="1" t="s">
        <v>989</v>
      </c>
      <c r="B485" s="1">
        <v>9</v>
      </c>
      <c r="C485" s="1">
        <v>1</v>
      </c>
      <c r="D485" s="1" t="str">
        <f t="shared" si="7"/>
        <v>Yes</v>
      </c>
      <c r="E485" s="1">
        <v>4.5</v>
      </c>
      <c r="F485" s="1">
        <v>19</v>
      </c>
      <c r="G485" s="1" t="s">
        <v>106</v>
      </c>
      <c r="H485" s="1" t="s">
        <v>95</v>
      </c>
      <c r="I485" s="19">
        <v>20</v>
      </c>
      <c r="J485" s="1" t="s">
        <v>101</v>
      </c>
      <c r="M485" s="1" t="s">
        <v>102</v>
      </c>
      <c r="O485" s="1">
        <v>5</v>
      </c>
      <c r="Q485" s="1" t="s">
        <v>177</v>
      </c>
      <c r="R485" s="1"/>
    </row>
    <row r="486" spans="1:18" ht="14.25" customHeight="1" x14ac:dyDescent="0.3">
      <c r="A486" s="1" t="s">
        <v>989</v>
      </c>
      <c r="B486" s="1">
        <v>9</v>
      </c>
      <c r="C486" s="1">
        <v>2</v>
      </c>
      <c r="D486" s="1" t="str">
        <f t="shared" si="7"/>
        <v>Yes</v>
      </c>
      <c r="E486" s="1">
        <v>6.3</v>
      </c>
      <c r="F486" s="1">
        <v>24</v>
      </c>
      <c r="G486" s="1" t="s">
        <v>106</v>
      </c>
      <c r="H486" s="1" t="s">
        <v>95</v>
      </c>
      <c r="I486" s="19">
        <v>20</v>
      </c>
      <c r="J486" s="1" t="s">
        <v>101</v>
      </c>
      <c r="M486" s="1" t="s">
        <v>102</v>
      </c>
      <c r="O486" s="1">
        <v>5</v>
      </c>
      <c r="Q486" s="1" t="s">
        <v>176</v>
      </c>
      <c r="R486" s="1"/>
    </row>
    <row r="487" spans="1:18" ht="14.25" customHeight="1" x14ac:dyDescent="0.3">
      <c r="A487" s="1" t="s">
        <v>989</v>
      </c>
      <c r="B487" s="1">
        <v>9</v>
      </c>
      <c r="C487" s="1">
        <v>4</v>
      </c>
      <c r="D487" s="1" t="str">
        <f t="shared" si="7"/>
        <v>Yes</v>
      </c>
      <c r="E487" s="1">
        <v>11.7</v>
      </c>
      <c r="F487" s="1">
        <v>63</v>
      </c>
      <c r="G487" s="1" t="s">
        <v>106</v>
      </c>
      <c r="H487" s="1" t="s">
        <v>95</v>
      </c>
      <c r="I487" s="19">
        <v>19.7</v>
      </c>
      <c r="J487" s="1" t="s">
        <v>95</v>
      </c>
      <c r="M487" s="1" t="s">
        <v>101</v>
      </c>
      <c r="O487" s="1">
        <v>1</v>
      </c>
    </row>
    <row r="488" spans="1:18" ht="14.25" customHeight="1" x14ac:dyDescent="0.3">
      <c r="A488" s="1" t="s">
        <v>989</v>
      </c>
      <c r="B488" s="1">
        <v>9</v>
      </c>
      <c r="C488" s="1">
        <v>8</v>
      </c>
      <c r="D488" s="1" t="str">
        <f t="shared" si="7"/>
        <v>Yes</v>
      </c>
      <c r="E488" s="1">
        <v>10.5</v>
      </c>
      <c r="F488" s="1">
        <v>205</v>
      </c>
      <c r="G488" s="1" t="s">
        <v>106</v>
      </c>
      <c r="H488" s="1" t="s">
        <v>95</v>
      </c>
      <c r="I488" s="1">
        <v>12.2</v>
      </c>
      <c r="J488" s="1" t="s">
        <v>95</v>
      </c>
      <c r="M488" s="1" t="s">
        <v>101</v>
      </c>
      <c r="O488" s="1">
        <v>1</v>
      </c>
    </row>
    <row r="489" spans="1:18" ht="14.25" customHeight="1" x14ac:dyDescent="0.3">
      <c r="A489" s="1" t="s">
        <v>989</v>
      </c>
      <c r="B489" s="1">
        <v>9</v>
      </c>
      <c r="C489" s="1">
        <v>10</v>
      </c>
      <c r="D489" s="1" t="str">
        <f t="shared" si="7"/>
        <v>Yes</v>
      </c>
      <c r="E489" s="1">
        <v>9.3000000000000007</v>
      </c>
      <c r="F489" s="1">
        <v>222</v>
      </c>
      <c r="G489" s="1" t="s">
        <v>93</v>
      </c>
      <c r="H489" s="1" t="s">
        <v>95</v>
      </c>
      <c r="I489" s="1">
        <v>69</v>
      </c>
      <c r="J489" s="1" t="s">
        <v>95</v>
      </c>
      <c r="M489" s="1" t="s">
        <v>102</v>
      </c>
      <c r="O489" s="1">
        <v>5</v>
      </c>
    </row>
    <row r="490" spans="1:18" ht="14.25" customHeight="1" x14ac:dyDescent="0.3">
      <c r="A490" s="1" t="s">
        <v>989</v>
      </c>
      <c r="B490" s="1">
        <v>9</v>
      </c>
      <c r="C490" s="1">
        <v>12</v>
      </c>
      <c r="D490" s="1" t="str">
        <f t="shared" si="7"/>
        <v>Yes</v>
      </c>
      <c r="E490" s="1">
        <v>4.8</v>
      </c>
      <c r="F490" s="1">
        <v>283</v>
      </c>
      <c r="G490" s="1" t="s">
        <v>93</v>
      </c>
      <c r="H490" s="1" t="s">
        <v>95</v>
      </c>
      <c r="I490" s="1">
        <v>67.900000000000006</v>
      </c>
      <c r="J490" s="1" t="s">
        <v>95</v>
      </c>
      <c r="M490" s="1" t="s">
        <v>102</v>
      </c>
      <c r="O490" s="1">
        <v>5</v>
      </c>
    </row>
    <row r="491" spans="1:18" ht="14.25" customHeight="1" x14ac:dyDescent="0.3">
      <c r="A491" s="1" t="s">
        <v>989</v>
      </c>
      <c r="B491" s="1">
        <v>9</v>
      </c>
      <c r="C491" s="1">
        <v>15</v>
      </c>
      <c r="D491" s="1" t="str">
        <f t="shared" si="7"/>
        <v>Yes</v>
      </c>
      <c r="E491" s="1">
        <v>9</v>
      </c>
      <c r="F491" s="1">
        <v>311</v>
      </c>
      <c r="G491" s="1" t="s">
        <v>93</v>
      </c>
      <c r="H491" s="1" t="s">
        <v>95</v>
      </c>
      <c r="I491" s="1">
        <v>58.3</v>
      </c>
      <c r="J491" s="1" t="s">
        <v>95</v>
      </c>
      <c r="M491" s="1" t="s">
        <v>102</v>
      </c>
      <c r="O491" s="1">
        <v>5</v>
      </c>
    </row>
    <row r="492" spans="1:18" ht="14.25" customHeight="1" x14ac:dyDescent="0.3">
      <c r="A492" s="1" t="s">
        <v>989</v>
      </c>
      <c r="B492" s="1">
        <v>9</v>
      </c>
      <c r="C492" s="1">
        <v>3</v>
      </c>
      <c r="D492" s="1" t="str">
        <f t="shared" si="7"/>
        <v>Yes</v>
      </c>
      <c r="E492" s="1">
        <v>10.8</v>
      </c>
      <c r="F492" s="1">
        <v>63</v>
      </c>
      <c r="G492" s="1" t="s">
        <v>93</v>
      </c>
      <c r="H492" s="1" t="s">
        <v>95</v>
      </c>
      <c r="I492" s="19">
        <v>26.1</v>
      </c>
      <c r="J492" s="1" t="s">
        <v>95</v>
      </c>
      <c r="M492" s="1" t="s">
        <v>102</v>
      </c>
      <c r="O492" s="1">
        <v>1</v>
      </c>
      <c r="P492" s="1">
        <v>816</v>
      </c>
    </row>
    <row r="493" spans="1:18" ht="14.25" customHeight="1" x14ac:dyDescent="0.3">
      <c r="A493" s="1" t="s">
        <v>989</v>
      </c>
      <c r="B493" s="1">
        <v>9</v>
      </c>
      <c r="C493" s="1">
        <v>9</v>
      </c>
      <c r="D493" s="1" t="str">
        <f t="shared" si="7"/>
        <v>Yes</v>
      </c>
      <c r="E493" s="1">
        <v>9.5</v>
      </c>
      <c r="F493" s="1">
        <v>218</v>
      </c>
      <c r="G493" s="1" t="s">
        <v>93</v>
      </c>
      <c r="H493" s="1" t="s">
        <v>95</v>
      </c>
      <c r="I493" s="1">
        <v>15.5</v>
      </c>
      <c r="J493" s="1" t="s">
        <v>95</v>
      </c>
      <c r="M493" s="1" t="s">
        <v>101</v>
      </c>
      <c r="O493" s="1">
        <v>5</v>
      </c>
      <c r="R493" s="1"/>
    </row>
    <row r="494" spans="1:18" ht="14.25" customHeight="1" x14ac:dyDescent="0.3">
      <c r="A494" s="1" t="s">
        <v>989</v>
      </c>
      <c r="B494" s="1">
        <v>10</v>
      </c>
      <c r="C494" s="1">
        <v>7</v>
      </c>
      <c r="D494" s="1" t="str">
        <f t="shared" si="7"/>
        <v>No</v>
      </c>
      <c r="E494" s="1">
        <v>12.6</v>
      </c>
      <c r="F494" s="1">
        <v>117</v>
      </c>
      <c r="G494" s="1" t="s">
        <v>173</v>
      </c>
      <c r="H494" s="1" t="s">
        <v>95</v>
      </c>
      <c r="I494" s="1">
        <v>8.8000000000000007</v>
      </c>
      <c r="J494" s="1" t="s">
        <v>101</v>
      </c>
      <c r="M494" s="1" t="s">
        <v>101</v>
      </c>
      <c r="O494" s="1">
        <v>5</v>
      </c>
      <c r="Q494" s="1" t="s">
        <v>188</v>
      </c>
      <c r="R494" s="1"/>
    </row>
    <row r="495" spans="1:18" ht="14.25" customHeight="1" x14ac:dyDescent="0.3">
      <c r="A495" s="1" t="s">
        <v>989</v>
      </c>
      <c r="B495" s="1">
        <v>10</v>
      </c>
      <c r="C495" s="1">
        <v>11</v>
      </c>
      <c r="D495" s="1" t="str">
        <f t="shared" si="7"/>
        <v>No</v>
      </c>
      <c r="E495" s="1">
        <v>12.6</v>
      </c>
      <c r="F495" s="1">
        <v>239</v>
      </c>
      <c r="G495" s="1" t="s">
        <v>93</v>
      </c>
      <c r="H495" s="1" t="s">
        <v>95</v>
      </c>
      <c r="I495" s="1">
        <v>57</v>
      </c>
      <c r="J495" s="1" t="s">
        <v>95</v>
      </c>
      <c r="M495" s="1" t="s">
        <v>102</v>
      </c>
      <c r="O495" s="1">
        <v>5</v>
      </c>
      <c r="R495" s="1"/>
    </row>
    <row r="496" spans="1:18" ht="14.25" customHeight="1" x14ac:dyDescent="0.3">
      <c r="A496" s="1" t="s">
        <v>989</v>
      </c>
      <c r="B496" s="1">
        <v>10</v>
      </c>
      <c r="C496" s="1">
        <v>17</v>
      </c>
      <c r="D496" s="1" t="str">
        <f t="shared" si="7"/>
        <v>No</v>
      </c>
      <c r="E496" s="1">
        <v>13.2</v>
      </c>
      <c r="F496" s="1">
        <v>331</v>
      </c>
      <c r="G496" s="1" t="s">
        <v>93</v>
      </c>
      <c r="H496" s="1" t="s">
        <v>95</v>
      </c>
      <c r="I496" s="1">
        <v>26.1</v>
      </c>
      <c r="J496" s="1" t="s">
        <v>95</v>
      </c>
      <c r="M496" s="1" t="s">
        <v>101</v>
      </c>
      <c r="O496" s="1">
        <v>5</v>
      </c>
      <c r="Q496" s="1" t="s">
        <v>190</v>
      </c>
    </row>
    <row r="497" spans="1:18" ht="14.25" customHeight="1" x14ac:dyDescent="0.3">
      <c r="A497" s="1" t="s">
        <v>989</v>
      </c>
      <c r="B497" s="1">
        <v>10</v>
      </c>
      <c r="C497" s="1">
        <v>2</v>
      </c>
      <c r="D497" s="1" t="str">
        <f t="shared" si="7"/>
        <v>Yes</v>
      </c>
      <c r="E497" s="1">
        <v>10.1</v>
      </c>
      <c r="F497" s="1">
        <v>68</v>
      </c>
      <c r="G497" s="1" t="s">
        <v>109</v>
      </c>
      <c r="H497" s="1" t="s">
        <v>95</v>
      </c>
      <c r="I497" s="1">
        <v>119.6</v>
      </c>
      <c r="J497" s="1" t="s">
        <v>95</v>
      </c>
      <c r="M497" s="1" t="s">
        <v>95</v>
      </c>
      <c r="O497" s="1">
        <v>5</v>
      </c>
      <c r="P497" s="1">
        <v>699</v>
      </c>
    </row>
    <row r="498" spans="1:18" ht="14.25" customHeight="1" x14ac:dyDescent="0.3">
      <c r="A498" s="1" t="s">
        <v>989</v>
      </c>
      <c r="B498" s="1">
        <v>10</v>
      </c>
      <c r="C498" s="1">
        <v>8</v>
      </c>
      <c r="D498" s="1" t="str">
        <f t="shared" si="7"/>
        <v>Yes</v>
      </c>
      <c r="E498" s="1">
        <v>8.1</v>
      </c>
      <c r="F498" s="1">
        <v>167</v>
      </c>
      <c r="G498" s="1" t="s">
        <v>106</v>
      </c>
      <c r="H498" s="1" t="s">
        <v>95</v>
      </c>
      <c r="I498" s="1">
        <v>38.5</v>
      </c>
      <c r="J498" s="1" t="s">
        <v>95</v>
      </c>
      <c r="M498" s="1" t="s">
        <v>102</v>
      </c>
      <c r="O498" s="1">
        <v>5</v>
      </c>
      <c r="Q498" s="1" t="s">
        <v>189</v>
      </c>
    </row>
    <row r="499" spans="1:18" ht="14.25" customHeight="1" x14ac:dyDescent="0.3">
      <c r="A499" s="1" t="s">
        <v>989</v>
      </c>
      <c r="B499" s="1">
        <v>10</v>
      </c>
      <c r="C499" s="1">
        <v>5</v>
      </c>
      <c r="D499" s="1" t="str">
        <f t="shared" si="7"/>
        <v>Yes</v>
      </c>
      <c r="E499" s="1">
        <v>7.6</v>
      </c>
      <c r="F499" s="17">
        <v>100</v>
      </c>
      <c r="G499" s="1" t="s">
        <v>106</v>
      </c>
      <c r="H499" s="1" t="s">
        <v>95</v>
      </c>
      <c r="I499" s="1">
        <v>35</v>
      </c>
      <c r="J499" s="1" t="s">
        <v>95</v>
      </c>
      <c r="M499" s="1" t="s">
        <v>102</v>
      </c>
      <c r="O499" s="1">
        <v>1</v>
      </c>
    </row>
    <row r="500" spans="1:18" ht="14.25" customHeight="1" x14ac:dyDescent="0.3">
      <c r="A500" s="1" t="s">
        <v>989</v>
      </c>
      <c r="B500" s="1">
        <v>10</v>
      </c>
      <c r="C500" s="1">
        <v>19</v>
      </c>
      <c r="D500" s="1" t="str">
        <f t="shared" si="7"/>
        <v>Yes</v>
      </c>
      <c r="E500" s="1">
        <v>7.6</v>
      </c>
      <c r="F500" s="1">
        <v>352</v>
      </c>
      <c r="G500" s="1" t="s">
        <v>106</v>
      </c>
      <c r="H500" s="1" t="s">
        <v>95</v>
      </c>
      <c r="I500" s="1">
        <v>16.7</v>
      </c>
      <c r="J500" s="1" t="s">
        <v>95</v>
      </c>
      <c r="M500" s="1" t="s">
        <v>101</v>
      </c>
      <c r="O500" s="1">
        <v>1</v>
      </c>
    </row>
    <row r="501" spans="1:18" ht="14.25" customHeight="1" x14ac:dyDescent="0.3">
      <c r="A501" s="1" t="s">
        <v>989</v>
      </c>
      <c r="B501" s="1">
        <v>10</v>
      </c>
      <c r="C501" s="1">
        <v>15</v>
      </c>
      <c r="D501" s="1" t="str">
        <f t="shared" si="7"/>
        <v>Yes</v>
      </c>
      <c r="E501" s="1">
        <v>7.7</v>
      </c>
      <c r="F501" s="1">
        <v>317</v>
      </c>
      <c r="G501" s="1" t="s">
        <v>106</v>
      </c>
      <c r="H501" s="1" t="s">
        <v>95</v>
      </c>
      <c r="I501" s="1">
        <v>14.8</v>
      </c>
      <c r="J501" s="1" t="s">
        <v>95</v>
      </c>
      <c r="M501" s="1" t="s">
        <v>101</v>
      </c>
      <c r="O501" s="1">
        <v>1</v>
      </c>
    </row>
    <row r="502" spans="1:18" ht="14.25" customHeight="1" x14ac:dyDescent="0.3">
      <c r="A502" s="1" t="s">
        <v>989</v>
      </c>
      <c r="B502" s="1">
        <v>10</v>
      </c>
      <c r="C502" s="1">
        <v>18</v>
      </c>
      <c r="D502" s="1" t="str">
        <f t="shared" si="7"/>
        <v>Yes</v>
      </c>
      <c r="E502" s="1">
        <v>1.2</v>
      </c>
      <c r="F502" s="1">
        <v>335</v>
      </c>
      <c r="G502" s="1" t="s">
        <v>106</v>
      </c>
      <c r="H502" s="1" t="s">
        <v>95</v>
      </c>
      <c r="I502" s="1">
        <v>12.5</v>
      </c>
      <c r="J502" s="1" t="s">
        <v>95</v>
      </c>
      <c r="M502" s="1" t="s">
        <v>101</v>
      </c>
      <c r="O502" s="1">
        <v>1</v>
      </c>
    </row>
    <row r="503" spans="1:18" ht="14.25" customHeight="1" x14ac:dyDescent="0.3">
      <c r="A503" s="1" t="s">
        <v>989</v>
      </c>
      <c r="B503" s="1">
        <v>10</v>
      </c>
      <c r="C503" s="1">
        <v>12</v>
      </c>
      <c r="D503" s="1" t="str">
        <f t="shared" si="7"/>
        <v>Yes</v>
      </c>
      <c r="E503" s="1">
        <v>12.1</v>
      </c>
      <c r="F503" s="1">
        <v>215</v>
      </c>
      <c r="G503" s="1" t="s">
        <v>93</v>
      </c>
      <c r="H503" s="1" t="s">
        <v>95</v>
      </c>
      <c r="I503" s="1">
        <v>100</v>
      </c>
      <c r="J503" s="1" t="s">
        <v>101</v>
      </c>
      <c r="M503" s="1" t="s">
        <v>102</v>
      </c>
      <c r="O503" s="1">
        <v>5</v>
      </c>
      <c r="R503" s="1"/>
    </row>
    <row r="504" spans="1:18" ht="14.25" customHeight="1" x14ac:dyDescent="0.3">
      <c r="A504" s="1" t="s">
        <v>989</v>
      </c>
      <c r="B504" s="1">
        <v>10</v>
      </c>
      <c r="C504" s="1">
        <v>14</v>
      </c>
      <c r="D504" s="1" t="str">
        <f t="shared" si="7"/>
        <v>Yes</v>
      </c>
      <c r="E504" s="1">
        <v>4.5</v>
      </c>
      <c r="F504" s="1">
        <v>305</v>
      </c>
      <c r="G504" s="1" t="s">
        <v>93</v>
      </c>
      <c r="H504" s="1" t="s">
        <v>95</v>
      </c>
      <c r="I504" s="1">
        <v>72</v>
      </c>
      <c r="J504" s="1" t="s">
        <v>95</v>
      </c>
      <c r="M504" s="1" t="s">
        <v>102</v>
      </c>
      <c r="O504" s="1">
        <v>5</v>
      </c>
      <c r="P504" s="1">
        <v>698</v>
      </c>
    </row>
    <row r="505" spans="1:18" ht="14.25" customHeight="1" x14ac:dyDescent="0.3">
      <c r="A505" s="1" t="s">
        <v>989</v>
      </c>
      <c r="B505" s="1">
        <v>10</v>
      </c>
      <c r="C505" s="1">
        <v>9</v>
      </c>
      <c r="D505" s="1" t="str">
        <f t="shared" si="7"/>
        <v>Yes</v>
      </c>
      <c r="E505" s="1">
        <v>5.6</v>
      </c>
      <c r="F505" s="1">
        <v>205</v>
      </c>
      <c r="G505" s="1" t="s">
        <v>93</v>
      </c>
      <c r="H505" s="1" t="s">
        <v>95</v>
      </c>
      <c r="I505" s="1">
        <v>66.5</v>
      </c>
      <c r="J505" s="1" t="s">
        <v>95</v>
      </c>
      <c r="M505" s="1" t="s">
        <v>102</v>
      </c>
      <c r="O505" s="1">
        <v>5</v>
      </c>
      <c r="R505" s="1"/>
    </row>
    <row r="506" spans="1:18" ht="14.25" customHeight="1" x14ac:dyDescent="0.3">
      <c r="A506" s="1" t="s">
        <v>989</v>
      </c>
      <c r="B506" s="1">
        <v>10</v>
      </c>
      <c r="C506" s="1">
        <v>16</v>
      </c>
      <c r="D506" s="1" t="str">
        <f t="shared" si="7"/>
        <v>Yes</v>
      </c>
      <c r="E506" s="1">
        <v>12.3</v>
      </c>
      <c r="F506" s="1">
        <v>333</v>
      </c>
      <c r="G506" s="1" t="s">
        <v>93</v>
      </c>
      <c r="H506" s="1" t="s">
        <v>95</v>
      </c>
      <c r="I506" s="1">
        <v>60.2</v>
      </c>
      <c r="J506" s="1" t="s">
        <v>95</v>
      </c>
      <c r="M506" s="1" t="s">
        <v>102</v>
      </c>
      <c r="O506" s="1">
        <v>5</v>
      </c>
    </row>
    <row r="507" spans="1:18" ht="14.25" customHeight="1" x14ac:dyDescent="0.3">
      <c r="A507" s="1" t="s">
        <v>989</v>
      </c>
      <c r="B507" s="1">
        <v>10</v>
      </c>
      <c r="C507" s="1">
        <v>6</v>
      </c>
      <c r="D507" s="1" t="str">
        <f t="shared" si="7"/>
        <v>Yes</v>
      </c>
      <c r="E507" s="1">
        <v>12</v>
      </c>
      <c r="F507" s="1">
        <v>101</v>
      </c>
      <c r="G507" s="1" t="s">
        <v>93</v>
      </c>
      <c r="H507" s="1" t="s">
        <v>95</v>
      </c>
      <c r="I507" s="1">
        <v>51.4</v>
      </c>
      <c r="J507" s="1" t="s">
        <v>95</v>
      </c>
      <c r="M507" s="1" t="s">
        <v>102</v>
      </c>
      <c r="O507" s="1">
        <v>5</v>
      </c>
    </row>
    <row r="508" spans="1:18" ht="14.25" customHeight="1" x14ac:dyDescent="0.3">
      <c r="A508" s="1" t="s">
        <v>989</v>
      </c>
      <c r="B508" s="1">
        <v>10</v>
      </c>
      <c r="C508" s="1">
        <v>1</v>
      </c>
      <c r="D508" s="1" t="str">
        <f t="shared" si="7"/>
        <v>Yes</v>
      </c>
      <c r="E508" s="1">
        <v>2.2999999999999998</v>
      </c>
      <c r="F508" s="1">
        <v>17</v>
      </c>
      <c r="G508" s="1" t="s">
        <v>93</v>
      </c>
      <c r="H508" s="1" t="s">
        <v>95</v>
      </c>
      <c r="I508" s="1">
        <v>45</v>
      </c>
      <c r="J508" s="1" t="s">
        <v>95</v>
      </c>
      <c r="M508" s="1" t="s">
        <v>101</v>
      </c>
      <c r="O508" s="1">
        <v>5</v>
      </c>
    </row>
    <row r="509" spans="1:18" ht="14.25" customHeight="1" x14ac:dyDescent="0.3">
      <c r="A509" s="1" t="s">
        <v>989</v>
      </c>
      <c r="B509" s="1">
        <v>10</v>
      </c>
      <c r="C509" s="1">
        <v>3</v>
      </c>
      <c r="D509" s="1" t="str">
        <f t="shared" si="7"/>
        <v>Yes</v>
      </c>
      <c r="E509" s="1">
        <v>12.3</v>
      </c>
      <c r="F509" s="1">
        <v>78</v>
      </c>
      <c r="G509" s="1" t="s">
        <v>93</v>
      </c>
      <c r="H509" s="1" t="s">
        <v>95</v>
      </c>
      <c r="I509" s="17">
        <v>35</v>
      </c>
      <c r="J509" s="1" t="s">
        <v>101</v>
      </c>
      <c r="M509" s="1" t="s">
        <v>101</v>
      </c>
      <c r="O509" s="1">
        <v>5</v>
      </c>
      <c r="Q509" s="1" t="s">
        <v>162</v>
      </c>
    </row>
    <row r="510" spans="1:18" ht="14.25" customHeight="1" x14ac:dyDescent="0.3">
      <c r="A510" s="1" t="s">
        <v>989</v>
      </c>
      <c r="B510" s="1">
        <v>10</v>
      </c>
      <c r="C510" s="1">
        <v>10</v>
      </c>
      <c r="D510" s="1" t="str">
        <f t="shared" si="7"/>
        <v>Yes</v>
      </c>
      <c r="E510" s="1">
        <v>10</v>
      </c>
      <c r="F510" s="1">
        <v>203</v>
      </c>
      <c r="G510" s="1" t="s">
        <v>93</v>
      </c>
      <c r="H510" s="1" t="s">
        <v>95</v>
      </c>
      <c r="I510" s="1">
        <v>30.9</v>
      </c>
      <c r="J510" s="1" t="s">
        <v>95</v>
      </c>
      <c r="M510" s="1" t="s">
        <v>102</v>
      </c>
      <c r="O510" s="1">
        <v>1</v>
      </c>
      <c r="P510" s="1">
        <v>700</v>
      </c>
    </row>
    <row r="511" spans="1:18" ht="14.25" customHeight="1" x14ac:dyDescent="0.3">
      <c r="A511" s="1" t="s">
        <v>989</v>
      </c>
      <c r="B511" s="1">
        <v>10</v>
      </c>
      <c r="C511" s="1">
        <v>4</v>
      </c>
      <c r="D511" s="1" t="str">
        <f t="shared" si="7"/>
        <v>Yes</v>
      </c>
      <c r="E511" s="1">
        <v>10.6</v>
      </c>
      <c r="F511" s="1">
        <v>95</v>
      </c>
      <c r="G511" s="1" t="s">
        <v>93</v>
      </c>
      <c r="H511" s="1" t="s">
        <v>95</v>
      </c>
      <c r="I511" s="1">
        <v>24</v>
      </c>
      <c r="J511" s="1" t="s">
        <v>95</v>
      </c>
      <c r="M511" s="1" t="s">
        <v>101</v>
      </c>
      <c r="O511" s="1">
        <v>5</v>
      </c>
    </row>
    <row r="512" spans="1:18" ht="14.25" customHeight="1" x14ac:dyDescent="0.3">
      <c r="A512" s="1" t="s">
        <v>989</v>
      </c>
      <c r="B512" s="1">
        <v>10</v>
      </c>
      <c r="C512" s="1">
        <v>13</v>
      </c>
      <c r="D512" s="1" t="str">
        <f t="shared" si="7"/>
        <v>Yes</v>
      </c>
      <c r="E512" s="1">
        <v>8.3000000000000007</v>
      </c>
      <c r="F512" s="1">
        <v>296</v>
      </c>
      <c r="G512" s="1" t="s">
        <v>93</v>
      </c>
      <c r="H512" s="1" t="s">
        <v>95</v>
      </c>
      <c r="I512" s="1">
        <v>21</v>
      </c>
      <c r="J512" s="1" t="s">
        <v>101</v>
      </c>
      <c r="M512" s="1" t="s">
        <v>101</v>
      </c>
      <c r="O512" s="1">
        <v>5</v>
      </c>
    </row>
    <row r="513" spans="1:18" ht="14.25" customHeight="1" x14ac:dyDescent="0.3">
      <c r="A513" s="1" t="s">
        <v>989</v>
      </c>
      <c r="B513" s="1">
        <v>11</v>
      </c>
      <c r="C513" s="1">
        <v>7</v>
      </c>
      <c r="D513" s="1" t="str">
        <f t="shared" si="7"/>
        <v>No</v>
      </c>
      <c r="E513" s="1">
        <v>12.6</v>
      </c>
      <c r="F513" s="1">
        <v>153</v>
      </c>
      <c r="G513" s="1" t="s">
        <v>106</v>
      </c>
      <c r="H513" s="1" t="s">
        <v>95</v>
      </c>
      <c r="I513" s="1">
        <v>37.9</v>
      </c>
      <c r="J513" s="1" t="s">
        <v>95</v>
      </c>
      <c r="M513" s="1" t="s">
        <v>102</v>
      </c>
      <c r="O513" s="1">
        <v>5</v>
      </c>
    </row>
    <row r="514" spans="1:18" ht="14.25" customHeight="1" x14ac:dyDescent="0.3">
      <c r="A514" s="1" t="s">
        <v>989</v>
      </c>
      <c r="B514" s="1">
        <v>11</v>
      </c>
      <c r="D514" s="1" t="str">
        <f t="shared" ref="D514:D577" si="8">IF(E514&gt;12.5, "No", "Yes")</f>
        <v>No</v>
      </c>
      <c r="E514" s="1">
        <v>14.1</v>
      </c>
      <c r="F514" s="1">
        <v>256</v>
      </c>
      <c r="G514" s="1" t="s">
        <v>93</v>
      </c>
      <c r="H514" s="1" t="s">
        <v>95</v>
      </c>
      <c r="I514" s="1">
        <v>71.400000000000006</v>
      </c>
      <c r="J514" s="1" t="s">
        <v>95</v>
      </c>
      <c r="M514" s="1" t="s">
        <v>102</v>
      </c>
      <c r="O514" s="1">
        <v>1</v>
      </c>
      <c r="P514" s="1">
        <v>666</v>
      </c>
    </row>
    <row r="515" spans="1:18" ht="14.25" customHeight="1" x14ac:dyDescent="0.3">
      <c r="A515" s="1" t="s">
        <v>989</v>
      </c>
      <c r="B515" s="1">
        <v>11</v>
      </c>
      <c r="C515" s="1">
        <v>1</v>
      </c>
      <c r="D515" s="1" t="str">
        <f t="shared" si="8"/>
        <v>Yes</v>
      </c>
      <c r="E515" s="1">
        <v>10.8</v>
      </c>
      <c r="F515" s="1">
        <v>58</v>
      </c>
      <c r="G515" s="1" t="s">
        <v>109</v>
      </c>
      <c r="H515" s="1" t="s">
        <v>95</v>
      </c>
      <c r="I515" s="1">
        <v>63.2</v>
      </c>
      <c r="J515" s="1" t="s">
        <v>95</v>
      </c>
      <c r="M515" s="1" t="s">
        <v>102</v>
      </c>
      <c r="O515" s="1">
        <v>1</v>
      </c>
      <c r="R515" s="1"/>
    </row>
    <row r="516" spans="1:18" ht="14.25" customHeight="1" x14ac:dyDescent="0.3">
      <c r="A516" s="1" t="s">
        <v>989</v>
      </c>
      <c r="B516" s="1">
        <v>11</v>
      </c>
      <c r="C516" s="1">
        <v>9</v>
      </c>
      <c r="D516" s="1" t="str">
        <f t="shared" si="8"/>
        <v>Yes</v>
      </c>
      <c r="E516" s="1">
        <v>4.2</v>
      </c>
      <c r="F516" s="1">
        <v>225</v>
      </c>
      <c r="G516" s="1" t="s">
        <v>109</v>
      </c>
      <c r="H516" s="1" t="s">
        <v>95</v>
      </c>
      <c r="I516" s="1">
        <v>41.8</v>
      </c>
      <c r="J516" s="1" t="s">
        <v>95</v>
      </c>
      <c r="M516" s="1" t="s">
        <v>102</v>
      </c>
      <c r="O516" s="1">
        <v>1</v>
      </c>
    </row>
    <row r="517" spans="1:18" ht="14.25" customHeight="1" x14ac:dyDescent="0.3">
      <c r="A517" s="1" t="s">
        <v>989</v>
      </c>
      <c r="B517" s="1">
        <v>11</v>
      </c>
      <c r="C517" s="1">
        <v>13</v>
      </c>
      <c r="D517" s="1" t="str">
        <f t="shared" si="8"/>
        <v>Yes</v>
      </c>
      <c r="E517" s="1">
        <v>9.1999999999999993</v>
      </c>
      <c r="F517" s="1">
        <v>311</v>
      </c>
      <c r="G517" s="1" t="s">
        <v>173</v>
      </c>
      <c r="H517" s="1" t="s">
        <v>95</v>
      </c>
      <c r="I517" s="1">
        <v>11</v>
      </c>
      <c r="J517" s="1" t="s">
        <v>95</v>
      </c>
      <c r="M517" s="1" t="s">
        <v>102</v>
      </c>
      <c r="O517" s="1">
        <v>1</v>
      </c>
      <c r="Q517" s="1" t="s">
        <v>191</v>
      </c>
    </row>
    <row r="518" spans="1:18" ht="14.25" customHeight="1" x14ac:dyDescent="0.3">
      <c r="A518" s="1" t="s">
        <v>989</v>
      </c>
      <c r="B518" s="1">
        <v>11</v>
      </c>
      <c r="C518" s="1">
        <v>5</v>
      </c>
      <c r="D518" s="1" t="str">
        <f t="shared" si="8"/>
        <v>Yes</v>
      </c>
      <c r="E518" s="1">
        <v>9.6</v>
      </c>
      <c r="F518" s="1">
        <v>109</v>
      </c>
      <c r="G518" s="1" t="s">
        <v>173</v>
      </c>
      <c r="H518" s="1" t="s">
        <v>95</v>
      </c>
      <c r="I518" s="1">
        <v>10</v>
      </c>
      <c r="J518" s="1" t="s">
        <v>101</v>
      </c>
      <c r="M518" s="1" t="s">
        <v>101</v>
      </c>
      <c r="O518" s="1">
        <v>5</v>
      </c>
    </row>
    <row r="519" spans="1:18" ht="14.25" customHeight="1" x14ac:dyDescent="0.3">
      <c r="A519" s="1" t="s">
        <v>989</v>
      </c>
      <c r="B519" s="1">
        <v>11</v>
      </c>
      <c r="C519" s="1">
        <v>6</v>
      </c>
      <c r="D519" s="1" t="str">
        <f t="shared" si="8"/>
        <v>Yes</v>
      </c>
      <c r="E519" s="1">
        <v>4.0999999999999996</v>
      </c>
      <c r="F519" s="1">
        <v>110</v>
      </c>
      <c r="G519" s="1" t="s">
        <v>173</v>
      </c>
      <c r="H519" s="1" t="s">
        <v>95</v>
      </c>
      <c r="I519" s="1">
        <v>8.3000000000000007</v>
      </c>
      <c r="J519" s="1" t="s">
        <v>101</v>
      </c>
      <c r="M519" s="1" t="s">
        <v>101</v>
      </c>
      <c r="O519" s="1">
        <v>5</v>
      </c>
      <c r="R519" s="1"/>
    </row>
    <row r="520" spans="1:18" ht="14.25" customHeight="1" x14ac:dyDescent="0.3">
      <c r="A520" s="1" t="s">
        <v>989</v>
      </c>
      <c r="B520" s="1">
        <v>11</v>
      </c>
      <c r="C520" s="1">
        <v>12</v>
      </c>
      <c r="D520" s="1" t="str">
        <f t="shared" si="8"/>
        <v>Yes</v>
      </c>
      <c r="E520" s="1">
        <v>6.9</v>
      </c>
      <c r="F520" s="1">
        <v>263</v>
      </c>
      <c r="G520" s="1" t="s">
        <v>173</v>
      </c>
      <c r="H520" s="1" t="s">
        <v>95</v>
      </c>
      <c r="I520" s="1">
        <v>7.7</v>
      </c>
      <c r="J520" s="1" t="s">
        <v>95</v>
      </c>
      <c r="M520" s="1" t="s">
        <v>101</v>
      </c>
      <c r="O520" s="1">
        <v>1</v>
      </c>
      <c r="Q520" s="1" t="s">
        <v>191</v>
      </c>
    </row>
    <row r="521" spans="1:18" ht="14.25" customHeight="1" x14ac:dyDescent="0.3">
      <c r="A521" s="1" t="s">
        <v>989</v>
      </c>
      <c r="B521" s="1">
        <v>11</v>
      </c>
      <c r="C521" s="1">
        <v>10</v>
      </c>
      <c r="D521" s="1" t="str">
        <f t="shared" si="8"/>
        <v>Yes</v>
      </c>
      <c r="E521" s="1">
        <v>4.7</v>
      </c>
      <c r="F521" s="1">
        <v>231</v>
      </c>
      <c r="G521" s="1" t="s">
        <v>106</v>
      </c>
      <c r="H521" s="1" t="s">
        <v>95</v>
      </c>
      <c r="I521" s="1">
        <v>38.200000000000003</v>
      </c>
      <c r="J521" s="1" t="s">
        <v>95</v>
      </c>
      <c r="M521" s="1" t="s">
        <v>102</v>
      </c>
      <c r="O521" s="1">
        <v>1</v>
      </c>
      <c r="R521" s="1"/>
    </row>
    <row r="522" spans="1:18" ht="14.25" customHeight="1" x14ac:dyDescent="0.3">
      <c r="A522" s="1" t="s">
        <v>989</v>
      </c>
      <c r="B522" s="1">
        <v>11</v>
      </c>
      <c r="C522" s="1">
        <v>2</v>
      </c>
      <c r="D522" s="1" t="str">
        <f t="shared" si="8"/>
        <v>Yes</v>
      </c>
      <c r="E522" s="1">
        <v>7.3</v>
      </c>
      <c r="F522" s="1">
        <v>83</v>
      </c>
      <c r="G522" s="1" t="s">
        <v>106</v>
      </c>
      <c r="H522" s="1" t="s">
        <v>95</v>
      </c>
      <c r="I522" s="1">
        <v>38.1</v>
      </c>
      <c r="J522" s="1" t="s">
        <v>95</v>
      </c>
      <c r="M522" s="1" t="s">
        <v>101</v>
      </c>
      <c r="O522" s="1">
        <v>1</v>
      </c>
    </row>
    <row r="523" spans="1:18" ht="14.25" customHeight="1" x14ac:dyDescent="0.3">
      <c r="A523" s="1" t="s">
        <v>989</v>
      </c>
      <c r="B523" s="1">
        <v>11</v>
      </c>
      <c r="C523" s="1">
        <v>16</v>
      </c>
      <c r="D523" s="1" t="str">
        <f t="shared" si="8"/>
        <v>Yes</v>
      </c>
      <c r="E523" s="1">
        <v>12</v>
      </c>
      <c r="F523" s="1">
        <v>358</v>
      </c>
      <c r="G523" s="1" t="s">
        <v>106</v>
      </c>
      <c r="H523" s="1" t="s">
        <v>95</v>
      </c>
      <c r="I523" s="1">
        <v>35</v>
      </c>
      <c r="J523" s="1" t="s">
        <v>95</v>
      </c>
      <c r="M523" s="1" t="s">
        <v>101</v>
      </c>
      <c r="O523" s="1">
        <v>1</v>
      </c>
    </row>
    <row r="524" spans="1:18" ht="14.25" customHeight="1" x14ac:dyDescent="0.3">
      <c r="A524" s="1" t="s">
        <v>989</v>
      </c>
      <c r="B524" s="1">
        <v>11</v>
      </c>
      <c r="C524" s="1">
        <v>15</v>
      </c>
      <c r="D524" s="1" t="str">
        <f t="shared" si="8"/>
        <v>Yes</v>
      </c>
      <c r="E524" s="1">
        <v>8.6999999999999993</v>
      </c>
      <c r="F524" s="1">
        <v>355</v>
      </c>
      <c r="G524" s="1" t="s">
        <v>106</v>
      </c>
      <c r="H524" s="1" t="s">
        <v>95</v>
      </c>
      <c r="I524" s="1">
        <v>34.6</v>
      </c>
      <c r="J524" s="1" t="s">
        <v>95</v>
      </c>
      <c r="M524" s="1" t="s">
        <v>102</v>
      </c>
      <c r="O524" s="1">
        <v>1</v>
      </c>
      <c r="P524" s="1">
        <v>667</v>
      </c>
    </row>
    <row r="525" spans="1:18" ht="14.25" customHeight="1" x14ac:dyDescent="0.3">
      <c r="A525" s="1" t="s">
        <v>989</v>
      </c>
      <c r="B525" s="1">
        <v>11</v>
      </c>
      <c r="C525" s="1">
        <v>8</v>
      </c>
      <c r="D525" s="1" t="str">
        <f t="shared" si="8"/>
        <v>Yes</v>
      </c>
      <c r="E525" s="1">
        <v>6.7</v>
      </c>
      <c r="F525" s="1">
        <v>153</v>
      </c>
      <c r="G525" s="1" t="s">
        <v>106</v>
      </c>
      <c r="H525" s="1" t="s">
        <v>95</v>
      </c>
      <c r="I525" s="1">
        <v>30</v>
      </c>
      <c r="J525" s="1" t="s">
        <v>101</v>
      </c>
      <c r="M525" s="1" t="s">
        <v>101</v>
      </c>
      <c r="O525" s="1">
        <v>5</v>
      </c>
    </row>
    <row r="526" spans="1:18" ht="14.25" customHeight="1" x14ac:dyDescent="0.3">
      <c r="A526" s="1" t="s">
        <v>989</v>
      </c>
      <c r="B526" s="1">
        <v>11</v>
      </c>
      <c r="C526" s="1">
        <v>3</v>
      </c>
      <c r="D526" s="1" t="str">
        <f t="shared" si="8"/>
        <v>Yes</v>
      </c>
      <c r="E526" s="1">
        <v>8.4</v>
      </c>
      <c r="F526" s="1">
        <v>96</v>
      </c>
      <c r="G526" s="1" t="s">
        <v>106</v>
      </c>
      <c r="H526" s="1" t="s">
        <v>95</v>
      </c>
      <c r="I526" s="1">
        <v>24.5</v>
      </c>
      <c r="J526" s="1" t="s">
        <v>95</v>
      </c>
      <c r="M526" s="1" t="s">
        <v>101</v>
      </c>
      <c r="O526" s="1">
        <v>5</v>
      </c>
      <c r="Q526" s="1" t="s">
        <v>162</v>
      </c>
    </row>
    <row r="527" spans="1:18" ht="14.25" customHeight="1" x14ac:dyDescent="0.3">
      <c r="A527" s="1" t="s">
        <v>989</v>
      </c>
      <c r="B527" s="1">
        <v>11</v>
      </c>
      <c r="C527" s="1">
        <v>14</v>
      </c>
      <c r="D527" s="1" t="str">
        <f t="shared" si="8"/>
        <v>Yes</v>
      </c>
      <c r="E527" s="1">
        <v>3.9</v>
      </c>
      <c r="F527" s="1">
        <v>358</v>
      </c>
      <c r="G527" s="1" t="s">
        <v>106</v>
      </c>
      <c r="H527" s="1" t="s">
        <v>95</v>
      </c>
      <c r="I527" s="1">
        <v>10</v>
      </c>
      <c r="J527" s="1" t="s">
        <v>95</v>
      </c>
      <c r="M527" s="1" t="s">
        <v>101</v>
      </c>
      <c r="O527" s="1">
        <v>2</v>
      </c>
    </row>
    <row r="528" spans="1:18" ht="14.25" customHeight="1" x14ac:dyDescent="0.3">
      <c r="A528" s="1" t="s">
        <v>989</v>
      </c>
      <c r="B528" s="1">
        <v>11</v>
      </c>
      <c r="C528" s="1">
        <v>4</v>
      </c>
      <c r="D528" s="1" t="str">
        <f t="shared" si="8"/>
        <v>Yes</v>
      </c>
      <c r="E528" s="1">
        <v>11.7</v>
      </c>
      <c r="F528" s="1">
        <v>91</v>
      </c>
      <c r="G528" s="1" t="s">
        <v>93</v>
      </c>
      <c r="H528" s="1" t="s">
        <v>95</v>
      </c>
      <c r="I528" s="1">
        <v>60.2</v>
      </c>
      <c r="J528" s="1" t="s">
        <v>95</v>
      </c>
      <c r="M528" s="1" t="s">
        <v>102</v>
      </c>
      <c r="O528" s="1">
        <v>1</v>
      </c>
      <c r="P528" s="1">
        <v>665</v>
      </c>
    </row>
    <row r="529" spans="1:18" ht="14.25" customHeight="1" x14ac:dyDescent="0.3">
      <c r="A529" s="1" t="s">
        <v>989</v>
      </c>
      <c r="B529" s="1">
        <v>11</v>
      </c>
      <c r="C529" s="1">
        <v>11</v>
      </c>
      <c r="D529" s="1" t="str">
        <f t="shared" si="8"/>
        <v>Yes</v>
      </c>
      <c r="E529" s="1">
        <v>11.7</v>
      </c>
      <c r="F529" s="1">
        <v>251</v>
      </c>
      <c r="G529" s="1" t="s">
        <v>93</v>
      </c>
      <c r="H529" s="1" t="s">
        <v>95</v>
      </c>
      <c r="I529" s="1">
        <v>23</v>
      </c>
      <c r="J529" s="1" t="s">
        <v>95</v>
      </c>
      <c r="M529" s="1" t="s">
        <v>102</v>
      </c>
      <c r="O529" s="1">
        <v>1</v>
      </c>
    </row>
    <row r="530" spans="1:18" ht="14.25" customHeight="1" x14ac:dyDescent="0.3">
      <c r="A530" s="1" t="s">
        <v>989</v>
      </c>
      <c r="B530" s="1">
        <v>12</v>
      </c>
      <c r="C530" s="1">
        <v>4</v>
      </c>
      <c r="D530" s="1" t="str">
        <f t="shared" si="8"/>
        <v>Yes</v>
      </c>
      <c r="E530" s="1">
        <v>9.3000000000000007</v>
      </c>
      <c r="F530" s="1">
        <v>68</v>
      </c>
      <c r="G530" s="1" t="s">
        <v>98</v>
      </c>
      <c r="H530" s="1" t="s">
        <v>95</v>
      </c>
      <c r="I530" s="1">
        <v>34.6</v>
      </c>
      <c r="J530" s="1" t="s">
        <v>95</v>
      </c>
      <c r="M530" s="1" t="s">
        <v>102</v>
      </c>
      <c r="O530" s="1">
        <v>1</v>
      </c>
      <c r="Q530" s="1" t="s">
        <v>174</v>
      </c>
    </row>
    <row r="531" spans="1:18" ht="14.25" customHeight="1" x14ac:dyDescent="0.3">
      <c r="A531" s="1" t="s">
        <v>989</v>
      </c>
      <c r="B531" s="1">
        <v>12</v>
      </c>
      <c r="C531" s="1">
        <v>3</v>
      </c>
      <c r="D531" s="1" t="str">
        <f t="shared" si="8"/>
        <v>Yes</v>
      </c>
      <c r="E531" s="1">
        <v>8.5</v>
      </c>
      <c r="F531" s="1">
        <v>66</v>
      </c>
      <c r="G531" s="1" t="s">
        <v>98</v>
      </c>
      <c r="H531" s="1" t="s">
        <v>95</v>
      </c>
      <c r="I531" s="1">
        <v>31.2</v>
      </c>
      <c r="J531" s="1" t="s">
        <v>95</v>
      </c>
      <c r="M531" s="1" t="s">
        <v>102</v>
      </c>
      <c r="O531" s="1">
        <v>1</v>
      </c>
      <c r="Q531" s="1" t="s">
        <v>174</v>
      </c>
    </row>
    <row r="532" spans="1:18" ht="14.25" customHeight="1" x14ac:dyDescent="0.3">
      <c r="A532" s="1" t="s">
        <v>989</v>
      </c>
      <c r="B532" s="1">
        <v>12</v>
      </c>
      <c r="C532" s="1">
        <v>13</v>
      </c>
      <c r="D532" s="1" t="str">
        <f t="shared" si="8"/>
        <v>Yes</v>
      </c>
      <c r="E532" s="1">
        <v>8.4</v>
      </c>
      <c r="F532" s="1">
        <v>273</v>
      </c>
      <c r="G532" s="1" t="s">
        <v>106</v>
      </c>
      <c r="H532" s="1" t="s">
        <v>95</v>
      </c>
      <c r="I532" s="1">
        <v>82.4</v>
      </c>
      <c r="J532" s="1" t="s">
        <v>95</v>
      </c>
      <c r="M532" s="1" t="s">
        <v>102</v>
      </c>
      <c r="O532" s="1">
        <v>1</v>
      </c>
      <c r="P532" s="1">
        <v>820</v>
      </c>
    </row>
    <row r="533" spans="1:18" ht="14.25" customHeight="1" x14ac:dyDescent="0.3">
      <c r="A533" s="1" t="s">
        <v>989</v>
      </c>
      <c r="B533" s="1">
        <v>12</v>
      </c>
      <c r="C533" s="1">
        <v>8</v>
      </c>
      <c r="D533" s="1" t="str">
        <f t="shared" si="8"/>
        <v>Yes</v>
      </c>
      <c r="E533" s="1">
        <v>2.2999999999999998</v>
      </c>
      <c r="F533" s="1">
        <v>163</v>
      </c>
      <c r="G533" s="1" t="s">
        <v>106</v>
      </c>
      <c r="H533" s="1" t="s">
        <v>95</v>
      </c>
      <c r="I533" s="1">
        <v>69.099999999999994</v>
      </c>
      <c r="J533" s="1" t="s">
        <v>101</v>
      </c>
      <c r="M533" s="1" t="s">
        <v>102</v>
      </c>
      <c r="O533" s="1">
        <v>1</v>
      </c>
      <c r="P533" s="1">
        <v>819</v>
      </c>
    </row>
    <row r="534" spans="1:18" ht="14.25" customHeight="1" x14ac:dyDescent="0.3">
      <c r="A534" s="1" t="s">
        <v>989</v>
      </c>
      <c r="B534" s="1">
        <v>12</v>
      </c>
      <c r="C534" s="1">
        <v>14</v>
      </c>
      <c r="D534" s="1" t="str">
        <f t="shared" si="8"/>
        <v>Yes</v>
      </c>
      <c r="E534" s="1">
        <v>10.7</v>
      </c>
      <c r="F534" s="1">
        <v>285</v>
      </c>
      <c r="G534" s="1" t="s">
        <v>106</v>
      </c>
      <c r="H534" s="1" t="s">
        <v>95</v>
      </c>
      <c r="I534" s="1">
        <v>55</v>
      </c>
      <c r="J534" s="1" t="s">
        <v>95</v>
      </c>
      <c r="M534" s="1" t="s">
        <v>102</v>
      </c>
      <c r="O534" s="1">
        <v>1</v>
      </c>
    </row>
    <row r="535" spans="1:18" ht="14.25" customHeight="1" x14ac:dyDescent="0.3">
      <c r="A535" s="1" t="s">
        <v>989</v>
      </c>
      <c r="B535" s="1">
        <v>12</v>
      </c>
      <c r="C535" s="1">
        <v>5</v>
      </c>
      <c r="D535" s="1" t="str">
        <f t="shared" si="8"/>
        <v>Yes</v>
      </c>
      <c r="E535" s="1">
        <v>8.6999999999999993</v>
      </c>
      <c r="F535" s="1">
        <v>98</v>
      </c>
      <c r="G535" s="1" t="s">
        <v>106</v>
      </c>
      <c r="H535" s="1" t="s">
        <v>95</v>
      </c>
      <c r="I535" s="1">
        <v>42.9</v>
      </c>
      <c r="J535" s="1" t="s">
        <v>95</v>
      </c>
      <c r="M535" s="1" t="s">
        <v>102</v>
      </c>
      <c r="O535" s="1">
        <v>1</v>
      </c>
    </row>
    <row r="536" spans="1:18" ht="14.25" customHeight="1" x14ac:dyDescent="0.3">
      <c r="A536" s="1" t="s">
        <v>989</v>
      </c>
      <c r="B536" s="1">
        <v>12</v>
      </c>
      <c r="C536" s="1">
        <v>15</v>
      </c>
      <c r="D536" s="1" t="str">
        <f t="shared" si="8"/>
        <v>Yes</v>
      </c>
      <c r="E536" s="1">
        <v>10</v>
      </c>
      <c r="F536" s="1">
        <v>288</v>
      </c>
      <c r="G536" s="1" t="s">
        <v>106</v>
      </c>
      <c r="H536" s="1" t="s">
        <v>95</v>
      </c>
      <c r="I536" s="1">
        <v>28.4</v>
      </c>
      <c r="J536" s="1" t="s">
        <v>95</v>
      </c>
      <c r="M536" s="1" t="s">
        <v>101</v>
      </c>
      <c r="O536" s="1">
        <v>5</v>
      </c>
      <c r="R536" s="1"/>
    </row>
    <row r="537" spans="1:18" ht="14.25" customHeight="1" x14ac:dyDescent="0.3">
      <c r="A537" s="1" t="s">
        <v>989</v>
      </c>
      <c r="B537" s="1">
        <v>12</v>
      </c>
      <c r="C537" s="1">
        <v>10</v>
      </c>
      <c r="D537" s="1" t="str">
        <f t="shared" si="8"/>
        <v>Yes</v>
      </c>
      <c r="E537" s="1">
        <v>11.9</v>
      </c>
      <c r="F537" s="1">
        <v>192</v>
      </c>
      <c r="G537" s="1" t="s">
        <v>106</v>
      </c>
      <c r="H537" s="1" t="s">
        <v>95</v>
      </c>
      <c r="I537" s="1">
        <v>25.5</v>
      </c>
      <c r="J537" s="1" t="s">
        <v>95</v>
      </c>
      <c r="M537" s="1" t="s">
        <v>101</v>
      </c>
      <c r="O537" s="1">
        <v>1</v>
      </c>
    </row>
    <row r="538" spans="1:18" ht="14.25" customHeight="1" x14ac:dyDescent="0.3">
      <c r="A538" s="1" t="s">
        <v>989</v>
      </c>
      <c r="B538" s="1">
        <v>12</v>
      </c>
      <c r="C538" s="1">
        <v>2</v>
      </c>
      <c r="D538" s="1" t="str">
        <f t="shared" si="8"/>
        <v>Yes</v>
      </c>
      <c r="E538" s="1">
        <v>4.5</v>
      </c>
      <c r="F538" s="1">
        <v>49</v>
      </c>
      <c r="G538" s="1" t="s">
        <v>106</v>
      </c>
      <c r="H538" s="1" t="s">
        <v>95</v>
      </c>
      <c r="I538" s="1">
        <v>24.6</v>
      </c>
      <c r="J538" s="1" t="s">
        <v>95</v>
      </c>
      <c r="M538" s="1" t="s">
        <v>101</v>
      </c>
      <c r="O538" s="1">
        <v>5</v>
      </c>
      <c r="R538" s="1"/>
    </row>
    <row r="539" spans="1:18" ht="14.25" customHeight="1" x14ac:dyDescent="0.3">
      <c r="A539" s="1" t="s">
        <v>989</v>
      </c>
      <c r="B539" s="1">
        <v>12</v>
      </c>
      <c r="C539" s="1">
        <v>11</v>
      </c>
      <c r="D539" s="1" t="str">
        <f t="shared" si="8"/>
        <v>Yes</v>
      </c>
      <c r="E539" s="1">
        <v>6.8</v>
      </c>
      <c r="F539" s="1">
        <v>211</v>
      </c>
      <c r="G539" s="1" t="s">
        <v>106</v>
      </c>
      <c r="H539" s="1" t="s">
        <v>95</v>
      </c>
      <c r="I539" s="1">
        <v>21.1</v>
      </c>
      <c r="J539" s="1" t="s">
        <v>95</v>
      </c>
      <c r="M539" s="1" t="s">
        <v>101</v>
      </c>
      <c r="O539" s="1">
        <v>1</v>
      </c>
    </row>
    <row r="540" spans="1:18" ht="14.25" customHeight="1" x14ac:dyDescent="0.3">
      <c r="A540" s="1" t="s">
        <v>989</v>
      </c>
      <c r="B540" s="1">
        <v>12</v>
      </c>
      <c r="C540" s="1">
        <v>12</v>
      </c>
      <c r="D540" s="1" t="str">
        <f t="shared" si="8"/>
        <v>Yes</v>
      </c>
      <c r="E540" s="1">
        <v>3.7</v>
      </c>
      <c r="F540" s="1">
        <v>263</v>
      </c>
      <c r="G540" s="1" t="s">
        <v>106</v>
      </c>
      <c r="H540" s="1" t="s">
        <v>95</v>
      </c>
      <c r="I540" s="1">
        <v>17.8</v>
      </c>
      <c r="J540" s="1" t="s">
        <v>95</v>
      </c>
      <c r="M540" s="1" t="s">
        <v>101</v>
      </c>
      <c r="O540" s="1">
        <v>5</v>
      </c>
    </row>
    <row r="541" spans="1:18" ht="14.25" customHeight="1" x14ac:dyDescent="0.3">
      <c r="A541" s="1" t="s">
        <v>989</v>
      </c>
      <c r="B541" s="1">
        <v>12</v>
      </c>
      <c r="C541" s="1">
        <v>6</v>
      </c>
      <c r="D541" s="1" t="str">
        <f t="shared" si="8"/>
        <v>Yes</v>
      </c>
      <c r="E541" s="1">
        <v>7.2</v>
      </c>
      <c r="F541" s="1">
        <v>97</v>
      </c>
      <c r="G541" s="1" t="s">
        <v>106</v>
      </c>
      <c r="H541" s="1" t="s">
        <v>95</v>
      </c>
      <c r="I541" s="1">
        <v>15.5</v>
      </c>
      <c r="J541" s="1" t="s">
        <v>95</v>
      </c>
      <c r="M541" s="1" t="s">
        <v>101</v>
      </c>
      <c r="O541" s="1">
        <v>1</v>
      </c>
      <c r="R541" s="1"/>
    </row>
    <row r="542" spans="1:18" ht="14.25" customHeight="1" x14ac:dyDescent="0.3">
      <c r="A542" s="1" t="s">
        <v>989</v>
      </c>
      <c r="B542" s="1">
        <v>12</v>
      </c>
      <c r="C542" s="1">
        <v>16</v>
      </c>
      <c r="D542" s="1" t="str">
        <f t="shared" si="8"/>
        <v>Yes</v>
      </c>
      <c r="E542" s="1">
        <v>12</v>
      </c>
      <c r="F542" s="1">
        <v>332</v>
      </c>
      <c r="G542" s="1" t="s">
        <v>93</v>
      </c>
      <c r="H542" s="1" t="s">
        <v>95</v>
      </c>
      <c r="I542" s="1">
        <v>78.3</v>
      </c>
      <c r="J542" s="1" t="s">
        <v>95</v>
      </c>
      <c r="M542" s="1" t="s">
        <v>102</v>
      </c>
      <c r="O542" s="1">
        <v>5</v>
      </c>
    </row>
    <row r="543" spans="1:18" ht="14.25" customHeight="1" x14ac:dyDescent="0.3">
      <c r="A543" s="1" t="s">
        <v>989</v>
      </c>
      <c r="B543" s="1">
        <v>12</v>
      </c>
      <c r="C543" s="1">
        <v>1</v>
      </c>
      <c r="D543" s="1" t="str">
        <f t="shared" si="8"/>
        <v>Yes</v>
      </c>
      <c r="E543" s="1">
        <v>6.6</v>
      </c>
      <c r="F543" s="1">
        <v>13</v>
      </c>
      <c r="G543" s="1" t="s">
        <v>93</v>
      </c>
      <c r="H543" s="1" t="s">
        <v>95</v>
      </c>
      <c r="I543" s="1">
        <v>62.4</v>
      </c>
      <c r="J543" s="1" t="s">
        <v>95</v>
      </c>
      <c r="M543" s="1" t="s">
        <v>102</v>
      </c>
      <c r="O543" s="1">
        <v>1</v>
      </c>
      <c r="P543" s="1">
        <v>818</v>
      </c>
    </row>
    <row r="544" spans="1:18" ht="14.25" customHeight="1" x14ac:dyDescent="0.3">
      <c r="A544" s="1" t="s">
        <v>989</v>
      </c>
      <c r="B544" s="1">
        <v>12</v>
      </c>
      <c r="C544" s="1">
        <v>9</v>
      </c>
      <c r="D544" s="1" t="str">
        <f t="shared" si="8"/>
        <v>Yes</v>
      </c>
      <c r="E544" s="1">
        <v>11.7</v>
      </c>
      <c r="F544" s="1">
        <v>180</v>
      </c>
      <c r="G544" s="1" t="s">
        <v>93</v>
      </c>
      <c r="H544" s="1" t="s">
        <v>95</v>
      </c>
      <c r="I544" s="1">
        <v>61</v>
      </c>
      <c r="J544" s="1" t="s">
        <v>95</v>
      </c>
      <c r="M544" s="1" t="s">
        <v>102</v>
      </c>
      <c r="O544" s="1">
        <v>5</v>
      </c>
      <c r="Q544" s="1" t="s">
        <v>176</v>
      </c>
    </row>
    <row r="545" spans="1:18" ht="14.25" customHeight="1" x14ac:dyDescent="0.3">
      <c r="A545" s="1" t="s">
        <v>989</v>
      </c>
      <c r="B545" s="1">
        <v>12</v>
      </c>
      <c r="C545" s="1">
        <v>7</v>
      </c>
      <c r="D545" s="1" t="str">
        <f t="shared" si="8"/>
        <v>Yes</v>
      </c>
      <c r="E545" s="1">
        <v>7.1</v>
      </c>
      <c r="F545" s="1">
        <v>104</v>
      </c>
      <c r="G545" s="1" t="s">
        <v>93</v>
      </c>
      <c r="H545" s="1" t="s">
        <v>95</v>
      </c>
      <c r="I545" s="1">
        <v>33.299999999999997</v>
      </c>
      <c r="J545" s="1" t="s">
        <v>95</v>
      </c>
      <c r="M545" s="1" t="s">
        <v>102</v>
      </c>
      <c r="O545" s="1">
        <v>5</v>
      </c>
    </row>
    <row r="546" spans="1:18" ht="14.25" customHeight="1" x14ac:dyDescent="0.3">
      <c r="A546" s="1" t="s">
        <v>989</v>
      </c>
      <c r="B546" s="1">
        <v>13</v>
      </c>
      <c r="C546" s="1">
        <v>18</v>
      </c>
      <c r="D546" s="1" t="str">
        <f t="shared" si="8"/>
        <v>No</v>
      </c>
      <c r="E546" s="1">
        <v>12.6</v>
      </c>
      <c r="F546" s="1">
        <v>227</v>
      </c>
      <c r="G546" s="1" t="s">
        <v>109</v>
      </c>
      <c r="H546" s="1" t="s">
        <v>95</v>
      </c>
      <c r="I546" s="1">
        <v>22.6</v>
      </c>
      <c r="J546" s="1" t="s">
        <v>95</v>
      </c>
      <c r="M546" s="1" t="s">
        <v>101</v>
      </c>
      <c r="O546" s="1">
        <v>5</v>
      </c>
    </row>
    <row r="547" spans="1:18" ht="14.25" customHeight="1" x14ac:dyDescent="0.3">
      <c r="A547" s="1" t="s">
        <v>989</v>
      </c>
      <c r="B547" s="1">
        <v>13</v>
      </c>
      <c r="C547" s="1">
        <v>22</v>
      </c>
      <c r="D547" s="1" t="str">
        <f t="shared" si="8"/>
        <v>No</v>
      </c>
      <c r="E547" s="1">
        <v>12.6</v>
      </c>
      <c r="F547" s="1">
        <v>311</v>
      </c>
      <c r="G547" s="1" t="s">
        <v>93</v>
      </c>
      <c r="H547" s="1" t="s">
        <v>95</v>
      </c>
      <c r="I547" s="1">
        <v>19</v>
      </c>
      <c r="J547" s="1" t="s">
        <v>95</v>
      </c>
      <c r="M547" s="1" t="s">
        <v>101</v>
      </c>
      <c r="O547" s="1">
        <v>5</v>
      </c>
    </row>
    <row r="548" spans="1:18" ht="14.25" customHeight="1" x14ac:dyDescent="0.3">
      <c r="A548" s="1" t="s">
        <v>989</v>
      </c>
      <c r="B548" s="1">
        <v>13</v>
      </c>
      <c r="C548" s="1">
        <v>26</v>
      </c>
      <c r="D548" s="1" t="str">
        <f t="shared" si="8"/>
        <v>Yes</v>
      </c>
      <c r="E548" s="1">
        <v>7.4</v>
      </c>
      <c r="F548" s="1">
        <v>313</v>
      </c>
      <c r="G548" s="1" t="s">
        <v>98</v>
      </c>
      <c r="H548" s="1" t="s">
        <v>95</v>
      </c>
      <c r="I548" s="1">
        <v>30.6</v>
      </c>
      <c r="J548" s="1" t="s">
        <v>95</v>
      </c>
      <c r="M548" s="1" t="s">
        <v>101</v>
      </c>
      <c r="O548" s="1">
        <v>1</v>
      </c>
      <c r="Q548" s="1" t="s">
        <v>192</v>
      </c>
    </row>
    <row r="549" spans="1:18" ht="14.25" customHeight="1" x14ac:dyDescent="0.3">
      <c r="A549" s="1" t="s">
        <v>989</v>
      </c>
      <c r="B549" s="1">
        <v>13</v>
      </c>
      <c r="C549" s="1">
        <v>8</v>
      </c>
      <c r="D549" s="1" t="str">
        <f t="shared" si="8"/>
        <v>Yes</v>
      </c>
      <c r="E549" s="1">
        <v>6.7</v>
      </c>
      <c r="F549" s="1">
        <v>125</v>
      </c>
      <c r="G549" s="1" t="s">
        <v>98</v>
      </c>
      <c r="H549" s="1" t="s">
        <v>95</v>
      </c>
      <c r="I549" s="1">
        <v>23.5</v>
      </c>
      <c r="J549" s="1" t="s">
        <v>95</v>
      </c>
      <c r="M549" s="1" t="s">
        <v>101</v>
      </c>
      <c r="O549" s="1">
        <v>5</v>
      </c>
    </row>
    <row r="550" spans="1:18" ht="14.25" customHeight="1" x14ac:dyDescent="0.3">
      <c r="A550" s="1" t="s">
        <v>989</v>
      </c>
      <c r="B550" s="1">
        <v>13</v>
      </c>
      <c r="C550" s="1">
        <v>17</v>
      </c>
      <c r="D550" s="1" t="str">
        <f t="shared" si="8"/>
        <v>Yes</v>
      </c>
      <c r="E550" s="1">
        <v>8.1</v>
      </c>
      <c r="F550" s="1">
        <v>220</v>
      </c>
      <c r="G550" s="1" t="s">
        <v>98</v>
      </c>
      <c r="H550" s="1" t="s">
        <v>95</v>
      </c>
      <c r="I550" s="1">
        <v>8.4</v>
      </c>
      <c r="J550" s="1" t="s">
        <v>95</v>
      </c>
      <c r="M550" s="1" t="s">
        <v>101</v>
      </c>
      <c r="O550" s="1">
        <v>4</v>
      </c>
    </row>
    <row r="551" spans="1:18" ht="14.25" customHeight="1" x14ac:dyDescent="0.3">
      <c r="A551" s="1" t="s">
        <v>989</v>
      </c>
      <c r="B551" s="1">
        <v>13</v>
      </c>
      <c r="C551" s="1">
        <v>3</v>
      </c>
      <c r="D551" s="1" t="str">
        <f t="shared" si="8"/>
        <v>Yes</v>
      </c>
      <c r="E551" s="1">
        <v>11.2</v>
      </c>
      <c r="F551" s="1">
        <v>58</v>
      </c>
      <c r="G551" s="1" t="s">
        <v>109</v>
      </c>
      <c r="H551" s="1" t="s">
        <v>95</v>
      </c>
      <c r="I551" s="1">
        <v>47.8</v>
      </c>
      <c r="J551" s="1" t="s">
        <v>95</v>
      </c>
      <c r="M551" s="1" t="s">
        <v>102</v>
      </c>
      <c r="O551" s="1">
        <v>1</v>
      </c>
      <c r="P551" s="1">
        <v>695</v>
      </c>
    </row>
    <row r="552" spans="1:18" ht="14.25" customHeight="1" x14ac:dyDescent="0.3">
      <c r="A552" s="1" t="s">
        <v>989</v>
      </c>
      <c r="B552" s="1">
        <v>13</v>
      </c>
      <c r="C552" s="1">
        <v>16</v>
      </c>
      <c r="D552" s="1" t="str">
        <f t="shared" si="8"/>
        <v>Yes</v>
      </c>
      <c r="E552" s="1">
        <v>10.7</v>
      </c>
      <c r="F552" s="1">
        <v>218</v>
      </c>
      <c r="G552" s="1" t="s">
        <v>109</v>
      </c>
      <c r="H552" s="1" t="s">
        <v>95</v>
      </c>
      <c r="I552" s="1">
        <v>45</v>
      </c>
      <c r="J552" s="1" t="s">
        <v>95</v>
      </c>
      <c r="M552" s="1" t="s">
        <v>102</v>
      </c>
      <c r="O552" s="1">
        <v>5</v>
      </c>
    </row>
    <row r="553" spans="1:18" ht="14.25" customHeight="1" x14ac:dyDescent="0.3">
      <c r="A553" s="1" t="s">
        <v>989</v>
      </c>
      <c r="B553" s="1">
        <v>13</v>
      </c>
      <c r="C553" s="1">
        <v>10</v>
      </c>
      <c r="D553" s="1" t="str">
        <f t="shared" si="8"/>
        <v>Yes</v>
      </c>
      <c r="E553" s="1">
        <v>8.4</v>
      </c>
      <c r="F553" s="1">
        <v>140</v>
      </c>
      <c r="G553" s="1" t="s">
        <v>109</v>
      </c>
      <c r="H553" s="1" t="s">
        <v>95</v>
      </c>
      <c r="I553" s="1">
        <v>36.200000000000003</v>
      </c>
      <c r="J553" s="1" t="s">
        <v>95</v>
      </c>
      <c r="M553" s="1" t="s">
        <v>102</v>
      </c>
      <c r="O553" s="1">
        <v>5</v>
      </c>
    </row>
    <row r="554" spans="1:18" ht="14.25" customHeight="1" x14ac:dyDescent="0.3">
      <c r="A554" s="1" t="s">
        <v>989</v>
      </c>
      <c r="B554" s="1">
        <v>13</v>
      </c>
      <c r="C554" s="1">
        <v>15</v>
      </c>
      <c r="D554" s="1" t="str">
        <f t="shared" si="8"/>
        <v>Yes</v>
      </c>
      <c r="E554" s="1">
        <v>8.9</v>
      </c>
      <c r="F554" s="1">
        <v>204</v>
      </c>
      <c r="G554" s="1" t="s">
        <v>106</v>
      </c>
      <c r="H554" s="1" t="s">
        <v>95</v>
      </c>
      <c r="I554" s="1">
        <v>49.4</v>
      </c>
      <c r="J554" s="1" t="s">
        <v>95</v>
      </c>
      <c r="M554" s="1" t="s">
        <v>101</v>
      </c>
      <c r="O554" s="1">
        <v>5</v>
      </c>
    </row>
    <row r="555" spans="1:18" ht="14.25" customHeight="1" x14ac:dyDescent="0.3">
      <c r="A555" s="1" t="s">
        <v>989</v>
      </c>
      <c r="B555" s="1">
        <v>13</v>
      </c>
      <c r="C555" s="1">
        <v>6</v>
      </c>
      <c r="D555" s="1" t="str">
        <f t="shared" si="8"/>
        <v>Yes</v>
      </c>
      <c r="E555" s="1">
        <v>10</v>
      </c>
      <c r="F555" s="1">
        <v>111</v>
      </c>
      <c r="G555" s="1" t="s">
        <v>106</v>
      </c>
      <c r="H555" s="1" t="s">
        <v>95</v>
      </c>
      <c r="I555" s="1">
        <v>38</v>
      </c>
      <c r="J555" s="1" t="s">
        <v>95</v>
      </c>
      <c r="M555" s="1" t="s">
        <v>101</v>
      </c>
      <c r="O555" s="1">
        <v>1</v>
      </c>
    </row>
    <row r="556" spans="1:18" ht="14.25" customHeight="1" x14ac:dyDescent="0.3">
      <c r="A556" s="1" t="s">
        <v>989</v>
      </c>
      <c r="B556" s="1">
        <v>13</v>
      </c>
      <c r="C556" s="1">
        <v>2</v>
      </c>
      <c r="D556" s="1" t="str">
        <f t="shared" si="8"/>
        <v>Yes</v>
      </c>
      <c r="E556" s="1">
        <v>5.9</v>
      </c>
      <c r="F556" s="1">
        <v>51</v>
      </c>
      <c r="G556" s="1" t="s">
        <v>106</v>
      </c>
      <c r="H556" s="1" t="s">
        <v>95</v>
      </c>
      <c r="I556" s="1">
        <v>29.4</v>
      </c>
      <c r="J556" s="1" t="s">
        <v>95</v>
      </c>
      <c r="M556" s="1" t="s">
        <v>101</v>
      </c>
      <c r="O556" s="1">
        <v>1</v>
      </c>
    </row>
    <row r="557" spans="1:18" ht="14.25" customHeight="1" x14ac:dyDescent="0.3">
      <c r="A557" s="1" t="s">
        <v>989</v>
      </c>
      <c r="B557" s="1">
        <v>13</v>
      </c>
      <c r="C557" s="1">
        <v>19</v>
      </c>
      <c r="D557" s="1" t="str">
        <f t="shared" si="8"/>
        <v>Yes</v>
      </c>
      <c r="E557" s="1">
        <v>12.4</v>
      </c>
      <c r="F557" s="1">
        <v>228</v>
      </c>
      <c r="G557" s="1" t="s">
        <v>106</v>
      </c>
      <c r="H557" s="1" t="s">
        <v>95</v>
      </c>
      <c r="I557" s="1">
        <v>28</v>
      </c>
      <c r="J557" s="1" t="s">
        <v>95</v>
      </c>
      <c r="M557" s="1" t="s">
        <v>101</v>
      </c>
      <c r="O557" s="1">
        <v>5</v>
      </c>
      <c r="Q557" s="1" t="s">
        <v>162</v>
      </c>
      <c r="R557" s="1"/>
    </row>
    <row r="558" spans="1:18" ht="14.25" customHeight="1" x14ac:dyDescent="0.3">
      <c r="A558" s="1" t="s">
        <v>989</v>
      </c>
      <c r="B558" s="1">
        <v>13</v>
      </c>
      <c r="C558" s="1">
        <v>11</v>
      </c>
      <c r="D558" s="1" t="str">
        <f t="shared" si="8"/>
        <v>Yes</v>
      </c>
      <c r="E558" s="1">
        <v>9.3000000000000007</v>
      </c>
      <c r="F558" s="1">
        <v>164</v>
      </c>
      <c r="G558" s="1" t="s">
        <v>106</v>
      </c>
      <c r="H558" s="1" t="s">
        <v>95</v>
      </c>
      <c r="I558" s="1">
        <v>12.3</v>
      </c>
      <c r="J558" s="1" t="s">
        <v>95</v>
      </c>
      <c r="M558" s="1" t="s">
        <v>101</v>
      </c>
      <c r="O558" s="1">
        <v>3</v>
      </c>
    </row>
    <row r="559" spans="1:18" ht="14.25" customHeight="1" x14ac:dyDescent="0.3">
      <c r="A559" s="1" t="s">
        <v>989</v>
      </c>
      <c r="B559" s="1">
        <v>13</v>
      </c>
      <c r="C559" s="1">
        <v>12</v>
      </c>
      <c r="D559" s="1" t="str">
        <f t="shared" si="8"/>
        <v>Yes</v>
      </c>
      <c r="E559" s="1">
        <v>12.3</v>
      </c>
      <c r="F559" s="1">
        <v>169</v>
      </c>
      <c r="G559" s="1" t="s">
        <v>106</v>
      </c>
      <c r="H559" s="1" t="s">
        <v>95</v>
      </c>
      <c r="I559" s="1">
        <v>11.5</v>
      </c>
      <c r="J559" s="1" t="s">
        <v>95</v>
      </c>
      <c r="M559" s="1" t="s">
        <v>101</v>
      </c>
      <c r="O559" s="1">
        <v>1</v>
      </c>
      <c r="R559" s="1"/>
    </row>
    <row r="560" spans="1:18" ht="14.25" customHeight="1" x14ac:dyDescent="0.3">
      <c r="A560" s="1" t="s">
        <v>989</v>
      </c>
      <c r="B560" s="1">
        <v>13</v>
      </c>
      <c r="C560" s="1">
        <v>21</v>
      </c>
      <c r="D560" s="1" t="str">
        <f t="shared" si="8"/>
        <v>Yes</v>
      </c>
      <c r="E560" s="1">
        <v>11</v>
      </c>
      <c r="F560" s="1">
        <v>297</v>
      </c>
      <c r="G560" s="1" t="s">
        <v>93</v>
      </c>
      <c r="H560" s="1" t="s">
        <v>95</v>
      </c>
      <c r="I560" s="1">
        <v>76.8</v>
      </c>
      <c r="J560" s="1" t="s">
        <v>95</v>
      </c>
      <c r="M560" s="1" t="s">
        <v>102</v>
      </c>
      <c r="O560" s="1">
        <v>1</v>
      </c>
      <c r="P560" s="1">
        <v>697</v>
      </c>
    </row>
    <row r="561" spans="1:18" ht="14.25" customHeight="1" x14ac:dyDescent="0.3">
      <c r="A561" s="1" t="s">
        <v>989</v>
      </c>
      <c r="B561" s="1">
        <v>13</v>
      </c>
      <c r="C561" s="1">
        <v>5</v>
      </c>
      <c r="D561" s="1" t="str">
        <f t="shared" si="8"/>
        <v>Yes</v>
      </c>
      <c r="E561" s="1">
        <v>6.2</v>
      </c>
      <c r="F561" s="1">
        <v>82</v>
      </c>
      <c r="G561" s="1" t="s">
        <v>93</v>
      </c>
      <c r="H561" s="1" t="s">
        <v>95</v>
      </c>
      <c r="I561" s="1">
        <v>73.8</v>
      </c>
      <c r="J561" s="1" t="s">
        <v>95</v>
      </c>
      <c r="M561" s="1" t="s">
        <v>102</v>
      </c>
      <c r="O561" s="1">
        <v>5</v>
      </c>
    </row>
    <row r="562" spans="1:18" ht="14.25" customHeight="1" x14ac:dyDescent="0.3">
      <c r="A562" s="1" t="s">
        <v>989</v>
      </c>
      <c r="B562" s="1">
        <v>13</v>
      </c>
      <c r="C562" s="1">
        <v>24</v>
      </c>
      <c r="D562" s="1" t="str">
        <f t="shared" si="8"/>
        <v>Yes</v>
      </c>
      <c r="E562" s="1">
        <v>12.3</v>
      </c>
      <c r="F562" s="1">
        <v>323</v>
      </c>
      <c r="G562" s="1" t="s">
        <v>93</v>
      </c>
      <c r="H562" s="1" t="s">
        <v>95</v>
      </c>
      <c r="I562" s="1">
        <v>61.4</v>
      </c>
      <c r="J562" s="1" t="s">
        <v>95</v>
      </c>
      <c r="M562" s="1" t="s">
        <v>102</v>
      </c>
      <c r="O562" s="1">
        <v>5</v>
      </c>
    </row>
    <row r="563" spans="1:18" ht="14.25" customHeight="1" x14ac:dyDescent="0.3">
      <c r="A563" s="1" t="s">
        <v>989</v>
      </c>
      <c r="B563" s="1">
        <v>13</v>
      </c>
      <c r="C563" s="1">
        <v>20</v>
      </c>
      <c r="D563" s="1" t="str">
        <f t="shared" si="8"/>
        <v>Yes</v>
      </c>
      <c r="E563" s="1">
        <v>8.1999999999999993</v>
      </c>
      <c r="F563" s="1">
        <v>242</v>
      </c>
      <c r="G563" s="1" t="s">
        <v>93</v>
      </c>
      <c r="H563" s="1" t="s">
        <v>95</v>
      </c>
      <c r="I563" s="1">
        <v>55.9</v>
      </c>
      <c r="J563" s="1" t="s">
        <v>95</v>
      </c>
      <c r="M563" s="1" t="s">
        <v>102</v>
      </c>
      <c r="O563" s="1">
        <v>1</v>
      </c>
      <c r="P563" s="1">
        <v>696</v>
      </c>
    </row>
    <row r="564" spans="1:18" ht="14.25" customHeight="1" x14ac:dyDescent="0.3">
      <c r="A564" s="1" t="s">
        <v>989</v>
      </c>
      <c r="B564" s="1">
        <v>13</v>
      </c>
      <c r="C564" s="1">
        <v>14</v>
      </c>
      <c r="D564" s="1" t="str">
        <f t="shared" si="8"/>
        <v>Yes</v>
      </c>
      <c r="E564" s="1">
        <v>8.6</v>
      </c>
      <c r="F564" s="1">
        <v>176</v>
      </c>
      <c r="G564" s="1" t="s">
        <v>93</v>
      </c>
      <c r="H564" s="1" t="s">
        <v>95</v>
      </c>
      <c r="I564" s="1">
        <v>54.4</v>
      </c>
      <c r="J564" s="1" t="s">
        <v>95</v>
      </c>
      <c r="M564" s="1" t="s">
        <v>102</v>
      </c>
      <c r="O564" s="1">
        <v>5</v>
      </c>
    </row>
    <row r="565" spans="1:18" ht="14.25" customHeight="1" x14ac:dyDescent="0.3">
      <c r="A565" s="1" t="s">
        <v>989</v>
      </c>
      <c r="B565" s="1">
        <v>13</v>
      </c>
      <c r="C565" s="1">
        <v>7</v>
      </c>
      <c r="D565" s="1" t="str">
        <f t="shared" si="8"/>
        <v>Yes</v>
      </c>
      <c r="E565" s="1">
        <v>6.3</v>
      </c>
      <c r="F565" s="1">
        <v>110</v>
      </c>
      <c r="G565" s="1" t="s">
        <v>93</v>
      </c>
      <c r="H565" s="1" t="s">
        <v>95</v>
      </c>
      <c r="I565" s="1">
        <v>52.3</v>
      </c>
      <c r="J565" s="1" t="s">
        <v>95</v>
      </c>
      <c r="M565" s="1" t="s">
        <v>102</v>
      </c>
      <c r="O565" s="1">
        <v>5</v>
      </c>
    </row>
    <row r="566" spans="1:18" ht="14.25" customHeight="1" x14ac:dyDescent="0.3">
      <c r="A566" s="1" t="s">
        <v>989</v>
      </c>
      <c r="B566" s="1">
        <v>13</v>
      </c>
      <c r="C566" s="1">
        <v>1</v>
      </c>
      <c r="D566" s="1" t="str">
        <f t="shared" si="8"/>
        <v>Yes</v>
      </c>
      <c r="E566" s="1">
        <v>2.2999999999999998</v>
      </c>
      <c r="F566" s="1">
        <v>10</v>
      </c>
      <c r="G566" s="1" t="s">
        <v>93</v>
      </c>
      <c r="H566" s="1" t="s">
        <v>95</v>
      </c>
      <c r="I566" s="1">
        <v>42.2</v>
      </c>
      <c r="J566" s="1" t="s">
        <v>95</v>
      </c>
      <c r="M566" s="1" t="s">
        <v>101</v>
      </c>
      <c r="O566" s="1">
        <v>5</v>
      </c>
    </row>
    <row r="567" spans="1:18" ht="14.25" customHeight="1" x14ac:dyDescent="0.3">
      <c r="A567" s="1" t="s">
        <v>989</v>
      </c>
      <c r="B567" s="1">
        <v>13</v>
      </c>
      <c r="C567" s="1">
        <v>23</v>
      </c>
      <c r="D567" s="1" t="str">
        <f t="shared" si="8"/>
        <v>Yes</v>
      </c>
      <c r="E567" s="1">
        <v>12.1</v>
      </c>
      <c r="F567" s="1">
        <v>321</v>
      </c>
      <c r="G567" s="1" t="s">
        <v>93</v>
      </c>
      <c r="H567" s="1" t="s">
        <v>95</v>
      </c>
      <c r="I567" s="1">
        <v>23.6</v>
      </c>
      <c r="J567" s="1" t="s">
        <v>95</v>
      </c>
      <c r="M567" s="1" t="s">
        <v>101</v>
      </c>
      <c r="O567" s="1">
        <v>5</v>
      </c>
    </row>
    <row r="568" spans="1:18" ht="14.25" customHeight="1" x14ac:dyDescent="0.3">
      <c r="A568" s="1" t="s">
        <v>989</v>
      </c>
      <c r="B568" s="1">
        <v>13</v>
      </c>
      <c r="C568" s="1">
        <v>9</v>
      </c>
      <c r="D568" s="1" t="str">
        <f t="shared" si="8"/>
        <v>Yes</v>
      </c>
      <c r="E568" s="1">
        <v>9.4</v>
      </c>
      <c r="F568" s="1">
        <v>128</v>
      </c>
      <c r="G568" s="1" t="s">
        <v>93</v>
      </c>
      <c r="H568" s="1" t="s">
        <v>95</v>
      </c>
      <c r="I568" s="1">
        <v>20.5</v>
      </c>
      <c r="J568" s="1" t="s">
        <v>95</v>
      </c>
      <c r="M568" s="1" t="s">
        <v>101</v>
      </c>
      <c r="O568" s="1">
        <v>5</v>
      </c>
    </row>
    <row r="569" spans="1:18" ht="14.25" customHeight="1" x14ac:dyDescent="0.3">
      <c r="A569" s="1" t="s">
        <v>989</v>
      </c>
      <c r="B569" s="1">
        <v>13</v>
      </c>
      <c r="C569" s="1">
        <v>25</v>
      </c>
      <c r="D569" s="1" t="str">
        <f t="shared" si="8"/>
        <v>Yes</v>
      </c>
      <c r="E569" s="1">
        <v>7.6</v>
      </c>
      <c r="F569" s="1">
        <v>304</v>
      </c>
      <c r="G569" s="1" t="s">
        <v>93</v>
      </c>
      <c r="H569" s="1" t="s">
        <v>95</v>
      </c>
      <c r="I569" s="1">
        <v>20.3</v>
      </c>
      <c r="J569" s="1" t="s">
        <v>95</v>
      </c>
      <c r="M569" s="1" t="s">
        <v>101</v>
      </c>
      <c r="O569" s="1">
        <v>5</v>
      </c>
    </row>
    <row r="570" spans="1:18" ht="14.25" customHeight="1" x14ac:dyDescent="0.3">
      <c r="A570" s="1" t="s">
        <v>989</v>
      </c>
      <c r="B570" s="1">
        <v>13</v>
      </c>
      <c r="C570" s="1">
        <v>13</v>
      </c>
      <c r="D570" s="1" t="str">
        <f t="shared" si="8"/>
        <v>Yes</v>
      </c>
      <c r="E570" s="1">
        <v>7.4</v>
      </c>
      <c r="F570" s="1">
        <v>171</v>
      </c>
      <c r="G570" s="1" t="s">
        <v>93</v>
      </c>
      <c r="H570" s="1" t="s">
        <v>95</v>
      </c>
      <c r="I570" s="1">
        <v>20</v>
      </c>
      <c r="J570" s="1" t="s">
        <v>101</v>
      </c>
      <c r="M570" s="1" t="s">
        <v>101</v>
      </c>
      <c r="O570" s="1">
        <v>5</v>
      </c>
    </row>
    <row r="571" spans="1:18" ht="14.25" customHeight="1" x14ac:dyDescent="0.3">
      <c r="A571" s="1" t="s">
        <v>989</v>
      </c>
      <c r="B571" s="1">
        <v>13</v>
      </c>
      <c r="C571" s="1">
        <v>4</v>
      </c>
      <c r="D571" s="1" t="str">
        <f t="shared" si="8"/>
        <v>Yes</v>
      </c>
      <c r="E571" s="1">
        <v>7.2</v>
      </c>
      <c r="F571" s="1">
        <v>66</v>
      </c>
      <c r="G571" s="1" t="s">
        <v>93</v>
      </c>
      <c r="H571" s="1" t="s">
        <v>95</v>
      </c>
      <c r="I571" s="1">
        <v>18.100000000000001</v>
      </c>
      <c r="J571" s="1" t="s">
        <v>95</v>
      </c>
      <c r="M571" s="1" t="s">
        <v>101</v>
      </c>
      <c r="O571" s="1">
        <v>5</v>
      </c>
    </row>
    <row r="572" spans="1:18" ht="14.25" customHeight="1" x14ac:dyDescent="0.3">
      <c r="A572" s="1" t="s">
        <v>989</v>
      </c>
      <c r="B572" s="1">
        <v>14</v>
      </c>
      <c r="C572" s="1">
        <v>4</v>
      </c>
      <c r="D572" s="1" t="str">
        <f t="shared" si="8"/>
        <v>No</v>
      </c>
      <c r="E572" s="1">
        <v>12.6</v>
      </c>
      <c r="F572" s="1">
        <v>61</v>
      </c>
      <c r="G572" s="1" t="s">
        <v>173</v>
      </c>
      <c r="H572" s="1" t="s">
        <v>95</v>
      </c>
      <c r="I572" s="1">
        <v>11.2</v>
      </c>
      <c r="J572" s="1" t="s">
        <v>95</v>
      </c>
      <c r="M572" s="1" t="s">
        <v>101</v>
      </c>
      <c r="O572" s="1">
        <v>1</v>
      </c>
      <c r="Q572" s="1" t="s">
        <v>191</v>
      </c>
      <c r="R572" s="1"/>
    </row>
    <row r="573" spans="1:18" ht="14.25" customHeight="1" x14ac:dyDescent="0.3">
      <c r="A573" s="1" t="s">
        <v>989</v>
      </c>
      <c r="B573" s="1">
        <v>14</v>
      </c>
      <c r="C573" s="1">
        <v>5</v>
      </c>
      <c r="D573" s="1" t="str">
        <f t="shared" si="8"/>
        <v>No</v>
      </c>
      <c r="E573" s="1">
        <v>12.6</v>
      </c>
      <c r="F573" s="1">
        <v>64</v>
      </c>
      <c r="G573" s="1" t="s">
        <v>173</v>
      </c>
      <c r="H573" s="1" t="s">
        <v>95</v>
      </c>
      <c r="I573" s="1">
        <v>11</v>
      </c>
      <c r="J573" s="1" t="s">
        <v>95</v>
      </c>
      <c r="M573" s="1" t="s">
        <v>101</v>
      </c>
      <c r="O573" s="1">
        <v>1</v>
      </c>
      <c r="Q573" s="1" t="s">
        <v>191</v>
      </c>
      <c r="R573" s="1"/>
    </row>
    <row r="574" spans="1:18" ht="14.25" customHeight="1" x14ac:dyDescent="0.3">
      <c r="A574" s="1" t="s">
        <v>989</v>
      </c>
      <c r="B574" s="1">
        <v>14</v>
      </c>
      <c r="D574" s="1" t="str">
        <f t="shared" si="8"/>
        <v>No</v>
      </c>
      <c r="E574" s="1">
        <v>14</v>
      </c>
      <c r="F574" s="17">
        <v>229</v>
      </c>
      <c r="G574" s="1" t="s">
        <v>93</v>
      </c>
      <c r="H574" s="1" t="s">
        <v>95</v>
      </c>
      <c r="I574" s="1">
        <v>58.6</v>
      </c>
      <c r="J574" s="1" t="s">
        <v>95</v>
      </c>
      <c r="M574" s="1" t="s">
        <v>97</v>
      </c>
      <c r="O574" s="1">
        <v>1</v>
      </c>
      <c r="P574" s="1">
        <v>662</v>
      </c>
    </row>
    <row r="575" spans="1:18" ht="14.25" customHeight="1" x14ac:dyDescent="0.3">
      <c r="A575" s="1" t="s">
        <v>989</v>
      </c>
      <c r="B575" s="1">
        <v>14</v>
      </c>
      <c r="C575" s="1">
        <v>7</v>
      </c>
      <c r="D575" s="1" t="str">
        <f t="shared" si="8"/>
        <v>Yes</v>
      </c>
      <c r="E575" s="1">
        <v>11.7</v>
      </c>
      <c r="F575" s="1">
        <v>94</v>
      </c>
      <c r="G575" s="1" t="s">
        <v>96</v>
      </c>
      <c r="H575" s="1" t="s">
        <v>95</v>
      </c>
      <c r="I575" s="1">
        <v>66</v>
      </c>
      <c r="J575" s="1" t="s">
        <v>95</v>
      </c>
      <c r="M575" s="1" t="s">
        <v>97</v>
      </c>
      <c r="O575" s="1">
        <v>1</v>
      </c>
      <c r="P575" s="1">
        <v>663</v>
      </c>
    </row>
    <row r="576" spans="1:18" ht="14.25" customHeight="1" x14ac:dyDescent="0.3">
      <c r="A576" s="1" t="s">
        <v>989</v>
      </c>
      <c r="B576" s="1">
        <v>14</v>
      </c>
      <c r="C576" s="1">
        <v>2</v>
      </c>
      <c r="D576" s="1" t="str">
        <f t="shared" si="8"/>
        <v>Yes</v>
      </c>
      <c r="E576" s="1">
        <v>4.2</v>
      </c>
      <c r="F576" s="1">
        <v>25</v>
      </c>
      <c r="G576" s="1" t="s">
        <v>109</v>
      </c>
      <c r="H576" s="1" t="s">
        <v>95</v>
      </c>
      <c r="I576" s="1">
        <v>30</v>
      </c>
      <c r="J576" s="1" t="s">
        <v>101</v>
      </c>
      <c r="M576" s="1" t="s">
        <v>101</v>
      </c>
      <c r="O576" s="1">
        <v>5</v>
      </c>
      <c r="Q576" s="1" t="s">
        <v>193</v>
      </c>
    </row>
    <row r="577" spans="1:18" ht="14.25" customHeight="1" x14ac:dyDescent="0.3">
      <c r="A577" s="1" t="s">
        <v>989</v>
      </c>
      <c r="B577" s="1">
        <v>14</v>
      </c>
      <c r="C577" s="1">
        <v>8</v>
      </c>
      <c r="D577" s="1" t="str">
        <f t="shared" si="8"/>
        <v>Yes</v>
      </c>
      <c r="E577" s="1">
        <v>7.5</v>
      </c>
      <c r="F577" s="1">
        <v>95</v>
      </c>
      <c r="G577" s="1" t="s">
        <v>109</v>
      </c>
      <c r="H577" s="1" t="s">
        <v>95</v>
      </c>
      <c r="I577" s="1">
        <v>23.2</v>
      </c>
      <c r="J577" s="1" t="s">
        <v>95</v>
      </c>
      <c r="M577" s="1" t="s">
        <v>101</v>
      </c>
      <c r="O577" s="1">
        <v>1</v>
      </c>
      <c r="R577" s="1"/>
    </row>
    <row r="578" spans="1:18" ht="14.25" customHeight="1" x14ac:dyDescent="0.3">
      <c r="A578" s="1" t="s">
        <v>989</v>
      </c>
      <c r="B578" s="1">
        <v>14</v>
      </c>
      <c r="C578" s="1">
        <v>3</v>
      </c>
      <c r="D578" s="1" t="str">
        <f t="shared" ref="D578:D641" si="9">IF(E578&gt;12.5, "No", "Yes")</f>
        <v>Yes</v>
      </c>
      <c r="E578" s="1">
        <v>12</v>
      </c>
      <c r="F578" s="1">
        <v>31</v>
      </c>
      <c r="G578" s="1" t="s">
        <v>109</v>
      </c>
      <c r="H578" s="1" t="s">
        <v>95</v>
      </c>
      <c r="I578" s="1">
        <v>20.2</v>
      </c>
      <c r="J578" s="1" t="s">
        <v>95</v>
      </c>
      <c r="M578" s="1" t="s">
        <v>101</v>
      </c>
      <c r="O578" s="1">
        <v>1</v>
      </c>
      <c r="R578" s="1"/>
    </row>
    <row r="579" spans="1:18" ht="14.25" customHeight="1" x14ac:dyDescent="0.3">
      <c r="A579" s="1" t="s">
        <v>989</v>
      </c>
      <c r="B579" s="1">
        <v>14</v>
      </c>
      <c r="C579" s="1">
        <v>16</v>
      </c>
      <c r="D579" s="1" t="str">
        <f t="shared" si="9"/>
        <v>Yes</v>
      </c>
      <c r="E579" s="1">
        <v>11.1</v>
      </c>
      <c r="F579" s="1">
        <v>207</v>
      </c>
      <c r="G579" s="1" t="s">
        <v>173</v>
      </c>
      <c r="H579" s="1" t="s">
        <v>95</v>
      </c>
      <c r="I579" s="1">
        <v>15.5</v>
      </c>
      <c r="J579" s="1" t="s">
        <v>95</v>
      </c>
      <c r="M579" s="1" t="s">
        <v>101</v>
      </c>
      <c r="O579" s="1">
        <v>1</v>
      </c>
      <c r="R579" s="1"/>
    </row>
    <row r="580" spans="1:18" ht="14.25" customHeight="1" x14ac:dyDescent="0.3">
      <c r="A580" s="1" t="s">
        <v>989</v>
      </c>
      <c r="B580" s="17">
        <v>14</v>
      </c>
      <c r="C580" s="17">
        <v>15</v>
      </c>
      <c r="D580" s="17" t="str">
        <f t="shared" si="9"/>
        <v>Yes</v>
      </c>
      <c r="E580" s="17">
        <v>10.199999999999999</v>
      </c>
      <c r="F580" s="17">
        <v>210</v>
      </c>
      <c r="G580" s="17" t="s">
        <v>173</v>
      </c>
      <c r="H580" s="17" t="s">
        <v>95</v>
      </c>
      <c r="I580" s="17">
        <v>15.3</v>
      </c>
      <c r="J580" s="17" t="s">
        <v>101</v>
      </c>
      <c r="K580" s="20"/>
      <c r="L580" s="20"/>
      <c r="M580" s="17" t="s">
        <v>101</v>
      </c>
      <c r="N580" s="20"/>
      <c r="O580" s="17">
        <v>5</v>
      </c>
      <c r="P580" s="20"/>
      <c r="Q580" s="20"/>
      <c r="R580" s="17"/>
    </row>
    <row r="581" spans="1:18" ht="14.25" customHeight="1" x14ac:dyDescent="0.3">
      <c r="A581" s="1" t="s">
        <v>989</v>
      </c>
      <c r="B581" s="1">
        <v>14</v>
      </c>
      <c r="C581" s="1">
        <v>14</v>
      </c>
      <c r="D581" s="1" t="str">
        <f t="shared" si="9"/>
        <v>Yes</v>
      </c>
      <c r="E581" s="1">
        <v>11.7</v>
      </c>
      <c r="F581" s="1">
        <v>205</v>
      </c>
      <c r="G581" s="1" t="s">
        <v>173</v>
      </c>
      <c r="H581" s="1" t="s">
        <v>95</v>
      </c>
      <c r="I581" s="1">
        <v>13.4</v>
      </c>
      <c r="J581" s="1" t="s">
        <v>95</v>
      </c>
      <c r="M581" s="1" t="s">
        <v>101</v>
      </c>
      <c r="O581" s="1">
        <v>1</v>
      </c>
      <c r="Q581" s="1" t="s">
        <v>191</v>
      </c>
    </row>
    <row r="582" spans="1:18" ht="14.25" customHeight="1" x14ac:dyDescent="0.3">
      <c r="A582" s="1" t="s">
        <v>989</v>
      </c>
      <c r="B582" s="1">
        <v>14</v>
      </c>
      <c r="C582" s="1">
        <v>9</v>
      </c>
      <c r="D582" s="1" t="str">
        <f t="shared" si="9"/>
        <v>Yes</v>
      </c>
      <c r="E582" s="1">
        <v>7.2</v>
      </c>
      <c r="F582" s="1">
        <v>132</v>
      </c>
      <c r="G582" s="1" t="s">
        <v>173</v>
      </c>
      <c r="H582" s="1" t="s">
        <v>95</v>
      </c>
      <c r="I582" s="1">
        <v>12.9</v>
      </c>
      <c r="J582" s="1" t="s">
        <v>95</v>
      </c>
      <c r="M582" s="1" t="s">
        <v>101</v>
      </c>
      <c r="O582" s="1">
        <v>1</v>
      </c>
      <c r="Q582" s="1" t="s">
        <v>194</v>
      </c>
    </row>
    <row r="583" spans="1:18" ht="14.25" customHeight="1" x14ac:dyDescent="0.3">
      <c r="A583" s="1" t="s">
        <v>989</v>
      </c>
      <c r="B583" s="1">
        <v>14</v>
      </c>
      <c r="C583" s="1">
        <v>10</v>
      </c>
      <c r="D583" s="1" t="str">
        <f t="shared" si="9"/>
        <v>Yes</v>
      </c>
      <c r="E583" s="1">
        <v>3.4</v>
      </c>
      <c r="F583" s="1">
        <v>158</v>
      </c>
      <c r="G583" s="1" t="s">
        <v>173</v>
      </c>
      <c r="H583" s="1" t="s">
        <v>95</v>
      </c>
      <c r="I583" s="1">
        <v>12.9</v>
      </c>
      <c r="J583" s="1" t="s">
        <v>95</v>
      </c>
      <c r="M583" s="1" t="s">
        <v>101</v>
      </c>
      <c r="O583" s="1">
        <v>1</v>
      </c>
      <c r="Q583" s="1" t="s">
        <v>194</v>
      </c>
    </row>
    <row r="584" spans="1:18" ht="14.25" customHeight="1" x14ac:dyDescent="0.3">
      <c r="A584" s="1" t="s">
        <v>989</v>
      </c>
      <c r="B584" s="1">
        <v>14</v>
      </c>
      <c r="C584" s="1">
        <v>12</v>
      </c>
      <c r="D584" s="1" t="str">
        <f t="shared" si="9"/>
        <v>Yes</v>
      </c>
      <c r="E584" s="1">
        <v>3.4</v>
      </c>
      <c r="F584" s="1">
        <v>167</v>
      </c>
      <c r="G584" s="1" t="s">
        <v>173</v>
      </c>
      <c r="H584" s="1" t="s">
        <v>95</v>
      </c>
      <c r="I584" s="1">
        <v>9.5</v>
      </c>
      <c r="J584" s="1" t="s">
        <v>95</v>
      </c>
      <c r="M584" s="1" t="s">
        <v>101</v>
      </c>
      <c r="O584" s="1">
        <v>1</v>
      </c>
    </row>
    <row r="585" spans="1:18" ht="14.25" customHeight="1" x14ac:dyDescent="0.3">
      <c r="A585" s="1" t="s">
        <v>989</v>
      </c>
      <c r="B585" s="1">
        <v>14</v>
      </c>
      <c r="C585" s="1">
        <v>19</v>
      </c>
      <c r="D585" s="1" t="str">
        <f t="shared" si="9"/>
        <v>Yes</v>
      </c>
      <c r="E585" s="1">
        <v>6.4</v>
      </c>
      <c r="F585" s="1">
        <v>241</v>
      </c>
      <c r="G585" s="1" t="s">
        <v>106</v>
      </c>
      <c r="H585" s="1" t="s">
        <v>95</v>
      </c>
      <c r="I585" s="1">
        <v>73.8</v>
      </c>
      <c r="J585" s="1" t="s">
        <v>95</v>
      </c>
      <c r="M585" s="1" t="s">
        <v>102</v>
      </c>
      <c r="O585" s="1">
        <v>1</v>
      </c>
      <c r="P585" s="1">
        <v>664</v>
      </c>
    </row>
    <row r="586" spans="1:18" ht="14.25" customHeight="1" x14ac:dyDescent="0.3">
      <c r="A586" s="1" t="s">
        <v>989</v>
      </c>
      <c r="B586" s="1">
        <v>14</v>
      </c>
      <c r="C586" s="1">
        <v>1</v>
      </c>
      <c r="D586" s="1" t="str">
        <f t="shared" si="9"/>
        <v>Yes</v>
      </c>
      <c r="E586" s="1">
        <v>8</v>
      </c>
      <c r="F586" s="1">
        <v>10</v>
      </c>
      <c r="G586" s="1" t="s">
        <v>106</v>
      </c>
      <c r="H586" s="1" t="s">
        <v>95</v>
      </c>
      <c r="I586" s="1">
        <v>38.200000000000003</v>
      </c>
      <c r="J586" s="1" t="s">
        <v>95</v>
      </c>
      <c r="M586" s="1" t="s">
        <v>101</v>
      </c>
      <c r="O586" s="1">
        <v>1</v>
      </c>
    </row>
    <row r="587" spans="1:18" ht="14.25" customHeight="1" x14ac:dyDescent="0.3">
      <c r="A587" s="1" t="s">
        <v>989</v>
      </c>
      <c r="B587" s="1">
        <v>14</v>
      </c>
      <c r="C587" s="1">
        <v>6</v>
      </c>
      <c r="D587" s="1" t="str">
        <f t="shared" si="9"/>
        <v>Yes</v>
      </c>
      <c r="E587" s="1">
        <v>9.6</v>
      </c>
      <c r="F587" s="1">
        <v>69</v>
      </c>
      <c r="G587" s="1" t="s">
        <v>106</v>
      </c>
      <c r="H587" s="1" t="s">
        <v>95</v>
      </c>
      <c r="I587" s="1">
        <v>15.1</v>
      </c>
      <c r="J587" s="1" t="s">
        <v>95</v>
      </c>
      <c r="M587" s="1" t="s">
        <v>101</v>
      </c>
      <c r="O587" s="1">
        <v>1</v>
      </c>
    </row>
    <row r="588" spans="1:18" ht="14.25" customHeight="1" x14ac:dyDescent="0.3">
      <c r="A588" s="1" t="s">
        <v>989</v>
      </c>
      <c r="B588" s="1">
        <v>14</v>
      </c>
      <c r="C588" s="1">
        <v>18</v>
      </c>
      <c r="D588" s="1" t="str">
        <f t="shared" si="9"/>
        <v>Yes</v>
      </c>
      <c r="E588" s="1">
        <v>10.1</v>
      </c>
      <c r="F588" s="1">
        <v>245</v>
      </c>
      <c r="G588" s="1" t="s">
        <v>106</v>
      </c>
      <c r="H588" s="1" t="s">
        <v>95</v>
      </c>
      <c r="I588" s="1">
        <v>14</v>
      </c>
      <c r="J588" s="1" t="s">
        <v>95</v>
      </c>
      <c r="M588" s="1" t="s">
        <v>101</v>
      </c>
      <c r="O588" s="1">
        <v>5</v>
      </c>
      <c r="Q588" s="1" t="s">
        <v>193</v>
      </c>
      <c r="R588" s="1"/>
    </row>
    <row r="589" spans="1:18" ht="14.25" customHeight="1" x14ac:dyDescent="0.3">
      <c r="A589" s="1" t="s">
        <v>989</v>
      </c>
      <c r="B589" s="1">
        <v>14</v>
      </c>
      <c r="C589" s="1">
        <v>17</v>
      </c>
      <c r="D589" s="1" t="str">
        <f t="shared" si="9"/>
        <v>Yes</v>
      </c>
      <c r="E589" s="1">
        <v>10.199999999999999</v>
      </c>
      <c r="F589" s="1">
        <v>223</v>
      </c>
      <c r="G589" s="1" t="s">
        <v>106</v>
      </c>
      <c r="H589" s="1" t="s">
        <v>95</v>
      </c>
      <c r="I589" s="1">
        <v>9</v>
      </c>
      <c r="J589" s="1" t="s">
        <v>95</v>
      </c>
      <c r="M589" s="1" t="s">
        <v>101</v>
      </c>
      <c r="O589" s="1">
        <v>5</v>
      </c>
    </row>
    <row r="590" spans="1:18" ht="14.25" customHeight="1" x14ac:dyDescent="0.3">
      <c r="A590" s="1" t="s">
        <v>989</v>
      </c>
      <c r="B590" s="1">
        <v>14</v>
      </c>
      <c r="C590" s="1">
        <v>13</v>
      </c>
      <c r="D590" s="1" t="str">
        <f t="shared" si="9"/>
        <v>Yes</v>
      </c>
      <c r="E590" s="1">
        <v>9.9</v>
      </c>
      <c r="F590" s="1">
        <v>184</v>
      </c>
      <c r="G590" s="1" t="s">
        <v>93</v>
      </c>
      <c r="H590" s="1" t="s">
        <v>95</v>
      </c>
      <c r="I590" s="1">
        <v>25</v>
      </c>
      <c r="J590" s="1" t="s">
        <v>95</v>
      </c>
      <c r="M590" s="1" t="s">
        <v>101</v>
      </c>
      <c r="O590" s="1">
        <v>1</v>
      </c>
    </row>
    <row r="591" spans="1:18" ht="14.25" customHeight="1" x14ac:dyDescent="0.3">
      <c r="A591" s="1" t="s">
        <v>989</v>
      </c>
      <c r="B591" s="1">
        <v>14</v>
      </c>
      <c r="C591" s="1">
        <v>11</v>
      </c>
      <c r="D591" s="1" t="str">
        <f t="shared" si="9"/>
        <v>Yes</v>
      </c>
      <c r="E591" s="1">
        <v>5.8</v>
      </c>
      <c r="F591" s="1">
        <v>163</v>
      </c>
      <c r="G591" s="1" t="s">
        <v>93</v>
      </c>
      <c r="H591" s="1" t="s">
        <v>95</v>
      </c>
      <c r="I591" s="1">
        <v>14.8</v>
      </c>
      <c r="J591" s="1" t="s">
        <v>95</v>
      </c>
      <c r="M591" s="1" t="s">
        <v>101</v>
      </c>
      <c r="O591" s="1">
        <v>1</v>
      </c>
    </row>
    <row r="592" spans="1:18" ht="14.25" customHeight="1" x14ac:dyDescent="0.3">
      <c r="A592" s="1" t="s">
        <v>989</v>
      </c>
      <c r="B592" s="1">
        <v>15</v>
      </c>
      <c r="C592" s="1">
        <v>26</v>
      </c>
      <c r="D592" s="1" t="str">
        <f t="shared" si="9"/>
        <v>Yes</v>
      </c>
      <c r="E592" s="1">
        <v>4.4000000000000004</v>
      </c>
      <c r="F592" s="1">
        <v>350</v>
      </c>
      <c r="G592" s="10" t="s">
        <v>184</v>
      </c>
      <c r="H592" s="1" t="s">
        <v>95</v>
      </c>
      <c r="I592" s="1">
        <v>16.5</v>
      </c>
      <c r="J592" s="1" t="s">
        <v>95</v>
      </c>
      <c r="M592" s="1" t="s">
        <v>101</v>
      </c>
      <c r="O592" s="1">
        <v>1</v>
      </c>
      <c r="Q592" s="1" t="s">
        <v>183</v>
      </c>
    </row>
    <row r="593" spans="1:18" ht="14.25" customHeight="1" x14ac:dyDescent="0.3">
      <c r="A593" s="1" t="s">
        <v>989</v>
      </c>
      <c r="B593" s="1">
        <v>15</v>
      </c>
      <c r="C593" s="1">
        <v>9</v>
      </c>
      <c r="D593" s="1" t="str">
        <f t="shared" si="9"/>
        <v>Yes</v>
      </c>
      <c r="E593" s="1">
        <v>10.3</v>
      </c>
      <c r="F593" s="1">
        <v>142</v>
      </c>
      <c r="G593" s="1" t="s">
        <v>109</v>
      </c>
      <c r="H593" s="1" t="s">
        <v>95</v>
      </c>
      <c r="I593" s="1">
        <v>90.9</v>
      </c>
      <c r="J593" s="1" t="s">
        <v>95</v>
      </c>
      <c r="M593" s="1" t="s">
        <v>97</v>
      </c>
      <c r="O593" s="1">
        <v>1</v>
      </c>
      <c r="R593" s="1"/>
    </row>
    <row r="594" spans="1:18" ht="14.25" customHeight="1" x14ac:dyDescent="0.3">
      <c r="A594" s="1" t="s">
        <v>989</v>
      </c>
      <c r="B594" s="1">
        <v>15</v>
      </c>
      <c r="C594" s="1">
        <v>13</v>
      </c>
      <c r="D594" s="1" t="str">
        <f t="shared" si="9"/>
        <v>Yes</v>
      </c>
      <c r="E594" s="1">
        <v>8.6999999999999993</v>
      </c>
      <c r="F594" s="1">
        <v>182</v>
      </c>
      <c r="G594" s="1" t="s">
        <v>109</v>
      </c>
      <c r="H594" s="1" t="s">
        <v>95</v>
      </c>
      <c r="I594" s="1">
        <v>28.1</v>
      </c>
      <c r="J594" s="1" t="s">
        <v>95</v>
      </c>
      <c r="M594" s="1" t="s">
        <v>102</v>
      </c>
      <c r="O594" s="1">
        <v>5</v>
      </c>
    </row>
    <row r="595" spans="1:18" ht="14.25" customHeight="1" x14ac:dyDescent="0.3">
      <c r="A595" s="1" t="s">
        <v>989</v>
      </c>
      <c r="B595" s="1">
        <v>15</v>
      </c>
      <c r="C595" s="1">
        <v>20</v>
      </c>
      <c r="D595" s="1" t="str">
        <f t="shared" si="9"/>
        <v>Yes</v>
      </c>
      <c r="E595" s="1">
        <v>8.9</v>
      </c>
      <c r="F595" s="1">
        <v>251</v>
      </c>
      <c r="G595" s="1" t="s">
        <v>173</v>
      </c>
      <c r="H595" s="1" t="s">
        <v>95</v>
      </c>
      <c r="I595" s="1">
        <v>16.100000000000001</v>
      </c>
      <c r="J595" s="1" t="s">
        <v>95</v>
      </c>
      <c r="M595" s="1" t="s">
        <v>101</v>
      </c>
      <c r="O595" s="1">
        <v>1</v>
      </c>
      <c r="R595" s="1"/>
    </row>
    <row r="596" spans="1:18" ht="14.25" customHeight="1" x14ac:dyDescent="0.3">
      <c r="A596" s="1" t="s">
        <v>989</v>
      </c>
      <c r="B596" s="1">
        <v>15</v>
      </c>
      <c r="C596" s="1">
        <v>4</v>
      </c>
      <c r="D596" s="1" t="str">
        <f t="shared" si="9"/>
        <v>Yes</v>
      </c>
      <c r="E596" s="1">
        <v>7.6</v>
      </c>
      <c r="F596" s="1">
        <v>50</v>
      </c>
      <c r="G596" s="1" t="s">
        <v>173</v>
      </c>
      <c r="H596" s="1" t="s">
        <v>95</v>
      </c>
      <c r="I596" s="1">
        <v>16</v>
      </c>
      <c r="J596" s="1" t="s">
        <v>95</v>
      </c>
      <c r="M596" s="1" t="s">
        <v>101</v>
      </c>
      <c r="O596" s="1">
        <v>1</v>
      </c>
      <c r="Q596" s="19" t="s">
        <v>182</v>
      </c>
    </row>
    <row r="597" spans="1:18" ht="14.25" customHeight="1" x14ac:dyDescent="0.3">
      <c r="A597" s="1" t="s">
        <v>989</v>
      </c>
      <c r="B597" s="1">
        <v>15</v>
      </c>
      <c r="C597" s="1">
        <v>23</v>
      </c>
      <c r="D597" s="1" t="str">
        <f t="shared" si="9"/>
        <v>Yes</v>
      </c>
      <c r="E597" s="1">
        <v>7.6</v>
      </c>
      <c r="F597" s="1">
        <v>274</v>
      </c>
      <c r="G597" s="1" t="s">
        <v>173</v>
      </c>
      <c r="H597" s="1" t="s">
        <v>95</v>
      </c>
      <c r="I597" s="1">
        <v>13.4</v>
      </c>
      <c r="J597" s="1" t="s">
        <v>101</v>
      </c>
      <c r="M597" s="1" t="s">
        <v>101</v>
      </c>
      <c r="O597" s="1">
        <v>5</v>
      </c>
      <c r="P597" s="1">
        <v>822</v>
      </c>
      <c r="R597" s="1"/>
    </row>
    <row r="598" spans="1:18" ht="14.25" customHeight="1" x14ac:dyDescent="0.3">
      <c r="A598" s="1" t="s">
        <v>989</v>
      </c>
      <c r="B598" s="1">
        <v>15</v>
      </c>
      <c r="C598" s="1">
        <v>17</v>
      </c>
      <c r="D598" s="1" t="str">
        <f t="shared" si="9"/>
        <v>Yes</v>
      </c>
      <c r="E598" s="1">
        <v>7.6</v>
      </c>
      <c r="F598" s="1">
        <v>238</v>
      </c>
      <c r="G598" s="1" t="s">
        <v>173</v>
      </c>
      <c r="H598" s="1" t="s">
        <v>95</v>
      </c>
      <c r="I598" s="1">
        <v>12.9</v>
      </c>
      <c r="J598" s="1" t="s">
        <v>95</v>
      </c>
      <c r="M598" s="1" t="s">
        <v>101</v>
      </c>
      <c r="O598" s="1">
        <v>1</v>
      </c>
    </row>
    <row r="599" spans="1:18" ht="14.25" customHeight="1" x14ac:dyDescent="0.3">
      <c r="A599" s="1" t="s">
        <v>989</v>
      </c>
      <c r="B599" s="1">
        <v>15</v>
      </c>
      <c r="C599" s="1">
        <v>11</v>
      </c>
      <c r="D599" s="1" t="str">
        <f t="shared" si="9"/>
        <v>Yes</v>
      </c>
      <c r="E599" s="1">
        <v>8.1999999999999993</v>
      </c>
      <c r="F599" s="1">
        <v>159</v>
      </c>
      <c r="G599" s="1" t="s">
        <v>173</v>
      </c>
      <c r="H599" s="1" t="s">
        <v>95</v>
      </c>
      <c r="I599" s="1">
        <v>12.8</v>
      </c>
      <c r="J599" s="1" t="s">
        <v>95</v>
      </c>
      <c r="M599" s="1" t="s">
        <v>101</v>
      </c>
      <c r="O599" s="1">
        <v>1</v>
      </c>
      <c r="Q599" s="1" t="s">
        <v>183</v>
      </c>
    </row>
    <row r="600" spans="1:18" ht="14.25" customHeight="1" x14ac:dyDescent="0.3">
      <c r="A600" s="1" t="s">
        <v>989</v>
      </c>
      <c r="B600" s="1">
        <v>15</v>
      </c>
      <c r="C600" s="1">
        <v>5</v>
      </c>
      <c r="D600" s="1" t="str">
        <f t="shared" si="9"/>
        <v>Yes</v>
      </c>
      <c r="E600" s="1">
        <v>6.5</v>
      </c>
      <c r="F600" s="1">
        <v>50</v>
      </c>
      <c r="G600" s="1" t="s">
        <v>173</v>
      </c>
      <c r="H600" s="1" t="s">
        <v>95</v>
      </c>
      <c r="I600" s="1">
        <v>12.7</v>
      </c>
      <c r="J600" s="1" t="s">
        <v>95</v>
      </c>
      <c r="M600" s="1" t="s">
        <v>101</v>
      </c>
      <c r="O600" s="1">
        <v>1</v>
      </c>
      <c r="Q600" s="1" t="s">
        <v>183</v>
      </c>
      <c r="R600" s="19"/>
    </row>
    <row r="601" spans="1:18" ht="14.25" customHeight="1" x14ac:dyDescent="0.3">
      <c r="A601" s="1" t="s">
        <v>989</v>
      </c>
      <c r="B601" s="1">
        <v>15</v>
      </c>
      <c r="C601" s="1">
        <v>19</v>
      </c>
      <c r="D601" s="1" t="str">
        <f t="shared" si="9"/>
        <v>Yes</v>
      </c>
      <c r="E601" s="1">
        <v>7.8</v>
      </c>
      <c r="F601" s="1">
        <v>243</v>
      </c>
      <c r="G601" s="1" t="s">
        <v>173</v>
      </c>
      <c r="H601" s="1" t="s">
        <v>95</v>
      </c>
      <c r="I601" s="1">
        <v>12.7</v>
      </c>
      <c r="J601" s="1" t="s">
        <v>95</v>
      </c>
      <c r="M601" s="1" t="s">
        <v>101</v>
      </c>
      <c r="O601" s="1">
        <v>1</v>
      </c>
    </row>
    <row r="602" spans="1:18" ht="14.25" customHeight="1" x14ac:dyDescent="0.3">
      <c r="A602" s="1" t="s">
        <v>989</v>
      </c>
      <c r="B602" s="1">
        <v>15</v>
      </c>
      <c r="C602" s="1">
        <v>10</v>
      </c>
      <c r="D602" s="1" t="str">
        <f t="shared" si="9"/>
        <v>Yes</v>
      </c>
      <c r="E602" s="1">
        <v>8.1999999999999993</v>
      </c>
      <c r="F602" s="1">
        <v>159</v>
      </c>
      <c r="G602" s="1" t="s">
        <v>173</v>
      </c>
      <c r="H602" s="1" t="s">
        <v>95</v>
      </c>
      <c r="I602" s="1">
        <v>12.3</v>
      </c>
      <c r="J602" s="1" t="s">
        <v>95</v>
      </c>
      <c r="M602" s="1" t="s">
        <v>101</v>
      </c>
      <c r="O602" s="1">
        <v>1</v>
      </c>
      <c r="R602" s="1"/>
    </row>
    <row r="603" spans="1:18" ht="14.25" customHeight="1" x14ac:dyDescent="0.3">
      <c r="A603" s="1" t="s">
        <v>989</v>
      </c>
      <c r="B603" s="1">
        <v>15</v>
      </c>
      <c r="C603" s="1">
        <v>18</v>
      </c>
      <c r="D603" s="1" t="str">
        <f t="shared" si="9"/>
        <v>Yes</v>
      </c>
      <c r="E603" s="1">
        <v>7.6</v>
      </c>
      <c r="F603" s="1">
        <v>238</v>
      </c>
      <c r="G603" s="1" t="s">
        <v>173</v>
      </c>
      <c r="H603" s="1" t="s">
        <v>95</v>
      </c>
      <c r="I603" s="1">
        <v>11.1</v>
      </c>
      <c r="J603" s="1" t="s">
        <v>95</v>
      </c>
      <c r="M603" s="1" t="s">
        <v>101</v>
      </c>
      <c r="O603" s="1">
        <v>1</v>
      </c>
      <c r="Q603" s="1" t="s">
        <v>183</v>
      </c>
    </row>
    <row r="604" spans="1:18" ht="14.25" customHeight="1" x14ac:dyDescent="0.3">
      <c r="A604" s="1" t="s">
        <v>989</v>
      </c>
      <c r="B604" s="1">
        <v>15</v>
      </c>
      <c r="C604" s="1">
        <v>14</v>
      </c>
      <c r="D604" s="1" t="str">
        <f t="shared" si="9"/>
        <v>Yes</v>
      </c>
      <c r="E604" s="1">
        <v>10</v>
      </c>
      <c r="F604" s="1">
        <v>193</v>
      </c>
      <c r="G604" s="1" t="s">
        <v>173</v>
      </c>
      <c r="H604" s="1" t="s">
        <v>95</v>
      </c>
      <c r="I604" s="1">
        <v>10.6</v>
      </c>
      <c r="J604" s="1" t="s">
        <v>95</v>
      </c>
      <c r="M604" s="1" t="s">
        <v>101</v>
      </c>
      <c r="O604" s="1">
        <v>1</v>
      </c>
    </row>
    <row r="605" spans="1:18" ht="14.25" customHeight="1" x14ac:dyDescent="0.3">
      <c r="A605" s="1" t="s">
        <v>989</v>
      </c>
      <c r="B605" s="1">
        <v>15</v>
      </c>
      <c r="C605" s="1">
        <v>3</v>
      </c>
      <c r="D605" s="1" t="str">
        <f t="shared" si="9"/>
        <v>Yes</v>
      </c>
      <c r="E605" s="1">
        <v>8.6999999999999993</v>
      </c>
      <c r="F605" s="1">
        <v>36</v>
      </c>
      <c r="G605" s="1" t="s">
        <v>93</v>
      </c>
      <c r="H605" s="1" t="s">
        <v>95</v>
      </c>
      <c r="I605" s="1">
        <v>54.5</v>
      </c>
      <c r="J605" s="1" t="s">
        <v>95</v>
      </c>
      <c r="M605" s="1" t="s">
        <v>102</v>
      </c>
      <c r="O605" s="1">
        <v>1</v>
      </c>
    </row>
    <row r="606" spans="1:18" ht="14.25" customHeight="1" x14ac:dyDescent="0.3">
      <c r="A606" s="1" t="s">
        <v>989</v>
      </c>
      <c r="B606" s="1">
        <v>15</v>
      </c>
      <c r="C606" s="1">
        <v>6</v>
      </c>
      <c r="D606" s="1" t="str">
        <f t="shared" si="9"/>
        <v>Yes</v>
      </c>
      <c r="E606" s="1">
        <v>4.9000000000000004</v>
      </c>
      <c r="F606" s="1">
        <v>95</v>
      </c>
      <c r="G606" s="1" t="s">
        <v>93</v>
      </c>
      <c r="H606" s="1" t="s">
        <v>95</v>
      </c>
      <c r="I606" s="1">
        <v>41.8</v>
      </c>
      <c r="J606" s="1" t="s">
        <v>95</v>
      </c>
      <c r="M606" s="1" t="s">
        <v>102</v>
      </c>
      <c r="O606" s="1">
        <v>1</v>
      </c>
      <c r="Q606" s="1" t="s">
        <v>183</v>
      </c>
      <c r="R606" s="1"/>
    </row>
    <row r="607" spans="1:18" ht="14.25" customHeight="1" x14ac:dyDescent="0.3">
      <c r="A607" s="1" t="s">
        <v>989</v>
      </c>
      <c r="B607" s="1">
        <v>15</v>
      </c>
      <c r="C607" s="1">
        <v>15</v>
      </c>
      <c r="D607" s="1" t="str">
        <f t="shared" si="9"/>
        <v>Yes</v>
      </c>
      <c r="E607" s="1">
        <v>12.5</v>
      </c>
      <c r="F607" s="1">
        <v>195</v>
      </c>
      <c r="G607" s="1" t="s">
        <v>93</v>
      </c>
      <c r="H607" s="1" t="s">
        <v>95</v>
      </c>
      <c r="I607" s="1">
        <v>40.700000000000003</v>
      </c>
      <c r="J607" s="1" t="s">
        <v>95</v>
      </c>
      <c r="M607" s="1" t="s">
        <v>102</v>
      </c>
      <c r="O607" s="1">
        <v>5</v>
      </c>
      <c r="Q607" s="1" t="s">
        <v>183</v>
      </c>
    </row>
    <row r="608" spans="1:18" ht="14.25" customHeight="1" x14ac:dyDescent="0.3">
      <c r="A608" s="1" t="s">
        <v>989</v>
      </c>
      <c r="B608" s="1">
        <v>15</v>
      </c>
      <c r="C608" s="1">
        <v>25</v>
      </c>
      <c r="D608" s="1" t="str">
        <f t="shared" si="9"/>
        <v>Yes</v>
      </c>
      <c r="E608" s="1">
        <v>4.5</v>
      </c>
      <c r="F608" s="1">
        <v>346</v>
      </c>
      <c r="G608" s="1" t="s">
        <v>93</v>
      </c>
      <c r="H608" s="1" t="s">
        <v>95</v>
      </c>
      <c r="I608" s="1">
        <v>38.1</v>
      </c>
      <c r="J608" s="1" t="s">
        <v>95</v>
      </c>
      <c r="M608" s="1" t="s">
        <v>102</v>
      </c>
      <c r="O608" s="1">
        <v>1</v>
      </c>
      <c r="R608" s="1"/>
    </row>
    <row r="609" spans="1:18" ht="14.25" customHeight="1" x14ac:dyDescent="0.3">
      <c r="A609" s="1" t="s">
        <v>989</v>
      </c>
      <c r="B609" s="1">
        <v>15</v>
      </c>
      <c r="C609" s="1">
        <v>12</v>
      </c>
      <c r="D609" s="1" t="str">
        <f t="shared" si="9"/>
        <v>Yes</v>
      </c>
      <c r="E609" s="1">
        <v>7.3</v>
      </c>
      <c r="F609" s="1">
        <v>163</v>
      </c>
      <c r="G609" s="1" t="s">
        <v>93</v>
      </c>
      <c r="H609" s="1" t="s">
        <v>95</v>
      </c>
      <c r="I609" s="1">
        <v>31.5</v>
      </c>
      <c r="J609" s="1" t="s">
        <v>95</v>
      </c>
      <c r="M609" s="1" t="s">
        <v>102</v>
      </c>
      <c r="O609" s="1">
        <v>1</v>
      </c>
      <c r="Q609" s="1" t="s">
        <v>183</v>
      </c>
      <c r="R609" s="1"/>
    </row>
    <row r="610" spans="1:18" ht="14.25" customHeight="1" x14ac:dyDescent="0.3">
      <c r="A610" s="1" t="s">
        <v>989</v>
      </c>
      <c r="B610" s="1">
        <v>15</v>
      </c>
      <c r="C610" s="1">
        <v>2</v>
      </c>
      <c r="D610" s="1" t="str">
        <f t="shared" si="9"/>
        <v>Yes</v>
      </c>
      <c r="E610" s="1">
        <v>10.8</v>
      </c>
      <c r="F610" s="1">
        <v>6</v>
      </c>
      <c r="G610" s="1" t="s">
        <v>93</v>
      </c>
      <c r="H610" s="1" t="s">
        <v>95</v>
      </c>
      <c r="I610" s="1">
        <v>26.1</v>
      </c>
      <c r="J610" s="1" t="s">
        <v>95</v>
      </c>
      <c r="M610" s="1" t="s">
        <v>102</v>
      </c>
      <c r="O610" s="1">
        <v>5</v>
      </c>
    </row>
    <row r="611" spans="1:18" ht="14.25" customHeight="1" x14ac:dyDescent="0.3">
      <c r="A611" s="1" t="s">
        <v>989</v>
      </c>
      <c r="B611" s="1">
        <v>15</v>
      </c>
      <c r="C611" s="1">
        <v>28</v>
      </c>
      <c r="D611" s="1" t="str">
        <f t="shared" si="9"/>
        <v>Yes</v>
      </c>
      <c r="E611" s="1">
        <v>10.199999999999999</v>
      </c>
      <c r="F611" s="1">
        <v>327</v>
      </c>
      <c r="G611" s="1" t="s">
        <v>93</v>
      </c>
      <c r="H611" s="1" t="s">
        <v>95</v>
      </c>
      <c r="I611" s="1">
        <v>17.8</v>
      </c>
      <c r="J611" s="1" t="s">
        <v>101</v>
      </c>
      <c r="M611" s="1" t="s">
        <v>101</v>
      </c>
      <c r="O611" s="1">
        <v>5</v>
      </c>
    </row>
    <row r="612" spans="1:18" ht="14.25" customHeight="1" x14ac:dyDescent="0.3">
      <c r="A612" s="1" t="s">
        <v>989</v>
      </c>
      <c r="B612" s="1">
        <v>15</v>
      </c>
      <c r="C612" s="1">
        <v>27</v>
      </c>
      <c r="D612" s="1" t="str">
        <f t="shared" si="9"/>
        <v>Yes</v>
      </c>
      <c r="E612" s="1">
        <v>9.5</v>
      </c>
      <c r="F612" s="1">
        <v>352</v>
      </c>
      <c r="G612" s="1" t="s">
        <v>106</v>
      </c>
      <c r="H612" s="1" t="s">
        <v>94</v>
      </c>
      <c r="I612" s="1">
        <v>108.9</v>
      </c>
      <c r="J612" s="1" t="s">
        <v>95</v>
      </c>
      <c r="K612" s="1">
        <v>1</v>
      </c>
      <c r="L612" s="1">
        <v>0</v>
      </c>
      <c r="M612" s="1" t="s">
        <v>97</v>
      </c>
      <c r="N612" s="1" t="s">
        <v>100</v>
      </c>
    </row>
    <row r="613" spans="1:18" ht="14.25" customHeight="1" x14ac:dyDescent="0.3">
      <c r="A613" s="1" t="s">
        <v>989</v>
      </c>
      <c r="B613" s="1">
        <v>15</v>
      </c>
      <c r="C613" s="1">
        <v>22</v>
      </c>
      <c r="D613" s="1" t="str">
        <f t="shared" si="9"/>
        <v>Yes</v>
      </c>
      <c r="E613" s="1">
        <v>7.9</v>
      </c>
      <c r="F613" s="1">
        <v>291</v>
      </c>
      <c r="G613" s="1" t="s">
        <v>106</v>
      </c>
      <c r="H613" s="1" t="s">
        <v>94</v>
      </c>
      <c r="I613" s="1">
        <v>52.3</v>
      </c>
      <c r="J613" s="1" t="s">
        <v>95</v>
      </c>
      <c r="K613" s="1">
        <v>0</v>
      </c>
      <c r="L613" s="1">
        <v>1</v>
      </c>
      <c r="M613" s="1" t="s">
        <v>102</v>
      </c>
      <c r="N613" s="1" t="s">
        <v>100</v>
      </c>
      <c r="P613" s="1">
        <v>821</v>
      </c>
    </row>
    <row r="614" spans="1:18" ht="14.25" customHeight="1" x14ac:dyDescent="0.3">
      <c r="A614" s="1" t="s">
        <v>989</v>
      </c>
      <c r="B614" s="1">
        <v>15</v>
      </c>
      <c r="C614" s="1">
        <v>16</v>
      </c>
      <c r="D614" s="1" t="str">
        <f t="shared" si="9"/>
        <v>Yes</v>
      </c>
      <c r="E614" s="1">
        <v>11.5</v>
      </c>
      <c r="F614" s="1">
        <v>221</v>
      </c>
      <c r="G614" s="1" t="s">
        <v>106</v>
      </c>
      <c r="H614" s="1" t="s">
        <v>94</v>
      </c>
      <c r="I614" s="1">
        <v>44.8</v>
      </c>
      <c r="J614" s="1" t="s">
        <v>95</v>
      </c>
      <c r="K614" s="1">
        <v>1</v>
      </c>
      <c r="L614" s="1">
        <v>5</v>
      </c>
      <c r="M614" s="1" t="s">
        <v>102</v>
      </c>
    </row>
    <row r="615" spans="1:18" ht="14.25" customHeight="1" x14ac:dyDescent="0.3">
      <c r="A615" s="1" t="s">
        <v>989</v>
      </c>
      <c r="B615" s="1">
        <v>15</v>
      </c>
      <c r="C615" s="1">
        <v>21</v>
      </c>
      <c r="D615" s="1" t="str">
        <f t="shared" si="9"/>
        <v>Yes</v>
      </c>
      <c r="E615" s="1">
        <v>7.2</v>
      </c>
      <c r="F615" s="1">
        <v>254</v>
      </c>
      <c r="G615" s="1" t="s">
        <v>106</v>
      </c>
      <c r="H615" s="1" t="s">
        <v>94</v>
      </c>
      <c r="I615" s="1">
        <v>41.9</v>
      </c>
      <c r="J615" s="1" t="s">
        <v>95</v>
      </c>
      <c r="K615" s="1">
        <v>0</v>
      </c>
      <c r="L615" s="1">
        <v>5</v>
      </c>
      <c r="M615" s="1" t="s">
        <v>102</v>
      </c>
    </row>
    <row r="616" spans="1:18" ht="14.25" customHeight="1" x14ac:dyDescent="0.3">
      <c r="A616" s="1" t="s">
        <v>989</v>
      </c>
      <c r="B616" s="1">
        <v>15</v>
      </c>
      <c r="C616" s="1">
        <v>1</v>
      </c>
      <c r="D616" s="1" t="str">
        <f t="shared" si="9"/>
        <v>Yes</v>
      </c>
      <c r="E616" s="1">
        <v>2.7</v>
      </c>
      <c r="F616" s="1">
        <v>7</v>
      </c>
      <c r="G616" s="1" t="s">
        <v>106</v>
      </c>
      <c r="H616" s="1" t="s">
        <v>94</v>
      </c>
      <c r="I616" s="1">
        <v>34.700000000000003</v>
      </c>
      <c r="J616" s="1" t="s">
        <v>95</v>
      </c>
      <c r="K616" s="1">
        <v>0</v>
      </c>
      <c r="L616" s="1">
        <v>30</v>
      </c>
      <c r="M616" s="1" t="s">
        <v>101</v>
      </c>
      <c r="P616" s="1">
        <v>823</v>
      </c>
    </row>
    <row r="617" spans="1:18" ht="14.25" customHeight="1" x14ac:dyDescent="0.3">
      <c r="A617" s="1" t="s">
        <v>989</v>
      </c>
      <c r="B617" s="1">
        <v>15</v>
      </c>
      <c r="C617" s="1">
        <v>7</v>
      </c>
      <c r="D617" s="1" t="str">
        <f t="shared" si="9"/>
        <v>Yes</v>
      </c>
      <c r="E617" s="1">
        <v>6.3</v>
      </c>
      <c r="F617" s="1">
        <v>107</v>
      </c>
      <c r="G617" s="1" t="s">
        <v>106</v>
      </c>
      <c r="H617" s="1" t="s">
        <v>94</v>
      </c>
      <c r="I617" s="1">
        <v>19.899999999999999</v>
      </c>
      <c r="J617" s="1" t="s">
        <v>95</v>
      </c>
      <c r="K617" s="1">
        <v>10</v>
      </c>
      <c r="L617" s="1">
        <v>90</v>
      </c>
      <c r="M617" s="1" t="s">
        <v>101</v>
      </c>
    </row>
    <row r="618" spans="1:18" ht="14.25" customHeight="1" x14ac:dyDescent="0.3">
      <c r="A618" s="1" t="s">
        <v>989</v>
      </c>
      <c r="B618" s="1">
        <v>15</v>
      </c>
      <c r="C618" s="1">
        <v>24</v>
      </c>
      <c r="D618" s="1" t="str">
        <f t="shared" si="9"/>
        <v>Yes</v>
      </c>
      <c r="E618" s="1">
        <v>8.8000000000000007</v>
      </c>
      <c r="F618" s="1">
        <v>327</v>
      </c>
      <c r="G618" s="1" t="s">
        <v>93</v>
      </c>
      <c r="H618" s="1" t="s">
        <v>94</v>
      </c>
      <c r="I618" s="1">
        <v>58.9</v>
      </c>
      <c r="J618" s="1" t="s">
        <v>95</v>
      </c>
      <c r="K618" s="1">
        <v>0</v>
      </c>
      <c r="L618" s="1">
        <v>15</v>
      </c>
      <c r="M618" s="1" t="s">
        <v>102</v>
      </c>
      <c r="N618" s="1" t="s">
        <v>100</v>
      </c>
    </row>
    <row r="619" spans="1:18" ht="14.25" customHeight="1" x14ac:dyDescent="0.3">
      <c r="A619" s="1" t="s">
        <v>989</v>
      </c>
      <c r="B619" s="1">
        <v>15</v>
      </c>
      <c r="C619" s="1">
        <v>8</v>
      </c>
      <c r="D619" s="1" t="str">
        <f t="shared" si="9"/>
        <v>Yes</v>
      </c>
      <c r="E619" s="1">
        <v>10.9</v>
      </c>
      <c r="F619" s="1">
        <v>134</v>
      </c>
      <c r="G619" s="1" t="s">
        <v>93</v>
      </c>
      <c r="H619" s="1" t="s">
        <v>94</v>
      </c>
      <c r="I619" s="1">
        <v>22.8</v>
      </c>
      <c r="J619" s="1" t="s">
        <v>95</v>
      </c>
      <c r="K619" s="1">
        <v>0</v>
      </c>
      <c r="L619" s="1">
        <v>99</v>
      </c>
      <c r="M619" s="1" t="s">
        <v>101</v>
      </c>
    </row>
    <row r="620" spans="1:18" ht="14.25" customHeight="1" x14ac:dyDescent="0.3">
      <c r="A620" s="1" t="s">
        <v>62</v>
      </c>
      <c r="B620" s="1">
        <v>1</v>
      </c>
      <c r="C620" s="1">
        <v>4</v>
      </c>
      <c r="D620" s="1" t="str">
        <f t="shared" si="9"/>
        <v>Yes</v>
      </c>
      <c r="E620" s="1">
        <v>4.9000000000000004</v>
      </c>
      <c r="F620" s="1">
        <v>50</v>
      </c>
      <c r="G620" s="1" t="s">
        <v>106</v>
      </c>
      <c r="H620" s="1" t="s">
        <v>95</v>
      </c>
      <c r="I620" s="1">
        <v>10.3</v>
      </c>
      <c r="J620" s="1" t="s">
        <v>95</v>
      </c>
      <c r="M620" s="1" t="s">
        <v>101</v>
      </c>
      <c r="O620" s="1">
        <v>1</v>
      </c>
      <c r="Q620" s="19" t="s">
        <v>120</v>
      </c>
      <c r="R620" s="1"/>
    </row>
    <row r="621" spans="1:18" ht="14.25" customHeight="1" x14ac:dyDescent="0.3">
      <c r="A621" s="1" t="s">
        <v>62</v>
      </c>
      <c r="B621" s="1">
        <v>1</v>
      </c>
      <c r="C621" s="1">
        <v>12</v>
      </c>
      <c r="D621" s="1" t="str">
        <f t="shared" si="9"/>
        <v>Yes</v>
      </c>
      <c r="E621" s="1">
        <v>5.8</v>
      </c>
      <c r="F621" s="1">
        <v>114</v>
      </c>
      <c r="G621" s="1" t="s">
        <v>93</v>
      </c>
      <c r="H621" s="1" t="s">
        <v>95</v>
      </c>
      <c r="I621" s="1">
        <v>22.8</v>
      </c>
      <c r="J621" s="1" t="s">
        <v>95</v>
      </c>
      <c r="M621" s="1" t="s">
        <v>101</v>
      </c>
      <c r="O621" s="1">
        <v>1</v>
      </c>
      <c r="R621" s="19"/>
    </row>
    <row r="622" spans="1:18" ht="14.25" customHeight="1" x14ac:dyDescent="0.3">
      <c r="A622" s="1" t="s">
        <v>62</v>
      </c>
      <c r="B622" s="1">
        <v>1</v>
      </c>
      <c r="C622" s="1">
        <v>13</v>
      </c>
      <c r="D622" s="1" t="str">
        <f t="shared" si="9"/>
        <v>Yes</v>
      </c>
      <c r="E622" s="1">
        <v>9.6999999999999993</v>
      </c>
      <c r="F622" s="1">
        <v>120</v>
      </c>
      <c r="G622" s="1" t="s">
        <v>93</v>
      </c>
      <c r="H622" s="1" t="s">
        <v>95</v>
      </c>
      <c r="I622" s="1">
        <v>18.100000000000001</v>
      </c>
      <c r="J622" s="1" t="s">
        <v>95</v>
      </c>
      <c r="M622" s="1" t="s">
        <v>101</v>
      </c>
      <c r="O622" s="1">
        <v>1</v>
      </c>
      <c r="Q622" s="1" t="s">
        <v>126</v>
      </c>
    </row>
    <row r="623" spans="1:18" ht="14.25" customHeight="1" x14ac:dyDescent="0.3">
      <c r="A623" s="1" t="s">
        <v>62</v>
      </c>
      <c r="B623" s="1">
        <v>1</v>
      </c>
      <c r="C623" s="1">
        <v>14</v>
      </c>
      <c r="D623" s="1" t="str">
        <f t="shared" si="9"/>
        <v>Yes</v>
      </c>
      <c r="E623" s="1">
        <v>9.5</v>
      </c>
      <c r="F623" s="1">
        <v>143</v>
      </c>
      <c r="G623" s="1" t="s">
        <v>93</v>
      </c>
      <c r="H623" s="1" t="s">
        <v>95</v>
      </c>
      <c r="I623" s="1">
        <v>18</v>
      </c>
      <c r="J623" s="1" t="s">
        <v>95</v>
      </c>
      <c r="M623" s="1" t="s">
        <v>102</v>
      </c>
      <c r="O623" s="1">
        <v>1</v>
      </c>
    </row>
    <row r="624" spans="1:18" ht="14.25" customHeight="1" x14ac:dyDescent="0.3">
      <c r="A624" s="1" t="s">
        <v>62</v>
      </c>
      <c r="B624" s="1">
        <v>1</v>
      </c>
      <c r="C624" s="1">
        <v>6</v>
      </c>
      <c r="D624" s="1" t="str">
        <f t="shared" si="9"/>
        <v>Yes</v>
      </c>
      <c r="E624" s="1">
        <v>6.4</v>
      </c>
      <c r="F624" s="1">
        <v>68</v>
      </c>
      <c r="G624" s="1" t="s">
        <v>93</v>
      </c>
      <c r="H624" s="1" t="s">
        <v>95</v>
      </c>
      <c r="I624" s="1">
        <v>17.600000000000001</v>
      </c>
      <c r="J624" s="1" t="s">
        <v>95</v>
      </c>
      <c r="M624" s="1" t="s">
        <v>101</v>
      </c>
      <c r="O624" s="1">
        <v>1</v>
      </c>
    </row>
    <row r="625" spans="1:18" ht="14.25" customHeight="1" x14ac:dyDescent="0.3">
      <c r="A625" s="1" t="s">
        <v>62</v>
      </c>
      <c r="B625" s="1">
        <v>1</v>
      </c>
      <c r="C625" s="1">
        <v>1</v>
      </c>
      <c r="D625" s="1" t="str">
        <f t="shared" si="9"/>
        <v>Yes</v>
      </c>
      <c r="E625" s="1">
        <v>4.7</v>
      </c>
      <c r="F625" s="1">
        <v>24</v>
      </c>
      <c r="G625" s="1" t="s">
        <v>93</v>
      </c>
      <c r="H625" s="1" t="s">
        <v>95</v>
      </c>
      <c r="I625" s="1">
        <v>17.100000000000001</v>
      </c>
      <c r="J625" s="1" t="s">
        <v>95</v>
      </c>
      <c r="M625" s="1" t="s">
        <v>101</v>
      </c>
      <c r="O625" s="1">
        <v>1</v>
      </c>
      <c r="R625" s="1"/>
    </row>
    <row r="626" spans="1:18" ht="14.25" customHeight="1" x14ac:dyDescent="0.3">
      <c r="A626" s="1" t="s">
        <v>62</v>
      </c>
      <c r="B626" s="1">
        <v>1</v>
      </c>
      <c r="C626" s="1">
        <v>9</v>
      </c>
      <c r="D626" s="1" t="str">
        <f t="shared" si="9"/>
        <v>Yes</v>
      </c>
      <c r="E626" s="1">
        <v>7.2</v>
      </c>
      <c r="F626" s="1">
        <v>96</v>
      </c>
      <c r="G626" s="1" t="s">
        <v>93</v>
      </c>
      <c r="H626" s="1" t="s">
        <v>95</v>
      </c>
      <c r="I626" s="1">
        <v>17</v>
      </c>
      <c r="J626" s="1" t="s">
        <v>95</v>
      </c>
      <c r="M626" s="1" t="s">
        <v>101</v>
      </c>
      <c r="O626" s="1">
        <v>1</v>
      </c>
      <c r="Q626" s="1" t="s">
        <v>123</v>
      </c>
      <c r="R626" s="1"/>
    </row>
    <row r="627" spans="1:18" ht="14.25" customHeight="1" x14ac:dyDescent="0.3">
      <c r="A627" s="1" t="s">
        <v>62</v>
      </c>
      <c r="B627" s="1">
        <v>1</v>
      </c>
      <c r="C627" s="1">
        <v>7</v>
      </c>
      <c r="D627" s="1" t="str">
        <f t="shared" si="9"/>
        <v>Yes</v>
      </c>
      <c r="E627" s="1">
        <v>4.7</v>
      </c>
      <c r="F627" s="1">
        <v>80</v>
      </c>
      <c r="G627" s="1" t="s">
        <v>93</v>
      </c>
      <c r="H627" s="1" t="s">
        <v>95</v>
      </c>
      <c r="I627" s="1">
        <v>16.899999999999999</v>
      </c>
      <c r="J627" s="1" t="s">
        <v>95</v>
      </c>
      <c r="M627" s="1" t="s">
        <v>101</v>
      </c>
      <c r="O627" s="1">
        <v>1</v>
      </c>
      <c r="Q627" s="1" t="s">
        <v>122</v>
      </c>
      <c r="R627" s="1"/>
    </row>
    <row r="628" spans="1:18" ht="14.25" customHeight="1" x14ac:dyDescent="0.3">
      <c r="A628" s="1" t="s">
        <v>62</v>
      </c>
      <c r="B628" s="1">
        <v>1</v>
      </c>
      <c r="C628" s="1">
        <v>27</v>
      </c>
      <c r="D628" s="1" t="str">
        <f t="shared" si="9"/>
        <v>Yes</v>
      </c>
      <c r="E628" s="1">
        <v>4.4000000000000004</v>
      </c>
      <c r="F628" s="1">
        <v>274</v>
      </c>
      <c r="G628" s="1" t="s">
        <v>93</v>
      </c>
      <c r="H628" s="1" t="s">
        <v>95</v>
      </c>
      <c r="I628" s="1">
        <v>14.4</v>
      </c>
      <c r="J628" s="1" t="s">
        <v>95</v>
      </c>
      <c r="M628" s="1" t="s">
        <v>101</v>
      </c>
      <c r="O628" s="1">
        <v>1</v>
      </c>
      <c r="Q628" s="1" t="s">
        <v>130</v>
      </c>
    </row>
    <row r="629" spans="1:18" ht="14.25" customHeight="1" x14ac:dyDescent="0.3">
      <c r="A629" s="1" t="s">
        <v>62</v>
      </c>
      <c r="B629" s="1">
        <v>1</v>
      </c>
      <c r="C629" s="1">
        <v>2</v>
      </c>
      <c r="D629" s="1" t="str">
        <f t="shared" si="9"/>
        <v>Yes</v>
      </c>
      <c r="E629" s="1">
        <v>8.1999999999999993</v>
      </c>
      <c r="F629" s="1">
        <v>23</v>
      </c>
      <c r="G629" s="1" t="s">
        <v>93</v>
      </c>
      <c r="H629" s="1" t="s">
        <v>95</v>
      </c>
      <c r="I629" s="1">
        <v>14</v>
      </c>
      <c r="J629" s="1" t="s">
        <v>95</v>
      </c>
      <c r="M629" s="1" t="s">
        <v>101</v>
      </c>
      <c r="O629" s="1">
        <v>1</v>
      </c>
    </row>
    <row r="630" spans="1:18" ht="14.25" customHeight="1" x14ac:dyDescent="0.3">
      <c r="A630" s="1" t="s">
        <v>62</v>
      </c>
      <c r="B630" s="1">
        <v>1</v>
      </c>
      <c r="C630" s="1">
        <v>23</v>
      </c>
      <c r="D630" s="1" t="str">
        <f t="shared" si="9"/>
        <v>Yes</v>
      </c>
      <c r="E630" s="1">
        <v>12.3</v>
      </c>
      <c r="F630" s="1">
        <v>235</v>
      </c>
      <c r="G630" s="1" t="s">
        <v>93</v>
      </c>
      <c r="H630" s="1" t="s">
        <v>95</v>
      </c>
      <c r="I630" s="1">
        <v>13.7</v>
      </c>
      <c r="J630" s="1" t="s">
        <v>95</v>
      </c>
      <c r="M630" s="1" t="s">
        <v>101</v>
      </c>
      <c r="O630" s="1">
        <v>1</v>
      </c>
    </row>
    <row r="631" spans="1:18" ht="14.25" customHeight="1" x14ac:dyDescent="0.3">
      <c r="A631" s="1" t="s">
        <v>62</v>
      </c>
      <c r="B631" s="1">
        <v>1</v>
      </c>
      <c r="C631" s="1">
        <v>8</v>
      </c>
      <c r="D631" s="1" t="str">
        <f t="shared" si="9"/>
        <v>Yes</v>
      </c>
      <c r="E631" s="1">
        <v>10.9</v>
      </c>
      <c r="F631" s="1">
        <v>98</v>
      </c>
      <c r="G631" s="1" t="s">
        <v>93</v>
      </c>
      <c r="H631" s="1" t="s">
        <v>95</v>
      </c>
      <c r="I631" s="1">
        <v>13</v>
      </c>
      <c r="J631" s="1" t="s">
        <v>95</v>
      </c>
      <c r="M631" s="1" t="s">
        <v>101</v>
      </c>
      <c r="O631" s="1">
        <v>1</v>
      </c>
      <c r="R631" s="1"/>
    </row>
    <row r="632" spans="1:18" ht="14.25" customHeight="1" x14ac:dyDescent="0.3">
      <c r="A632" s="1" t="s">
        <v>62</v>
      </c>
      <c r="B632" s="17">
        <v>1</v>
      </c>
      <c r="C632" s="17">
        <v>15</v>
      </c>
      <c r="D632" s="17" t="str">
        <f t="shared" si="9"/>
        <v>Yes</v>
      </c>
      <c r="E632" s="17">
        <v>9.5</v>
      </c>
      <c r="F632" s="17">
        <v>146</v>
      </c>
      <c r="G632" s="17" t="s">
        <v>93</v>
      </c>
      <c r="H632" s="17" t="s">
        <v>95</v>
      </c>
      <c r="I632" s="17">
        <v>9.9</v>
      </c>
      <c r="J632" s="17" t="s">
        <v>95</v>
      </c>
      <c r="K632" s="20"/>
      <c r="L632" s="20"/>
      <c r="M632" s="17" t="s">
        <v>101</v>
      </c>
      <c r="N632" s="20"/>
      <c r="O632" s="17">
        <v>1</v>
      </c>
      <c r="P632" s="20"/>
      <c r="Q632" s="17" t="s">
        <v>127</v>
      </c>
      <c r="R632" s="20"/>
    </row>
    <row r="633" spans="1:18" ht="14.25" customHeight="1" x14ac:dyDescent="0.3">
      <c r="A633" s="1" t="s">
        <v>62</v>
      </c>
      <c r="B633" s="1">
        <v>1</v>
      </c>
      <c r="C633" s="1">
        <v>19</v>
      </c>
      <c r="D633" s="1" t="str">
        <f t="shared" si="9"/>
        <v>Yes</v>
      </c>
      <c r="E633" s="1">
        <v>8.1999999999999993</v>
      </c>
      <c r="F633" s="1">
        <v>193</v>
      </c>
      <c r="G633" s="1" t="s">
        <v>96</v>
      </c>
      <c r="H633" s="1" t="s">
        <v>94</v>
      </c>
      <c r="I633" s="46">
        <v>4.99</v>
      </c>
      <c r="J633" s="1" t="s">
        <v>95</v>
      </c>
      <c r="K633" s="1">
        <v>0</v>
      </c>
      <c r="L633" s="1">
        <v>0</v>
      </c>
      <c r="M633" s="1" t="s">
        <v>97</v>
      </c>
      <c r="N633" s="1" t="s">
        <v>128</v>
      </c>
      <c r="P633" s="1">
        <v>575</v>
      </c>
      <c r="Q633" s="19" t="s">
        <v>129</v>
      </c>
      <c r="R633" s="19"/>
    </row>
    <row r="634" spans="1:18" ht="14.25" customHeight="1" x14ac:dyDescent="0.3">
      <c r="A634" s="1" t="s">
        <v>62</v>
      </c>
      <c r="B634" s="1">
        <v>1</v>
      </c>
      <c r="C634" s="1">
        <v>5</v>
      </c>
      <c r="D634" s="1" t="str">
        <f t="shared" si="9"/>
        <v>Yes</v>
      </c>
      <c r="E634" s="1">
        <v>3.3</v>
      </c>
      <c r="F634" s="1">
        <v>60</v>
      </c>
      <c r="G634" s="1" t="s">
        <v>106</v>
      </c>
      <c r="H634" s="1" t="s">
        <v>94</v>
      </c>
      <c r="I634" s="1">
        <v>19.8</v>
      </c>
      <c r="J634" s="1" t="s">
        <v>95</v>
      </c>
      <c r="K634" s="1">
        <v>0</v>
      </c>
      <c r="L634" s="1">
        <v>40</v>
      </c>
      <c r="M634" s="1" t="s">
        <v>101</v>
      </c>
      <c r="N634" s="1" t="s">
        <v>100</v>
      </c>
      <c r="Q634" s="1" t="s">
        <v>121</v>
      </c>
      <c r="R634" s="1"/>
    </row>
    <row r="635" spans="1:18" ht="14.25" customHeight="1" x14ac:dyDescent="0.3">
      <c r="A635" s="1" t="s">
        <v>62</v>
      </c>
      <c r="B635" s="1">
        <v>1</v>
      </c>
      <c r="C635" s="1">
        <v>30</v>
      </c>
      <c r="D635" s="1" t="str">
        <f t="shared" si="9"/>
        <v>Yes</v>
      </c>
      <c r="E635" s="1">
        <v>4.2</v>
      </c>
      <c r="F635" s="1">
        <v>352</v>
      </c>
      <c r="G635" s="1" t="s">
        <v>93</v>
      </c>
      <c r="H635" s="1" t="s">
        <v>94</v>
      </c>
      <c r="I635" s="1">
        <v>93.6</v>
      </c>
      <c r="J635" s="1" t="s">
        <v>95</v>
      </c>
      <c r="K635" s="1">
        <v>0</v>
      </c>
      <c r="L635" s="1">
        <v>0</v>
      </c>
      <c r="M635" s="1" t="s">
        <v>102</v>
      </c>
      <c r="N635" s="1" t="s">
        <v>100</v>
      </c>
      <c r="P635" s="1">
        <v>573</v>
      </c>
      <c r="R635" s="1"/>
    </row>
    <row r="636" spans="1:18" ht="14.25" customHeight="1" x14ac:dyDescent="0.3">
      <c r="A636" s="1" t="s">
        <v>62</v>
      </c>
      <c r="B636" s="1">
        <v>1</v>
      </c>
      <c r="C636" s="1">
        <v>28</v>
      </c>
      <c r="D636" s="1" t="str">
        <f t="shared" si="9"/>
        <v>Yes</v>
      </c>
      <c r="E636" s="1">
        <v>12</v>
      </c>
      <c r="F636" s="1">
        <v>280</v>
      </c>
      <c r="G636" s="1" t="s">
        <v>93</v>
      </c>
      <c r="H636" s="1" t="s">
        <v>94</v>
      </c>
      <c r="I636" s="1">
        <v>86</v>
      </c>
      <c r="J636" s="1" t="s">
        <v>95</v>
      </c>
      <c r="K636" s="1">
        <v>0</v>
      </c>
      <c r="L636" s="1">
        <v>5</v>
      </c>
      <c r="M636" s="1" t="s">
        <v>102</v>
      </c>
      <c r="N636" s="1" t="s">
        <v>100</v>
      </c>
    </row>
    <row r="637" spans="1:18" ht="14.25" customHeight="1" x14ac:dyDescent="0.3">
      <c r="A637" s="1" t="s">
        <v>62</v>
      </c>
      <c r="B637" s="1">
        <v>1</v>
      </c>
      <c r="C637" s="1">
        <v>3</v>
      </c>
      <c r="D637" s="1" t="str">
        <f t="shared" si="9"/>
        <v>Yes</v>
      </c>
      <c r="E637" s="1">
        <v>9.6999999999999993</v>
      </c>
      <c r="F637" s="1">
        <v>86</v>
      </c>
      <c r="G637" s="1" t="s">
        <v>93</v>
      </c>
      <c r="H637" s="1" t="s">
        <v>94</v>
      </c>
      <c r="I637" s="1">
        <v>53.9</v>
      </c>
      <c r="J637" s="1" t="s">
        <v>95</v>
      </c>
      <c r="K637" s="1">
        <v>0</v>
      </c>
      <c r="L637" s="1">
        <v>5</v>
      </c>
      <c r="M637" s="1" t="s">
        <v>101</v>
      </c>
      <c r="N637" s="1" t="s">
        <v>100</v>
      </c>
      <c r="R637" s="1"/>
    </row>
    <row r="638" spans="1:18" ht="14.25" customHeight="1" x14ac:dyDescent="0.3">
      <c r="A638" s="1" t="s">
        <v>62</v>
      </c>
      <c r="B638" s="1">
        <v>1</v>
      </c>
      <c r="C638" s="1">
        <v>18</v>
      </c>
      <c r="D638" s="1" t="str">
        <f t="shared" si="9"/>
        <v>Yes</v>
      </c>
      <c r="E638" s="1">
        <v>12.2</v>
      </c>
      <c r="F638" s="1">
        <v>168</v>
      </c>
      <c r="G638" s="1" t="s">
        <v>93</v>
      </c>
      <c r="H638" s="1" t="s">
        <v>94</v>
      </c>
      <c r="I638" s="1">
        <v>36.5</v>
      </c>
      <c r="J638" s="1" t="s">
        <v>95</v>
      </c>
      <c r="K638" s="1">
        <v>0</v>
      </c>
      <c r="L638" s="1">
        <v>15</v>
      </c>
      <c r="M638" s="1" t="s">
        <v>102</v>
      </c>
      <c r="N638" s="1" t="s">
        <v>100</v>
      </c>
    </row>
    <row r="639" spans="1:18" ht="14.25" customHeight="1" x14ac:dyDescent="0.3">
      <c r="A639" s="1" t="s">
        <v>62</v>
      </c>
      <c r="B639" s="1">
        <v>1</v>
      </c>
      <c r="C639" s="1">
        <v>29</v>
      </c>
      <c r="D639" s="1" t="str">
        <f t="shared" si="9"/>
        <v>Yes</v>
      </c>
      <c r="E639" s="1">
        <v>5.4</v>
      </c>
      <c r="F639" s="1">
        <v>307</v>
      </c>
      <c r="G639" s="1" t="s">
        <v>93</v>
      </c>
      <c r="H639" s="1" t="s">
        <v>94</v>
      </c>
      <c r="I639" s="1">
        <v>32.9</v>
      </c>
      <c r="J639" s="1" t="s">
        <v>95</v>
      </c>
      <c r="K639" s="1">
        <v>0</v>
      </c>
      <c r="L639" s="1">
        <v>1</v>
      </c>
      <c r="M639" s="1" t="s">
        <v>101</v>
      </c>
      <c r="N639" s="1" t="s">
        <v>100</v>
      </c>
      <c r="Q639" s="1" t="s">
        <v>131</v>
      </c>
    </row>
    <row r="640" spans="1:18" ht="14.25" customHeight="1" x14ac:dyDescent="0.3">
      <c r="A640" s="1" t="s">
        <v>62</v>
      </c>
      <c r="B640" s="1">
        <v>1</v>
      </c>
      <c r="C640" s="1">
        <v>21</v>
      </c>
      <c r="D640" s="1" t="str">
        <f t="shared" si="9"/>
        <v>Yes</v>
      </c>
      <c r="E640" s="1">
        <v>7.6</v>
      </c>
      <c r="F640" s="1">
        <v>232</v>
      </c>
      <c r="G640" s="1" t="s">
        <v>93</v>
      </c>
      <c r="H640" s="1" t="s">
        <v>94</v>
      </c>
      <c r="I640" s="1">
        <v>32.299999999999997</v>
      </c>
      <c r="J640" s="1" t="s">
        <v>95</v>
      </c>
      <c r="K640" s="1">
        <v>0</v>
      </c>
      <c r="L640" s="1">
        <v>5</v>
      </c>
      <c r="M640" s="1" t="s">
        <v>101</v>
      </c>
      <c r="N640" s="1" t="s">
        <v>100</v>
      </c>
      <c r="Q640" s="1" t="s">
        <v>125</v>
      </c>
    </row>
    <row r="641" spans="1:18" ht="14.25" customHeight="1" x14ac:dyDescent="0.3">
      <c r="A641" s="1" t="s">
        <v>62</v>
      </c>
      <c r="B641" s="1">
        <v>1</v>
      </c>
      <c r="C641" s="1">
        <v>16</v>
      </c>
      <c r="D641" s="1" t="str">
        <f t="shared" si="9"/>
        <v>Yes</v>
      </c>
      <c r="E641" s="1">
        <v>5.4</v>
      </c>
      <c r="F641" s="1">
        <v>156</v>
      </c>
      <c r="G641" s="1" t="s">
        <v>93</v>
      </c>
      <c r="H641" s="1" t="s">
        <v>94</v>
      </c>
      <c r="I641" s="1">
        <v>26.5</v>
      </c>
      <c r="J641" s="1" t="s">
        <v>95</v>
      </c>
      <c r="K641" s="1">
        <v>0</v>
      </c>
      <c r="L641" s="1">
        <v>5</v>
      </c>
      <c r="M641" s="1" t="s">
        <v>101</v>
      </c>
      <c r="N641" s="1" t="s">
        <v>100</v>
      </c>
      <c r="R641" s="1"/>
    </row>
    <row r="642" spans="1:18" ht="14.25" customHeight="1" x14ac:dyDescent="0.3">
      <c r="A642" s="1" t="s">
        <v>62</v>
      </c>
      <c r="B642" s="1">
        <v>1</v>
      </c>
      <c r="C642" s="1">
        <v>17</v>
      </c>
      <c r="D642" s="1" t="str">
        <f t="shared" ref="D642:D705" si="10">IF(E642&gt;12.5, "No", "Yes")</f>
        <v>Yes</v>
      </c>
      <c r="E642" s="1">
        <v>7.4</v>
      </c>
      <c r="F642" s="1">
        <v>166</v>
      </c>
      <c r="G642" s="1" t="s">
        <v>93</v>
      </c>
      <c r="H642" s="1" t="s">
        <v>94</v>
      </c>
      <c r="I642" s="1">
        <v>25.1</v>
      </c>
      <c r="J642" s="1" t="s">
        <v>95</v>
      </c>
      <c r="K642" s="1">
        <v>0</v>
      </c>
      <c r="L642" s="1">
        <v>10</v>
      </c>
      <c r="M642" s="1" t="s">
        <v>101</v>
      </c>
      <c r="N642" s="1" t="s">
        <v>100</v>
      </c>
      <c r="Q642" s="1" t="s">
        <v>125</v>
      </c>
      <c r="R642" s="1"/>
    </row>
    <row r="643" spans="1:18" ht="14.25" customHeight="1" x14ac:dyDescent="0.3">
      <c r="A643" s="1" t="s">
        <v>62</v>
      </c>
      <c r="B643" s="1">
        <v>1</v>
      </c>
      <c r="C643" s="1">
        <v>11</v>
      </c>
      <c r="D643" s="1" t="str">
        <f t="shared" si="10"/>
        <v>Yes</v>
      </c>
      <c r="E643" s="1">
        <v>1.4</v>
      </c>
      <c r="F643" s="1">
        <v>106</v>
      </c>
      <c r="G643" s="1" t="s">
        <v>93</v>
      </c>
      <c r="H643" s="1" t="s">
        <v>94</v>
      </c>
      <c r="I643" s="1">
        <v>24.8</v>
      </c>
      <c r="J643" s="1" t="s">
        <v>95</v>
      </c>
      <c r="K643" s="1">
        <v>0</v>
      </c>
      <c r="L643" s="1">
        <v>10</v>
      </c>
      <c r="M643" s="1" t="s">
        <v>101</v>
      </c>
      <c r="N643" s="1" t="s">
        <v>100</v>
      </c>
      <c r="P643" s="1">
        <v>594</v>
      </c>
      <c r="Q643" s="1" t="s">
        <v>125</v>
      </c>
    </row>
    <row r="644" spans="1:18" ht="14.25" customHeight="1" x14ac:dyDescent="0.3">
      <c r="A644" s="1" t="s">
        <v>62</v>
      </c>
      <c r="B644" s="1">
        <v>1</v>
      </c>
      <c r="C644" s="1">
        <v>22</v>
      </c>
      <c r="D644" s="1" t="str">
        <f t="shared" si="10"/>
        <v>Yes</v>
      </c>
      <c r="E644" s="1">
        <v>11.4</v>
      </c>
      <c r="F644" s="1">
        <v>239</v>
      </c>
      <c r="G644" s="1" t="s">
        <v>93</v>
      </c>
      <c r="H644" s="1" t="s">
        <v>94</v>
      </c>
      <c r="I644" s="1">
        <v>24.4</v>
      </c>
      <c r="J644" s="1" t="s">
        <v>95</v>
      </c>
      <c r="K644" s="1">
        <v>1</v>
      </c>
      <c r="L644" s="1">
        <v>10</v>
      </c>
      <c r="M644" s="1" t="s">
        <v>101</v>
      </c>
      <c r="N644" s="1" t="s">
        <v>100</v>
      </c>
      <c r="R644" s="1"/>
    </row>
    <row r="645" spans="1:18" ht="14.25" customHeight="1" x14ac:dyDescent="0.3">
      <c r="A645" s="1" t="s">
        <v>62</v>
      </c>
      <c r="B645" s="1">
        <v>1</v>
      </c>
      <c r="C645" s="1">
        <v>24</v>
      </c>
      <c r="D645" s="1" t="str">
        <f t="shared" si="10"/>
        <v>Yes</v>
      </c>
      <c r="E645" s="1">
        <v>7.8</v>
      </c>
      <c r="F645" s="1">
        <v>258</v>
      </c>
      <c r="G645" s="1" t="s">
        <v>93</v>
      </c>
      <c r="H645" s="1" t="s">
        <v>94</v>
      </c>
      <c r="I645" s="1">
        <v>24.4</v>
      </c>
      <c r="J645" s="1" t="s">
        <v>95</v>
      </c>
      <c r="K645" s="1">
        <v>0</v>
      </c>
      <c r="L645" s="1">
        <v>1</v>
      </c>
      <c r="M645" s="1" t="s">
        <v>101</v>
      </c>
      <c r="N645" s="1" t="s">
        <v>100</v>
      </c>
      <c r="R645" s="1"/>
    </row>
    <row r="646" spans="1:18" ht="14.25" customHeight="1" x14ac:dyDescent="0.3">
      <c r="A646" s="1" t="s">
        <v>62</v>
      </c>
      <c r="B646" s="1">
        <v>1</v>
      </c>
      <c r="C646" s="1">
        <v>25</v>
      </c>
      <c r="D646" s="1" t="str">
        <f t="shared" si="10"/>
        <v>Yes</v>
      </c>
      <c r="E646" s="1">
        <v>5.0999999999999996</v>
      </c>
      <c r="F646" s="1">
        <v>253</v>
      </c>
      <c r="G646" s="1" t="s">
        <v>93</v>
      </c>
      <c r="H646" s="1" t="s">
        <v>94</v>
      </c>
      <c r="I646" s="1">
        <v>20.5</v>
      </c>
      <c r="J646" s="1" t="s">
        <v>95</v>
      </c>
      <c r="K646" s="1">
        <v>0</v>
      </c>
      <c r="L646" s="1">
        <v>5</v>
      </c>
      <c r="M646" s="1" t="s">
        <v>101</v>
      </c>
      <c r="N646" s="1" t="s">
        <v>100</v>
      </c>
    </row>
    <row r="647" spans="1:18" ht="14.25" customHeight="1" x14ac:dyDescent="0.3">
      <c r="A647" s="1" t="s">
        <v>62</v>
      </c>
      <c r="B647" s="1">
        <v>1</v>
      </c>
      <c r="C647" s="1">
        <v>26</v>
      </c>
      <c r="D647" s="1" t="str">
        <f t="shared" si="10"/>
        <v>Yes</v>
      </c>
      <c r="E647" s="1">
        <v>3.6</v>
      </c>
      <c r="F647" s="1">
        <v>253</v>
      </c>
      <c r="G647" s="1" t="s">
        <v>93</v>
      </c>
      <c r="H647" s="1" t="s">
        <v>94</v>
      </c>
      <c r="I647" s="1">
        <v>19.8</v>
      </c>
      <c r="J647" s="1" t="s">
        <v>95</v>
      </c>
      <c r="K647" s="1">
        <v>0</v>
      </c>
      <c r="L647" s="1">
        <v>1</v>
      </c>
      <c r="M647" s="1" t="s">
        <v>101</v>
      </c>
      <c r="N647" s="1" t="s">
        <v>100</v>
      </c>
    </row>
    <row r="648" spans="1:18" ht="14.25" customHeight="1" x14ac:dyDescent="0.3">
      <c r="A648" s="1" t="s">
        <v>62</v>
      </c>
      <c r="B648" s="1">
        <v>1</v>
      </c>
      <c r="C648" s="1">
        <v>10</v>
      </c>
      <c r="D648" s="1" t="str">
        <f t="shared" si="10"/>
        <v>Yes</v>
      </c>
      <c r="E648" s="1">
        <v>4.5999999999999996</v>
      </c>
      <c r="F648" s="1">
        <v>104</v>
      </c>
      <c r="G648" s="1" t="s">
        <v>93</v>
      </c>
      <c r="H648" s="1" t="s">
        <v>94</v>
      </c>
      <c r="I648" s="1">
        <v>19.5</v>
      </c>
      <c r="J648" s="1" t="s">
        <v>95</v>
      </c>
      <c r="K648" s="1">
        <v>0</v>
      </c>
      <c r="L648" s="1">
        <v>5</v>
      </c>
      <c r="M648" s="1" t="s">
        <v>101</v>
      </c>
      <c r="N648" s="1" t="s">
        <v>100</v>
      </c>
      <c r="Q648" s="1" t="s">
        <v>124</v>
      </c>
    </row>
    <row r="649" spans="1:18" ht="14.25" customHeight="1" x14ac:dyDescent="0.3">
      <c r="A649" s="1" t="s">
        <v>62</v>
      </c>
      <c r="B649" s="1">
        <v>1</v>
      </c>
      <c r="C649" s="1">
        <v>20</v>
      </c>
      <c r="D649" s="1" t="str">
        <f t="shared" si="10"/>
        <v>Yes</v>
      </c>
      <c r="E649" s="1">
        <v>5.8</v>
      </c>
      <c r="F649" s="1">
        <v>221</v>
      </c>
      <c r="G649" s="1" t="s">
        <v>93</v>
      </c>
      <c r="H649" s="1" t="s">
        <v>94</v>
      </c>
      <c r="I649" s="1">
        <v>14.5</v>
      </c>
      <c r="J649" s="1" t="s">
        <v>95</v>
      </c>
      <c r="K649" s="1">
        <v>1</v>
      </c>
      <c r="L649" s="1">
        <v>5</v>
      </c>
      <c r="M649" s="1" t="s">
        <v>101</v>
      </c>
      <c r="N649" s="1" t="s">
        <v>100</v>
      </c>
      <c r="Q649" s="1" t="s">
        <v>125</v>
      </c>
    </row>
    <row r="650" spans="1:18" ht="14.25" customHeight="1" x14ac:dyDescent="0.3">
      <c r="A650" s="1" t="s">
        <v>62</v>
      </c>
      <c r="B650" s="1">
        <v>2</v>
      </c>
      <c r="C650" s="1">
        <v>25</v>
      </c>
      <c r="D650" s="1" t="str">
        <f t="shared" si="10"/>
        <v>No</v>
      </c>
      <c r="E650" s="1">
        <v>12.8</v>
      </c>
      <c r="F650" s="1">
        <v>160</v>
      </c>
      <c r="G650" s="1" t="s">
        <v>98</v>
      </c>
      <c r="H650" s="1" t="s">
        <v>95</v>
      </c>
      <c r="I650" s="1">
        <v>39.4</v>
      </c>
      <c r="J650" s="1" t="s">
        <v>95</v>
      </c>
      <c r="M650" s="1" t="s">
        <v>101</v>
      </c>
      <c r="O650" s="1">
        <v>1</v>
      </c>
    </row>
    <row r="651" spans="1:18" ht="14.25" customHeight="1" x14ac:dyDescent="0.3">
      <c r="A651" s="1" t="s">
        <v>62</v>
      </c>
      <c r="B651" s="1">
        <v>2</v>
      </c>
      <c r="C651" s="1">
        <v>4</v>
      </c>
      <c r="D651" s="1" t="str">
        <f t="shared" si="10"/>
        <v>No</v>
      </c>
      <c r="E651" s="1">
        <v>12.7</v>
      </c>
      <c r="F651" s="1">
        <v>24</v>
      </c>
      <c r="G651" s="1" t="s">
        <v>93</v>
      </c>
      <c r="H651" s="1" t="s">
        <v>94</v>
      </c>
      <c r="I651" s="1">
        <v>31.8</v>
      </c>
      <c r="J651" s="1" t="s">
        <v>95</v>
      </c>
      <c r="K651" s="1">
        <v>0</v>
      </c>
      <c r="L651" s="1">
        <v>20</v>
      </c>
      <c r="M651" s="1" t="s">
        <v>101</v>
      </c>
      <c r="N651" s="1" t="s">
        <v>100</v>
      </c>
    </row>
    <row r="652" spans="1:18" ht="14.25" customHeight="1" x14ac:dyDescent="0.3">
      <c r="A652" s="1" t="s">
        <v>62</v>
      </c>
      <c r="B652" s="1">
        <v>2</v>
      </c>
      <c r="C652" s="1">
        <v>14</v>
      </c>
      <c r="D652" s="1" t="str">
        <f t="shared" si="10"/>
        <v>No</v>
      </c>
      <c r="E652" s="1">
        <v>50</v>
      </c>
      <c r="F652" s="1">
        <v>86</v>
      </c>
      <c r="G652" s="1" t="s">
        <v>93</v>
      </c>
      <c r="H652" s="1" t="s">
        <v>94</v>
      </c>
      <c r="I652" s="1">
        <v>22.2</v>
      </c>
      <c r="J652" s="1" t="s">
        <v>95</v>
      </c>
      <c r="K652" s="1">
        <v>0</v>
      </c>
      <c r="L652" s="1">
        <v>10</v>
      </c>
      <c r="M652" s="1" t="s">
        <v>101</v>
      </c>
      <c r="N652" s="1" t="s">
        <v>100</v>
      </c>
    </row>
    <row r="653" spans="1:18" ht="14.25" customHeight="1" x14ac:dyDescent="0.3">
      <c r="A653" s="1" t="s">
        <v>62</v>
      </c>
      <c r="B653" s="1">
        <v>2</v>
      </c>
      <c r="C653" s="1">
        <v>7</v>
      </c>
      <c r="D653" s="1" t="str">
        <f t="shared" si="10"/>
        <v>Yes</v>
      </c>
      <c r="E653" s="1">
        <v>3.2</v>
      </c>
      <c r="F653" s="1">
        <v>65</v>
      </c>
      <c r="G653" s="1" t="s">
        <v>109</v>
      </c>
      <c r="H653" s="1" t="s">
        <v>95</v>
      </c>
      <c r="I653" s="1">
        <v>35</v>
      </c>
      <c r="J653" s="1" t="s">
        <v>101</v>
      </c>
      <c r="M653" s="1" t="s">
        <v>102</v>
      </c>
      <c r="O653" s="1">
        <v>4</v>
      </c>
      <c r="Q653" s="1" t="s">
        <v>132</v>
      </c>
    </row>
    <row r="654" spans="1:18" ht="14.25" customHeight="1" x14ac:dyDescent="0.3">
      <c r="A654" s="1" t="s">
        <v>62</v>
      </c>
      <c r="B654" s="1">
        <v>2</v>
      </c>
      <c r="C654" s="1">
        <v>23</v>
      </c>
      <c r="D654" s="1" t="str">
        <f t="shared" si="10"/>
        <v>Yes</v>
      </c>
      <c r="E654" s="1">
        <v>9</v>
      </c>
      <c r="F654" s="1">
        <v>163</v>
      </c>
      <c r="G654" s="1" t="s">
        <v>106</v>
      </c>
      <c r="H654" s="1" t="s">
        <v>95</v>
      </c>
      <c r="I654" s="1">
        <v>25.4</v>
      </c>
      <c r="J654" s="1" t="s">
        <v>101</v>
      </c>
      <c r="M654" s="1" t="s">
        <v>101</v>
      </c>
      <c r="O654" s="1">
        <v>5</v>
      </c>
      <c r="P654" s="1" t="s">
        <v>132</v>
      </c>
    </row>
    <row r="655" spans="1:18" ht="14.25" customHeight="1" x14ac:dyDescent="0.3">
      <c r="A655" s="1" t="s">
        <v>62</v>
      </c>
      <c r="B655" s="1">
        <v>2</v>
      </c>
      <c r="C655" s="1">
        <v>22</v>
      </c>
      <c r="D655" s="1" t="str">
        <f t="shared" si="10"/>
        <v>Yes</v>
      </c>
      <c r="E655" s="1">
        <v>9.6</v>
      </c>
      <c r="F655" s="1">
        <v>159</v>
      </c>
      <c r="G655" s="1" t="s">
        <v>106</v>
      </c>
      <c r="H655" s="1" t="s">
        <v>95</v>
      </c>
      <c r="I655" s="1">
        <v>17.8</v>
      </c>
      <c r="J655" s="1" t="s">
        <v>95</v>
      </c>
      <c r="M655" s="1" t="s">
        <v>101</v>
      </c>
      <c r="O655" s="1">
        <v>1</v>
      </c>
    </row>
    <row r="656" spans="1:18" ht="14.25" customHeight="1" x14ac:dyDescent="0.3">
      <c r="A656" s="1" t="s">
        <v>62</v>
      </c>
      <c r="B656" s="1">
        <v>2</v>
      </c>
      <c r="C656" s="1">
        <v>18</v>
      </c>
      <c r="D656" s="1" t="str">
        <f t="shared" si="10"/>
        <v>Yes</v>
      </c>
      <c r="E656" s="1">
        <v>4.5</v>
      </c>
      <c r="F656" s="1">
        <v>132</v>
      </c>
      <c r="G656" s="1" t="s">
        <v>106</v>
      </c>
      <c r="H656" s="1" t="s">
        <v>95</v>
      </c>
      <c r="I656" s="1">
        <v>15.7</v>
      </c>
      <c r="J656" s="1" t="s">
        <v>95</v>
      </c>
      <c r="M656" s="1" t="s">
        <v>101</v>
      </c>
      <c r="O656" s="1">
        <v>1</v>
      </c>
    </row>
    <row r="657" spans="1:18" ht="14.25" customHeight="1" x14ac:dyDescent="0.3">
      <c r="A657" s="1" t="s">
        <v>62</v>
      </c>
      <c r="B657" s="1">
        <v>2</v>
      </c>
      <c r="C657" s="1">
        <v>8</v>
      </c>
      <c r="D657" s="1" t="str">
        <f t="shared" si="10"/>
        <v>Yes</v>
      </c>
      <c r="E657" s="1">
        <v>2.2999999999999998</v>
      </c>
      <c r="F657" s="1">
        <v>75</v>
      </c>
      <c r="G657" s="1" t="s">
        <v>106</v>
      </c>
      <c r="H657" s="1" t="s">
        <v>95</v>
      </c>
      <c r="I657" s="1">
        <v>14.8</v>
      </c>
      <c r="J657" s="1" t="s">
        <v>95</v>
      </c>
      <c r="M657" s="1" t="s">
        <v>101</v>
      </c>
      <c r="O657" s="1">
        <v>1</v>
      </c>
    </row>
    <row r="658" spans="1:18" ht="14.25" customHeight="1" x14ac:dyDescent="0.3">
      <c r="A658" s="1" t="s">
        <v>62</v>
      </c>
      <c r="B658" s="1">
        <v>2</v>
      </c>
      <c r="C658" s="1">
        <v>34</v>
      </c>
      <c r="D658" s="1" t="str">
        <f t="shared" si="10"/>
        <v>Yes</v>
      </c>
      <c r="E658" s="1">
        <v>2.2000000000000002</v>
      </c>
      <c r="F658" s="1">
        <v>292</v>
      </c>
      <c r="G658" s="1" t="s">
        <v>106</v>
      </c>
      <c r="H658" s="1" t="s">
        <v>95</v>
      </c>
      <c r="I658" s="1">
        <v>11.2</v>
      </c>
      <c r="J658" s="1" t="s">
        <v>101</v>
      </c>
      <c r="M658" s="1" t="s">
        <v>101</v>
      </c>
      <c r="O658" s="1">
        <v>1</v>
      </c>
      <c r="Q658" s="1" t="s">
        <v>134</v>
      </c>
    </row>
    <row r="659" spans="1:18" ht="14.25" customHeight="1" x14ac:dyDescent="0.3">
      <c r="A659" s="1" t="s">
        <v>62</v>
      </c>
      <c r="B659" s="1">
        <v>2</v>
      </c>
      <c r="C659" s="1">
        <v>3</v>
      </c>
      <c r="D659" s="1" t="str">
        <f t="shared" si="10"/>
        <v>Yes</v>
      </c>
      <c r="E659" s="1">
        <v>5.5</v>
      </c>
      <c r="F659" s="1">
        <v>29</v>
      </c>
      <c r="G659" s="1" t="s">
        <v>106</v>
      </c>
      <c r="H659" s="1" t="s">
        <v>95</v>
      </c>
      <c r="I659" s="1">
        <v>9.9</v>
      </c>
      <c r="J659" s="1" t="s">
        <v>95</v>
      </c>
      <c r="M659" s="1" t="s">
        <v>101</v>
      </c>
      <c r="O659" s="1">
        <v>1</v>
      </c>
    </row>
    <row r="660" spans="1:18" ht="14.25" customHeight="1" x14ac:dyDescent="0.3">
      <c r="A660" s="1" t="s">
        <v>62</v>
      </c>
      <c r="B660" s="1">
        <v>2</v>
      </c>
      <c r="C660" s="1">
        <v>10</v>
      </c>
      <c r="D660" s="1" t="str">
        <f t="shared" si="10"/>
        <v>Yes</v>
      </c>
      <c r="E660" s="1">
        <v>6.2</v>
      </c>
      <c r="F660" s="1">
        <v>64</v>
      </c>
      <c r="G660" s="1" t="s">
        <v>106</v>
      </c>
      <c r="H660" s="1" t="s">
        <v>95</v>
      </c>
      <c r="I660" s="1">
        <v>9.8000000000000007</v>
      </c>
      <c r="J660" s="1" t="s">
        <v>95</v>
      </c>
      <c r="M660" s="1" t="s">
        <v>101</v>
      </c>
      <c r="O660" s="1">
        <v>1</v>
      </c>
    </row>
    <row r="661" spans="1:18" ht="14.25" customHeight="1" x14ac:dyDescent="0.3">
      <c r="A661" s="1" t="s">
        <v>62</v>
      </c>
      <c r="B661" s="1">
        <v>2</v>
      </c>
      <c r="C661" s="1">
        <v>9</v>
      </c>
      <c r="D661" s="1" t="str">
        <f t="shared" si="10"/>
        <v>Yes</v>
      </c>
      <c r="E661" s="1">
        <v>3.1</v>
      </c>
      <c r="F661" s="1">
        <v>73</v>
      </c>
      <c r="G661" s="1" t="s">
        <v>106</v>
      </c>
      <c r="H661" s="1" t="s">
        <v>95</v>
      </c>
      <c r="I661" s="1">
        <v>8.9</v>
      </c>
      <c r="J661" s="1" t="s">
        <v>95</v>
      </c>
      <c r="M661" s="1" t="s">
        <v>101</v>
      </c>
      <c r="O661" s="1">
        <v>1</v>
      </c>
    </row>
    <row r="662" spans="1:18" ht="14.25" customHeight="1" x14ac:dyDescent="0.3">
      <c r="A662" s="1" t="s">
        <v>62</v>
      </c>
      <c r="B662" s="1">
        <v>2</v>
      </c>
      <c r="C662" s="1">
        <v>6</v>
      </c>
      <c r="D662" s="1" t="str">
        <f t="shared" si="10"/>
        <v>Yes</v>
      </c>
      <c r="E662" s="1">
        <v>6.1</v>
      </c>
      <c r="F662" s="1">
        <v>49</v>
      </c>
      <c r="G662" s="1" t="s">
        <v>106</v>
      </c>
      <c r="H662" s="1" t="s">
        <v>95</v>
      </c>
      <c r="I662" s="1">
        <v>7.8</v>
      </c>
      <c r="J662" s="1" t="s">
        <v>95</v>
      </c>
      <c r="M662" s="1" t="s">
        <v>101</v>
      </c>
      <c r="O662" s="1">
        <v>1</v>
      </c>
    </row>
    <row r="663" spans="1:18" ht="14.25" customHeight="1" x14ac:dyDescent="0.3">
      <c r="A663" s="1" t="s">
        <v>62</v>
      </c>
      <c r="B663" s="1">
        <v>2</v>
      </c>
      <c r="C663" s="1">
        <v>20</v>
      </c>
      <c r="D663" s="1" t="str">
        <f t="shared" si="10"/>
        <v>Yes</v>
      </c>
      <c r="E663" s="1">
        <v>4.2</v>
      </c>
      <c r="F663" s="1">
        <v>149</v>
      </c>
      <c r="G663" s="1" t="s">
        <v>93</v>
      </c>
      <c r="H663" s="1" t="s">
        <v>95</v>
      </c>
      <c r="I663" s="1">
        <v>18.100000000000001</v>
      </c>
      <c r="J663" s="1" t="s">
        <v>95</v>
      </c>
      <c r="M663" s="1" t="s">
        <v>101</v>
      </c>
      <c r="O663" s="1">
        <v>1</v>
      </c>
    </row>
    <row r="664" spans="1:18" ht="14.25" customHeight="1" x14ac:dyDescent="0.3">
      <c r="A664" s="1" t="s">
        <v>62</v>
      </c>
      <c r="B664" s="1">
        <v>2</v>
      </c>
      <c r="C664" s="1">
        <v>26</v>
      </c>
      <c r="D664" s="1" t="str">
        <f t="shared" si="10"/>
        <v>Yes</v>
      </c>
      <c r="E664" s="1">
        <v>11.9</v>
      </c>
      <c r="F664" s="1">
        <v>162</v>
      </c>
      <c r="G664" s="1" t="s">
        <v>93</v>
      </c>
      <c r="H664" s="1" t="s">
        <v>95</v>
      </c>
      <c r="I664" s="1">
        <v>15.2</v>
      </c>
      <c r="J664" s="1" t="s">
        <v>95</v>
      </c>
      <c r="M664" s="1" t="s">
        <v>101</v>
      </c>
      <c r="O664" s="1">
        <v>1</v>
      </c>
      <c r="R664" s="1"/>
    </row>
    <row r="665" spans="1:18" ht="14.25" customHeight="1" x14ac:dyDescent="0.3">
      <c r="A665" s="1" t="s">
        <v>62</v>
      </c>
      <c r="B665" s="1">
        <v>2</v>
      </c>
      <c r="C665" s="1">
        <v>17</v>
      </c>
      <c r="D665" s="1" t="str">
        <f t="shared" si="10"/>
        <v>Yes</v>
      </c>
      <c r="E665" s="1">
        <v>11.1</v>
      </c>
      <c r="F665" s="1">
        <v>105</v>
      </c>
      <c r="G665" s="1" t="s">
        <v>93</v>
      </c>
      <c r="H665" s="1" t="s">
        <v>95</v>
      </c>
      <c r="I665" s="1">
        <v>12.4</v>
      </c>
      <c r="J665" s="1" t="s">
        <v>95</v>
      </c>
      <c r="M665" s="1" t="s">
        <v>101</v>
      </c>
      <c r="O665" s="1">
        <v>1</v>
      </c>
    </row>
    <row r="666" spans="1:18" ht="14.25" customHeight="1" x14ac:dyDescent="0.3">
      <c r="A666" s="1" t="s">
        <v>62</v>
      </c>
      <c r="B666" s="1">
        <v>2</v>
      </c>
      <c r="C666" s="1">
        <v>28</v>
      </c>
      <c r="D666" s="1" t="str">
        <f t="shared" si="10"/>
        <v>Yes</v>
      </c>
      <c r="E666" s="1">
        <v>12.5</v>
      </c>
      <c r="F666" s="1">
        <v>173</v>
      </c>
      <c r="G666" s="1" t="s">
        <v>93</v>
      </c>
      <c r="H666" s="1" t="s">
        <v>95</v>
      </c>
      <c r="I666" s="1">
        <v>11.2</v>
      </c>
      <c r="J666" s="1" t="s">
        <v>95</v>
      </c>
      <c r="M666" s="1" t="s">
        <v>101</v>
      </c>
      <c r="O666" s="1">
        <v>1</v>
      </c>
    </row>
    <row r="667" spans="1:18" ht="14.25" customHeight="1" x14ac:dyDescent="0.3">
      <c r="A667" s="1" t="s">
        <v>62</v>
      </c>
      <c r="B667" s="1">
        <v>2</v>
      </c>
      <c r="C667" s="1">
        <v>15</v>
      </c>
      <c r="D667" s="1" t="str">
        <f t="shared" si="10"/>
        <v>Yes</v>
      </c>
      <c r="E667" s="1">
        <v>8.4</v>
      </c>
      <c r="F667" s="1">
        <v>85</v>
      </c>
      <c r="G667" s="1" t="s">
        <v>93</v>
      </c>
      <c r="H667" s="1" t="s">
        <v>95</v>
      </c>
      <c r="I667" s="1">
        <v>10.9</v>
      </c>
      <c r="J667" s="1" t="s">
        <v>95</v>
      </c>
      <c r="M667" s="1" t="s">
        <v>101</v>
      </c>
      <c r="O667" s="1">
        <v>1</v>
      </c>
    </row>
    <row r="668" spans="1:18" ht="14.25" customHeight="1" x14ac:dyDescent="0.3">
      <c r="A668" s="1" t="s">
        <v>62</v>
      </c>
      <c r="B668" s="1">
        <v>2</v>
      </c>
      <c r="C668" s="1">
        <v>16</v>
      </c>
      <c r="D668" s="1" t="str">
        <f t="shared" si="10"/>
        <v>Yes</v>
      </c>
      <c r="E668" s="1">
        <v>10.5</v>
      </c>
      <c r="F668" s="1">
        <v>101</v>
      </c>
      <c r="G668" s="1" t="s">
        <v>93</v>
      </c>
      <c r="H668" s="1" t="s">
        <v>95</v>
      </c>
      <c r="I668" s="1">
        <v>10.3</v>
      </c>
      <c r="J668" s="1" t="s">
        <v>95</v>
      </c>
      <c r="M668" s="1" t="s">
        <v>101</v>
      </c>
      <c r="O668" s="1">
        <v>1</v>
      </c>
    </row>
    <row r="669" spans="1:18" ht="14.25" customHeight="1" x14ac:dyDescent="0.3">
      <c r="A669" s="1" t="s">
        <v>62</v>
      </c>
      <c r="B669" s="1">
        <v>2</v>
      </c>
      <c r="C669" s="1">
        <v>2</v>
      </c>
      <c r="D669" s="1" t="str">
        <f t="shared" si="10"/>
        <v>Yes</v>
      </c>
      <c r="E669" s="1">
        <v>4.3</v>
      </c>
      <c r="F669" s="1">
        <v>17</v>
      </c>
      <c r="G669" s="1" t="s">
        <v>93</v>
      </c>
      <c r="H669" s="1" t="s">
        <v>95</v>
      </c>
      <c r="I669" s="1">
        <v>9.8000000000000007</v>
      </c>
      <c r="J669" s="1" t="s">
        <v>95</v>
      </c>
      <c r="M669" s="1" t="s">
        <v>101</v>
      </c>
      <c r="O669" s="1">
        <v>1</v>
      </c>
    </row>
    <row r="670" spans="1:18" ht="14.25" customHeight="1" x14ac:dyDescent="0.3">
      <c r="A670" s="1" t="s">
        <v>62</v>
      </c>
      <c r="B670" s="1">
        <v>2</v>
      </c>
      <c r="C670" s="1">
        <v>31</v>
      </c>
      <c r="D670" s="1" t="str">
        <f t="shared" si="10"/>
        <v>Yes</v>
      </c>
      <c r="E670" s="1">
        <v>9</v>
      </c>
      <c r="F670" s="1">
        <v>246</v>
      </c>
      <c r="G670" s="1" t="s">
        <v>93</v>
      </c>
      <c r="H670" s="1" t="s">
        <v>95</v>
      </c>
      <c r="I670" s="1">
        <v>9.4</v>
      </c>
      <c r="J670" s="1" t="s">
        <v>95</v>
      </c>
      <c r="M670" s="1" t="s">
        <v>101</v>
      </c>
      <c r="O670" s="1">
        <v>1</v>
      </c>
    </row>
    <row r="671" spans="1:18" ht="14.25" customHeight="1" x14ac:dyDescent="0.3">
      <c r="A671" s="1" t="s">
        <v>62</v>
      </c>
      <c r="B671" s="1">
        <v>2</v>
      </c>
      <c r="C671" s="1">
        <v>11</v>
      </c>
      <c r="D671" s="1" t="str">
        <f t="shared" si="10"/>
        <v>Yes</v>
      </c>
      <c r="E671" s="1">
        <v>6.3</v>
      </c>
      <c r="F671" s="1">
        <v>70</v>
      </c>
      <c r="G671" s="1" t="s">
        <v>93</v>
      </c>
      <c r="H671" s="1" t="s">
        <v>95</v>
      </c>
      <c r="I671" s="1">
        <v>8.9</v>
      </c>
      <c r="J671" s="1" t="s">
        <v>95</v>
      </c>
      <c r="M671" s="1" t="s">
        <v>101</v>
      </c>
      <c r="O671" s="1">
        <v>1</v>
      </c>
    </row>
    <row r="672" spans="1:18" ht="14.25" customHeight="1" x14ac:dyDescent="0.3">
      <c r="A672" s="1" t="s">
        <v>62</v>
      </c>
      <c r="B672" s="1">
        <v>2</v>
      </c>
      <c r="C672" s="1">
        <v>13</v>
      </c>
      <c r="D672" s="1" t="str">
        <f t="shared" si="10"/>
        <v>Yes</v>
      </c>
      <c r="E672" s="1">
        <v>6.1</v>
      </c>
      <c r="F672" s="1">
        <v>79</v>
      </c>
      <c r="G672" s="1" t="s">
        <v>93</v>
      </c>
      <c r="H672" s="1" t="s">
        <v>95</v>
      </c>
      <c r="I672" s="1">
        <v>8.6999999999999993</v>
      </c>
      <c r="J672" s="1" t="s">
        <v>95</v>
      </c>
      <c r="M672" s="1" t="s">
        <v>101</v>
      </c>
      <c r="O672" s="1">
        <v>1</v>
      </c>
      <c r="R672" s="1"/>
    </row>
    <row r="673" spans="1:18" ht="14.25" customHeight="1" x14ac:dyDescent="0.3">
      <c r="A673" s="1" t="s">
        <v>62</v>
      </c>
      <c r="B673" s="1">
        <v>2</v>
      </c>
      <c r="C673" s="1">
        <v>12</v>
      </c>
      <c r="D673" s="1" t="str">
        <f t="shared" si="10"/>
        <v>Yes</v>
      </c>
      <c r="E673" s="1">
        <v>6.7</v>
      </c>
      <c r="F673" s="1">
        <v>70</v>
      </c>
      <c r="G673" s="1" t="s">
        <v>111</v>
      </c>
      <c r="H673" s="1" t="s">
        <v>94</v>
      </c>
      <c r="I673" s="1">
        <v>45</v>
      </c>
      <c r="J673" s="1" t="s">
        <v>95</v>
      </c>
      <c r="K673" s="1">
        <v>0</v>
      </c>
      <c r="L673" s="1">
        <v>5</v>
      </c>
      <c r="M673" s="1" t="s">
        <v>102</v>
      </c>
      <c r="N673" s="1" t="s">
        <v>100</v>
      </c>
      <c r="Q673" s="1" t="s">
        <v>133</v>
      </c>
    </row>
    <row r="674" spans="1:18" ht="14.25" customHeight="1" x14ac:dyDescent="0.3">
      <c r="A674" s="1" t="s">
        <v>62</v>
      </c>
      <c r="B674" s="1">
        <v>2</v>
      </c>
      <c r="C674" s="1">
        <v>24</v>
      </c>
      <c r="D674" s="1" t="str">
        <f t="shared" si="10"/>
        <v>Yes</v>
      </c>
      <c r="E674" s="1">
        <v>12.2</v>
      </c>
      <c r="F674" s="1">
        <v>144</v>
      </c>
      <c r="G674" s="1" t="s">
        <v>106</v>
      </c>
      <c r="H674" s="1" t="s">
        <v>94</v>
      </c>
      <c r="I674" s="1">
        <v>26.6</v>
      </c>
      <c r="J674" s="1" t="s">
        <v>95</v>
      </c>
      <c r="K674" s="1">
        <v>0</v>
      </c>
      <c r="L674" s="1">
        <v>20</v>
      </c>
      <c r="M674" s="1" t="s">
        <v>101</v>
      </c>
      <c r="N674" s="1" t="s">
        <v>100</v>
      </c>
    </row>
    <row r="675" spans="1:18" ht="14.25" customHeight="1" x14ac:dyDescent="0.3">
      <c r="A675" s="1" t="s">
        <v>62</v>
      </c>
      <c r="B675" s="1">
        <v>2</v>
      </c>
      <c r="C675" s="1">
        <v>36</v>
      </c>
      <c r="D675" s="1" t="str">
        <f t="shared" si="10"/>
        <v>Yes</v>
      </c>
      <c r="E675" s="1">
        <v>4.4000000000000004</v>
      </c>
      <c r="F675" s="1">
        <v>352</v>
      </c>
      <c r="G675" s="1" t="s">
        <v>106</v>
      </c>
      <c r="H675" s="1" t="s">
        <v>94</v>
      </c>
      <c r="I675" s="1">
        <v>26.1</v>
      </c>
      <c r="J675" s="1" t="s">
        <v>95</v>
      </c>
      <c r="K675" s="1">
        <v>0</v>
      </c>
      <c r="L675" s="1">
        <v>95</v>
      </c>
      <c r="M675" s="1" t="s">
        <v>101</v>
      </c>
      <c r="N675" s="1" t="s">
        <v>100</v>
      </c>
    </row>
    <row r="676" spans="1:18" ht="14.25" customHeight="1" x14ac:dyDescent="0.3">
      <c r="A676" s="1" t="s">
        <v>62</v>
      </c>
      <c r="B676" s="1">
        <v>2</v>
      </c>
      <c r="C676" s="1">
        <v>21</v>
      </c>
      <c r="D676" s="1" t="str">
        <f t="shared" si="10"/>
        <v>Yes</v>
      </c>
      <c r="E676" s="1">
        <v>9.6</v>
      </c>
      <c r="F676" s="1">
        <v>155</v>
      </c>
      <c r="G676" s="1" t="s">
        <v>106</v>
      </c>
      <c r="H676" s="1" t="s">
        <v>94</v>
      </c>
      <c r="I676" s="1">
        <v>25.4</v>
      </c>
      <c r="J676" s="1" t="s">
        <v>95</v>
      </c>
      <c r="K676" s="1">
        <v>1</v>
      </c>
      <c r="L676" s="1">
        <v>30</v>
      </c>
      <c r="M676" s="1" t="s">
        <v>101</v>
      </c>
      <c r="N676" s="1" t="s">
        <v>100</v>
      </c>
    </row>
    <row r="677" spans="1:18" ht="14.25" customHeight="1" x14ac:dyDescent="0.3">
      <c r="A677" s="1" t="s">
        <v>62</v>
      </c>
      <c r="B677" s="1">
        <v>2</v>
      </c>
      <c r="C677" s="1">
        <v>5</v>
      </c>
      <c r="D677" s="1" t="str">
        <f t="shared" si="10"/>
        <v>Yes</v>
      </c>
      <c r="E677" s="1">
        <v>7.4</v>
      </c>
      <c r="F677" s="1">
        <v>46</v>
      </c>
      <c r="G677" s="1" t="s">
        <v>106</v>
      </c>
      <c r="H677" s="1" t="s">
        <v>94</v>
      </c>
      <c r="I677" s="1">
        <v>24.2</v>
      </c>
      <c r="J677" s="1" t="s">
        <v>95</v>
      </c>
      <c r="K677" s="1">
        <v>0</v>
      </c>
      <c r="L677" s="1">
        <v>80</v>
      </c>
      <c r="M677" s="1" t="s">
        <v>101</v>
      </c>
      <c r="N677" s="1" t="s">
        <v>100</v>
      </c>
    </row>
    <row r="678" spans="1:18" ht="14.25" customHeight="1" x14ac:dyDescent="0.3">
      <c r="A678" s="1" t="s">
        <v>62</v>
      </c>
      <c r="B678" s="1">
        <v>2</v>
      </c>
      <c r="C678" s="1">
        <v>35</v>
      </c>
      <c r="D678" s="1" t="str">
        <f t="shared" si="10"/>
        <v>Yes</v>
      </c>
      <c r="E678" s="1">
        <v>10.1</v>
      </c>
      <c r="F678" s="1">
        <v>348</v>
      </c>
      <c r="G678" s="1" t="s">
        <v>93</v>
      </c>
      <c r="H678" s="1" t="s">
        <v>94</v>
      </c>
      <c r="I678" s="1">
        <v>99.5</v>
      </c>
      <c r="J678" s="1" t="s">
        <v>95</v>
      </c>
      <c r="K678" s="1">
        <v>1</v>
      </c>
      <c r="L678" s="1">
        <v>15</v>
      </c>
      <c r="M678" s="1" t="s">
        <v>97</v>
      </c>
      <c r="N678" s="1" t="s">
        <v>100</v>
      </c>
    </row>
    <row r="679" spans="1:18" ht="14.25" customHeight="1" x14ac:dyDescent="0.3">
      <c r="A679" s="1" t="s">
        <v>62</v>
      </c>
      <c r="B679" s="1">
        <v>2</v>
      </c>
      <c r="C679" s="1">
        <v>19</v>
      </c>
      <c r="D679" s="1" t="str">
        <f t="shared" si="10"/>
        <v>Yes</v>
      </c>
      <c r="E679" s="1">
        <v>5.9</v>
      </c>
      <c r="F679" s="1">
        <v>138</v>
      </c>
      <c r="G679" s="1" t="s">
        <v>93</v>
      </c>
      <c r="H679" s="1" t="s">
        <v>94</v>
      </c>
      <c r="I679" s="1">
        <v>50.5</v>
      </c>
      <c r="J679" s="1" t="s">
        <v>95</v>
      </c>
      <c r="K679" s="1">
        <v>0</v>
      </c>
      <c r="L679" s="1">
        <v>20</v>
      </c>
      <c r="M679" s="1" t="s">
        <v>102</v>
      </c>
      <c r="N679" s="1" t="s">
        <v>100</v>
      </c>
      <c r="P679" s="1">
        <v>571</v>
      </c>
    </row>
    <row r="680" spans="1:18" ht="14.25" customHeight="1" x14ac:dyDescent="0.3">
      <c r="A680" s="1" t="s">
        <v>62</v>
      </c>
      <c r="B680" s="1">
        <v>2</v>
      </c>
      <c r="C680" s="1">
        <v>30</v>
      </c>
      <c r="D680" s="1" t="str">
        <f t="shared" si="10"/>
        <v>Yes</v>
      </c>
      <c r="E680" s="1">
        <v>5.0999999999999996</v>
      </c>
      <c r="F680" s="1">
        <v>186</v>
      </c>
      <c r="G680" s="1" t="s">
        <v>93</v>
      </c>
      <c r="H680" s="1" t="s">
        <v>94</v>
      </c>
      <c r="I680" s="1">
        <v>40.9</v>
      </c>
      <c r="J680" s="1" t="s">
        <v>95</v>
      </c>
      <c r="K680" s="1">
        <v>0</v>
      </c>
      <c r="L680" s="1">
        <v>55</v>
      </c>
      <c r="M680" s="1" t="s">
        <v>102</v>
      </c>
      <c r="N680" s="1" t="s">
        <v>100</v>
      </c>
      <c r="P680" s="1">
        <v>572</v>
      </c>
    </row>
    <row r="681" spans="1:18" ht="14.25" customHeight="1" x14ac:dyDescent="0.3">
      <c r="A681" s="1" t="s">
        <v>62</v>
      </c>
      <c r="B681" s="1">
        <v>2</v>
      </c>
      <c r="C681" s="1">
        <v>29</v>
      </c>
      <c r="D681" s="1" t="str">
        <f t="shared" si="10"/>
        <v>Yes</v>
      </c>
      <c r="E681" s="1">
        <v>2.4</v>
      </c>
      <c r="F681" s="1">
        <v>174</v>
      </c>
      <c r="G681" s="1" t="s">
        <v>93</v>
      </c>
      <c r="H681" s="1" t="s">
        <v>94</v>
      </c>
      <c r="I681" s="1">
        <v>40.5</v>
      </c>
      <c r="J681" s="1" t="s">
        <v>95</v>
      </c>
      <c r="K681" s="1">
        <v>0</v>
      </c>
      <c r="L681" s="1">
        <v>10</v>
      </c>
      <c r="M681" s="1" t="s">
        <v>102</v>
      </c>
      <c r="N681" s="1" t="s">
        <v>100</v>
      </c>
    </row>
    <row r="682" spans="1:18" ht="14.25" customHeight="1" x14ac:dyDescent="0.3">
      <c r="A682" s="1" t="s">
        <v>62</v>
      </c>
      <c r="B682" s="1">
        <v>2</v>
      </c>
      <c r="C682" s="1">
        <v>1</v>
      </c>
      <c r="D682" s="1" t="str">
        <f t="shared" si="10"/>
        <v>Yes</v>
      </c>
      <c r="E682" s="1">
        <v>1.6</v>
      </c>
      <c r="F682" s="1">
        <v>15</v>
      </c>
      <c r="G682" s="1" t="s">
        <v>93</v>
      </c>
      <c r="H682" s="1" t="s">
        <v>94</v>
      </c>
      <c r="I682" s="1">
        <v>38.5</v>
      </c>
      <c r="J682" s="1" t="s">
        <v>95</v>
      </c>
      <c r="K682" s="1">
        <v>0</v>
      </c>
      <c r="L682" s="1">
        <v>10</v>
      </c>
      <c r="M682" s="1" t="s">
        <v>102</v>
      </c>
      <c r="N682" s="1" t="s">
        <v>100</v>
      </c>
      <c r="P682" s="1">
        <v>570</v>
      </c>
    </row>
    <row r="683" spans="1:18" ht="14.25" customHeight="1" x14ac:dyDescent="0.3">
      <c r="A683" s="1" t="s">
        <v>62</v>
      </c>
      <c r="B683" s="1">
        <v>2</v>
      </c>
      <c r="C683" s="1">
        <v>32</v>
      </c>
      <c r="D683" s="1" t="str">
        <f t="shared" si="10"/>
        <v>Yes</v>
      </c>
      <c r="E683" s="1">
        <v>6.5</v>
      </c>
      <c r="F683" s="1">
        <v>252</v>
      </c>
      <c r="G683" s="1" t="s">
        <v>93</v>
      </c>
      <c r="H683" s="1" t="s">
        <v>94</v>
      </c>
      <c r="I683" s="1">
        <v>34</v>
      </c>
      <c r="J683" s="1" t="s">
        <v>95</v>
      </c>
      <c r="K683" s="1">
        <v>0</v>
      </c>
      <c r="L683" s="1">
        <v>5</v>
      </c>
      <c r="M683" s="1" t="s">
        <v>101</v>
      </c>
      <c r="N683" s="1" t="s">
        <v>100</v>
      </c>
      <c r="R683" s="1"/>
    </row>
    <row r="684" spans="1:18" ht="14.25" customHeight="1" x14ac:dyDescent="0.3">
      <c r="A684" s="1" t="s">
        <v>62</v>
      </c>
      <c r="B684" s="1">
        <v>2</v>
      </c>
      <c r="C684" s="1">
        <v>27</v>
      </c>
      <c r="D684" s="1" t="str">
        <f t="shared" si="10"/>
        <v>Yes</v>
      </c>
      <c r="E684" s="1">
        <v>11.7</v>
      </c>
      <c r="F684" s="1">
        <v>170</v>
      </c>
      <c r="G684" s="1" t="s">
        <v>93</v>
      </c>
      <c r="H684" s="1" t="s">
        <v>94</v>
      </c>
      <c r="I684" s="1">
        <v>30</v>
      </c>
      <c r="J684" s="1" t="s">
        <v>95</v>
      </c>
      <c r="K684" s="1">
        <v>0</v>
      </c>
      <c r="L684" s="1">
        <v>50</v>
      </c>
      <c r="M684" s="1" t="s">
        <v>102</v>
      </c>
      <c r="N684" s="1" t="s">
        <v>100</v>
      </c>
    </row>
    <row r="685" spans="1:18" ht="14.25" customHeight="1" x14ac:dyDescent="0.3">
      <c r="A685" s="1" t="s">
        <v>62</v>
      </c>
      <c r="B685" s="1">
        <v>2</v>
      </c>
      <c r="C685" s="1">
        <v>33</v>
      </c>
      <c r="D685" s="1" t="str">
        <f t="shared" si="10"/>
        <v>Yes</v>
      </c>
      <c r="E685" s="1">
        <v>3.2</v>
      </c>
      <c r="F685" s="1">
        <v>260</v>
      </c>
      <c r="G685" s="1" t="s">
        <v>93</v>
      </c>
      <c r="H685" s="1" t="s">
        <v>94</v>
      </c>
      <c r="I685" s="1">
        <v>18.7</v>
      </c>
      <c r="J685" s="1" t="s">
        <v>95</v>
      </c>
      <c r="K685" s="1">
        <v>1</v>
      </c>
      <c r="L685" s="1">
        <v>85</v>
      </c>
      <c r="M685" s="1" t="s">
        <v>101</v>
      </c>
      <c r="N685" s="1" t="s">
        <v>100</v>
      </c>
    </row>
    <row r="686" spans="1:18" ht="14.25" customHeight="1" x14ac:dyDescent="0.3">
      <c r="A686" s="1" t="s">
        <v>62</v>
      </c>
      <c r="B686" s="1">
        <v>3</v>
      </c>
      <c r="C686" s="1">
        <v>14</v>
      </c>
      <c r="D686" s="1" t="str">
        <f t="shared" si="10"/>
        <v>Yes</v>
      </c>
      <c r="E686" s="1">
        <v>3.9</v>
      </c>
      <c r="F686" s="1">
        <v>236</v>
      </c>
      <c r="G686" s="1" t="s">
        <v>111</v>
      </c>
      <c r="H686" s="1" t="s">
        <v>95</v>
      </c>
      <c r="I686" s="1">
        <v>90</v>
      </c>
      <c r="J686" s="1" t="s">
        <v>101</v>
      </c>
      <c r="M686" s="1" t="s">
        <v>97</v>
      </c>
      <c r="O686" s="1">
        <v>5</v>
      </c>
      <c r="Q686" s="1" t="s">
        <v>137</v>
      </c>
      <c r="R686" s="1"/>
    </row>
    <row r="687" spans="1:18" ht="14.25" customHeight="1" x14ac:dyDescent="0.3">
      <c r="A687" s="1" t="s">
        <v>62</v>
      </c>
      <c r="B687" s="1">
        <v>3</v>
      </c>
      <c r="C687" s="1">
        <v>1</v>
      </c>
      <c r="D687" s="1" t="str">
        <f t="shared" si="10"/>
        <v>Yes</v>
      </c>
      <c r="E687" s="1">
        <v>8.4</v>
      </c>
      <c r="F687" s="1">
        <v>3</v>
      </c>
      <c r="G687" s="1" t="s">
        <v>111</v>
      </c>
      <c r="H687" s="1" t="s">
        <v>95</v>
      </c>
      <c r="I687" s="1">
        <v>18.5</v>
      </c>
      <c r="J687" s="1" t="s">
        <v>95</v>
      </c>
      <c r="M687" s="1" t="s">
        <v>102</v>
      </c>
      <c r="O687" s="1">
        <v>5</v>
      </c>
      <c r="R687" s="1"/>
    </row>
    <row r="688" spans="1:18" ht="14.25" customHeight="1" x14ac:dyDescent="0.3">
      <c r="A688" s="1" t="s">
        <v>62</v>
      </c>
      <c r="B688" s="1">
        <v>3</v>
      </c>
      <c r="C688" s="1">
        <v>6</v>
      </c>
      <c r="D688" s="1" t="str">
        <f t="shared" si="10"/>
        <v>Yes</v>
      </c>
      <c r="E688" s="1">
        <v>6.2</v>
      </c>
      <c r="F688" s="1">
        <v>119</v>
      </c>
      <c r="G688" s="1" t="s">
        <v>93</v>
      </c>
      <c r="H688" s="1" t="s">
        <v>95</v>
      </c>
      <c r="I688" s="1">
        <v>55.5</v>
      </c>
      <c r="J688" s="1" t="s">
        <v>95</v>
      </c>
      <c r="M688" s="1" t="s">
        <v>102</v>
      </c>
      <c r="O688" s="1">
        <v>1</v>
      </c>
    </row>
    <row r="689" spans="1:18" ht="14.25" customHeight="1" x14ac:dyDescent="0.3">
      <c r="A689" s="1" t="s">
        <v>62</v>
      </c>
      <c r="B689" s="1">
        <v>3</v>
      </c>
      <c r="C689" s="1">
        <v>7</v>
      </c>
      <c r="D689" s="1" t="str">
        <f t="shared" si="10"/>
        <v>Yes</v>
      </c>
      <c r="E689" s="1">
        <v>5.2</v>
      </c>
      <c r="F689" s="1">
        <v>136</v>
      </c>
      <c r="G689" s="1" t="s">
        <v>93</v>
      </c>
      <c r="H689" s="1" t="s">
        <v>95</v>
      </c>
      <c r="I689" s="1">
        <v>46.5</v>
      </c>
      <c r="J689" s="1" t="s">
        <v>95</v>
      </c>
      <c r="M689" s="1" t="s">
        <v>102</v>
      </c>
      <c r="O689" s="1">
        <v>3</v>
      </c>
      <c r="R689" s="1"/>
    </row>
    <row r="690" spans="1:18" ht="14.25" customHeight="1" x14ac:dyDescent="0.3">
      <c r="A690" s="1" t="s">
        <v>62</v>
      </c>
      <c r="B690" s="1">
        <v>3</v>
      </c>
      <c r="C690" s="1">
        <v>11</v>
      </c>
      <c r="D690" s="1" t="str">
        <f t="shared" si="10"/>
        <v>Yes</v>
      </c>
      <c r="E690" s="1">
        <v>10</v>
      </c>
      <c r="F690" s="1">
        <v>146</v>
      </c>
      <c r="G690" s="1" t="s">
        <v>93</v>
      </c>
      <c r="H690" s="1" t="s">
        <v>95</v>
      </c>
      <c r="I690" s="1">
        <v>41.2</v>
      </c>
      <c r="J690" s="1" t="s">
        <v>95</v>
      </c>
      <c r="M690" s="1" t="s">
        <v>101</v>
      </c>
      <c r="O690" s="1">
        <v>1</v>
      </c>
    </row>
    <row r="691" spans="1:18" ht="14.25" customHeight="1" x14ac:dyDescent="0.3">
      <c r="A691" s="1" t="s">
        <v>62</v>
      </c>
      <c r="B691" s="1">
        <v>3</v>
      </c>
      <c r="C691" s="1">
        <v>19</v>
      </c>
      <c r="D691" s="1" t="str">
        <f t="shared" si="10"/>
        <v>Yes</v>
      </c>
      <c r="E691" s="1">
        <v>5.2</v>
      </c>
      <c r="F691" s="1">
        <v>282</v>
      </c>
      <c r="G691" s="1" t="s">
        <v>93</v>
      </c>
      <c r="H691" s="1" t="s">
        <v>95</v>
      </c>
      <c r="I691" s="1">
        <v>30</v>
      </c>
      <c r="J691" s="1" t="s">
        <v>101</v>
      </c>
      <c r="M691" s="1" t="s">
        <v>101</v>
      </c>
      <c r="O691" s="1">
        <v>5</v>
      </c>
      <c r="Q691" s="1" t="s">
        <v>137</v>
      </c>
    </row>
    <row r="692" spans="1:18" ht="14.25" customHeight="1" x14ac:dyDescent="0.3">
      <c r="A692" s="1" t="s">
        <v>62</v>
      </c>
      <c r="B692" s="1">
        <v>3</v>
      </c>
      <c r="C692" s="1">
        <v>15</v>
      </c>
      <c r="D692" s="1" t="str">
        <f t="shared" si="10"/>
        <v>Yes</v>
      </c>
      <c r="E692" s="1">
        <v>2.5</v>
      </c>
      <c r="F692" s="1">
        <v>265</v>
      </c>
      <c r="G692" s="1" t="s">
        <v>93</v>
      </c>
      <c r="H692" s="1" t="s">
        <v>95</v>
      </c>
      <c r="I692" s="1">
        <v>17</v>
      </c>
      <c r="J692" s="1" t="s">
        <v>101</v>
      </c>
      <c r="M692" s="1" t="s">
        <v>101</v>
      </c>
      <c r="O692" s="1">
        <v>5</v>
      </c>
      <c r="Q692" s="1" t="s">
        <v>138</v>
      </c>
    </row>
    <row r="693" spans="1:18" ht="14.25" customHeight="1" x14ac:dyDescent="0.3">
      <c r="A693" s="1" t="s">
        <v>62</v>
      </c>
      <c r="B693" s="1">
        <v>3</v>
      </c>
      <c r="C693" s="1">
        <v>20</v>
      </c>
      <c r="D693" s="1" t="str">
        <f t="shared" si="10"/>
        <v>Yes</v>
      </c>
      <c r="E693" s="1">
        <v>5.9</v>
      </c>
      <c r="F693" s="1">
        <v>344</v>
      </c>
      <c r="G693" s="1" t="s">
        <v>93</v>
      </c>
      <c r="H693" s="1" t="s">
        <v>95</v>
      </c>
      <c r="I693" s="1">
        <v>15</v>
      </c>
      <c r="J693" s="1" t="s">
        <v>95</v>
      </c>
      <c r="M693" s="1" t="s">
        <v>101</v>
      </c>
      <c r="O693" s="1">
        <v>5</v>
      </c>
      <c r="Q693" s="1" t="s">
        <v>139</v>
      </c>
      <c r="R693" s="1"/>
    </row>
    <row r="694" spans="1:18" ht="14.25" customHeight="1" x14ac:dyDescent="0.3">
      <c r="A694" s="1" t="s">
        <v>62</v>
      </c>
      <c r="B694" s="1">
        <v>3</v>
      </c>
      <c r="C694" s="1">
        <v>9</v>
      </c>
      <c r="D694" s="1" t="str">
        <f t="shared" si="10"/>
        <v>Yes</v>
      </c>
      <c r="E694" s="1">
        <v>9.5</v>
      </c>
      <c r="F694" s="1">
        <v>132</v>
      </c>
      <c r="G694" s="1" t="s">
        <v>109</v>
      </c>
      <c r="H694" s="1" t="s">
        <v>94</v>
      </c>
      <c r="I694" s="1">
        <v>33</v>
      </c>
      <c r="J694" s="1" t="s">
        <v>95</v>
      </c>
      <c r="K694" s="1">
        <v>0</v>
      </c>
      <c r="L694" s="1">
        <v>1</v>
      </c>
      <c r="M694" s="1" t="s">
        <v>101</v>
      </c>
      <c r="N694" s="1" t="s">
        <v>100</v>
      </c>
    </row>
    <row r="695" spans="1:18" ht="14.25" customHeight="1" x14ac:dyDescent="0.3">
      <c r="A695" s="1" t="s">
        <v>62</v>
      </c>
      <c r="B695" s="1">
        <v>3</v>
      </c>
      <c r="C695" s="1">
        <v>13</v>
      </c>
      <c r="D695" s="1" t="str">
        <f t="shared" si="10"/>
        <v>Yes</v>
      </c>
      <c r="E695" s="1">
        <v>11.1</v>
      </c>
      <c r="F695" s="1">
        <v>214</v>
      </c>
      <c r="G695" s="1" t="s">
        <v>106</v>
      </c>
      <c r="H695" s="1" t="s">
        <v>94</v>
      </c>
      <c r="I695" s="1">
        <v>185.7</v>
      </c>
      <c r="J695" s="1" t="s">
        <v>95</v>
      </c>
      <c r="K695" s="1">
        <v>0</v>
      </c>
      <c r="L695" s="1">
        <v>1</v>
      </c>
      <c r="M695" s="1" t="s">
        <v>97</v>
      </c>
      <c r="N695" s="1" t="s">
        <v>136</v>
      </c>
      <c r="P695" s="1">
        <v>568</v>
      </c>
    </row>
    <row r="696" spans="1:18" ht="14.25" customHeight="1" x14ac:dyDescent="0.3">
      <c r="A696" s="1" t="s">
        <v>62</v>
      </c>
      <c r="B696" s="1">
        <v>3</v>
      </c>
      <c r="C696" s="1">
        <v>8</v>
      </c>
      <c r="D696" s="1" t="str">
        <f t="shared" si="10"/>
        <v>Yes</v>
      </c>
      <c r="E696" s="1">
        <v>10.9</v>
      </c>
      <c r="F696" s="1">
        <v>122</v>
      </c>
      <c r="G696" s="1" t="s">
        <v>106</v>
      </c>
      <c r="H696" s="1" t="s">
        <v>94</v>
      </c>
      <c r="I696" s="1">
        <v>42.9</v>
      </c>
      <c r="J696" s="1" t="s">
        <v>95</v>
      </c>
      <c r="K696" s="1">
        <v>0</v>
      </c>
      <c r="L696" s="1">
        <v>15</v>
      </c>
      <c r="M696" s="1" t="s">
        <v>101</v>
      </c>
      <c r="N696" s="1" t="s">
        <v>100</v>
      </c>
    </row>
    <row r="697" spans="1:18" ht="14.25" customHeight="1" x14ac:dyDescent="0.3">
      <c r="A697" s="1" t="s">
        <v>62</v>
      </c>
      <c r="B697" s="1">
        <v>3</v>
      </c>
      <c r="C697" s="1">
        <v>4</v>
      </c>
      <c r="D697" s="1" t="str">
        <f t="shared" si="10"/>
        <v>Yes</v>
      </c>
      <c r="E697" s="1">
        <v>7.9</v>
      </c>
      <c r="F697" s="1">
        <v>86</v>
      </c>
      <c r="G697" s="1" t="s">
        <v>106</v>
      </c>
      <c r="H697" s="1" t="s">
        <v>94</v>
      </c>
      <c r="I697" s="1">
        <v>30.2</v>
      </c>
      <c r="J697" s="1" t="s">
        <v>95</v>
      </c>
      <c r="K697" s="1">
        <v>0</v>
      </c>
      <c r="L697" s="1">
        <v>5</v>
      </c>
      <c r="M697" s="1" t="s">
        <v>101</v>
      </c>
      <c r="N697" s="1" t="s">
        <v>100</v>
      </c>
    </row>
    <row r="698" spans="1:18" ht="14.25" customHeight="1" x14ac:dyDescent="0.3">
      <c r="A698" s="1" t="s">
        <v>62</v>
      </c>
      <c r="B698" s="1">
        <v>3</v>
      </c>
      <c r="C698" s="1">
        <v>3</v>
      </c>
      <c r="D698" s="1" t="str">
        <f t="shared" si="10"/>
        <v>Yes</v>
      </c>
      <c r="E698" s="1">
        <v>7.3</v>
      </c>
      <c r="F698" s="1">
        <v>78</v>
      </c>
      <c r="G698" s="1" t="s">
        <v>106</v>
      </c>
      <c r="H698" s="1" t="s">
        <v>94</v>
      </c>
      <c r="I698" s="1">
        <v>25.1</v>
      </c>
      <c r="J698" s="1" t="s">
        <v>95</v>
      </c>
      <c r="K698" s="1">
        <v>0</v>
      </c>
      <c r="L698" s="1">
        <v>5</v>
      </c>
      <c r="M698" s="1" t="s">
        <v>101</v>
      </c>
      <c r="N698" s="1" t="s">
        <v>100</v>
      </c>
    </row>
    <row r="699" spans="1:18" ht="14.25" customHeight="1" x14ac:dyDescent="0.3">
      <c r="A699" s="1" t="s">
        <v>62</v>
      </c>
      <c r="B699" s="1">
        <v>3</v>
      </c>
      <c r="C699" s="1">
        <v>2</v>
      </c>
      <c r="D699" s="1" t="str">
        <f t="shared" si="10"/>
        <v>Yes</v>
      </c>
      <c r="E699" s="1">
        <v>3.7</v>
      </c>
      <c r="F699" s="1">
        <v>85</v>
      </c>
      <c r="G699" s="1" t="s">
        <v>106</v>
      </c>
      <c r="H699" s="1" t="s">
        <v>94</v>
      </c>
      <c r="I699" s="1">
        <v>21.5</v>
      </c>
      <c r="J699" s="1" t="s">
        <v>95</v>
      </c>
      <c r="K699" s="1">
        <v>0</v>
      </c>
      <c r="L699" s="1">
        <v>30</v>
      </c>
      <c r="M699" s="1" t="s">
        <v>101</v>
      </c>
      <c r="N699" s="1" t="s">
        <v>100</v>
      </c>
    </row>
    <row r="700" spans="1:18" ht="14.25" customHeight="1" x14ac:dyDescent="0.3">
      <c r="A700" s="1" t="s">
        <v>62</v>
      </c>
      <c r="B700" s="1">
        <v>3</v>
      </c>
      <c r="C700" s="1">
        <v>10</v>
      </c>
      <c r="D700" s="1" t="str">
        <f t="shared" si="10"/>
        <v>Yes</v>
      </c>
      <c r="E700" s="1">
        <v>9.8000000000000007</v>
      </c>
      <c r="F700" s="1">
        <v>140</v>
      </c>
      <c r="G700" s="1" t="s">
        <v>106</v>
      </c>
      <c r="H700" s="1" t="s">
        <v>94</v>
      </c>
      <c r="I700" s="1">
        <v>19.100000000000001</v>
      </c>
      <c r="J700" s="1" t="s">
        <v>95</v>
      </c>
      <c r="K700" s="1">
        <v>0</v>
      </c>
      <c r="L700" s="1">
        <v>0</v>
      </c>
      <c r="M700" s="1" t="s">
        <v>101</v>
      </c>
      <c r="N700" s="1" t="s">
        <v>100</v>
      </c>
    </row>
    <row r="701" spans="1:18" ht="14.25" customHeight="1" x14ac:dyDescent="0.3">
      <c r="A701" s="1" t="s">
        <v>62</v>
      </c>
      <c r="B701" s="1">
        <v>3</v>
      </c>
      <c r="C701" s="1">
        <v>12</v>
      </c>
      <c r="D701" s="1" t="str">
        <f t="shared" si="10"/>
        <v>Yes</v>
      </c>
      <c r="E701" s="1">
        <v>7.2</v>
      </c>
      <c r="F701" s="1">
        <v>154</v>
      </c>
      <c r="G701" s="1" t="s">
        <v>93</v>
      </c>
      <c r="H701" s="1" t="s">
        <v>94</v>
      </c>
      <c r="I701" s="1">
        <v>55.4</v>
      </c>
      <c r="J701" s="1" t="s">
        <v>95</v>
      </c>
      <c r="K701" s="1">
        <v>0</v>
      </c>
      <c r="L701" s="1">
        <v>1</v>
      </c>
      <c r="M701" s="1" t="s">
        <v>102</v>
      </c>
      <c r="N701" s="1" t="s">
        <v>100</v>
      </c>
      <c r="Q701" s="1" t="s">
        <v>135</v>
      </c>
    </row>
    <row r="702" spans="1:18" ht="14.25" customHeight="1" x14ac:dyDescent="0.3">
      <c r="A702" s="1" t="s">
        <v>62</v>
      </c>
      <c r="B702" s="1">
        <v>3</v>
      </c>
      <c r="C702" s="1">
        <v>17</v>
      </c>
      <c r="D702" s="1" t="str">
        <f t="shared" si="10"/>
        <v>Yes</v>
      </c>
      <c r="E702" s="1">
        <v>10.4</v>
      </c>
      <c r="F702" s="1">
        <v>294</v>
      </c>
      <c r="G702" s="1" t="s">
        <v>93</v>
      </c>
      <c r="H702" s="1" t="s">
        <v>94</v>
      </c>
      <c r="I702" s="1">
        <v>45</v>
      </c>
      <c r="J702" s="1" t="s">
        <v>95</v>
      </c>
      <c r="K702" s="1">
        <v>0</v>
      </c>
      <c r="L702" s="1">
        <v>0</v>
      </c>
      <c r="M702" s="1" t="s">
        <v>101</v>
      </c>
      <c r="N702" s="1" t="s">
        <v>100</v>
      </c>
    </row>
    <row r="703" spans="1:18" ht="14.25" customHeight="1" x14ac:dyDescent="0.3">
      <c r="A703" s="1" t="s">
        <v>62</v>
      </c>
      <c r="B703" s="1">
        <v>3</v>
      </c>
      <c r="C703" s="1">
        <v>16</v>
      </c>
      <c r="D703" s="1" t="str">
        <f t="shared" si="10"/>
        <v>Yes</v>
      </c>
      <c r="E703" s="1">
        <v>12.1</v>
      </c>
      <c r="F703" s="1">
        <v>268</v>
      </c>
      <c r="G703" s="1" t="s">
        <v>93</v>
      </c>
      <c r="H703" s="1" t="s">
        <v>94</v>
      </c>
      <c r="I703" s="1">
        <v>42.8</v>
      </c>
      <c r="J703" s="1" t="s">
        <v>95</v>
      </c>
      <c r="K703" s="1">
        <v>0</v>
      </c>
      <c r="L703" s="1">
        <v>0</v>
      </c>
      <c r="M703" s="1" t="s">
        <v>101</v>
      </c>
      <c r="N703" s="1" t="s">
        <v>100</v>
      </c>
    </row>
    <row r="704" spans="1:18" ht="14.25" customHeight="1" x14ac:dyDescent="0.3">
      <c r="A704" s="1" t="s">
        <v>62</v>
      </c>
      <c r="B704" s="1">
        <v>3</v>
      </c>
      <c r="C704" s="1">
        <v>18</v>
      </c>
      <c r="D704" s="1" t="str">
        <f t="shared" si="10"/>
        <v>Yes</v>
      </c>
      <c r="E704" s="1">
        <v>3.4</v>
      </c>
      <c r="F704" s="1">
        <v>310</v>
      </c>
      <c r="G704" s="1" t="s">
        <v>93</v>
      </c>
      <c r="H704" s="1" t="s">
        <v>94</v>
      </c>
      <c r="I704" s="1">
        <v>40.700000000000003</v>
      </c>
      <c r="J704" s="1" t="s">
        <v>95</v>
      </c>
      <c r="K704" s="1">
        <v>0</v>
      </c>
      <c r="L704" s="1">
        <v>1</v>
      </c>
      <c r="M704" s="1" t="s">
        <v>102</v>
      </c>
      <c r="N704" s="1" t="s">
        <v>100</v>
      </c>
      <c r="P704" s="1">
        <v>569</v>
      </c>
      <c r="R704" s="1"/>
    </row>
    <row r="705" spans="1:18" ht="14.25" customHeight="1" x14ac:dyDescent="0.3">
      <c r="A705" s="1" t="s">
        <v>62</v>
      </c>
      <c r="B705" s="1">
        <v>3</v>
      </c>
      <c r="C705" s="1">
        <v>5</v>
      </c>
      <c r="D705" s="1" t="str">
        <f t="shared" si="10"/>
        <v>Yes</v>
      </c>
      <c r="E705" s="1">
        <v>2.9</v>
      </c>
      <c r="F705" s="1">
        <v>110</v>
      </c>
      <c r="G705" s="1" t="s">
        <v>93</v>
      </c>
      <c r="H705" s="1" t="s">
        <v>94</v>
      </c>
      <c r="I705" s="1">
        <v>31.4</v>
      </c>
      <c r="J705" s="1" t="s">
        <v>95</v>
      </c>
      <c r="K705" s="1">
        <v>0</v>
      </c>
      <c r="L705" s="1">
        <v>1</v>
      </c>
      <c r="M705" s="1" t="s">
        <v>101</v>
      </c>
      <c r="N705" s="1" t="s">
        <v>100</v>
      </c>
      <c r="P705" s="1">
        <v>567</v>
      </c>
    </row>
    <row r="706" spans="1:18" ht="14.25" customHeight="1" x14ac:dyDescent="0.3">
      <c r="A706" s="1" t="s">
        <v>62</v>
      </c>
      <c r="B706" s="1">
        <v>4</v>
      </c>
      <c r="C706" s="1">
        <v>23</v>
      </c>
      <c r="D706" s="1" t="str">
        <f t="shared" ref="D706:D769" si="11">IF(E706&gt;12.5, "No", "Yes")</f>
        <v>Yes</v>
      </c>
      <c r="E706" s="1">
        <v>9.6</v>
      </c>
      <c r="F706" s="1">
        <v>330</v>
      </c>
      <c r="G706" s="1" t="s">
        <v>109</v>
      </c>
      <c r="H706" s="1" t="s">
        <v>95</v>
      </c>
      <c r="I706" s="1">
        <v>98</v>
      </c>
      <c r="J706" s="1" t="s">
        <v>101</v>
      </c>
      <c r="M706" s="1" t="s">
        <v>102</v>
      </c>
      <c r="O706" s="1">
        <v>5</v>
      </c>
      <c r="Q706" s="1" t="s">
        <v>140</v>
      </c>
      <c r="R706" s="1"/>
    </row>
    <row r="707" spans="1:18" ht="14.25" customHeight="1" x14ac:dyDescent="0.3">
      <c r="A707" s="1" t="s">
        <v>62</v>
      </c>
      <c r="B707" s="1">
        <v>4</v>
      </c>
      <c r="C707" s="1">
        <v>4</v>
      </c>
      <c r="D707" s="1" t="str">
        <f t="shared" si="11"/>
        <v>Yes</v>
      </c>
      <c r="E707" s="1">
        <v>7.1</v>
      </c>
      <c r="F707" s="19">
        <v>36</v>
      </c>
      <c r="G707" s="1" t="s">
        <v>109</v>
      </c>
      <c r="H707" s="1" t="s">
        <v>95</v>
      </c>
      <c r="I707" s="1">
        <v>85</v>
      </c>
      <c r="J707" s="1" t="s">
        <v>101</v>
      </c>
      <c r="M707" s="1" t="s">
        <v>102</v>
      </c>
      <c r="O707" s="1">
        <v>5</v>
      </c>
      <c r="Q707" s="1" t="s">
        <v>140</v>
      </c>
      <c r="R707" s="1"/>
    </row>
    <row r="708" spans="1:18" ht="14.25" customHeight="1" x14ac:dyDescent="0.3">
      <c r="A708" s="1" t="s">
        <v>62</v>
      </c>
      <c r="B708" s="1">
        <v>4</v>
      </c>
      <c r="C708" s="1">
        <v>10</v>
      </c>
      <c r="D708" s="1" t="str">
        <f t="shared" si="11"/>
        <v>Yes</v>
      </c>
      <c r="E708" s="1">
        <v>1.9</v>
      </c>
      <c r="F708" s="1">
        <v>85</v>
      </c>
      <c r="G708" s="1" t="s">
        <v>93</v>
      </c>
      <c r="H708" s="1" t="s">
        <v>95</v>
      </c>
      <c r="I708" s="1">
        <v>104</v>
      </c>
      <c r="J708" s="1" t="s">
        <v>101</v>
      </c>
      <c r="M708" s="1" t="s">
        <v>102</v>
      </c>
      <c r="O708" s="1">
        <v>5</v>
      </c>
      <c r="Q708" s="1" t="s">
        <v>140</v>
      </c>
      <c r="R708" s="1"/>
    </row>
    <row r="709" spans="1:18" ht="14.25" customHeight="1" x14ac:dyDescent="0.3">
      <c r="A709" s="1" t="s">
        <v>62</v>
      </c>
      <c r="B709" s="1">
        <v>4</v>
      </c>
      <c r="C709" s="1">
        <v>18</v>
      </c>
      <c r="D709" s="1" t="str">
        <f t="shared" si="11"/>
        <v>Yes</v>
      </c>
      <c r="E709" s="1">
        <v>7.3</v>
      </c>
      <c r="F709" s="1">
        <v>290</v>
      </c>
      <c r="G709" s="1" t="s">
        <v>93</v>
      </c>
      <c r="H709" s="1" t="s">
        <v>95</v>
      </c>
      <c r="I709" s="1">
        <v>101</v>
      </c>
      <c r="J709" s="1" t="s">
        <v>101</v>
      </c>
      <c r="M709" s="1" t="s">
        <v>102</v>
      </c>
      <c r="O709" s="1">
        <v>5</v>
      </c>
      <c r="Q709" s="1" t="s">
        <v>140</v>
      </c>
      <c r="R709" s="1"/>
    </row>
    <row r="710" spans="1:18" ht="14.25" customHeight="1" x14ac:dyDescent="0.3">
      <c r="A710" s="1" t="s">
        <v>62</v>
      </c>
      <c r="B710" s="1">
        <v>4</v>
      </c>
      <c r="C710" s="1">
        <v>2</v>
      </c>
      <c r="D710" s="1" t="str">
        <f t="shared" si="11"/>
        <v>Yes</v>
      </c>
      <c r="E710" s="1">
        <v>2.4</v>
      </c>
      <c r="F710" s="1">
        <v>28</v>
      </c>
      <c r="G710" s="1" t="s">
        <v>93</v>
      </c>
      <c r="H710" s="1" t="s">
        <v>95</v>
      </c>
      <c r="I710" s="1">
        <v>75</v>
      </c>
      <c r="J710" s="1" t="s">
        <v>101</v>
      </c>
      <c r="M710" s="1" t="s">
        <v>102</v>
      </c>
      <c r="O710" s="1">
        <v>5</v>
      </c>
      <c r="Q710" s="1" t="s">
        <v>140</v>
      </c>
      <c r="R710" s="1"/>
    </row>
    <row r="711" spans="1:18" ht="14.25" customHeight="1" x14ac:dyDescent="0.3">
      <c r="A711" s="1" t="s">
        <v>62</v>
      </c>
      <c r="B711" s="1">
        <v>4</v>
      </c>
      <c r="C711" s="1">
        <v>8</v>
      </c>
      <c r="D711" s="1" t="str">
        <f t="shared" si="11"/>
        <v>Yes</v>
      </c>
      <c r="E711" s="1">
        <v>10.199999999999999</v>
      </c>
      <c r="F711" s="1">
        <v>52</v>
      </c>
      <c r="G711" s="1" t="s">
        <v>93</v>
      </c>
      <c r="H711" s="1" t="s">
        <v>95</v>
      </c>
      <c r="I711" s="1">
        <v>61</v>
      </c>
      <c r="J711" s="1" t="s">
        <v>101</v>
      </c>
      <c r="M711" s="1" t="s">
        <v>101</v>
      </c>
      <c r="O711" s="1">
        <v>5</v>
      </c>
      <c r="Q711" s="1" t="s">
        <v>140</v>
      </c>
      <c r="R711" s="1"/>
    </row>
    <row r="712" spans="1:18" ht="14.25" customHeight="1" x14ac:dyDescent="0.3">
      <c r="A712" s="1" t="s">
        <v>62</v>
      </c>
      <c r="B712" s="1">
        <v>4</v>
      </c>
      <c r="C712" s="1">
        <v>1</v>
      </c>
      <c r="D712" s="1" t="str">
        <f t="shared" si="11"/>
        <v>Yes</v>
      </c>
      <c r="E712" s="1">
        <v>4.5999999999999996</v>
      </c>
      <c r="F712" s="1">
        <v>7</v>
      </c>
      <c r="G712" s="1" t="s">
        <v>93</v>
      </c>
      <c r="H712" s="1" t="s">
        <v>95</v>
      </c>
      <c r="I712" s="1">
        <v>50</v>
      </c>
      <c r="J712" s="1" t="s">
        <v>101</v>
      </c>
      <c r="M712" s="1" t="s">
        <v>102</v>
      </c>
      <c r="O712" s="1">
        <v>5</v>
      </c>
      <c r="Q712" s="1" t="s">
        <v>140</v>
      </c>
      <c r="R712" s="1"/>
    </row>
    <row r="713" spans="1:18" ht="14.25" customHeight="1" x14ac:dyDescent="0.3">
      <c r="A713" s="1" t="s">
        <v>62</v>
      </c>
      <c r="B713" s="1">
        <v>4</v>
      </c>
      <c r="C713" s="1">
        <v>6</v>
      </c>
      <c r="D713" s="1" t="str">
        <f t="shared" si="11"/>
        <v>Yes</v>
      </c>
      <c r="E713" s="1">
        <v>7.7</v>
      </c>
      <c r="F713" s="1">
        <v>53</v>
      </c>
      <c r="G713" s="1" t="s">
        <v>93</v>
      </c>
      <c r="H713" s="1" t="s">
        <v>95</v>
      </c>
      <c r="I713" s="1">
        <v>46</v>
      </c>
      <c r="J713" s="1" t="s">
        <v>101</v>
      </c>
      <c r="M713" s="1" t="s">
        <v>101</v>
      </c>
      <c r="O713" s="1">
        <v>5</v>
      </c>
      <c r="Q713" s="1" t="s">
        <v>140</v>
      </c>
      <c r="R713" s="1"/>
    </row>
    <row r="714" spans="1:18" ht="14.25" customHeight="1" x14ac:dyDescent="0.3">
      <c r="A714" s="1" t="s">
        <v>62</v>
      </c>
      <c r="B714" s="1">
        <v>4</v>
      </c>
      <c r="C714" s="1">
        <v>7</v>
      </c>
      <c r="D714" s="1" t="str">
        <f t="shared" si="11"/>
        <v>Yes</v>
      </c>
      <c r="E714" s="1">
        <v>11.7</v>
      </c>
      <c r="F714" s="1">
        <v>47</v>
      </c>
      <c r="G714" s="1" t="s">
        <v>93</v>
      </c>
      <c r="H714" s="1" t="s">
        <v>95</v>
      </c>
      <c r="I714" s="1">
        <v>34</v>
      </c>
      <c r="J714" s="1" t="s">
        <v>101</v>
      </c>
      <c r="M714" s="1" t="s">
        <v>101</v>
      </c>
      <c r="O714" s="1">
        <v>5</v>
      </c>
      <c r="Q714" s="1" t="s">
        <v>140</v>
      </c>
      <c r="R714" s="1"/>
    </row>
    <row r="715" spans="1:18" ht="14.25" customHeight="1" x14ac:dyDescent="0.3">
      <c r="A715" s="1" t="s">
        <v>62</v>
      </c>
      <c r="B715" s="1">
        <v>4</v>
      </c>
      <c r="C715" s="1">
        <v>9</v>
      </c>
      <c r="D715" s="1" t="str">
        <f t="shared" si="11"/>
        <v>Yes</v>
      </c>
      <c r="E715" s="1">
        <v>4.5</v>
      </c>
      <c r="F715" s="1">
        <v>67</v>
      </c>
      <c r="G715" s="1" t="s">
        <v>93</v>
      </c>
      <c r="H715" s="1" t="s">
        <v>95</v>
      </c>
      <c r="I715" s="1">
        <v>34</v>
      </c>
      <c r="J715" s="1" t="s">
        <v>101</v>
      </c>
      <c r="M715" s="1" t="s">
        <v>101</v>
      </c>
      <c r="O715" s="1">
        <v>5</v>
      </c>
      <c r="Q715" s="1" t="s">
        <v>140</v>
      </c>
      <c r="R715" s="1"/>
    </row>
    <row r="716" spans="1:18" ht="14.25" customHeight="1" x14ac:dyDescent="0.3">
      <c r="A716" s="1" t="s">
        <v>62</v>
      </c>
      <c r="B716" s="1">
        <v>4</v>
      </c>
      <c r="C716" s="1">
        <v>19</v>
      </c>
      <c r="D716" s="1" t="str">
        <f t="shared" si="11"/>
        <v>Yes</v>
      </c>
      <c r="E716" s="1">
        <v>6.1</v>
      </c>
      <c r="F716" s="1">
        <v>295</v>
      </c>
      <c r="G716" s="1" t="s">
        <v>93</v>
      </c>
      <c r="H716" s="1" t="s">
        <v>95</v>
      </c>
      <c r="I716" s="1">
        <v>34</v>
      </c>
      <c r="J716" s="1" t="s">
        <v>101</v>
      </c>
      <c r="M716" s="1" t="s">
        <v>101</v>
      </c>
      <c r="O716" s="1">
        <v>5</v>
      </c>
      <c r="Q716" s="1" t="s">
        <v>140</v>
      </c>
      <c r="R716" s="1"/>
    </row>
    <row r="717" spans="1:18" ht="14.25" customHeight="1" x14ac:dyDescent="0.3">
      <c r="A717" s="1" t="s">
        <v>62</v>
      </c>
      <c r="B717" s="1">
        <v>4</v>
      </c>
      <c r="C717" s="1">
        <v>20</v>
      </c>
      <c r="D717" s="1" t="str">
        <f t="shared" si="11"/>
        <v>Yes</v>
      </c>
      <c r="E717" s="1">
        <v>7.9</v>
      </c>
      <c r="F717" s="1">
        <v>295</v>
      </c>
      <c r="G717" s="1" t="s">
        <v>93</v>
      </c>
      <c r="H717" s="1" t="s">
        <v>95</v>
      </c>
      <c r="I717" s="1">
        <v>20</v>
      </c>
      <c r="J717" s="1" t="s">
        <v>101</v>
      </c>
      <c r="M717" s="1" t="s">
        <v>101</v>
      </c>
      <c r="O717" s="1">
        <v>5</v>
      </c>
      <c r="Q717" s="1" t="s">
        <v>140</v>
      </c>
      <c r="R717" s="1"/>
    </row>
    <row r="718" spans="1:18" ht="14.25" customHeight="1" x14ac:dyDescent="0.3">
      <c r="A718" s="1" t="s">
        <v>62</v>
      </c>
      <c r="B718" s="1">
        <v>4</v>
      </c>
      <c r="C718" s="1">
        <v>11</v>
      </c>
      <c r="D718" s="1" t="str">
        <f t="shared" si="11"/>
        <v>Yes</v>
      </c>
      <c r="E718" s="1">
        <v>1.2</v>
      </c>
      <c r="F718" s="1">
        <v>84</v>
      </c>
      <c r="G718" s="1" t="s">
        <v>93</v>
      </c>
      <c r="H718" s="1" t="s">
        <v>95</v>
      </c>
      <c r="I718" s="1">
        <v>18</v>
      </c>
      <c r="J718" s="1" t="s">
        <v>101</v>
      </c>
      <c r="M718" s="1" t="s">
        <v>101</v>
      </c>
      <c r="O718" s="1">
        <v>5</v>
      </c>
      <c r="Q718" s="1" t="s">
        <v>140</v>
      </c>
      <c r="R718" s="1"/>
    </row>
    <row r="719" spans="1:18" ht="14.25" customHeight="1" x14ac:dyDescent="0.3">
      <c r="A719" s="1" t="s">
        <v>62</v>
      </c>
      <c r="B719" s="1">
        <v>4</v>
      </c>
      <c r="C719" s="1">
        <v>13</v>
      </c>
      <c r="D719" s="1" t="str">
        <f t="shared" si="11"/>
        <v>Yes</v>
      </c>
      <c r="E719" s="1">
        <v>9.6999999999999993</v>
      </c>
      <c r="F719" s="1">
        <v>144</v>
      </c>
      <c r="G719" s="1" t="s">
        <v>98</v>
      </c>
      <c r="H719" s="1" t="s">
        <v>94</v>
      </c>
      <c r="I719" s="1">
        <v>16.600000000000001</v>
      </c>
      <c r="J719" s="1" t="s">
        <v>95</v>
      </c>
      <c r="K719" s="1">
        <v>0</v>
      </c>
      <c r="L719" s="1">
        <v>0</v>
      </c>
      <c r="M719" s="1" t="s">
        <v>101</v>
      </c>
      <c r="R719" s="1"/>
    </row>
    <row r="720" spans="1:18" ht="14.25" customHeight="1" x14ac:dyDescent="0.3">
      <c r="A720" s="1" t="s">
        <v>62</v>
      </c>
      <c r="B720" s="1">
        <v>4</v>
      </c>
      <c r="C720" s="1">
        <v>22</v>
      </c>
      <c r="D720" s="1" t="str">
        <f t="shared" si="11"/>
        <v>Yes</v>
      </c>
      <c r="E720" s="1">
        <v>11.1</v>
      </c>
      <c r="F720" s="1">
        <v>303</v>
      </c>
      <c r="G720" s="1" t="s">
        <v>111</v>
      </c>
      <c r="H720" s="1" t="s">
        <v>94</v>
      </c>
      <c r="I720" s="1">
        <v>40.700000000000003</v>
      </c>
      <c r="J720" s="1" t="s">
        <v>95</v>
      </c>
      <c r="K720" s="1">
        <v>0</v>
      </c>
      <c r="L720" s="1">
        <v>0</v>
      </c>
      <c r="M720" s="1" t="s">
        <v>102</v>
      </c>
      <c r="N720" s="1" t="s">
        <v>100</v>
      </c>
    </row>
    <row r="721" spans="1:18" ht="14.25" customHeight="1" x14ac:dyDescent="0.3">
      <c r="A721" s="1" t="s">
        <v>62</v>
      </c>
      <c r="B721" s="1">
        <v>4</v>
      </c>
      <c r="C721" s="1">
        <v>3</v>
      </c>
      <c r="D721" s="1" t="str">
        <f t="shared" si="11"/>
        <v>Yes</v>
      </c>
      <c r="E721" s="1">
        <v>11.8</v>
      </c>
      <c r="F721" s="1">
        <v>12</v>
      </c>
      <c r="G721" s="1" t="s">
        <v>106</v>
      </c>
      <c r="H721" s="1" t="s">
        <v>94</v>
      </c>
      <c r="I721" s="1">
        <v>22.8</v>
      </c>
      <c r="J721" s="1" t="s">
        <v>95</v>
      </c>
      <c r="K721" s="1">
        <v>0</v>
      </c>
      <c r="L721" s="1">
        <v>35</v>
      </c>
      <c r="M721" s="1" t="s">
        <v>101</v>
      </c>
      <c r="N721" s="1" t="s">
        <v>100</v>
      </c>
      <c r="R721" s="1"/>
    </row>
    <row r="722" spans="1:18" ht="14.25" customHeight="1" x14ac:dyDescent="0.3">
      <c r="A722" s="1" t="s">
        <v>62</v>
      </c>
      <c r="B722" s="1">
        <v>4</v>
      </c>
      <c r="C722" s="1">
        <v>17</v>
      </c>
      <c r="D722" s="1" t="str">
        <f t="shared" si="11"/>
        <v>Yes</v>
      </c>
      <c r="E722" s="1">
        <v>5.3</v>
      </c>
      <c r="F722" s="1">
        <v>264</v>
      </c>
      <c r="G722" s="1" t="s">
        <v>93</v>
      </c>
      <c r="H722" s="1" t="s">
        <v>94</v>
      </c>
      <c r="I722" s="17">
        <v>75.7</v>
      </c>
      <c r="J722" s="1" t="s">
        <v>95</v>
      </c>
      <c r="K722" s="1">
        <v>0</v>
      </c>
      <c r="L722" s="1">
        <v>0</v>
      </c>
      <c r="M722" s="1" t="s">
        <v>102</v>
      </c>
      <c r="N722" s="1" t="s">
        <v>100</v>
      </c>
      <c r="P722" s="1">
        <v>556</v>
      </c>
    </row>
    <row r="723" spans="1:18" ht="14.25" customHeight="1" x14ac:dyDescent="0.3">
      <c r="A723" s="1" t="s">
        <v>62</v>
      </c>
      <c r="B723" s="1">
        <v>4</v>
      </c>
      <c r="C723" s="1">
        <v>21</v>
      </c>
      <c r="D723" s="1" t="str">
        <f t="shared" si="11"/>
        <v>Yes</v>
      </c>
      <c r="E723" s="1">
        <v>9.4</v>
      </c>
      <c r="F723" s="1">
        <v>312</v>
      </c>
      <c r="G723" s="1" t="s">
        <v>93</v>
      </c>
      <c r="H723" s="1" t="s">
        <v>94</v>
      </c>
      <c r="I723" s="1">
        <v>45.6</v>
      </c>
      <c r="J723" s="1" t="s">
        <v>95</v>
      </c>
      <c r="K723" s="1">
        <v>0</v>
      </c>
      <c r="L723" s="1">
        <v>0</v>
      </c>
      <c r="M723" s="1" t="s">
        <v>102</v>
      </c>
      <c r="P723" s="1">
        <v>557</v>
      </c>
      <c r="R723" s="1"/>
    </row>
    <row r="724" spans="1:18" ht="14.25" customHeight="1" x14ac:dyDescent="0.3">
      <c r="A724" s="1" t="s">
        <v>62</v>
      </c>
      <c r="B724" s="1">
        <v>4</v>
      </c>
      <c r="C724" s="1">
        <v>5</v>
      </c>
      <c r="D724" s="1" t="str">
        <f t="shared" si="11"/>
        <v>Yes</v>
      </c>
      <c r="E724" s="1">
        <v>3.9</v>
      </c>
      <c r="F724" s="1">
        <v>49</v>
      </c>
      <c r="G724" s="1" t="s">
        <v>93</v>
      </c>
      <c r="H724" s="1" t="s">
        <v>94</v>
      </c>
      <c r="I724" s="1">
        <v>35.5</v>
      </c>
      <c r="J724" s="1" t="s">
        <v>95</v>
      </c>
      <c r="K724" s="1">
        <v>0</v>
      </c>
      <c r="L724" s="1">
        <v>0</v>
      </c>
      <c r="M724" s="1" t="s">
        <v>101</v>
      </c>
      <c r="N724" s="1" t="s">
        <v>100</v>
      </c>
      <c r="P724" s="1">
        <v>555</v>
      </c>
    </row>
    <row r="725" spans="1:18" ht="14.25" customHeight="1" x14ac:dyDescent="0.3">
      <c r="A725" s="1" t="s">
        <v>62</v>
      </c>
      <c r="B725" s="1">
        <v>4</v>
      </c>
      <c r="C725" s="1">
        <v>12</v>
      </c>
      <c r="D725" s="1" t="str">
        <f t="shared" si="11"/>
        <v>Yes</v>
      </c>
      <c r="E725" s="1">
        <v>2.4</v>
      </c>
      <c r="F725" s="1">
        <v>98</v>
      </c>
      <c r="G725" s="1" t="s">
        <v>93</v>
      </c>
      <c r="H725" s="1" t="s">
        <v>94</v>
      </c>
      <c r="I725" s="1">
        <v>34.9</v>
      </c>
      <c r="J725" s="1" t="s">
        <v>95</v>
      </c>
      <c r="K725" s="1">
        <v>0</v>
      </c>
      <c r="L725" s="1">
        <v>0</v>
      </c>
      <c r="M725" s="1" t="s">
        <v>101</v>
      </c>
      <c r="N725" s="1" t="s">
        <v>100</v>
      </c>
    </row>
    <row r="726" spans="1:18" ht="14.25" customHeight="1" x14ac:dyDescent="0.3">
      <c r="A726" s="1" t="s">
        <v>62</v>
      </c>
      <c r="B726" s="1">
        <v>4</v>
      </c>
      <c r="C726" s="1">
        <v>14</v>
      </c>
      <c r="D726" s="1" t="str">
        <f t="shared" si="11"/>
        <v>Yes</v>
      </c>
      <c r="E726" s="1">
        <v>6.9</v>
      </c>
      <c r="F726" s="1">
        <v>172</v>
      </c>
      <c r="G726" s="1" t="s">
        <v>93</v>
      </c>
      <c r="H726" s="1" t="s">
        <v>94</v>
      </c>
      <c r="I726" s="1">
        <v>27.4</v>
      </c>
      <c r="J726" s="1" t="s">
        <v>95</v>
      </c>
      <c r="K726" s="1">
        <v>0</v>
      </c>
      <c r="L726" s="1">
        <v>0</v>
      </c>
      <c r="M726" s="1" t="s">
        <v>102</v>
      </c>
      <c r="Q726" s="1" t="s">
        <v>141</v>
      </c>
    </row>
    <row r="727" spans="1:18" ht="14.25" customHeight="1" x14ac:dyDescent="0.3">
      <c r="A727" s="1" t="s">
        <v>62</v>
      </c>
      <c r="B727" s="1">
        <v>4</v>
      </c>
      <c r="C727" s="1">
        <v>16</v>
      </c>
      <c r="D727" s="1" t="str">
        <f t="shared" si="11"/>
        <v>Yes</v>
      </c>
      <c r="E727" s="1">
        <v>5.3</v>
      </c>
      <c r="F727" s="1">
        <v>172</v>
      </c>
      <c r="G727" s="1" t="s">
        <v>93</v>
      </c>
      <c r="H727" s="1" t="s">
        <v>94</v>
      </c>
      <c r="I727" s="1">
        <v>19</v>
      </c>
      <c r="J727" s="1" t="s">
        <v>95</v>
      </c>
      <c r="K727" s="1">
        <v>0</v>
      </c>
      <c r="L727" s="1">
        <v>0</v>
      </c>
      <c r="M727" s="1" t="s">
        <v>102</v>
      </c>
      <c r="Q727" s="1" t="s">
        <v>141</v>
      </c>
    </row>
    <row r="728" spans="1:18" ht="14.25" customHeight="1" x14ac:dyDescent="0.3">
      <c r="A728" s="1" t="s">
        <v>62</v>
      </c>
      <c r="B728" s="1">
        <v>4</v>
      </c>
      <c r="C728" s="1">
        <v>15</v>
      </c>
      <c r="D728" s="1" t="str">
        <f t="shared" si="11"/>
        <v>Yes</v>
      </c>
      <c r="E728" s="1">
        <v>6</v>
      </c>
      <c r="F728" s="1">
        <v>172</v>
      </c>
      <c r="G728" s="1" t="s">
        <v>93</v>
      </c>
      <c r="H728" s="1" t="s">
        <v>94</v>
      </c>
      <c r="I728" s="1">
        <v>13.3</v>
      </c>
      <c r="J728" s="1" t="s">
        <v>95</v>
      </c>
      <c r="K728" s="1">
        <v>0</v>
      </c>
      <c r="L728" s="1">
        <v>0</v>
      </c>
      <c r="M728" s="1" t="s">
        <v>102</v>
      </c>
      <c r="Q728" s="1" t="s">
        <v>141</v>
      </c>
    </row>
    <row r="729" spans="1:18" ht="14.25" customHeight="1" x14ac:dyDescent="0.3">
      <c r="A729" s="1" t="s">
        <v>62</v>
      </c>
      <c r="B729" s="1">
        <v>5</v>
      </c>
      <c r="C729" s="1">
        <v>33</v>
      </c>
      <c r="D729" s="1" t="str">
        <f t="shared" si="11"/>
        <v>No</v>
      </c>
      <c r="E729" s="1">
        <v>12.6</v>
      </c>
      <c r="F729" s="1">
        <v>245</v>
      </c>
      <c r="G729" s="1" t="s">
        <v>93</v>
      </c>
      <c r="H729" s="1" t="s">
        <v>95</v>
      </c>
      <c r="I729" s="1">
        <v>50</v>
      </c>
      <c r="J729" s="1" t="s">
        <v>151</v>
      </c>
      <c r="M729" s="1" t="s">
        <v>102</v>
      </c>
      <c r="O729" s="1">
        <v>5</v>
      </c>
      <c r="Q729" s="1" t="s">
        <v>134</v>
      </c>
      <c r="R729" s="1"/>
    </row>
    <row r="730" spans="1:18" ht="14.25" customHeight="1" x14ac:dyDescent="0.3">
      <c r="A730" s="1" t="s">
        <v>62</v>
      </c>
      <c r="B730" s="1">
        <v>5</v>
      </c>
      <c r="C730" s="1">
        <v>30</v>
      </c>
      <c r="D730" s="1" t="str">
        <f t="shared" si="11"/>
        <v>Yes</v>
      </c>
      <c r="E730" s="1">
        <v>9.6</v>
      </c>
      <c r="F730" s="1">
        <v>250</v>
      </c>
      <c r="G730" s="1" t="s">
        <v>111</v>
      </c>
      <c r="H730" s="1" t="s">
        <v>95</v>
      </c>
      <c r="I730" s="1">
        <v>130</v>
      </c>
      <c r="J730" s="1" t="s">
        <v>101</v>
      </c>
      <c r="M730" s="1" t="s">
        <v>95</v>
      </c>
      <c r="O730" s="1">
        <v>5</v>
      </c>
      <c r="Q730" s="1" t="s">
        <v>140</v>
      </c>
      <c r="R730" s="1"/>
    </row>
    <row r="731" spans="1:18" ht="14.25" customHeight="1" x14ac:dyDescent="0.3">
      <c r="A731" s="1" t="s">
        <v>62</v>
      </c>
      <c r="B731" s="1">
        <v>5</v>
      </c>
      <c r="C731" s="1">
        <v>34</v>
      </c>
      <c r="D731" s="1" t="str">
        <f t="shared" si="11"/>
        <v>Yes</v>
      </c>
      <c r="E731" s="1">
        <v>8.1</v>
      </c>
      <c r="F731" s="1">
        <v>279</v>
      </c>
      <c r="G731" s="1" t="s">
        <v>111</v>
      </c>
      <c r="H731" s="1" t="s">
        <v>95</v>
      </c>
      <c r="I731" s="1">
        <v>95</v>
      </c>
      <c r="J731" s="1" t="s">
        <v>101</v>
      </c>
      <c r="M731" s="1" t="s">
        <v>102</v>
      </c>
      <c r="O731" s="1">
        <v>5</v>
      </c>
      <c r="Q731" s="1" t="s">
        <v>142</v>
      </c>
    </row>
    <row r="732" spans="1:18" ht="14.25" customHeight="1" x14ac:dyDescent="0.3">
      <c r="A732" s="1" t="s">
        <v>62</v>
      </c>
      <c r="B732" s="1">
        <v>5</v>
      </c>
      <c r="C732" s="1">
        <v>27</v>
      </c>
      <c r="D732" s="1" t="str">
        <f t="shared" si="11"/>
        <v>Yes</v>
      </c>
      <c r="E732" s="1">
        <v>8.3000000000000007</v>
      </c>
      <c r="F732" s="1">
        <v>170</v>
      </c>
      <c r="G732" s="1" t="s">
        <v>111</v>
      </c>
      <c r="H732" s="1" t="s">
        <v>95</v>
      </c>
      <c r="I732" s="1">
        <v>77</v>
      </c>
      <c r="J732" s="1" t="s">
        <v>101</v>
      </c>
      <c r="M732" s="1" t="s">
        <v>97</v>
      </c>
      <c r="O732" s="1">
        <v>5</v>
      </c>
      <c r="Q732" s="1" t="s">
        <v>140</v>
      </c>
      <c r="R732" s="1"/>
    </row>
    <row r="733" spans="1:18" ht="14.25" customHeight="1" x14ac:dyDescent="0.3">
      <c r="A733" s="1" t="s">
        <v>62</v>
      </c>
      <c r="B733" s="1">
        <v>5</v>
      </c>
      <c r="C733" s="1">
        <v>25</v>
      </c>
      <c r="D733" s="1" t="str">
        <f t="shared" si="11"/>
        <v>Yes</v>
      </c>
      <c r="E733" s="1">
        <v>7.3</v>
      </c>
      <c r="F733" s="1">
        <v>147</v>
      </c>
      <c r="G733" s="1" t="s">
        <v>111</v>
      </c>
      <c r="H733" s="1" t="s">
        <v>95</v>
      </c>
      <c r="I733" s="1">
        <v>65</v>
      </c>
      <c r="J733" s="1" t="s">
        <v>101</v>
      </c>
      <c r="M733" s="1" t="s">
        <v>102</v>
      </c>
      <c r="N733" s="1" t="s">
        <v>148</v>
      </c>
      <c r="O733" s="1">
        <v>5</v>
      </c>
      <c r="Q733" s="1" t="s">
        <v>147</v>
      </c>
      <c r="R733" s="1"/>
    </row>
    <row r="734" spans="1:18" ht="14.25" customHeight="1" x14ac:dyDescent="0.3">
      <c r="A734" s="1" t="s">
        <v>62</v>
      </c>
      <c r="B734" s="1">
        <v>5</v>
      </c>
      <c r="C734" s="1">
        <v>24</v>
      </c>
      <c r="D734" s="1" t="str">
        <f t="shared" si="11"/>
        <v>Yes</v>
      </c>
      <c r="E734" s="1">
        <v>10.3</v>
      </c>
      <c r="F734" s="1">
        <v>142</v>
      </c>
      <c r="G734" s="1" t="s">
        <v>111</v>
      </c>
      <c r="H734" s="1" t="s">
        <v>95</v>
      </c>
      <c r="I734" s="1">
        <v>57</v>
      </c>
      <c r="J734" s="1" t="s">
        <v>101</v>
      </c>
      <c r="M734" s="1" t="s">
        <v>102</v>
      </c>
      <c r="O734" s="1">
        <v>5</v>
      </c>
      <c r="Q734" s="1" t="s">
        <v>147</v>
      </c>
      <c r="R734" s="1"/>
    </row>
    <row r="735" spans="1:18" ht="14.25" customHeight="1" x14ac:dyDescent="0.3">
      <c r="A735" s="1" t="s">
        <v>62</v>
      </c>
      <c r="B735" s="1">
        <v>5</v>
      </c>
      <c r="C735" s="1">
        <v>2</v>
      </c>
      <c r="D735" s="1" t="str">
        <f t="shared" si="11"/>
        <v>Yes</v>
      </c>
      <c r="E735" s="1">
        <v>6.2</v>
      </c>
      <c r="F735" s="1">
        <v>2</v>
      </c>
      <c r="G735" s="1" t="s">
        <v>111</v>
      </c>
      <c r="H735" s="1" t="s">
        <v>95</v>
      </c>
      <c r="I735" s="1">
        <v>34</v>
      </c>
      <c r="J735" s="1" t="s">
        <v>95</v>
      </c>
      <c r="M735" s="1" t="s">
        <v>101</v>
      </c>
      <c r="O735" s="1">
        <v>5</v>
      </c>
      <c r="Q735" s="1" t="s">
        <v>140</v>
      </c>
      <c r="R735" s="1"/>
    </row>
    <row r="736" spans="1:18" ht="14.25" customHeight="1" x14ac:dyDescent="0.3">
      <c r="A736" s="1" t="s">
        <v>62</v>
      </c>
      <c r="B736" s="1">
        <v>5</v>
      </c>
      <c r="C736" s="1">
        <v>3</v>
      </c>
      <c r="D736" s="1" t="str">
        <f t="shared" si="11"/>
        <v>Yes</v>
      </c>
      <c r="E736" s="1">
        <v>6.2</v>
      </c>
      <c r="F736" s="1">
        <v>360</v>
      </c>
      <c r="G736" s="1" t="s">
        <v>111</v>
      </c>
      <c r="H736" s="1" t="s">
        <v>95</v>
      </c>
      <c r="I736" s="1">
        <v>23</v>
      </c>
      <c r="J736" s="1" t="s">
        <v>101</v>
      </c>
      <c r="M736" s="1" t="s">
        <v>101</v>
      </c>
      <c r="O736" s="1">
        <v>5</v>
      </c>
      <c r="Q736" s="1" t="s">
        <v>142</v>
      </c>
      <c r="R736" s="1"/>
    </row>
    <row r="737" spans="1:18" ht="14.25" customHeight="1" x14ac:dyDescent="0.3">
      <c r="A737" s="1" t="s">
        <v>62</v>
      </c>
      <c r="B737" s="1">
        <v>5</v>
      </c>
      <c r="C737" s="1">
        <v>4</v>
      </c>
      <c r="D737" s="1" t="str">
        <f t="shared" si="11"/>
        <v>Yes</v>
      </c>
      <c r="E737" s="1">
        <v>6.4</v>
      </c>
      <c r="F737" s="1">
        <v>4</v>
      </c>
      <c r="G737" s="1" t="s">
        <v>111</v>
      </c>
      <c r="H737" s="1" t="s">
        <v>95</v>
      </c>
      <c r="I737" s="1">
        <v>20</v>
      </c>
      <c r="J737" s="1" t="s">
        <v>101</v>
      </c>
      <c r="M737" s="1" t="s">
        <v>101</v>
      </c>
      <c r="O737" s="1">
        <v>5</v>
      </c>
      <c r="Q737" s="1" t="s">
        <v>142</v>
      </c>
      <c r="R737" s="1"/>
    </row>
    <row r="738" spans="1:18" ht="14.25" customHeight="1" x14ac:dyDescent="0.3">
      <c r="A738" s="1" t="s">
        <v>62</v>
      </c>
      <c r="B738" s="1">
        <v>5</v>
      </c>
      <c r="C738" s="1">
        <v>23</v>
      </c>
      <c r="D738" s="1" t="str">
        <f t="shared" si="11"/>
        <v>Yes</v>
      </c>
      <c r="E738" s="1">
        <v>10.1</v>
      </c>
      <c r="F738" s="1">
        <v>101</v>
      </c>
      <c r="G738" s="1" t="s">
        <v>106</v>
      </c>
      <c r="H738" s="1" t="s">
        <v>95</v>
      </c>
      <c r="I738" s="1">
        <v>53</v>
      </c>
      <c r="J738" s="1" t="s">
        <v>101</v>
      </c>
      <c r="M738" s="1" t="s">
        <v>102</v>
      </c>
      <c r="O738" s="1">
        <v>5</v>
      </c>
      <c r="Q738" s="1" t="s">
        <v>140</v>
      </c>
      <c r="R738" s="1"/>
    </row>
    <row r="739" spans="1:18" ht="14.25" customHeight="1" x14ac:dyDescent="0.3">
      <c r="A739" s="1" t="s">
        <v>62</v>
      </c>
      <c r="B739" s="1">
        <v>5</v>
      </c>
      <c r="C739" s="1">
        <v>26</v>
      </c>
      <c r="D739" s="1" t="str">
        <f t="shared" si="11"/>
        <v>Yes</v>
      </c>
      <c r="E739" s="1">
        <v>3.2</v>
      </c>
      <c r="F739" s="1">
        <v>115</v>
      </c>
      <c r="G739" s="1" t="s">
        <v>106</v>
      </c>
      <c r="H739" s="1" t="s">
        <v>95</v>
      </c>
      <c r="I739" s="17">
        <v>33</v>
      </c>
      <c r="J739" s="1" t="s">
        <v>101</v>
      </c>
      <c r="M739" s="1" t="s">
        <v>102</v>
      </c>
      <c r="O739" s="1">
        <v>5</v>
      </c>
      <c r="Q739" s="1" t="s">
        <v>147</v>
      </c>
      <c r="R739" s="1"/>
    </row>
    <row r="740" spans="1:18" ht="14.25" customHeight="1" x14ac:dyDescent="0.3">
      <c r="A740" s="1" t="s">
        <v>62</v>
      </c>
      <c r="B740" s="1">
        <v>5</v>
      </c>
      <c r="C740" s="1">
        <v>41</v>
      </c>
      <c r="D740" s="1" t="str">
        <f t="shared" si="11"/>
        <v>Yes</v>
      </c>
      <c r="E740" s="1">
        <v>3.3</v>
      </c>
      <c r="F740" s="1">
        <v>119</v>
      </c>
      <c r="G740" s="1" t="s">
        <v>106</v>
      </c>
      <c r="H740" s="1" t="s">
        <v>95</v>
      </c>
      <c r="I740" s="17">
        <v>30</v>
      </c>
      <c r="J740" s="1" t="s">
        <v>101</v>
      </c>
      <c r="M740" s="1" t="s">
        <v>101</v>
      </c>
      <c r="O740" s="1">
        <v>5</v>
      </c>
      <c r="Q740" s="1" t="s">
        <v>140</v>
      </c>
      <c r="R740" s="1"/>
    </row>
    <row r="741" spans="1:18" ht="14.25" customHeight="1" x14ac:dyDescent="0.3">
      <c r="A741" s="1" t="s">
        <v>62</v>
      </c>
      <c r="B741" s="1">
        <v>5</v>
      </c>
      <c r="C741" s="1">
        <v>9</v>
      </c>
      <c r="D741" s="1" t="str">
        <f t="shared" si="11"/>
        <v>Yes</v>
      </c>
      <c r="E741" s="1">
        <v>7.2</v>
      </c>
      <c r="F741" s="1">
        <v>21</v>
      </c>
      <c r="G741" s="1" t="s">
        <v>106</v>
      </c>
      <c r="H741" s="1" t="s">
        <v>95</v>
      </c>
      <c r="I741" s="1">
        <v>22</v>
      </c>
      <c r="J741" s="1" t="s">
        <v>101</v>
      </c>
      <c r="M741" s="1" t="s">
        <v>101</v>
      </c>
      <c r="O741" s="1">
        <v>5</v>
      </c>
      <c r="Q741" s="1" t="s">
        <v>140</v>
      </c>
      <c r="R741" s="1"/>
    </row>
    <row r="742" spans="1:18" ht="14.25" customHeight="1" x14ac:dyDescent="0.3">
      <c r="A742" s="1" t="s">
        <v>62</v>
      </c>
      <c r="B742" s="1">
        <v>5</v>
      </c>
      <c r="C742" s="1">
        <v>22</v>
      </c>
      <c r="D742" s="1" t="str">
        <f t="shared" si="11"/>
        <v>Yes</v>
      </c>
      <c r="E742" s="1">
        <v>10.6</v>
      </c>
      <c r="F742" s="1">
        <v>90</v>
      </c>
      <c r="G742" s="1" t="s">
        <v>106</v>
      </c>
      <c r="H742" s="1" t="s">
        <v>95</v>
      </c>
      <c r="I742" s="1">
        <v>17.5</v>
      </c>
      <c r="J742" s="1" t="s">
        <v>101</v>
      </c>
      <c r="M742" s="1" t="s">
        <v>101</v>
      </c>
      <c r="O742" s="1">
        <v>5</v>
      </c>
      <c r="Q742" s="1" t="s">
        <v>147</v>
      </c>
      <c r="R742" s="1"/>
    </row>
    <row r="743" spans="1:18" ht="14.25" customHeight="1" x14ac:dyDescent="0.3">
      <c r="A743" s="1" t="s">
        <v>62</v>
      </c>
      <c r="B743" s="1">
        <v>5</v>
      </c>
      <c r="C743" s="1">
        <v>5</v>
      </c>
      <c r="D743" s="1" t="str">
        <f t="shared" si="11"/>
        <v>Yes</v>
      </c>
      <c r="E743" s="1">
        <v>5.5</v>
      </c>
      <c r="F743" s="1">
        <v>7</v>
      </c>
      <c r="G743" s="1" t="s">
        <v>106</v>
      </c>
      <c r="H743" s="1" t="s">
        <v>95</v>
      </c>
      <c r="I743" s="1">
        <v>12</v>
      </c>
      <c r="J743" s="1" t="s">
        <v>101</v>
      </c>
      <c r="M743" s="1" t="s">
        <v>101</v>
      </c>
      <c r="O743" s="1">
        <v>5</v>
      </c>
      <c r="Q743" s="1" t="s">
        <v>142</v>
      </c>
      <c r="R743" s="1"/>
    </row>
    <row r="744" spans="1:18" ht="14.25" customHeight="1" x14ac:dyDescent="0.3">
      <c r="A744" s="1" t="s">
        <v>62</v>
      </c>
      <c r="B744" s="1">
        <v>5</v>
      </c>
      <c r="C744" s="1">
        <v>28</v>
      </c>
      <c r="D744" s="1" t="str">
        <f t="shared" si="11"/>
        <v>Yes</v>
      </c>
      <c r="E744" s="1">
        <v>1.5</v>
      </c>
      <c r="F744" s="1">
        <v>227</v>
      </c>
      <c r="G744" s="1" t="s">
        <v>93</v>
      </c>
      <c r="H744" s="1" t="s">
        <v>95</v>
      </c>
      <c r="I744" s="1">
        <v>70</v>
      </c>
      <c r="J744" s="1" t="s">
        <v>101</v>
      </c>
      <c r="M744" s="1" t="s">
        <v>97</v>
      </c>
      <c r="O744" s="1">
        <v>5</v>
      </c>
      <c r="Q744" s="1" t="s">
        <v>147</v>
      </c>
      <c r="R744" s="1"/>
    </row>
    <row r="745" spans="1:18" ht="14.25" customHeight="1" x14ac:dyDescent="0.3">
      <c r="A745" s="1" t="s">
        <v>62</v>
      </c>
      <c r="B745" s="1">
        <v>5</v>
      </c>
      <c r="C745" s="1">
        <v>39</v>
      </c>
      <c r="D745" s="1" t="str">
        <f t="shared" si="11"/>
        <v>Yes</v>
      </c>
      <c r="E745" s="1">
        <v>2.8</v>
      </c>
      <c r="F745" s="1">
        <v>355</v>
      </c>
      <c r="G745" s="1" t="s">
        <v>93</v>
      </c>
      <c r="H745" s="1" t="s">
        <v>95</v>
      </c>
      <c r="I745" s="17">
        <v>70</v>
      </c>
      <c r="J745" s="1" t="s">
        <v>101</v>
      </c>
      <c r="M745" s="1" t="s">
        <v>102</v>
      </c>
      <c r="O745" s="1">
        <v>5</v>
      </c>
      <c r="Q745" s="1" t="s">
        <v>140</v>
      </c>
      <c r="R745" s="19"/>
    </row>
    <row r="746" spans="1:18" ht="14.25" customHeight="1" x14ac:dyDescent="0.3">
      <c r="A746" s="1" t="s">
        <v>62</v>
      </c>
      <c r="B746" s="1">
        <v>5</v>
      </c>
      <c r="C746" s="1">
        <v>29</v>
      </c>
      <c r="D746" s="1" t="str">
        <f t="shared" si="11"/>
        <v>Yes</v>
      </c>
      <c r="E746" s="1">
        <v>2.6</v>
      </c>
      <c r="F746" s="1">
        <v>249</v>
      </c>
      <c r="G746" s="1" t="s">
        <v>93</v>
      </c>
      <c r="H746" s="1" t="s">
        <v>95</v>
      </c>
      <c r="I746" s="1">
        <v>65</v>
      </c>
      <c r="J746" s="1" t="s">
        <v>101</v>
      </c>
      <c r="M746" s="1" t="s">
        <v>97</v>
      </c>
      <c r="O746" s="1">
        <v>5</v>
      </c>
      <c r="Q746" s="1" t="s">
        <v>142</v>
      </c>
      <c r="R746" s="19"/>
    </row>
    <row r="747" spans="1:18" ht="14.25" customHeight="1" x14ac:dyDescent="0.3">
      <c r="A747" s="1" t="s">
        <v>62</v>
      </c>
      <c r="B747" s="1">
        <v>5</v>
      </c>
      <c r="C747" s="1">
        <v>31</v>
      </c>
      <c r="D747" s="1" t="str">
        <f t="shared" si="11"/>
        <v>Yes</v>
      </c>
      <c r="E747" s="1">
        <v>12.4</v>
      </c>
      <c r="F747" s="1">
        <v>218</v>
      </c>
      <c r="G747" s="1" t="s">
        <v>93</v>
      </c>
      <c r="H747" s="1" t="s">
        <v>95</v>
      </c>
      <c r="I747" s="1">
        <v>56.8</v>
      </c>
      <c r="J747" s="1" t="s">
        <v>95</v>
      </c>
      <c r="M747" s="1" t="s">
        <v>102</v>
      </c>
      <c r="O747" s="1">
        <v>1</v>
      </c>
      <c r="Q747" s="19" t="s">
        <v>149</v>
      </c>
      <c r="R747" s="1"/>
    </row>
    <row r="748" spans="1:18" ht="14.25" customHeight="1" x14ac:dyDescent="0.3">
      <c r="A748" s="1" t="s">
        <v>62</v>
      </c>
      <c r="B748" s="1">
        <v>5</v>
      </c>
      <c r="C748" s="1">
        <v>12</v>
      </c>
      <c r="D748" s="1" t="str">
        <f t="shared" si="11"/>
        <v>Yes</v>
      </c>
      <c r="E748" s="1">
        <v>10.7</v>
      </c>
      <c r="F748" s="1">
        <v>21</v>
      </c>
      <c r="G748" s="1" t="s">
        <v>93</v>
      </c>
      <c r="H748" s="1" t="s">
        <v>95</v>
      </c>
      <c r="I748" s="1">
        <v>55</v>
      </c>
      <c r="J748" s="1" t="s">
        <v>101</v>
      </c>
      <c r="M748" s="1" t="s">
        <v>101</v>
      </c>
      <c r="O748" s="1">
        <v>5</v>
      </c>
      <c r="Q748" s="19" t="s">
        <v>145</v>
      </c>
      <c r="R748" s="1"/>
    </row>
    <row r="749" spans="1:18" ht="14.25" customHeight="1" x14ac:dyDescent="0.3">
      <c r="A749" s="1" t="s">
        <v>62</v>
      </c>
      <c r="B749" s="1">
        <v>5</v>
      </c>
      <c r="C749" s="1">
        <v>19</v>
      </c>
      <c r="D749" s="1" t="str">
        <f t="shared" si="11"/>
        <v>Yes</v>
      </c>
      <c r="E749" s="1">
        <v>11.8</v>
      </c>
      <c r="F749" s="1">
        <v>72</v>
      </c>
      <c r="G749" s="1" t="s">
        <v>93</v>
      </c>
      <c r="H749" s="1" t="s">
        <v>95</v>
      </c>
      <c r="I749" s="1">
        <v>50</v>
      </c>
      <c r="J749" s="1" t="s">
        <v>101</v>
      </c>
      <c r="M749" s="1" t="s">
        <v>102</v>
      </c>
      <c r="Q749" s="1" t="s">
        <v>140</v>
      </c>
      <c r="R749" s="1"/>
    </row>
    <row r="750" spans="1:18" ht="14.25" customHeight="1" x14ac:dyDescent="0.3">
      <c r="A750" s="1" t="s">
        <v>62</v>
      </c>
      <c r="B750" s="1">
        <v>5</v>
      </c>
      <c r="C750" s="1">
        <v>36</v>
      </c>
      <c r="D750" s="1" t="str">
        <f t="shared" si="11"/>
        <v>Yes</v>
      </c>
      <c r="E750" s="1">
        <v>5</v>
      </c>
      <c r="F750" s="1">
        <v>285</v>
      </c>
      <c r="G750" s="1" t="s">
        <v>93</v>
      </c>
      <c r="H750" s="1" t="s">
        <v>95</v>
      </c>
      <c r="I750" s="1">
        <v>45</v>
      </c>
      <c r="J750" s="1" t="s">
        <v>101</v>
      </c>
      <c r="M750" s="1" t="s">
        <v>101</v>
      </c>
      <c r="O750" s="1">
        <v>5</v>
      </c>
      <c r="Q750" s="1" t="s">
        <v>142</v>
      </c>
      <c r="R750" s="1"/>
    </row>
    <row r="751" spans="1:18" ht="14.25" customHeight="1" x14ac:dyDescent="0.3">
      <c r="A751" s="1" t="s">
        <v>62</v>
      </c>
      <c r="B751" s="1">
        <v>5</v>
      </c>
      <c r="C751" s="1">
        <v>35</v>
      </c>
      <c r="D751" s="1" t="str">
        <f t="shared" si="11"/>
        <v>Yes</v>
      </c>
      <c r="E751" s="1">
        <v>5.6</v>
      </c>
      <c r="F751" s="1">
        <v>285</v>
      </c>
      <c r="G751" s="1" t="s">
        <v>93</v>
      </c>
      <c r="H751" s="1" t="s">
        <v>95</v>
      </c>
      <c r="I751" s="1">
        <v>27</v>
      </c>
      <c r="J751" s="1" t="s">
        <v>101</v>
      </c>
      <c r="M751" s="1" t="s">
        <v>101</v>
      </c>
      <c r="O751" s="1">
        <v>5</v>
      </c>
      <c r="Q751" s="1" t="s">
        <v>142</v>
      </c>
      <c r="R751" s="1"/>
    </row>
    <row r="752" spans="1:18" ht="14.25" customHeight="1" x14ac:dyDescent="0.3">
      <c r="A752" s="1" t="s">
        <v>62</v>
      </c>
      <c r="B752" s="1">
        <v>5</v>
      </c>
      <c r="C752" s="1">
        <v>10</v>
      </c>
      <c r="D752" s="1" t="str">
        <f t="shared" si="11"/>
        <v>Yes</v>
      </c>
      <c r="E752" s="1">
        <v>8.1</v>
      </c>
      <c r="F752" s="1">
        <v>26</v>
      </c>
      <c r="G752" s="1" t="s">
        <v>93</v>
      </c>
      <c r="H752" s="1" t="s">
        <v>95</v>
      </c>
      <c r="I752" s="1">
        <v>20</v>
      </c>
      <c r="J752" s="1" t="s">
        <v>101</v>
      </c>
      <c r="M752" s="1" t="s">
        <v>101</v>
      </c>
      <c r="O752" s="1">
        <v>5</v>
      </c>
      <c r="Q752" s="1" t="s">
        <v>142</v>
      </c>
      <c r="R752" s="1"/>
    </row>
    <row r="753" spans="1:18" ht="14.25" customHeight="1" x14ac:dyDescent="0.3">
      <c r="A753" s="1" t="s">
        <v>62</v>
      </c>
      <c r="B753" s="1">
        <v>5</v>
      </c>
      <c r="C753" s="1">
        <v>21</v>
      </c>
      <c r="D753" s="1" t="str">
        <f t="shared" si="11"/>
        <v>Yes</v>
      </c>
      <c r="E753" s="1">
        <v>8.1</v>
      </c>
      <c r="F753" s="1">
        <v>78</v>
      </c>
      <c r="G753" s="1" t="s">
        <v>93</v>
      </c>
      <c r="H753" s="1" t="s">
        <v>95</v>
      </c>
      <c r="I753" s="1">
        <v>19</v>
      </c>
      <c r="J753" s="1" t="s">
        <v>101</v>
      </c>
      <c r="M753" s="1" t="s">
        <v>101</v>
      </c>
      <c r="Q753" s="1" t="s">
        <v>140</v>
      </c>
      <c r="R753" s="1"/>
    </row>
    <row r="754" spans="1:18" ht="14.25" customHeight="1" x14ac:dyDescent="0.3">
      <c r="A754" s="1" t="s">
        <v>62</v>
      </c>
      <c r="B754" s="1">
        <v>5</v>
      </c>
      <c r="C754" s="1">
        <v>14</v>
      </c>
      <c r="D754" s="1" t="str">
        <f t="shared" si="11"/>
        <v>Yes</v>
      </c>
      <c r="E754" s="1">
        <v>12.1</v>
      </c>
      <c r="F754" s="1">
        <v>49</v>
      </c>
      <c r="G754" s="1" t="s">
        <v>93</v>
      </c>
      <c r="H754" s="1" t="s">
        <v>95</v>
      </c>
      <c r="I754" s="1">
        <v>16.5</v>
      </c>
      <c r="J754" s="1" t="s">
        <v>101</v>
      </c>
      <c r="M754" s="1" t="s">
        <v>101</v>
      </c>
      <c r="O754" s="1">
        <v>5</v>
      </c>
      <c r="R754" s="1"/>
    </row>
    <row r="755" spans="1:18" ht="14.25" customHeight="1" x14ac:dyDescent="0.3">
      <c r="A755" s="1" t="s">
        <v>62</v>
      </c>
      <c r="B755" s="1">
        <v>5</v>
      </c>
      <c r="C755" s="1">
        <v>32</v>
      </c>
      <c r="D755" s="1" t="str">
        <f t="shared" si="11"/>
        <v>Yes</v>
      </c>
      <c r="E755" s="1">
        <v>12.3</v>
      </c>
      <c r="F755" s="1">
        <v>226</v>
      </c>
      <c r="G755" s="1" t="s">
        <v>98</v>
      </c>
      <c r="H755" s="1" t="s">
        <v>94</v>
      </c>
      <c r="I755" s="1">
        <v>77.5</v>
      </c>
      <c r="J755" s="1" t="s">
        <v>95</v>
      </c>
      <c r="K755" s="1">
        <v>0</v>
      </c>
      <c r="L755" s="1">
        <v>0</v>
      </c>
      <c r="M755" s="1" t="s">
        <v>97</v>
      </c>
      <c r="N755" s="1" t="s">
        <v>150</v>
      </c>
      <c r="P755" s="1">
        <v>547</v>
      </c>
      <c r="R755" s="19"/>
    </row>
    <row r="756" spans="1:18" ht="14.25" customHeight="1" x14ac:dyDescent="0.3">
      <c r="A756" s="1" t="s">
        <v>62</v>
      </c>
      <c r="B756" s="1">
        <v>5</v>
      </c>
      <c r="C756" s="1">
        <v>37</v>
      </c>
      <c r="D756" s="1" t="str">
        <f t="shared" si="11"/>
        <v>Yes</v>
      </c>
      <c r="E756" s="1">
        <v>7.9</v>
      </c>
      <c r="F756" s="1">
        <v>317</v>
      </c>
      <c r="G756" s="1" t="s">
        <v>106</v>
      </c>
      <c r="H756" s="1" t="s">
        <v>94</v>
      </c>
      <c r="I756" s="1">
        <v>68.099999999999994</v>
      </c>
      <c r="J756" s="1" t="s">
        <v>95</v>
      </c>
      <c r="K756" s="1">
        <v>0</v>
      </c>
      <c r="L756" s="1">
        <v>0</v>
      </c>
      <c r="M756" s="1" t="s">
        <v>97</v>
      </c>
      <c r="N756" s="1" t="s">
        <v>100</v>
      </c>
      <c r="P756" s="1">
        <v>548</v>
      </c>
      <c r="Q756" s="19" t="s">
        <v>143</v>
      </c>
      <c r="R756" s="1"/>
    </row>
    <row r="757" spans="1:18" ht="14.25" customHeight="1" x14ac:dyDescent="0.3">
      <c r="A757" s="1" t="s">
        <v>62</v>
      </c>
      <c r="B757" s="1">
        <v>5</v>
      </c>
      <c r="C757" s="1">
        <v>40</v>
      </c>
      <c r="D757" s="1" t="str">
        <f t="shared" si="11"/>
        <v>Yes</v>
      </c>
      <c r="E757" s="1">
        <v>8.6</v>
      </c>
      <c r="F757" s="1">
        <v>360</v>
      </c>
      <c r="G757" s="1" t="s">
        <v>106</v>
      </c>
      <c r="H757" s="1" t="s">
        <v>94</v>
      </c>
      <c r="I757" s="1">
        <v>67.7</v>
      </c>
      <c r="J757" s="1" t="s">
        <v>95</v>
      </c>
      <c r="M757" s="1" t="s">
        <v>102</v>
      </c>
      <c r="N757" s="1" t="s">
        <v>100</v>
      </c>
    </row>
    <row r="758" spans="1:18" ht="14.25" customHeight="1" x14ac:dyDescent="0.3">
      <c r="A758" s="1" t="s">
        <v>62</v>
      </c>
      <c r="B758" s="1">
        <v>5</v>
      </c>
      <c r="C758" s="1">
        <v>17</v>
      </c>
      <c r="D758" s="1" t="str">
        <f t="shared" si="11"/>
        <v>Yes</v>
      </c>
      <c r="E758" s="1">
        <v>8.4</v>
      </c>
      <c r="F758" s="1">
        <v>62</v>
      </c>
      <c r="G758" s="1" t="s">
        <v>106</v>
      </c>
      <c r="H758" s="1" t="s">
        <v>94</v>
      </c>
      <c r="I758" s="1">
        <v>41.6</v>
      </c>
      <c r="J758" s="1" t="s">
        <v>95</v>
      </c>
      <c r="K758" s="1">
        <v>0</v>
      </c>
      <c r="L758" s="1">
        <v>0</v>
      </c>
      <c r="M758" s="1" t="s">
        <v>102</v>
      </c>
      <c r="N758" s="1" t="s">
        <v>100</v>
      </c>
    </row>
    <row r="759" spans="1:18" ht="14.25" customHeight="1" x14ac:dyDescent="0.3">
      <c r="A759" s="1" t="s">
        <v>62</v>
      </c>
      <c r="B759" s="1">
        <v>5</v>
      </c>
      <c r="C759" s="1">
        <v>13</v>
      </c>
      <c r="D759" s="1" t="str">
        <f t="shared" si="11"/>
        <v>Yes</v>
      </c>
      <c r="E759" s="1">
        <v>11.3</v>
      </c>
      <c r="F759" s="1">
        <v>35</v>
      </c>
      <c r="G759" s="1" t="s">
        <v>106</v>
      </c>
      <c r="H759" s="1" t="s">
        <v>94</v>
      </c>
      <c r="I759" s="1">
        <v>41.2</v>
      </c>
      <c r="J759" s="1" t="s">
        <v>95</v>
      </c>
      <c r="K759" s="1">
        <v>0</v>
      </c>
      <c r="L759" s="1">
        <v>0</v>
      </c>
      <c r="M759" s="1" t="s">
        <v>102</v>
      </c>
      <c r="N759" s="1" t="s">
        <v>100</v>
      </c>
      <c r="R759" s="1"/>
    </row>
    <row r="760" spans="1:18" ht="14.25" customHeight="1" x14ac:dyDescent="0.3">
      <c r="A760" s="1" t="s">
        <v>62</v>
      </c>
      <c r="B760" s="1">
        <v>5</v>
      </c>
      <c r="C760" s="1">
        <v>16</v>
      </c>
      <c r="D760" s="1" t="str">
        <f t="shared" si="11"/>
        <v>Yes</v>
      </c>
      <c r="E760" s="1">
        <v>10.3</v>
      </c>
      <c r="F760" s="1">
        <v>53</v>
      </c>
      <c r="G760" s="1" t="s">
        <v>106</v>
      </c>
      <c r="H760" s="1" t="s">
        <v>94</v>
      </c>
      <c r="I760" s="1">
        <v>33</v>
      </c>
      <c r="J760" s="1" t="s">
        <v>95</v>
      </c>
      <c r="K760" s="1">
        <v>0</v>
      </c>
      <c r="L760" s="1">
        <v>0</v>
      </c>
      <c r="M760" s="1" t="s">
        <v>102</v>
      </c>
      <c r="N760" s="1" t="s">
        <v>100</v>
      </c>
      <c r="R760" s="1"/>
    </row>
    <row r="761" spans="1:18" ht="14.25" customHeight="1" x14ac:dyDescent="0.3">
      <c r="A761" s="1" t="s">
        <v>62</v>
      </c>
      <c r="B761" s="1">
        <v>5</v>
      </c>
      <c r="C761" s="1">
        <v>15</v>
      </c>
      <c r="D761" s="1" t="str">
        <f t="shared" si="11"/>
        <v>Yes</v>
      </c>
      <c r="E761" s="1">
        <v>11.2</v>
      </c>
      <c r="F761" s="1">
        <v>51</v>
      </c>
      <c r="G761" s="1" t="s">
        <v>106</v>
      </c>
      <c r="H761" s="1" t="s">
        <v>94</v>
      </c>
      <c r="I761" s="1">
        <v>32.9</v>
      </c>
      <c r="J761" s="1" t="s">
        <v>95</v>
      </c>
      <c r="K761" s="1">
        <v>0</v>
      </c>
      <c r="L761" s="1">
        <v>0</v>
      </c>
      <c r="M761" s="1" t="s">
        <v>102</v>
      </c>
      <c r="N761" s="1" t="s">
        <v>100</v>
      </c>
    </row>
    <row r="762" spans="1:18" ht="14.25" customHeight="1" x14ac:dyDescent="0.3">
      <c r="A762" s="1" t="s">
        <v>62</v>
      </c>
      <c r="B762" s="1">
        <v>5</v>
      </c>
      <c r="C762" s="1">
        <v>11</v>
      </c>
      <c r="D762" s="1" t="str">
        <f t="shared" si="11"/>
        <v>Yes</v>
      </c>
      <c r="E762" s="1">
        <v>8.6</v>
      </c>
      <c r="F762" s="1">
        <v>27</v>
      </c>
      <c r="G762" s="1" t="s">
        <v>106</v>
      </c>
      <c r="H762" s="1" t="s">
        <v>94</v>
      </c>
      <c r="I762" s="1">
        <v>26.6</v>
      </c>
      <c r="J762" s="1" t="s">
        <v>95</v>
      </c>
      <c r="K762" s="1">
        <v>20</v>
      </c>
      <c r="L762" s="1">
        <v>0</v>
      </c>
      <c r="M762" s="1" t="s">
        <v>101</v>
      </c>
      <c r="N762" s="1" t="s">
        <v>100</v>
      </c>
    </row>
    <row r="763" spans="1:18" ht="14.25" customHeight="1" x14ac:dyDescent="0.3">
      <c r="A763" s="1" t="s">
        <v>62</v>
      </c>
      <c r="B763" s="1">
        <v>5</v>
      </c>
      <c r="C763" s="1">
        <v>18</v>
      </c>
      <c r="D763" s="1" t="str">
        <f t="shared" si="11"/>
        <v>Yes</v>
      </c>
      <c r="E763" s="1">
        <v>8.1</v>
      </c>
      <c r="F763" s="1">
        <v>62</v>
      </c>
      <c r="G763" s="1" t="s">
        <v>106</v>
      </c>
      <c r="H763" s="1" t="s">
        <v>94</v>
      </c>
      <c r="I763" s="1">
        <v>25.6</v>
      </c>
      <c r="J763" s="1" t="s">
        <v>95</v>
      </c>
      <c r="K763" s="1">
        <v>0</v>
      </c>
      <c r="L763" s="1">
        <v>0</v>
      </c>
      <c r="M763" s="1" t="s">
        <v>101</v>
      </c>
      <c r="N763" s="1" t="s">
        <v>100</v>
      </c>
      <c r="Q763" s="1" t="s">
        <v>146</v>
      </c>
    </row>
    <row r="764" spans="1:18" ht="14.25" customHeight="1" x14ac:dyDescent="0.3">
      <c r="A764" s="1" t="s">
        <v>62</v>
      </c>
      <c r="B764" s="1">
        <v>5</v>
      </c>
      <c r="C764" s="1">
        <v>8</v>
      </c>
      <c r="D764" s="1" t="str">
        <f t="shared" si="11"/>
        <v>Yes</v>
      </c>
      <c r="E764" s="1">
        <v>8.1</v>
      </c>
      <c r="F764" s="1">
        <v>23</v>
      </c>
      <c r="G764" s="1" t="s">
        <v>106</v>
      </c>
      <c r="H764" s="1" t="s">
        <v>94</v>
      </c>
      <c r="I764" s="1">
        <v>22.3</v>
      </c>
      <c r="J764" s="1" t="s">
        <v>95</v>
      </c>
      <c r="K764" s="1">
        <v>10</v>
      </c>
      <c r="L764" s="1">
        <v>0</v>
      </c>
      <c r="M764" s="1" t="s">
        <v>101</v>
      </c>
      <c r="N764" s="1" t="s">
        <v>100</v>
      </c>
      <c r="Q764" s="1" t="s">
        <v>140</v>
      </c>
    </row>
    <row r="765" spans="1:18" ht="14.25" customHeight="1" x14ac:dyDescent="0.3">
      <c r="A765" s="1" t="s">
        <v>62</v>
      </c>
      <c r="B765" s="1">
        <v>5</v>
      </c>
      <c r="C765" s="1">
        <v>20</v>
      </c>
      <c r="D765" s="1" t="str">
        <f t="shared" si="11"/>
        <v>Yes</v>
      </c>
      <c r="E765" s="1">
        <v>10.1</v>
      </c>
      <c r="F765" s="17">
        <v>91</v>
      </c>
      <c r="G765" s="1" t="s">
        <v>106</v>
      </c>
      <c r="H765" s="1" t="s">
        <v>94</v>
      </c>
      <c r="I765" s="1">
        <v>22.1</v>
      </c>
      <c r="J765" s="1" t="s">
        <v>95</v>
      </c>
      <c r="K765" s="1">
        <v>0</v>
      </c>
      <c r="L765" s="1">
        <v>0</v>
      </c>
      <c r="M765" s="1" t="s">
        <v>101</v>
      </c>
      <c r="N765" s="1" t="s">
        <v>100</v>
      </c>
    </row>
    <row r="766" spans="1:18" ht="14.25" customHeight="1" x14ac:dyDescent="0.3">
      <c r="A766" s="1" t="s">
        <v>62</v>
      </c>
      <c r="B766" s="1">
        <v>5</v>
      </c>
      <c r="C766" s="1">
        <v>38</v>
      </c>
      <c r="D766" s="1" t="str">
        <f t="shared" si="11"/>
        <v>Yes</v>
      </c>
      <c r="E766" s="1">
        <v>4.5</v>
      </c>
      <c r="F766" s="1">
        <v>337</v>
      </c>
      <c r="G766" s="1" t="s">
        <v>106</v>
      </c>
      <c r="H766" s="1" t="s">
        <v>94</v>
      </c>
      <c r="I766" s="1">
        <v>21.6</v>
      </c>
      <c r="J766" s="1" t="s">
        <v>95</v>
      </c>
      <c r="K766" s="1">
        <v>0</v>
      </c>
      <c r="L766" s="1">
        <v>0</v>
      </c>
      <c r="M766" s="1" t="s">
        <v>101</v>
      </c>
      <c r="N766" s="1" t="s">
        <v>100</v>
      </c>
    </row>
    <row r="767" spans="1:18" ht="14.25" customHeight="1" x14ac:dyDescent="0.3">
      <c r="A767" s="1" t="s">
        <v>62</v>
      </c>
      <c r="B767" s="1">
        <v>5</v>
      </c>
      <c r="C767" s="1">
        <v>6</v>
      </c>
      <c r="D767" s="1" t="str">
        <f t="shared" si="11"/>
        <v>Yes</v>
      </c>
      <c r="E767" s="1">
        <v>8.4</v>
      </c>
      <c r="F767" s="1">
        <v>12</v>
      </c>
      <c r="G767" s="1" t="s">
        <v>106</v>
      </c>
      <c r="H767" s="1" t="s">
        <v>94</v>
      </c>
      <c r="I767" s="1">
        <v>13.9</v>
      </c>
      <c r="J767" s="1" t="s">
        <v>95</v>
      </c>
      <c r="K767" s="1">
        <v>0</v>
      </c>
      <c r="L767" s="1">
        <v>0</v>
      </c>
      <c r="M767" s="1" t="s">
        <v>101</v>
      </c>
      <c r="N767" s="1" t="s">
        <v>100</v>
      </c>
      <c r="Q767" s="19" t="s">
        <v>143</v>
      </c>
    </row>
    <row r="768" spans="1:18" ht="14.25" customHeight="1" x14ac:dyDescent="0.3">
      <c r="A768" s="1" t="s">
        <v>62</v>
      </c>
      <c r="B768" s="1">
        <v>5</v>
      </c>
      <c r="C768" s="1">
        <v>1</v>
      </c>
      <c r="D768" s="1" t="str">
        <f t="shared" si="11"/>
        <v>Yes</v>
      </c>
      <c r="E768" s="1">
        <v>4.0999999999999996</v>
      </c>
      <c r="F768" s="1">
        <v>14</v>
      </c>
      <c r="G768" s="1" t="s">
        <v>93</v>
      </c>
      <c r="H768" s="1" t="s">
        <v>94</v>
      </c>
      <c r="I768" s="17">
        <v>50.2</v>
      </c>
      <c r="J768" s="1" t="s">
        <v>95</v>
      </c>
      <c r="K768" s="1">
        <v>0</v>
      </c>
      <c r="L768" s="1">
        <v>0</v>
      </c>
      <c r="M768" s="1" t="s">
        <v>97</v>
      </c>
      <c r="N768" s="1" t="s">
        <v>100</v>
      </c>
      <c r="P768" s="1">
        <v>546</v>
      </c>
      <c r="R768" s="19"/>
    </row>
    <row r="769" spans="1:18" ht="14.25" customHeight="1" x14ac:dyDescent="0.3">
      <c r="A769" s="1" t="s">
        <v>62</v>
      </c>
      <c r="B769" s="1">
        <v>5</v>
      </c>
      <c r="C769" s="1">
        <v>7</v>
      </c>
      <c r="D769" s="1" t="str">
        <f t="shared" si="11"/>
        <v>Yes</v>
      </c>
      <c r="E769" s="1">
        <v>10.8</v>
      </c>
      <c r="F769" s="1">
        <v>11</v>
      </c>
      <c r="G769" s="1" t="s">
        <v>93</v>
      </c>
      <c r="H769" s="1" t="s">
        <v>94</v>
      </c>
      <c r="I769" s="1">
        <v>15.6</v>
      </c>
      <c r="J769" s="1" t="s">
        <v>95</v>
      </c>
      <c r="K769" s="1">
        <v>0</v>
      </c>
      <c r="L769" s="1">
        <v>0</v>
      </c>
      <c r="M769" s="1" t="s">
        <v>101</v>
      </c>
      <c r="N769" s="1" t="s">
        <v>100</v>
      </c>
      <c r="Q769" s="1" t="s">
        <v>144</v>
      </c>
    </row>
    <row r="770" spans="1:18" ht="14.25" customHeight="1" x14ac:dyDescent="0.3">
      <c r="A770" s="1" t="s">
        <v>62</v>
      </c>
      <c r="B770" s="1">
        <v>6</v>
      </c>
      <c r="C770" s="1">
        <v>14</v>
      </c>
      <c r="D770" s="1" t="str">
        <f t="shared" ref="D770:D833" si="12">IF(E770&gt;12.5, "No", "Yes")</f>
        <v>No</v>
      </c>
      <c r="E770" s="1">
        <v>13</v>
      </c>
      <c r="F770" s="1">
        <v>202</v>
      </c>
      <c r="G770" s="1" t="s">
        <v>93</v>
      </c>
      <c r="H770" s="1" t="s">
        <v>94</v>
      </c>
      <c r="I770" s="1">
        <v>80</v>
      </c>
      <c r="J770" s="1" t="s">
        <v>95</v>
      </c>
      <c r="K770" s="1">
        <v>1</v>
      </c>
      <c r="L770" s="1">
        <v>25</v>
      </c>
      <c r="N770" s="1" t="s">
        <v>153</v>
      </c>
      <c r="P770" s="1">
        <v>578</v>
      </c>
    </row>
    <row r="771" spans="1:18" ht="14.25" customHeight="1" x14ac:dyDescent="0.3">
      <c r="A771" s="1" t="s">
        <v>62</v>
      </c>
      <c r="B771" s="1">
        <v>6</v>
      </c>
      <c r="C771" s="1">
        <v>20</v>
      </c>
      <c r="D771" s="1" t="str">
        <f t="shared" si="12"/>
        <v>Yes</v>
      </c>
      <c r="E771" s="1">
        <v>11</v>
      </c>
      <c r="F771" s="1">
        <v>328</v>
      </c>
      <c r="G771" s="1" t="s">
        <v>106</v>
      </c>
      <c r="H771" s="1" t="s">
        <v>95</v>
      </c>
      <c r="I771" s="1">
        <v>10.6</v>
      </c>
      <c r="J771" s="1" t="s">
        <v>95</v>
      </c>
      <c r="M771" s="1" t="s">
        <v>101</v>
      </c>
      <c r="O771" s="1">
        <v>1</v>
      </c>
    </row>
    <row r="772" spans="1:18" ht="14.25" customHeight="1" x14ac:dyDescent="0.3">
      <c r="A772" s="1" t="s">
        <v>62</v>
      </c>
      <c r="B772" s="1">
        <v>6</v>
      </c>
      <c r="C772" s="1">
        <v>9</v>
      </c>
      <c r="D772" s="1" t="str">
        <f t="shared" si="12"/>
        <v>Yes</v>
      </c>
      <c r="E772" s="1">
        <v>3.5</v>
      </c>
      <c r="F772" s="1">
        <v>161</v>
      </c>
      <c r="G772" s="1" t="s">
        <v>93</v>
      </c>
      <c r="H772" s="1" t="s">
        <v>95</v>
      </c>
      <c r="I772" s="1">
        <v>85.4</v>
      </c>
      <c r="J772" s="1" t="s">
        <v>95</v>
      </c>
      <c r="M772" s="1" t="s">
        <v>102</v>
      </c>
      <c r="O772" s="1">
        <v>1</v>
      </c>
    </row>
    <row r="773" spans="1:18" ht="14.25" customHeight="1" x14ac:dyDescent="0.3">
      <c r="A773" s="1" t="s">
        <v>62</v>
      </c>
      <c r="B773" s="1">
        <v>6</v>
      </c>
      <c r="C773" s="1">
        <v>5</v>
      </c>
      <c r="D773" s="1" t="str">
        <f t="shared" si="12"/>
        <v>Yes</v>
      </c>
      <c r="E773" s="1">
        <v>4.9000000000000004</v>
      </c>
      <c r="F773" s="1">
        <v>78</v>
      </c>
      <c r="G773" s="1" t="s">
        <v>93</v>
      </c>
      <c r="H773" s="1" t="s">
        <v>95</v>
      </c>
      <c r="I773" s="1">
        <v>60.2</v>
      </c>
      <c r="J773" s="1" t="s">
        <v>95</v>
      </c>
      <c r="M773" s="1" t="s">
        <v>102</v>
      </c>
      <c r="O773" s="1">
        <v>4</v>
      </c>
    </row>
    <row r="774" spans="1:18" ht="14.25" customHeight="1" x14ac:dyDescent="0.3">
      <c r="A774" s="1" t="s">
        <v>62</v>
      </c>
      <c r="B774" s="1">
        <v>6</v>
      </c>
      <c r="C774" s="1">
        <v>1</v>
      </c>
      <c r="D774" s="1" t="str">
        <f t="shared" si="12"/>
        <v>Yes</v>
      </c>
      <c r="E774" s="1">
        <v>9.8000000000000007</v>
      </c>
      <c r="F774" s="1">
        <v>34</v>
      </c>
      <c r="G774" s="1" t="s">
        <v>93</v>
      </c>
      <c r="H774" s="1" t="s">
        <v>95</v>
      </c>
      <c r="I774" s="1">
        <v>22.7</v>
      </c>
      <c r="J774" s="1" t="s">
        <v>95</v>
      </c>
      <c r="M774" s="1" t="s">
        <v>101</v>
      </c>
      <c r="O774" s="1">
        <v>1</v>
      </c>
    </row>
    <row r="775" spans="1:18" ht="14.25" customHeight="1" x14ac:dyDescent="0.3">
      <c r="A775" s="1" t="s">
        <v>62</v>
      </c>
      <c r="B775" s="1">
        <v>6</v>
      </c>
      <c r="C775" s="1">
        <v>2</v>
      </c>
      <c r="D775" s="1" t="str">
        <f t="shared" si="12"/>
        <v>Yes</v>
      </c>
      <c r="E775" s="1">
        <v>7.2</v>
      </c>
      <c r="F775" s="1">
        <v>37</v>
      </c>
      <c r="G775" s="1" t="s">
        <v>93</v>
      </c>
      <c r="H775" s="1" t="s">
        <v>95</v>
      </c>
      <c r="I775" s="1">
        <v>18.8</v>
      </c>
      <c r="J775" s="1" t="s">
        <v>95</v>
      </c>
      <c r="M775" s="1" t="s">
        <v>101</v>
      </c>
      <c r="O775" s="1">
        <v>1</v>
      </c>
      <c r="R775" s="1"/>
    </row>
    <row r="776" spans="1:18" ht="14.25" customHeight="1" x14ac:dyDescent="0.3">
      <c r="A776" s="1" t="s">
        <v>62</v>
      </c>
      <c r="B776" s="1">
        <v>6</v>
      </c>
      <c r="C776" s="1">
        <v>4</v>
      </c>
      <c r="D776" s="1" t="str">
        <f t="shared" si="12"/>
        <v>Yes</v>
      </c>
      <c r="E776" s="1">
        <v>6.8</v>
      </c>
      <c r="F776" s="1">
        <v>34</v>
      </c>
      <c r="G776" s="1" t="s">
        <v>93</v>
      </c>
      <c r="H776" s="1" t="s">
        <v>95</v>
      </c>
      <c r="I776" s="1">
        <v>14</v>
      </c>
      <c r="J776" s="1" t="s">
        <v>95</v>
      </c>
      <c r="M776" s="1" t="s">
        <v>101</v>
      </c>
      <c r="O776" s="1">
        <v>1</v>
      </c>
      <c r="Q776" s="1" t="s">
        <v>152</v>
      </c>
    </row>
    <row r="777" spans="1:18" ht="14.25" customHeight="1" x14ac:dyDescent="0.3">
      <c r="A777" s="1" t="s">
        <v>62</v>
      </c>
      <c r="B777" s="1">
        <v>6</v>
      </c>
      <c r="C777" s="1">
        <v>3</v>
      </c>
      <c r="D777" s="1" t="str">
        <f t="shared" si="12"/>
        <v>Yes</v>
      </c>
      <c r="E777" s="1">
        <v>10.199999999999999</v>
      </c>
      <c r="F777" s="1">
        <v>49</v>
      </c>
      <c r="G777" s="1" t="s">
        <v>93</v>
      </c>
      <c r="H777" s="1" t="s">
        <v>95</v>
      </c>
      <c r="I777" s="1">
        <v>10.5</v>
      </c>
      <c r="J777" s="1" t="s">
        <v>95</v>
      </c>
      <c r="M777" s="1" t="s">
        <v>101</v>
      </c>
      <c r="O777" s="1">
        <v>1</v>
      </c>
    </row>
    <row r="778" spans="1:18" ht="14.25" customHeight="1" x14ac:dyDescent="0.3">
      <c r="A778" s="1" t="s">
        <v>62</v>
      </c>
      <c r="B778" s="1">
        <v>6</v>
      </c>
      <c r="C778" s="1">
        <v>6</v>
      </c>
      <c r="D778" s="1" t="str">
        <f t="shared" si="12"/>
        <v>Yes</v>
      </c>
      <c r="E778" s="1">
        <v>1.9</v>
      </c>
      <c r="F778" s="1">
        <v>71</v>
      </c>
      <c r="G778" s="1" t="s">
        <v>93</v>
      </c>
      <c r="H778" s="1" t="s">
        <v>95</v>
      </c>
      <c r="I778" s="17">
        <v>7.8</v>
      </c>
      <c r="J778" s="1" t="s">
        <v>95</v>
      </c>
      <c r="M778" s="1" t="s">
        <v>101</v>
      </c>
      <c r="O778" s="1">
        <v>5</v>
      </c>
    </row>
    <row r="779" spans="1:18" ht="14.25" customHeight="1" x14ac:dyDescent="0.3">
      <c r="A779" s="1" t="s">
        <v>62</v>
      </c>
      <c r="B779" s="1">
        <v>6</v>
      </c>
      <c r="C779" s="1">
        <v>11</v>
      </c>
      <c r="D779" s="1" t="str">
        <f t="shared" si="12"/>
        <v>Yes</v>
      </c>
      <c r="E779" s="1">
        <v>8.4</v>
      </c>
      <c r="F779" s="1">
        <v>174</v>
      </c>
      <c r="G779" s="1" t="s">
        <v>93</v>
      </c>
      <c r="H779" s="1" t="s">
        <v>95</v>
      </c>
      <c r="I779" s="17">
        <v>7.8</v>
      </c>
      <c r="J779" s="1" t="s">
        <v>95</v>
      </c>
      <c r="M779" s="1" t="s">
        <v>101</v>
      </c>
      <c r="O779" s="1">
        <v>2</v>
      </c>
    </row>
    <row r="780" spans="1:18" ht="14.25" customHeight="1" x14ac:dyDescent="0.3">
      <c r="A780" s="1" t="s">
        <v>62</v>
      </c>
      <c r="B780" s="1">
        <v>6</v>
      </c>
      <c r="C780" s="1">
        <v>19</v>
      </c>
      <c r="D780" s="1" t="str">
        <f t="shared" si="12"/>
        <v>Yes</v>
      </c>
      <c r="E780" s="1">
        <v>11.8</v>
      </c>
      <c r="F780" s="1">
        <v>303</v>
      </c>
      <c r="G780" s="1" t="s">
        <v>111</v>
      </c>
      <c r="H780" s="1" t="s">
        <v>94</v>
      </c>
      <c r="I780" s="17">
        <v>94.9</v>
      </c>
      <c r="J780" s="1" t="s">
        <v>95</v>
      </c>
      <c r="K780" s="1">
        <v>0</v>
      </c>
      <c r="L780" s="1">
        <v>5</v>
      </c>
      <c r="M780" s="1" t="s">
        <v>95</v>
      </c>
      <c r="N780" s="1" t="s">
        <v>100</v>
      </c>
      <c r="P780" s="1">
        <v>576</v>
      </c>
    </row>
    <row r="781" spans="1:18" ht="14.25" customHeight="1" x14ac:dyDescent="0.3">
      <c r="A781" s="1" t="s">
        <v>62</v>
      </c>
      <c r="B781" s="1">
        <v>6</v>
      </c>
      <c r="C781" s="1">
        <v>7</v>
      </c>
      <c r="D781" s="1" t="str">
        <f t="shared" si="12"/>
        <v>Yes</v>
      </c>
      <c r="E781" s="1">
        <v>4.2</v>
      </c>
      <c r="F781" s="1">
        <v>80</v>
      </c>
      <c r="G781" s="66" t="s">
        <v>111</v>
      </c>
      <c r="H781" s="1" t="s">
        <v>94</v>
      </c>
      <c r="I781" s="1">
        <v>86.2</v>
      </c>
      <c r="J781" s="1" t="s">
        <v>95</v>
      </c>
      <c r="K781" s="1">
        <v>0</v>
      </c>
      <c r="L781" s="1">
        <v>5</v>
      </c>
      <c r="M781" s="1" t="s">
        <v>97</v>
      </c>
      <c r="N781" s="1" t="s">
        <v>153</v>
      </c>
      <c r="P781" s="1">
        <v>577</v>
      </c>
    </row>
    <row r="782" spans="1:18" ht="14.25" customHeight="1" x14ac:dyDescent="0.3">
      <c r="A782" s="1" t="s">
        <v>62</v>
      </c>
      <c r="B782" s="1">
        <v>6</v>
      </c>
      <c r="C782" s="1">
        <v>22</v>
      </c>
      <c r="D782" s="1" t="str">
        <f t="shared" si="12"/>
        <v>Yes</v>
      </c>
      <c r="E782" s="1">
        <v>11</v>
      </c>
      <c r="F782" s="1">
        <v>341</v>
      </c>
      <c r="G782" s="1" t="s">
        <v>109</v>
      </c>
      <c r="H782" s="1" t="s">
        <v>94</v>
      </c>
      <c r="I782" s="1">
        <v>27</v>
      </c>
      <c r="J782" s="1" t="s">
        <v>95</v>
      </c>
      <c r="K782" s="1">
        <v>5</v>
      </c>
      <c r="L782" s="1">
        <v>60</v>
      </c>
      <c r="M782" s="1" t="s">
        <v>102</v>
      </c>
    </row>
    <row r="783" spans="1:18" ht="14.25" customHeight="1" x14ac:dyDescent="0.3">
      <c r="A783" s="1" t="s">
        <v>62</v>
      </c>
      <c r="B783" s="1">
        <v>6</v>
      </c>
      <c r="C783" s="1">
        <v>8</v>
      </c>
      <c r="D783" s="1" t="str">
        <f t="shared" si="12"/>
        <v>Yes</v>
      </c>
      <c r="E783" s="1">
        <v>7.1</v>
      </c>
      <c r="F783" s="1">
        <v>110</v>
      </c>
      <c r="G783" s="1" t="s">
        <v>106</v>
      </c>
      <c r="H783" s="1" t="s">
        <v>94</v>
      </c>
      <c r="I783" s="1">
        <v>20.3</v>
      </c>
      <c r="J783" s="1" t="s">
        <v>95</v>
      </c>
      <c r="K783" s="1">
        <v>1</v>
      </c>
      <c r="L783" s="1">
        <v>80</v>
      </c>
      <c r="M783" s="1" t="s">
        <v>101</v>
      </c>
      <c r="N783" s="1" t="s">
        <v>100</v>
      </c>
    </row>
    <row r="784" spans="1:18" ht="14.25" customHeight="1" x14ac:dyDescent="0.3">
      <c r="A784" s="1" t="s">
        <v>62</v>
      </c>
      <c r="B784" s="1">
        <v>6</v>
      </c>
      <c r="C784" s="1">
        <v>12</v>
      </c>
      <c r="D784" s="1" t="str">
        <f t="shared" si="12"/>
        <v>Yes</v>
      </c>
      <c r="E784" s="1">
        <v>9.6999999999999993</v>
      </c>
      <c r="F784" s="1">
        <v>184</v>
      </c>
      <c r="G784" s="1" t="s">
        <v>93</v>
      </c>
      <c r="H784" s="1" t="s">
        <v>94</v>
      </c>
      <c r="I784" s="1">
        <v>52.6</v>
      </c>
      <c r="J784" s="1" t="s">
        <v>95</v>
      </c>
      <c r="K784" s="1">
        <v>0</v>
      </c>
      <c r="L784" s="1">
        <v>15</v>
      </c>
      <c r="M784" s="1" t="s">
        <v>102</v>
      </c>
      <c r="N784" s="1" t="s">
        <v>100</v>
      </c>
    </row>
    <row r="785" spans="1:18" ht="14.25" customHeight="1" x14ac:dyDescent="0.3">
      <c r="A785" s="1" t="s">
        <v>62</v>
      </c>
      <c r="B785" s="1">
        <v>6</v>
      </c>
      <c r="C785" s="1">
        <v>17</v>
      </c>
      <c r="D785" s="1" t="str">
        <f t="shared" si="12"/>
        <v>Yes</v>
      </c>
      <c r="E785" s="1">
        <v>9.6999999999999993</v>
      </c>
      <c r="F785" s="1">
        <v>262</v>
      </c>
      <c r="G785" s="1" t="s">
        <v>93</v>
      </c>
      <c r="H785" s="1" t="s">
        <v>94</v>
      </c>
      <c r="I785" s="17">
        <v>33</v>
      </c>
      <c r="J785" s="1" t="s">
        <v>95</v>
      </c>
      <c r="K785" s="1">
        <v>1</v>
      </c>
      <c r="L785" s="1">
        <v>60</v>
      </c>
      <c r="M785" s="1" t="s">
        <v>102</v>
      </c>
      <c r="N785" s="1" t="s">
        <v>100</v>
      </c>
    </row>
    <row r="786" spans="1:18" ht="14.25" customHeight="1" x14ac:dyDescent="0.3">
      <c r="A786" s="1" t="s">
        <v>62</v>
      </c>
      <c r="B786" s="1">
        <v>6</v>
      </c>
      <c r="C786" s="1">
        <v>16</v>
      </c>
      <c r="D786" s="1" t="str">
        <f t="shared" si="12"/>
        <v>Yes</v>
      </c>
      <c r="E786" s="1">
        <v>4.0999999999999996</v>
      </c>
      <c r="F786" s="1">
        <v>236</v>
      </c>
      <c r="G786" s="1" t="s">
        <v>93</v>
      </c>
      <c r="H786" s="1" t="s">
        <v>94</v>
      </c>
      <c r="I786" s="1">
        <v>32.5</v>
      </c>
      <c r="J786" s="1" t="s">
        <v>95</v>
      </c>
      <c r="K786" s="1">
        <v>0</v>
      </c>
      <c r="L786" s="1">
        <v>50</v>
      </c>
      <c r="M786" s="1" t="s">
        <v>102</v>
      </c>
    </row>
    <row r="787" spans="1:18" ht="14.25" customHeight="1" x14ac:dyDescent="0.3">
      <c r="A787" s="1" t="s">
        <v>62</v>
      </c>
      <c r="B787" s="1">
        <v>6</v>
      </c>
      <c r="C787" s="1">
        <v>13</v>
      </c>
      <c r="D787" s="1" t="str">
        <f t="shared" si="12"/>
        <v>Yes</v>
      </c>
      <c r="E787" s="1">
        <v>12.4</v>
      </c>
      <c r="F787" s="1">
        <v>192</v>
      </c>
      <c r="G787" s="1" t="s">
        <v>93</v>
      </c>
      <c r="H787" s="1" t="s">
        <v>94</v>
      </c>
      <c r="I787" s="1">
        <v>27.6</v>
      </c>
      <c r="J787" s="1" t="s">
        <v>95</v>
      </c>
      <c r="K787" s="1">
        <v>1</v>
      </c>
      <c r="L787" s="1">
        <v>20</v>
      </c>
      <c r="M787" s="1" t="s">
        <v>101</v>
      </c>
    </row>
    <row r="788" spans="1:18" ht="14.25" customHeight="1" x14ac:dyDescent="0.3">
      <c r="A788" s="1" t="s">
        <v>62</v>
      </c>
      <c r="B788" s="1">
        <v>6</v>
      </c>
      <c r="C788" s="1">
        <v>18</v>
      </c>
      <c r="D788" s="1" t="str">
        <f t="shared" si="12"/>
        <v>Yes</v>
      </c>
      <c r="E788" s="1">
        <v>3.4</v>
      </c>
      <c r="F788" s="1">
        <v>268</v>
      </c>
      <c r="G788" s="1" t="s">
        <v>93</v>
      </c>
      <c r="H788" s="1" t="s">
        <v>94</v>
      </c>
      <c r="I788" s="1">
        <v>24.6</v>
      </c>
      <c r="J788" s="1" t="s">
        <v>95</v>
      </c>
      <c r="K788" s="1">
        <v>1</v>
      </c>
      <c r="L788" s="1">
        <v>70</v>
      </c>
      <c r="M788" s="1" t="s">
        <v>102</v>
      </c>
    </row>
    <row r="789" spans="1:18" ht="14.25" customHeight="1" x14ac:dyDescent="0.3">
      <c r="A789" s="1" t="s">
        <v>62</v>
      </c>
      <c r="B789" s="1">
        <v>6</v>
      </c>
      <c r="C789" s="1">
        <v>10</v>
      </c>
      <c r="D789" s="1" t="str">
        <f t="shared" si="12"/>
        <v>Yes</v>
      </c>
      <c r="E789" s="1">
        <v>8</v>
      </c>
      <c r="F789" s="1">
        <v>174</v>
      </c>
      <c r="G789" s="1" t="s">
        <v>93</v>
      </c>
      <c r="H789" s="1" t="s">
        <v>94</v>
      </c>
      <c r="I789" s="1">
        <v>24</v>
      </c>
      <c r="J789" s="1" t="s">
        <v>95</v>
      </c>
      <c r="K789" s="1">
        <v>1</v>
      </c>
      <c r="L789" s="1">
        <v>75</v>
      </c>
      <c r="M789" s="1" t="s">
        <v>101</v>
      </c>
    </row>
    <row r="790" spans="1:18" ht="14.25" customHeight="1" x14ac:dyDescent="0.3">
      <c r="A790" s="1" t="s">
        <v>62</v>
      </c>
      <c r="B790" s="1">
        <v>6</v>
      </c>
      <c r="C790" s="1">
        <v>21</v>
      </c>
      <c r="D790" s="1" t="str">
        <f t="shared" si="12"/>
        <v>Yes</v>
      </c>
      <c r="E790" s="1">
        <v>11</v>
      </c>
      <c r="F790" s="1">
        <v>338</v>
      </c>
      <c r="G790" s="1" t="s">
        <v>93</v>
      </c>
      <c r="H790" s="1" t="s">
        <v>94</v>
      </c>
      <c r="I790" s="1">
        <v>21.5</v>
      </c>
      <c r="J790" s="1" t="s">
        <v>95</v>
      </c>
      <c r="K790" s="1">
        <v>1</v>
      </c>
      <c r="L790" s="1">
        <v>75</v>
      </c>
      <c r="M790" s="1" t="s">
        <v>101</v>
      </c>
    </row>
    <row r="791" spans="1:18" ht="14.25" customHeight="1" x14ac:dyDescent="0.3">
      <c r="A791" s="1" t="s">
        <v>62</v>
      </c>
      <c r="B791" s="1">
        <v>6</v>
      </c>
      <c r="C791" s="1">
        <v>15</v>
      </c>
      <c r="D791" s="1" t="str">
        <f t="shared" si="12"/>
        <v>Yes</v>
      </c>
      <c r="E791" s="1">
        <v>1.3</v>
      </c>
      <c r="F791" s="1">
        <v>227</v>
      </c>
      <c r="G791" s="1" t="s">
        <v>93</v>
      </c>
      <c r="H791" s="1" t="s">
        <v>94</v>
      </c>
      <c r="I791" s="1">
        <v>20.100000000000001</v>
      </c>
      <c r="J791" s="1" t="s">
        <v>95</v>
      </c>
      <c r="K791" s="1">
        <v>0</v>
      </c>
      <c r="L791" s="1">
        <v>99</v>
      </c>
      <c r="M791" s="1" t="s">
        <v>101</v>
      </c>
      <c r="N791" s="1" t="s">
        <v>118</v>
      </c>
    </row>
    <row r="792" spans="1:18" ht="14.25" customHeight="1" x14ac:dyDescent="0.3">
      <c r="A792" s="1" t="s">
        <v>62</v>
      </c>
      <c r="B792" s="1">
        <v>7</v>
      </c>
      <c r="C792" s="1">
        <v>9</v>
      </c>
      <c r="D792" s="1" t="str">
        <f t="shared" si="12"/>
        <v>No</v>
      </c>
      <c r="E792" s="1">
        <v>12.7</v>
      </c>
      <c r="F792" s="1">
        <v>350</v>
      </c>
      <c r="G792" s="1" t="s">
        <v>109</v>
      </c>
      <c r="H792" s="1" t="s">
        <v>94</v>
      </c>
      <c r="I792" s="17">
        <v>36.799999999999997</v>
      </c>
      <c r="J792" s="1" t="s">
        <v>95</v>
      </c>
      <c r="K792" s="1">
        <v>0</v>
      </c>
      <c r="L792" s="1">
        <v>0</v>
      </c>
      <c r="M792" s="1" t="s">
        <v>101</v>
      </c>
      <c r="N792" s="1" t="s">
        <v>100</v>
      </c>
      <c r="P792" s="1">
        <v>560</v>
      </c>
      <c r="Q792" s="1" t="s">
        <v>155</v>
      </c>
      <c r="R792" s="1"/>
    </row>
    <row r="793" spans="1:18" ht="14.25" customHeight="1" x14ac:dyDescent="0.3">
      <c r="A793" s="1" t="s">
        <v>62</v>
      </c>
      <c r="B793" s="1">
        <v>7</v>
      </c>
      <c r="C793" s="1">
        <v>10</v>
      </c>
      <c r="D793" s="1" t="str">
        <f t="shared" si="12"/>
        <v>No</v>
      </c>
      <c r="E793" s="1">
        <v>13.4</v>
      </c>
      <c r="F793" s="1">
        <v>22</v>
      </c>
      <c r="G793" s="1" t="s">
        <v>93</v>
      </c>
      <c r="H793" s="1" t="s">
        <v>94</v>
      </c>
      <c r="I793" s="17">
        <v>75.5</v>
      </c>
      <c r="J793" s="1" t="s">
        <v>95</v>
      </c>
      <c r="K793" s="1">
        <v>0</v>
      </c>
      <c r="L793" s="1">
        <v>0</v>
      </c>
      <c r="M793" s="1" t="s">
        <v>102</v>
      </c>
      <c r="N793" s="1" t="s">
        <v>100</v>
      </c>
      <c r="P793" s="1">
        <v>559</v>
      </c>
      <c r="Q793" s="1" t="s">
        <v>155</v>
      </c>
      <c r="R793" s="1"/>
    </row>
    <row r="794" spans="1:18" ht="14.25" customHeight="1" x14ac:dyDescent="0.3">
      <c r="A794" s="1" t="s">
        <v>62</v>
      </c>
      <c r="B794" s="1">
        <v>7</v>
      </c>
      <c r="C794" s="1">
        <v>3</v>
      </c>
      <c r="D794" s="1" t="str">
        <f t="shared" si="12"/>
        <v>Yes</v>
      </c>
      <c r="E794" s="1">
        <v>5.5</v>
      </c>
      <c r="F794" s="1">
        <v>181</v>
      </c>
      <c r="G794" s="1" t="s">
        <v>109</v>
      </c>
      <c r="H794" s="1" t="s">
        <v>95</v>
      </c>
      <c r="I794" s="17">
        <v>145</v>
      </c>
      <c r="J794" s="1" t="s">
        <v>97</v>
      </c>
      <c r="M794" s="1" t="s">
        <v>102</v>
      </c>
    </row>
    <row r="795" spans="1:18" ht="14.25" customHeight="1" x14ac:dyDescent="0.3">
      <c r="A795" s="1" t="s">
        <v>62</v>
      </c>
      <c r="B795" s="1">
        <v>7</v>
      </c>
      <c r="C795" s="1">
        <v>4</v>
      </c>
      <c r="D795" s="1" t="str">
        <f t="shared" si="12"/>
        <v>Yes</v>
      </c>
      <c r="E795" s="1">
        <v>11.9</v>
      </c>
      <c r="F795" s="1">
        <v>293</v>
      </c>
      <c r="G795" s="1" t="s">
        <v>93</v>
      </c>
      <c r="H795" s="1" t="s">
        <v>95</v>
      </c>
      <c r="I795" s="17">
        <v>45</v>
      </c>
      <c r="J795" s="1" t="s">
        <v>97</v>
      </c>
      <c r="M795" s="1" t="s">
        <v>101</v>
      </c>
      <c r="N795" s="1" t="s">
        <v>100</v>
      </c>
    </row>
    <row r="796" spans="1:18" ht="14.25" customHeight="1" x14ac:dyDescent="0.3">
      <c r="A796" s="1" t="s">
        <v>62</v>
      </c>
      <c r="B796" s="1">
        <v>7</v>
      </c>
      <c r="C796" s="1">
        <v>7</v>
      </c>
      <c r="D796" s="1" t="str">
        <f t="shared" si="12"/>
        <v>Yes</v>
      </c>
      <c r="E796" s="1">
        <v>9.3000000000000007</v>
      </c>
      <c r="F796" s="1">
        <v>321</v>
      </c>
      <c r="G796" s="1" t="s">
        <v>93</v>
      </c>
      <c r="H796" s="1" t="s">
        <v>95</v>
      </c>
      <c r="I796" s="1">
        <v>39</v>
      </c>
      <c r="J796" s="1" t="s">
        <v>97</v>
      </c>
      <c r="M796" s="1" t="s">
        <v>101</v>
      </c>
      <c r="O796" s="1">
        <v>5</v>
      </c>
    </row>
    <row r="797" spans="1:18" ht="14.25" customHeight="1" x14ac:dyDescent="0.3">
      <c r="A797" s="1" t="s">
        <v>62</v>
      </c>
      <c r="B797" s="1">
        <v>7</v>
      </c>
      <c r="C797" s="1">
        <v>8</v>
      </c>
      <c r="D797" s="1" t="str">
        <f t="shared" si="12"/>
        <v>Yes</v>
      </c>
      <c r="E797" s="1">
        <v>10.1</v>
      </c>
      <c r="F797" s="1">
        <v>330</v>
      </c>
      <c r="G797" s="1" t="s">
        <v>93</v>
      </c>
      <c r="H797" s="1" t="s">
        <v>95</v>
      </c>
      <c r="I797" s="1">
        <v>23</v>
      </c>
      <c r="J797" s="1" t="s">
        <v>97</v>
      </c>
      <c r="M797" s="1" t="s">
        <v>101</v>
      </c>
      <c r="O797" s="1">
        <v>5</v>
      </c>
    </row>
    <row r="798" spans="1:18" ht="14.25" customHeight="1" x14ac:dyDescent="0.3">
      <c r="A798" s="1" t="s">
        <v>62</v>
      </c>
      <c r="B798" s="1">
        <v>7</v>
      </c>
      <c r="C798" s="1">
        <v>6</v>
      </c>
      <c r="D798" s="1" t="str">
        <f t="shared" si="12"/>
        <v>Yes</v>
      </c>
      <c r="E798" s="1">
        <v>10.6</v>
      </c>
      <c r="F798" s="1">
        <v>317</v>
      </c>
      <c r="G798" s="1" t="s">
        <v>93</v>
      </c>
      <c r="H798" s="1" t="s">
        <v>94</v>
      </c>
      <c r="I798" s="1">
        <v>63</v>
      </c>
      <c r="J798" s="1" t="s">
        <v>95</v>
      </c>
      <c r="K798" s="1">
        <v>0</v>
      </c>
      <c r="L798" s="1">
        <v>0</v>
      </c>
      <c r="M798" s="1" t="s">
        <v>102</v>
      </c>
      <c r="N798" s="1" t="s">
        <v>100</v>
      </c>
    </row>
    <row r="799" spans="1:18" ht="14.25" customHeight="1" x14ac:dyDescent="0.3">
      <c r="A799" s="1" t="s">
        <v>62</v>
      </c>
      <c r="B799" s="1">
        <v>7</v>
      </c>
      <c r="C799" s="1">
        <v>1</v>
      </c>
      <c r="D799" s="1" t="str">
        <f t="shared" si="12"/>
        <v>Yes</v>
      </c>
      <c r="E799" s="1">
        <v>12.1</v>
      </c>
      <c r="F799" s="1">
        <v>159</v>
      </c>
      <c r="G799" s="1" t="s">
        <v>93</v>
      </c>
      <c r="H799" s="1" t="s">
        <v>94</v>
      </c>
      <c r="I799" s="1">
        <v>53.2</v>
      </c>
      <c r="J799" s="1" t="s">
        <v>95</v>
      </c>
      <c r="K799" s="1">
        <v>0</v>
      </c>
      <c r="L799" s="1">
        <v>0</v>
      </c>
      <c r="M799" s="1" t="s">
        <v>102</v>
      </c>
      <c r="N799" s="1" t="s">
        <v>154</v>
      </c>
    </row>
    <row r="800" spans="1:18" ht="14.25" customHeight="1" x14ac:dyDescent="0.3">
      <c r="A800" s="1" t="s">
        <v>62</v>
      </c>
      <c r="B800" s="1">
        <v>7</v>
      </c>
      <c r="C800" s="1">
        <v>5</v>
      </c>
      <c r="D800" s="1" t="str">
        <f t="shared" si="12"/>
        <v>Yes</v>
      </c>
      <c r="E800" s="19">
        <v>11.6</v>
      </c>
      <c r="F800" s="1">
        <v>295</v>
      </c>
      <c r="G800" s="1" t="s">
        <v>93</v>
      </c>
      <c r="H800" s="1" t="s">
        <v>94</v>
      </c>
      <c r="I800" s="1">
        <v>46</v>
      </c>
      <c r="J800" s="1" t="s">
        <v>95</v>
      </c>
      <c r="K800" s="1">
        <v>0</v>
      </c>
      <c r="L800" s="1">
        <v>0</v>
      </c>
      <c r="M800" s="1" t="s">
        <v>101</v>
      </c>
      <c r="N800" s="1" t="s">
        <v>100</v>
      </c>
    </row>
    <row r="801" spans="1:18" ht="14.25" customHeight="1" x14ac:dyDescent="0.3">
      <c r="A801" s="1" t="s">
        <v>62</v>
      </c>
      <c r="B801" s="1">
        <v>7</v>
      </c>
      <c r="C801" s="1">
        <v>2</v>
      </c>
      <c r="D801" s="1" t="str">
        <f t="shared" si="12"/>
        <v>Yes</v>
      </c>
      <c r="E801" s="1">
        <v>11.4</v>
      </c>
      <c r="F801" s="1">
        <v>168</v>
      </c>
      <c r="G801" s="1" t="s">
        <v>93</v>
      </c>
      <c r="H801" s="1" t="s">
        <v>94</v>
      </c>
      <c r="I801" s="1">
        <v>41</v>
      </c>
      <c r="J801" s="1" t="s">
        <v>95</v>
      </c>
      <c r="K801" s="1">
        <v>0</v>
      </c>
      <c r="L801" s="1">
        <v>0</v>
      </c>
      <c r="M801" s="1" t="s">
        <v>102</v>
      </c>
      <c r="P801" s="1">
        <v>558</v>
      </c>
    </row>
    <row r="802" spans="1:18" ht="14.25" customHeight="1" x14ac:dyDescent="0.3">
      <c r="A802" s="1" t="s">
        <v>62</v>
      </c>
      <c r="B802" s="1">
        <v>8</v>
      </c>
      <c r="C802" s="1">
        <v>2</v>
      </c>
      <c r="D802" s="1" t="str">
        <f t="shared" si="12"/>
        <v>No</v>
      </c>
      <c r="E802" s="1">
        <v>12.6</v>
      </c>
      <c r="F802" s="1">
        <v>19</v>
      </c>
      <c r="G802" s="1" t="s">
        <v>93</v>
      </c>
      <c r="H802" s="1" t="s">
        <v>94</v>
      </c>
      <c r="I802" s="1">
        <v>19.7</v>
      </c>
      <c r="J802" s="1" t="s">
        <v>95</v>
      </c>
      <c r="K802" s="1">
        <v>0</v>
      </c>
      <c r="L802" s="1">
        <v>0</v>
      </c>
      <c r="M802" s="1" t="s">
        <v>101</v>
      </c>
      <c r="N802" s="1" t="s">
        <v>100</v>
      </c>
      <c r="Q802" s="1" t="s">
        <v>156</v>
      </c>
      <c r="R802" s="1"/>
    </row>
    <row r="803" spans="1:18" ht="14.25" customHeight="1" x14ac:dyDescent="0.3">
      <c r="A803" s="1" t="s">
        <v>62</v>
      </c>
      <c r="B803" s="1">
        <v>8</v>
      </c>
      <c r="C803" s="1">
        <v>7</v>
      </c>
      <c r="D803" s="1" t="str">
        <f t="shared" si="12"/>
        <v>Yes</v>
      </c>
      <c r="E803" s="1">
        <v>9.5</v>
      </c>
      <c r="F803" s="1">
        <v>46</v>
      </c>
      <c r="G803" s="1" t="s">
        <v>109</v>
      </c>
      <c r="H803" s="1" t="s">
        <v>95</v>
      </c>
      <c r="I803" s="1">
        <v>75</v>
      </c>
      <c r="J803" s="1" t="s">
        <v>101</v>
      </c>
      <c r="M803" s="1" t="s">
        <v>102</v>
      </c>
      <c r="O803" s="1">
        <v>5</v>
      </c>
      <c r="Q803" s="1" t="s">
        <v>140</v>
      </c>
      <c r="R803" s="1"/>
    </row>
    <row r="804" spans="1:18" ht="14.25" customHeight="1" x14ac:dyDescent="0.3">
      <c r="A804" s="1" t="s">
        <v>62</v>
      </c>
      <c r="B804" s="1">
        <v>8</v>
      </c>
      <c r="C804" s="1">
        <v>19</v>
      </c>
      <c r="D804" s="1" t="str">
        <f t="shared" si="12"/>
        <v>Yes</v>
      </c>
      <c r="E804" s="1">
        <v>10.199999999999999</v>
      </c>
      <c r="F804" s="17">
        <v>155</v>
      </c>
      <c r="G804" s="1" t="s">
        <v>106</v>
      </c>
      <c r="H804" s="1" t="s">
        <v>95</v>
      </c>
      <c r="I804" s="1">
        <v>25</v>
      </c>
      <c r="J804" s="1" t="s">
        <v>101</v>
      </c>
      <c r="M804" s="1" t="s">
        <v>101</v>
      </c>
      <c r="Q804" s="1" t="s">
        <v>140</v>
      </c>
    </row>
    <row r="805" spans="1:18" ht="14.25" customHeight="1" x14ac:dyDescent="0.3">
      <c r="A805" s="1" t="s">
        <v>62</v>
      </c>
      <c r="B805" s="1">
        <v>8</v>
      </c>
      <c r="C805" s="1">
        <v>22</v>
      </c>
      <c r="D805" s="1" t="str">
        <f t="shared" si="12"/>
        <v>Yes</v>
      </c>
      <c r="E805" s="1">
        <v>7.9</v>
      </c>
      <c r="F805" s="1">
        <v>147</v>
      </c>
      <c r="G805" s="1" t="s">
        <v>106</v>
      </c>
      <c r="H805" s="1" t="s">
        <v>95</v>
      </c>
      <c r="I805" s="1">
        <v>20</v>
      </c>
      <c r="J805" s="1" t="s">
        <v>101</v>
      </c>
      <c r="M805" s="1" t="s">
        <v>101</v>
      </c>
      <c r="O805" s="1">
        <v>5</v>
      </c>
      <c r="Q805" s="1" t="s">
        <v>140</v>
      </c>
    </row>
    <row r="806" spans="1:18" ht="14.25" customHeight="1" x14ac:dyDescent="0.3">
      <c r="A806" s="1" t="s">
        <v>62</v>
      </c>
      <c r="B806" s="1">
        <v>8</v>
      </c>
      <c r="C806" s="1">
        <v>3</v>
      </c>
      <c r="D806" s="1" t="str">
        <f t="shared" si="12"/>
        <v>Yes</v>
      </c>
      <c r="E806" s="1">
        <v>9.6999999999999993</v>
      </c>
      <c r="F806" s="1">
        <v>32</v>
      </c>
      <c r="G806" s="1" t="s">
        <v>93</v>
      </c>
      <c r="H806" s="1" t="s">
        <v>95</v>
      </c>
      <c r="I806" s="1">
        <v>38</v>
      </c>
      <c r="J806" s="1" t="s">
        <v>101</v>
      </c>
      <c r="M806" s="1" t="s">
        <v>101</v>
      </c>
      <c r="O806" s="1">
        <v>5</v>
      </c>
      <c r="Q806" s="1" t="s">
        <v>140</v>
      </c>
      <c r="R806" s="1"/>
    </row>
    <row r="807" spans="1:18" ht="14.25" customHeight="1" x14ac:dyDescent="0.3">
      <c r="A807" s="1" t="s">
        <v>62</v>
      </c>
      <c r="B807" s="1">
        <v>8</v>
      </c>
      <c r="C807" s="1">
        <v>28</v>
      </c>
      <c r="D807" s="1" t="str">
        <f t="shared" si="12"/>
        <v>Yes</v>
      </c>
      <c r="E807" s="1">
        <v>8.8000000000000007</v>
      </c>
      <c r="F807" s="1">
        <v>145</v>
      </c>
      <c r="G807" s="1" t="s">
        <v>93</v>
      </c>
      <c r="H807" s="1" t="s">
        <v>95</v>
      </c>
      <c r="I807" s="1">
        <v>25</v>
      </c>
      <c r="J807" s="1" t="s">
        <v>101</v>
      </c>
      <c r="M807" s="1" t="s">
        <v>101</v>
      </c>
      <c r="O807" s="1">
        <v>5</v>
      </c>
      <c r="Q807" s="1" t="s">
        <v>140</v>
      </c>
      <c r="R807" s="1"/>
    </row>
    <row r="808" spans="1:18" ht="14.25" customHeight="1" x14ac:dyDescent="0.3">
      <c r="A808" s="1" t="s">
        <v>62</v>
      </c>
      <c r="B808" s="1">
        <v>8</v>
      </c>
      <c r="C808" s="1">
        <v>26</v>
      </c>
      <c r="D808" s="1" t="str">
        <f t="shared" si="12"/>
        <v>Yes</v>
      </c>
      <c r="E808" s="1">
        <v>6.7</v>
      </c>
      <c r="F808" s="1">
        <v>146</v>
      </c>
      <c r="G808" s="1" t="s">
        <v>93</v>
      </c>
      <c r="H808" s="1" t="s">
        <v>95</v>
      </c>
      <c r="I808" s="1">
        <v>21.2</v>
      </c>
      <c r="J808" s="1" t="s">
        <v>101</v>
      </c>
      <c r="M808" s="1" t="s">
        <v>101</v>
      </c>
      <c r="O808" s="1">
        <v>5</v>
      </c>
      <c r="Q808" s="1" t="s">
        <v>140</v>
      </c>
      <c r="R808" s="1"/>
    </row>
    <row r="809" spans="1:18" ht="14.25" customHeight="1" x14ac:dyDescent="0.3">
      <c r="A809" s="1" t="s">
        <v>62</v>
      </c>
      <c r="B809" s="1">
        <v>8</v>
      </c>
      <c r="C809" s="1">
        <v>27</v>
      </c>
      <c r="D809" s="1" t="str">
        <f t="shared" si="12"/>
        <v>Yes</v>
      </c>
      <c r="E809" s="1">
        <v>6.9</v>
      </c>
      <c r="F809" s="1">
        <v>141</v>
      </c>
      <c r="G809" s="1" t="s">
        <v>93</v>
      </c>
      <c r="H809" s="1" t="s">
        <v>95</v>
      </c>
      <c r="I809" s="1">
        <v>20</v>
      </c>
      <c r="J809" s="1" t="s">
        <v>101</v>
      </c>
      <c r="M809" s="1" t="s">
        <v>101</v>
      </c>
      <c r="O809" s="1">
        <v>5</v>
      </c>
      <c r="Q809" s="1" t="s">
        <v>140</v>
      </c>
      <c r="R809" s="1"/>
    </row>
    <row r="810" spans="1:18" ht="14.25" customHeight="1" x14ac:dyDescent="0.3">
      <c r="A810" s="1" t="s">
        <v>62</v>
      </c>
      <c r="B810" s="1">
        <v>8</v>
      </c>
      <c r="C810" s="1">
        <v>31</v>
      </c>
      <c r="D810" s="1" t="str">
        <f t="shared" si="12"/>
        <v>Yes</v>
      </c>
      <c r="E810" s="1">
        <v>3.2</v>
      </c>
      <c r="F810" s="1">
        <v>102</v>
      </c>
      <c r="G810" s="1" t="s">
        <v>93</v>
      </c>
      <c r="H810" s="1" t="s">
        <v>95</v>
      </c>
      <c r="I810" s="1">
        <v>16.8</v>
      </c>
      <c r="J810" s="1" t="s">
        <v>101</v>
      </c>
      <c r="M810" s="1" t="s">
        <v>101</v>
      </c>
      <c r="O810" s="1">
        <v>5</v>
      </c>
      <c r="Q810" s="1" t="s">
        <v>140</v>
      </c>
      <c r="R810" s="1"/>
    </row>
    <row r="811" spans="1:18" ht="14.25" customHeight="1" x14ac:dyDescent="0.3">
      <c r="A811" s="1" t="s">
        <v>62</v>
      </c>
      <c r="B811" s="1">
        <v>8</v>
      </c>
      <c r="C811" s="1">
        <v>16</v>
      </c>
      <c r="D811" s="1" t="str">
        <f t="shared" si="12"/>
        <v>Yes</v>
      </c>
      <c r="E811" s="1">
        <v>1.7</v>
      </c>
      <c r="F811" s="1">
        <v>194</v>
      </c>
      <c r="G811" s="1" t="s">
        <v>93</v>
      </c>
      <c r="H811" s="1" t="s">
        <v>95</v>
      </c>
      <c r="I811" s="1">
        <v>15.5</v>
      </c>
      <c r="J811" s="1" t="s">
        <v>101</v>
      </c>
      <c r="M811" s="1" t="s">
        <v>101</v>
      </c>
      <c r="O811" s="1">
        <v>5</v>
      </c>
      <c r="R811" s="1"/>
    </row>
    <row r="812" spans="1:18" ht="14.25" customHeight="1" x14ac:dyDescent="0.3">
      <c r="A812" s="1" t="s">
        <v>62</v>
      </c>
      <c r="B812" s="1">
        <v>8</v>
      </c>
      <c r="C812" s="1">
        <v>11</v>
      </c>
      <c r="D812" s="1" t="str">
        <f t="shared" si="12"/>
        <v>Yes</v>
      </c>
      <c r="E812" s="1">
        <v>11</v>
      </c>
      <c r="F812" s="1">
        <v>78</v>
      </c>
      <c r="G812" s="1" t="s">
        <v>93</v>
      </c>
      <c r="H812" s="1" t="s">
        <v>95</v>
      </c>
      <c r="I812" s="1">
        <v>11</v>
      </c>
      <c r="J812" s="1" t="s">
        <v>101</v>
      </c>
      <c r="M812" s="1" t="s">
        <v>101</v>
      </c>
      <c r="O812" s="1">
        <v>5</v>
      </c>
      <c r="R812" s="1"/>
    </row>
    <row r="813" spans="1:18" ht="14.25" customHeight="1" x14ac:dyDescent="0.3">
      <c r="A813" s="1" t="s">
        <v>62</v>
      </c>
      <c r="B813" s="1">
        <v>8</v>
      </c>
      <c r="C813" s="1">
        <v>21</v>
      </c>
      <c r="D813" s="1" t="str">
        <f t="shared" si="12"/>
        <v>Yes</v>
      </c>
      <c r="E813" s="1">
        <v>7.5</v>
      </c>
      <c r="F813" s="1">
        <v>164</v>
      </c>
      <c r="G813" s="1" t="s">
        <v>93</v>
      </c>
      <c r="H813" s="1" t="s">
        <v>95</v>
      </c>
      <c r="I813" s="1">
        <v>10.5</v>
      </c>
      <c r="J813" s="1" t="s">
        <v>101</v>
      </c>
      <c r="M813" s="1" t="s">
        <v>101</v>
      </c>
      <c r="O813" s="1">
        <v>5</v>
      </c>
      <c r="Q813" s="1" t="s">
        <v>140</v>
      </c>
      <c r="R813" s="1"/>
    </row>
    <row r="814" spans="1:18" ht="14.25" customHeight="1" x14ac:dyDescent="0.3">
      <c r="A814" s="1" t="s">
        <v>62</v>
      </c>
      <c r="B814" s="1">
        <v>8</v>
      </c>
      <c r="C814" s="1">
        <v>10</v>
      </c>
      <c r="D814" s="1" t="str">
        <f t="shared" si="12"/>
        <v>Yes</v>
      </c>
      <c r="E814" s="1">
        <v>10.8</v>
      </c>
      <c r="F814" s="1">
        <v>85</v>
      </c>
      <c r="G814" s="1" t="s">
        <v>98</v>
      </c>
      <c r="H814" s="1" t="s">
        <v>94</v>
      </c>
      <c r="I814" s="1">
        <v>36.4</v>
      </c>
      <c r="J814" s="1" t="s">
        <v>95</v>
      </c>
      <c r="K814" s="1">
        <v>1</v>
      </c>
      <c r="L814" s="1">
        <v>0</v>
      </c>
      <c r="M814" s="1" t="s">
        <v>102</v>
      </c>
      <c r="N814" s="1" t="s">
        <v>100</v>
      </c>
    </row>
    <row r="815" spans="1:18" ht="14.25" customHeight="1" x14ac:dyDescent="0.3">
      <c r="A815" s="1" t="s">
        <v>62</v>
      </c>
      <c r="B815" s="1">
        <v>8</v>
      </c>
      <c r="C815" s="1">
        <v>25</v>
      </c>
      <c r="D815" s="1" t="str">
        <f t="shared" si="12"/>
        <v>Yes</v>
      </c>
      <c r="E815" s="1">
        <v>8.3000000000000007</v>
      </c>
      <c r="F815" s="1">
        <v>140</v>
      </c>
      <c r="G815" s="1" t="s">
        <v>109</v>
      </c>
      <c r="H815" s="1" t="s">
        <v>94</v>
      </c>
      <c r="I815" s="1">
        <v>14.6</v>
      </c>
      <c r="J815" s="1" t="s">
        <v>95</v>
      </c>
      <c r="K815" s="1">
        <v>0</v>
      </c>
      <c r="L815" s="1">
        <v>0</v>
      </c>
      <c r="M815" s="1" t="s">
        <v>101</v>
      </c>
      <c r="R815" s="1"/>
    </row>
    <row r="816" spans="1:18" ht="14.25" customHeight="1" x14ac:dyDescent="0.3">
      <c r="A816" s="1" t="s">
        <v>62</v>
      </c>
      <c r="B816" s="1">
        <v>8</v>
      </c>
      <c r="C816" s="1">
        <v>17</v>
      </c>
      <c r="D816" s="1" t="str">
        <f t="shared" si="12"/>
        <v>Yes</v>
      </c>
      <c r="E816" s="1">
        <v>7.7</v>
      </c>
      <c r="F816" s="1">
        <v>184</v>
      </c>
      <c r="G816" s="1" t="s">
        <v>106</v>
      </c>
      <c r="H816" s="1" t="s">
        <v>94</v>
      </c>
      <c r="I816" s="19">
        <v>34.1</v>
      </c>
      <c r="J816" s="1" t="s">
        <v>95</v>
      </c>
      <c r="K816" s="1">
        <v>0</v>
      </c>
      <c r="L816" s="1">
        <v>10</v>
      </c>
      <c r="M816" s="1" t="s">
        <v>102</v>
      </c>
      <c r="N816" s="1" t="s">
        <v>100</v>
      </c>
      <c r="Q816" s="1" t="s">
        <v>159</v>
      </c>
    </row>
    <row r="817" spans="1:18" ht="14.25" customHeight="1" x14ac:dyDescent="0.3">
      <c r="A817" s="1" t="s">
        <v>62</v>
      </c>
      <c r="B817" s="1">
        <v>8</v>
      </c>
      <c r="C817" s="1">
        <v>30</v>
      </c>
      <c r="D817" s="1" t="str">
        <f t="shared" si="12"/>
        <v>Yes</v>
      </c>
      <c r="E817" s="1">
        <v>9.9</v>
      </c>
      <c r="F817" s="1">
        <v>119</v>
      </c>
      <c r="G817" s="1" t="s">
        <v>106</v>
      </c>
      <c r="H817" s="1" t="s">
        <v>94</v>
      </c>
      <c r="I817" s="1">
        <v>16</v>
      </c>
      <c r="J817" s="1" t="s">
        <v>95</v>
      </c>
      <c r="K817" s="1">
        <v>0</v>
      </c>
      <c r="L817" s="1">
        <v>1</v>
      </c>
      <c r="M817" s="1" t="s">
        <v>102</v>
      </c>
      <c r="N817" s="1" t="s">
        <v>100</v>
      </c>
    </row>
    <row r="818" spans="1:18" ht="14.25" customHeight="1" x14ac:dyDescent="0.3">
      <c r="A818" s="1" t="s">
        <v>62</v>
      </c>
      <c r="B818" s="1">
        <v>8</v>
      </c>
      <c r="C818" s="1">
        <v>18</v>
      </c>
      <c r="D818" s="1" t="str">
        <f t="shared" si="12"/>
        <v>Yes</v>
      </c>
      <c r="E818" s="1">
        <v>11</v>
      </c>
      <c r="F818" s="1">
        <v>172</v>
      </c>
      <c r="G818" s="1" t="s">
        <v>106</v>
      </c>
      <c r="H818" s="1" t="s">
        <v>94</v>
      </c>
      <c r="I818" s="1">
        <v>13.9</v>
      </c>
      <c r="J818" s="1" t="s">
        <v>95</v>
      </c>
      <c r="K818" s="1">
        <v>0</v>
      </c>
      <c r="L818" s="1">
        <v>20</v>
      </c>
      <c r="M818" s="1" t="s">
        <v>101</v>
      </c>
      <c r="N818" s="1" t="s">
        <v>100</v>
      </c>
    </row>
    <row r="819" spans="1:18" ht="14.25" customHeight="1" x14ac:dyDescent="0.3">
      <c r="A819" s="1" t="s">
        <v>62</v>
      </c>
      <c r="B819" s="1">
        <v>8</v>
      </c>
      <c r="C819" s="1">
        <v>1</v>
      </c>
      <c r="D819" s="1" t="str">
        <f t="shared" si="12"/>
        <v>Yes</v>
      </c>
      <c r="E819" s="1">
        <v>10.4</v>
      </c>
      <c r="F819" s="1">
        <v>18</v>
      </c>
      <c r="G819" s="1" t="s">
        <v>93</v>
      </c>
      <c r="H819" s="1" t="s">
        <v>94</v>
      </c>
      <c r="I819" s="1">
        <v>59.5</v>
      </c>
      <c r="J819" s="1" t="s">
        <v>95</v>
      </c>
      <c r="K819" s="1">
        <v>0</v>
      </c>
      <c r="L819" s="1">
        <v>0</v>
      </c>
      <c r="M819" s="1" t="s">
        <v>102</v>
      </c>
      <c r="N819" s="1" t="s">
        <v>100</v>
      </c>
    </row>
    <row r="820" spans="1:18" ht="14.25" customHeight="1" x14ac:dyDescent="0.3">
      <c r="A820" s="1" t="s">
        <v>62</v>
      </c>
      <c r="B820" s="1">
        <v>8</v>
      </c>
      <c r="C820" s="1">
        <v>8</v>
      </c>
      <c r="D820" s="1" t="str">
        <f t="shared" si="12"/>
        <v>Yes</v>
      </c>
      <c r="E820" s="1">
        <v>3.4</v>
      </c>
      <c r="F820" s="1">
        <v>74</v>
      </c>
      <c r="G820" s="1" t="s">
        <v>93</v>
      </c>
      <c r="H820" s="1" t="s">
        <v>94</v>
      </c>
      <c r="I820" s="1">
        <v>55.7</v>
      </c>
      <c r="J820" s="1" t="s">
        <v>95</v>
      </c>
      <c r="K820" s="1">
        <v>0</v>
      </c>
      <c r="L820" s="1">
        <v>0</v>
      </c>
      <c r="M820" s="1" t="s">
        <v>102</v>
      </c>
      <c r="N820" s="1" t="s">
        <v>100</v>
      </c>
      <c r="P820" s="1">
        <v>550</v>
      </c>
      <c r="Q820" s="1" t="s">
        <v>158</v>
      </c>
    </row>
    <row r="821" spans="1:18" ht="14.25" customHeight="1" x14ac:dyDescent="0.3">
      <c r="A821" s="1" t="s">
        <v>62</v>
      </c>
      <c r="B821" s="1">
        <v>8</v>
      </c>
      <c r="C821" s="1">
        <v>13</v>
      </c>
      <c r="D821" s="1" t="str">
        <f t="shared" si="12"/>
        <v>Yes</v>
      </c>
      <c r="E821" s="1">
        <v>12.5</v>
      </c>
      <c r="F821" s="1">
        <v>349</v>
      </c>
      <c r="G821" s="1" t="s">
        <v>93</v>
      </c>
      <c r="H821" s="1" t="s">
        <v>94</v>
      </c>
      <c r="I821" s="1">
        <v>49.2</v>
      </c>
      <c r="J821" s="1" t="s">
        <v>95</v>
      </c>
      <c r="K821" s="1">
        <v>0</v>
      </c>
      <c r="L821" s="1">
        <v>0</v>
      </c>
      <c r="M821" s="1" t="s">
        <v>102</v>
      </c>
      <c r="N821" s="1" t="s">
        <v>100</v>
      </c>
    </row>
    <row r="822" spans="1:18" ht="14.25" customHeight="1" x14ac:dyDescent="0.3">
      <c r="A822" s="1" t="s">
        <v>62</v>
      </c>
      <c r="B822" s="1">
        <v>8</v>
      </c>
      <c r="C822" s="1">
        <v>12</v>
      </c>
      <c r="D822" s="1" t="str">
        <f t="shared" si="12"/>
        <v>Yes</v>
      </c>
      <c r="E822" s="1">
        <v>4.0999999999999996</v>
      </c>
      <c r="F822" s="1">
        <v>331</v>
      </c>
      <c r="G822" s="1" t="s">
        <v>93</v>
      </c>
      <c r="H822" s="1" t="s">
        <v>94</v>
      </c>
      <c r="I822" s="1">
        <v>49</v>
      </c>
      <c r="J822" s="1" t="s">
        <v>95</v>
      </c>
      <c r="K822" s="1">
        <v>0</v>
      </c>
      <c r="L822" s="1">
        <v>0</v>
      </c>
      <c r="M822" s="1" t="s">
        <v>102</v>
      </c>
      <c r="N822" s="1" t="s">
        <v>100</v>
      </c>
      <c r="P822" s="1">
        <v>551</v>
      </c>
    </row>
    <row r="823" spans="1:18" ht="14.25" customHeight="1" x14ac:dyDescent="0.3">
      <c r="A823" s="1" t="s">
        <v>62</v>
      </c>
      <c r="B823" s="1">
        <v>8</v>
      </c>
      <c r="C823" s="1">
        <v>5</v>
      </c>
      <c r="D823" s="1" t="str">
        <f t="shared" si="12"/>
        <v>Yes</v>
      </c>
      <c r="E823" s="1">
        <v>10.7</v>
      </c>
      <c r="F823" s="1">
        <v>47</v>
      </c>
      <c r="G823" s="1" t="s">
        <v>93</v>
      </c>
      <c r="H823" s="1" t="s">
        <v>94</v>
      </c>
      <c r="I823" s="1">
        <v>36.299999999999997</v>
      </c>
      <c r="J823" s="1" t="s">
        <v>95</v>
      </c>
      <c r="K823" s="1">
        <v>0</v>
      </c>
      <c r="L823" s="1">
        <v>0</v>
      </c>
      <c r="M823" s="1" t="s">
        <v>102</v>
      </c>
      <c r="N823" s="1" t="s">
        <v>100</v>
      </c>
    </row>
    <row r="824" spans="1:18" ht="14.25" customHeight="1" x14ac:dyDescent="0.3">
      <c r="A824" s="1" t="s">
        <v>62</v>
      </c>
      <c r="B824" s="1">
        <v>8</v>
      </c>
      <c r="C824" s="1">
        <v>9</v>
      </c>
      <c r="D824" s="1" t="str">
        <f t="shared" si="12"/>
        <v>Yes</v>
      </c>
      <c r="E824" s="1">
        <v>9.6999999999999993</v>
      </c>
      <c r="F824" s="1">
        <v>82</v>
      </c>
      <c r="G824" s="1" t="s">
        <v>93</v>
      </c>
      <c r="H824" s="1" t="s">
        <v>94</v>
      </c>
      <c r="I824" s="1">
        <v>34.6</v>
      </c>
      <c r="J824" s="1" t="s">
        <v>95</v>
      </c>
      <c r="K824" s="1">
        <v>0</v>
      </c>
      <c r="L824" s="1">
        <v>0</v>
      </c>
      <c r="M824" s="1" t="s">
        <v>102</v>
      </c>
      <c r="N824" s="1" t="s">
        <v>100</v>
      </c>
    </row>
    <row r="825" spans="1:18" ht="14.25" customHeight="1" x14ac:dyDescent="0.3">
      <c r="A825" s="1" t="s">
        <v>62</v>
      </c>
      <c r="B825" s="1">
        <v>8</v>
      </c>
      <c r="C825" s="1">
        <v>24</v>
      </c>
      <c r="D825" s="1" t="str">
        <f t="shared" si="12"/>
        <v>Yes</v>
      </c>
      <c r="E825" s="1">
        <v>1.2</v>
      </c>
      <c r="F825" s="1">
        <v>150</v>
      </c>
      <c r="G825" s="1" t="s">
        <v>93</v>
      </c>
      <c r="H825" s="1" t="s">
        <v>94</v>
      </c>
      <c r="I825" s="1">
        <v>29.9</v>
      </c>
      <c r="J825" s="1" t="s">
        <v>95</v>
      </c>
      <c r="K825" s="1">
        <v>0</v>
      </c>
      <c r="L825" s="1">
        <v>1</v>
      </c>
      <c r="M825" s="1" t="s">
        <v>101</v>
      </c>
      <c r="N825" s="1" t="s">
        <v>154</v>
      </c>
      <c r="P825" s="1">
        <v>549</v>
      </c>
    </row>
    <row r="826" spans="1:18" ht="14.25" customHeight="1" x14ac:dyDescent="0.3">
      <c r="A826" s="1" t="s">
        <v>62</v>
      </c>
      <c r="B826" s="1">
        <v>8</v>
      </c>
      <c r="C826" s="1">
        <v>29</v>
      </c>
      <c r="D826" s="1" t="str">
        <f t="shared" si="12"/>
        <v>Yes</v>
      </c>
      <c r="E826" s="1">
        <v>6.1</v>
      </c>
      <c r="F826" s="1">
        <v>128</v>
      </c>
      <c r="G826" s="1" t="s">
        <v>93</v>
      </c>
      <c r="H826" s="1" t="s">
        <v>94</v>
      </c>
      <c r="I826" s="1">
        <v>29.1</v>
      </c>
      <c r="J826" s="1" t="s">
        <v>95</v>
      </c>
      <c r="K826" s="1">
        <v>0</v>
      </c>
      <c r="L826" s="1">
        <v>0</v>
      </c>
      <c r="M826" s="1" t="s">
        <v>102</v>
      </c>
      <c r="N826" s="1" t="s">
        <v>160</v>
      </c>
    </row>
    <row r="827" spans="1:18" ht="14.25" customHeight="1" x14ac:dyDescent="0.3">
      <c r="A827" s="1" t="s">
        <v>62</v>
      </c>
      <c r="B827" s="1">
        <v>8</v>
      </c>
      <c r="C827" s="1">
        <v>14</v>
      </c>
      <c r="D827" s="1" t="str">
        <f t="shared" si="12"/>
        <v>Yes</v>
      </c>
      <c r="E827" s="1">
        <v>3</v>
      </c>
      <c r="F827" s="1">
        <v>269</v>
      </c>
      <c r="G827" s="1" t="s">
        <v>93</v>
      </c>
      <c r="H827" s="1" t="s">
        <v>94</v>
      </c>
      <c r="I827" s="1">
        <v>25.9</v>
      </c>
      <c r="J827" s="1" t="s">
        <v>95</v>
      </c>
      <c r="K827" s="1">
        <v>0</v>
      </c>
      <c r="L827" s="1">
        <v>0</v>
      </c>
      <c r="M827" s="1" t="s">
        <v>101</v>
      </c>
      <c r="N827" s="1" t="s">
        <v>154</v>
      </c>
      <c r="R827" s="1"/>
    </row>
    <row r="828" spans="1:18" ht="14.25" customHeight="1" x14ac:dyDescent="0.3">
      <c r="A828" s="1" t="s">
        <v>62</v>
      </c>
      <c r="B828" s="1">
        <v>8</v>
      </c>
      <c r="C828" s="1">
        <v>32</v>
      </c>
      <c r="D828" s="1" t="str">
        <f t="shared" si="12"/>
        <v>Yes</v>
      </c>
      <c r="E828" s="1">
        <v>8.6999999999999993</v>
      </c>
      <c r="F828" s="1">
        <v>91</v>
      </c>
      <c r="G828" s="1" t="s">
        <v>93</v>
      </c>
      <c r="H828" s="1" t="s">
        <v>94</v>
      </c>
      <c r="I828" s="1">
        <v>21.8</v>
      </c>
      <c r="J828" s="1" t="s">
        <v>95</v>
      </c>
      <c r="K828" s="1">
        <v>0</v>
      </c>
      <c r="L828" s="1">
        <v>0</v>
      </c>
      <c r="M828" s="1" t="s">
        <v>101</v>
      </c>
      <c r="N828" s="1" t="s">
        <v>118</v>
      </c>
    </row>
    <row r="829" spans="1:18" ht="14.25" customHeight="1" x14ac:dyDescent="0.3">
      <c r="A829" s="1" t="s">
        <v>62</v>
      </c>
      <c r="B829" s="1">
        <v>8</v>
      </c>
      <c r="C829" s="1">
        <v>15</v>
      </c>
      <c r="D829" s="1" t="str">
        <f t="shared" si="12"/>
        <v>Yes</v>
      </c>
      <c r="E829" s="1">
        <v>4.0999999999999996</v>
      </c>
      <c r="F829" s="1">
        <v>266</v>
      </c>
      <c r="G829" s="1" t="s">
        <v>93</v>
      </c>
      <c r="H829" s="1" t="s">
        <v>94</v>
      </c>
      <c r="I829" s="1">
        <v>20.3</v>
      </c>
      <c r="J829" s="1" t="s">
        <v>95</v>
      </c>
      <c r="K829" s="1">
        <v>0</v>
      </c>
      <c r="L829" s="1">
        <v>0</v>
      </c>
      <c r="M829" s="1" t="s">
        <v>101</v>
      </c>
      <c r="N829" s="1" t="s">
        <v>154</v>
      </c>
    </row>
    <row r="830" spans="1:18" ht="14.25" customHeight="1" x14ac:dyDescent="0.3">
      <c r="A830" s="1" t="s">
        <v>62</v>
      </c>
      <c r="B830" s="1">
        <v>8</v>
      </c>
      <c r="C830" s="1">
        <v>4</v>
      </c>
      <c r="D830" s="1" t="str">
        <f t="shared" si="12"/>
        <v>Yes</v>
      </c>
      <c r="E830" s="1">
        <v>4.4000000000000004</v>
      </c>
      <c r="F830" s="1">
        <v>45</v>
      </c>
      <c r="G830" s="1" t="s">
        <v>93</v>
      </c>
      <c r="H830" s="1" t="s">
        <v>94</v>
      </c>
      <c r="I830" s="1">
        <v>18.100000000000001</v>
      </c>
      <c r="J830" s="1" t="s">
        <v>95</v>
      </c>
      <c r="K830" s="1">
        <v>5</v>
      </c>
      <c r="L830" s="1">
        <v>20</v>
      </c>
      <c r="M830" s="1" t="s">
        <v>101</v>
      </c>
      <c r="N830" s="1" t="s">
        <v>100</v>
      </c>
    </row>
    <row r="831" spans="1:18" ht="14.25" customHeight="1" x14ac:dyDescent="0.3">
      <c r="A831" s="1" t="s">
        <v>62</v>
      </c>
      <c r="B831" s="1">
        <v>8</v>
      </c>
      <c r="C831" s="1">
        <v>20</v>
      </c>
      <c r="D831" s="1" t="str">
        <f t="shared" si="12"/>
        <v>Yes</v>
      </c>
      <c r="E831" s="1">
        <v>2.6</v>
      </c>
      <c r="F831" s="1">
        <v>178</v>
      </c>
      <c r="G831" s="1" t="s">
        <v>93</v>
      </c>
      <c r="H831" s="1" t="s">
        <v>94</v>
      </c>
      <c r="I831" s="1">
        <v>15.5</v>
      </c>
      <c r="J831" s="1" t="s">
        <v>95</v>
      </c>
      <c r="K831" s="1">
        <v>0</v>
      </c>
      <c r="L831" s="1">
        <v>0</v>
      </c>
      <c r="M831" s="1" t="s">
        <v>101</v>
      </c>
      <c r="N831" s="1" t="s">
        <v>153</v>
      </c>
    </row>
    <row r="832" spans="1:18" ht="14.25" customHeight="1" x14ac:dyDescent="0.3">
      <c r="A832" s="1" t="s">
        <v>62</v>
      </c>
      <c r="B832" s="1">
        <v>8</v>
      </c>
      <c r="C832" s="1">
        <v>6</v>
      </c>
      <c r="D832" s="1" t="str">
        <f t="shared" si="12"/>
        <v>Yes</v>
      </c>
      <c r="E832" s="1">
        <v>12</v>
      </c>
      <c r="F832" s="1">
        <v>48</v>
      </c>
      <c r="G832" s="1" t="s">
        <v>93</v>
      </c>
      <c r="H832" s="1" t="s">
        <v>94</v>
      </c>
      <c r="I832" s="1">
        <v>11.8</v>
      </c>
      <c r="J832" s="1" t="s">
        <v>95</v>
      </c>
      <c r="K832" s="1">
        <v>0</v>
      </c>
      <c r="L832" s="1">
        <v>0</v>
      </c>
      <c r="M832" s="1" t="s">
        <v>101</v>
      </c>
      <c r="N832" s="1" t="s">
        <v>100</v>
      </c>
      <c r="Q832" s="1" t="s">
        <v>157</v>
      </c>
    </row>
    <row r="833" spans="1:18" ht="14.25" customHeight="1" x14ac:dyDescent="0.3">
      <c r="A833" s="1" t="s">
        <v>62</v>
      </c>
      <c r="B833" s="1">
        <v>8</v>
      </c>
      <c r="C833" s="1">
        <v>23</v>
      </c>
      <c r="D833" s="1" t="str">
        <f t="shared" si="12"/>
        <v>Yes</v>
      </c>
      <c r="E833" s="1">
        <v>8.1999999999999993</v>
      </c>
      <c r="F833" s="1">
        <v>147</v>
      </c>
      <c r="G833" s="1" t="s">
        <v>93</v>
      </c>
      <c r="H833" s="1" t="s">
        <v>94</v>
      </c>
      <c r="I833" s="1">
        <v>11.8</v>
      </c>
      <c r="J833" s="1" t="s">
        <v>95</v>
      </c>
      <c r="K833" s="1">
        <v>0</v>
      </c>
      <c r="L833" s="1">
        <v>1</v>
      </c>
      <c r="M833" s="1" t="s">
        <v>101</v>
      </c>
      <c r="N833" s="1" t="s">
        <v>153</v>
      </c>
      <c r="R833" s="1"/>
    </row>
    <row r="834" spans="1:18" ht="14.25" customHeight="1" x14ac:dyDescent="0.3">
      <c r="A834" s="1" t="s">
        <v>62</v>
      </c>
      <c r="B834" s="1">
        <v>8</v>
      </c>
      <c r="C834" s="1">
        <v>33</v>
      </c>
      <c r="D834" s="1" t="str">
        <f t="shared" ref="D834:D897" si="13">IF(E834&gt;12.5, "No", "Yes")</f>
        <v>Yes</v>
      </c>
      <c r="E834" s="1">
        <v>10.199999999999999</v>
      </c>
      <c r="F834" s="1">
        <v>91</v>
      </c>
      <c r="G834" s="1" t="s">
        <v>93</v>
      </c>
      <c r="H834" s="1" t="s">
        <v>94</v>
      </c>
      <c r="I834" s="1">
        <v>7.8</v>
      </c>
      <c r="J834" s="1" t="s">
        <v>95</v>
      </c>
      <c r="K834" s="1">
        <v>0</v>
      </c>
      <c r="L834" s="1">
        <v>1</v>
      </c>
      <c r="M834" s="1" t="s">
        <v>101</v>
      </c>
      <c r="N834" s="1" t="s">
        <v>161</v>
      </c>
    </row>
    <row r="835" spans="1:18" ht="14.25" customHeight="1" x14ac:dyDescent="0.3">
      <c r="A835" s="1" t="s">
        <v>62</v>
      </c>
      <c r="B835" s="1">
        <v>9</v>
      </c>
      <c r="C835" s="1">
        <v>5</v>
      </c>
      <c r="D835" s="1" t="str">
        <f t="shared" si="13"/>
        <v>No</v>
      </c>
      <c r="E835" s="1">
        <v>12.9</v>
      </c>
      <c r="F835" s="1">
        <v>38</v>
      </c>
      <c r="G835" s="1" t="s">
        <v>93</v>
      </c>
      <c r="H835" s="1" t="s">
        <v>95</v>
      </c>
      <c r="I835" s="1">
        <v>100.2</v>
      </c>
      <c r="J835" s="1" t="s">
        <v>95</v>
      </c>
      <c r="M835" s="1" t="s">
        <v>102</v>
      </c>
      <c r="O835" s="1">
        <v>5</v>
      </c>
    </row>
    <row r="836" spans="1:18" ht="14.25" customHeight="1" x14ac:dyDescent="0.3">
      <c r="A836" s="1" t="s">
        <v>62</v>
      </c>
      <c r="B836" s="1">
        <v>9</v>
      </c>
      <c r="D836" s="1" t="str">
        <f t="shared" si="13"/>
        <v>No</v>
      </c>
      <c r="E836" s="1">
        <v>14</v>
      </c>
      <c r="F836" s="1">
        <v>128</v>
      </c>
      <c r="G836" s="1" t="s">
        <v>93</v>
      </c>
      <c r="H836" s="1" t="s">
        <v>95</v>
      </c>
      <c r="I836" s="1">
        <v>38.799999999999997</v>
      </c>
      <c r="J836" s="1" t="s">
        <v>95</v>
      </c>
      <c r="M836" s="1" t="s">
        <v>101</v>
      </c>
      <c r="O836" s="1">
        <v>1</v>
      </c>
      <c r="P836" s="1">
        <v>611</v>
      </c>
    </row>
    <row r="837" spans="1:18" ht="14.25" customHeight="1" x14ac:dyDescent="0.3">
      <c r="A837" s="1" t="s">
        <v>62</v>
      </c>
      <c r="B837" s="1">
        <v>9</v>
      </c>
      <c r="C837" s="1">
        <v>1</v>
      </c>
      <c r="D837" s="1" t="str">
        <f t="shared" si="13"/>
        <v>Yes</v>
      </c>
      <c r="E837" s="1">
        <v>7</v>
      </c>
      <c r="F837" s="1">
        <v>1</v>
      </c>
      <c r="G837" s="66" t="s">
        <v>111</v>
      </c>
      <c r="H837" s="1" t="s">
        <v>95</v>
      </c>
      <c r="I837" s="1">
        <v>78.7</v>
      </c>
      <c r="J837" s="1" t="s">
        <v>95</v>
      </c>
      <c r="M837" s="1" t="s">
        <v>102</v>
      </c>
      <c r="O837" s="1">
        <v>1</v>
      </c>
      <c r="P837" s="1">
        <v>610</v>
      </c>
    </row>
    <row r="838" spans="1:18" ht="14.25" customHeight="1" x14ac:dyDescent="0.3">
      <c r="A838" s="1" t="s">
        <v>62</v>
      </c>
      <c r="B838" s="1">
        <v>9</v>
      </c>
      <c r="C838" s="1">
        <v>14</v>
      </c>
      <c r="D838" s="1" t="str">
        <f t="shared" si="13"/>
        <v>Yes</v>
      </c>
      <c r="E838" s="1">
        <v>10</v>
      </c>
      <c r="F838" s="1">
        <v>279</v>
      </c>
      <c r="G838" s="66" t="s">
        <v>111</v>
      </c>
      <c r="H838" s="1" t="s">
        <v>95</v>
      </c>
      <c r="I838" s="1">
        <v>65</v>
      </c>
      <c r="J838" s="1" t="s">
        <v>101</v>
      </c>
      <c r="M838" s="1" t="s">
        <v>102</v>
      </c>
      <c r="O838" s="1">
        <v>5</v>
      </c>
      <c r="Q838" s="1" t="s">
        <v>162</v>
      </c>
    </row>
    <row r="839" spans="1:18" ht="14.25" customHeight="1" x14ac:dyDescent="0.3">
      <c r="A839" s="1" t="s">
        <v>62</v>
      </c>
      <c r="B839" s="1">
        <v>9</v>
      </c>
      <c r="C839" s="1">
        <v>7</v>
      </c>
      <c r="D839" s="1" t="str">
        <f t="shared" si="13"/>
        <v>Yes</v>
      </c>
      <c r="E839" s="1">
        <v>11.3</v>
      </c>
      <c r="F839" s="1">
        <v>202</v>
      </c>
      <c r="G839" s="66" t="s">
        <v>111</v>
      </c>
      <c r="H839" s="1" t="s">
        <v>95</v>
      </c>
      <c r="I839" s="1">
        <v>11.9</v>
      </c>
      <c r="J839" s="1" t="s">
        <v>95</v>
      </c>
      <c r="M839" s="1" t="s">
        <v>101</v>
      </c>
      <c r="O839" s="1">
        <v>2</v>
      </c>
    </row>
    <row r="840" spans="1:18" ht="14.25" customHeight="1" x14ac:dyDescent="0.3">
      <c r="A840" s="1" t="s">
        <v>62</v>
      </c>
      <c r="B840" s="1">
        <v>9</v>
      </c>
      <c r="C840" s="1">
        <v>8</v>
      </c>
      <c r="D840" s="1" t="str">
        <f t="shared" si="13"/>
        <v>Yes</v>
      </c>
      <c r="E840" s="1">
        <v>1.9</v>
      </c>
      <c r="F840" s="1">
        <v>229</v>
      </c>
      <c r="G840" s="1" t="s">
        <v>109</v>
      </c>
      <c r="H840" s="1" t="s">
        <v>95</v>
      </c>
      <c r="I840" s="1">
        <v>48.2</v>
      </c>
      <c r="J840" s="1" t="s">
        <v>95</v>
      </c>
      <c r="M840" s="1" t="s">
        <v>102</v>
      </c>
      <c r="O840" s="1">
        <v>5</v>
      </c>
    </row>
    <row r="841" spans="1:18" ht="14.25" customHeight="1" x14ac:dyDescent="0.3">
      <c r="A841" s="1" t="s">
        <v>62</v>
      </c>
      <c r="B841" s="1">
        <v>9</v>
      </c>
      <c r="C841" s="1">
        <v>11</v>
      </c>
      <c r="D841" s="1" t="str">
        <f t="shared" si="13"/>
        <v>Yes</v>
      </c>
      <c r="E841" s="1">
        <v>8.6</v>
      </c>
      <c r="F841" s="1">
        <v>268</v>
      </c>
      <c r="G841" s="1" t="s">
        <v>109</v>
      </c>
      <c r="H841" s="1" t="s">
        <v>95</v>
      </c>
      <c r="I841" s="1">
        <v>45</v>
      </c>
      <c r="J841" s="1" t="s">
        <v>101</v>
      </c>
      <c r="M841" s="1" t="s">
        <v>102</v>
      </c>
      <c r="O841" s="1">
        <v>5</v>
      </c>
      <c r="Q841" s="1" t="s">
        <v>162</v>
      </c>
    </row>
    <row r="842" spans="1:18" ht="14.25" customHeight="1" x14ac:dyDescent="0.3">
      <c r="A842" s="1" t="s">
        <v>62</v>
      </c>
      <c r="B842" s="1">
        <v>9</v>
      </c>
      <c r="C842" s="1">
        <v>9</v>
      </c>
      <c r="D842" s="1" t="str">
        <f t="shared" si="13"/>
        <v>Yes</v>
      </c>
      <c r="E842" s="1">
        <v>8</v>
      </c>
      <c r="F842" s="1">
        <v>244</v>
      </c>
      <c r="G842" s="1" t="s">
        <v>109</v>
      </c>
      <c r="H842" s="1" t="s">
        <v>95</v>
      </c>
      <c r="I842" s="1">
        <v>41.2</v>
      </c>
      <c r="J842" s="1" t="s">
        <v>95</v>
      </c>
      <c r="M842" s="1" t="s">
        <v>102</v>
      </c>
      <c r="O842" s="1">
        <v>5</v>
      </c>
    </row>
    <row r="843" spans="1:18" ht="14.25" customHeight="1" x14ac:dyDescent="0.3">
      <c r="A843" s="1" t="s">
        <v>62</v>
      </c>
      <c r="B843" s="1">
        <v>9</v>
      </c>
      <c r="C843" s="1">
        <v>2</v>
      </c>
      <c r="D843" s="1" t="str">
        <f t="shared" si="13"/>
        <v>Yes</v>
      </c>
      <c r="E843" s="1">
        <v>10.9</v>
      </c>
      <c r="F843" s="1">
        <v>5</v>
      </c>
      <c r="G843" s="1" t="s">
        <v>106</v>
      </c>
      <c r="H843" s="1" t="s">
        <v>95</v>
      </c>
      <c r="I843" s="1">
        <v>97</v>
      </c>
      <c r="J843" s="1" t="s">
        <v>95</v>
      </c>
      <c r="M843" s="1" t="s">
        <v>102</v>
      </c>
      <c r="O843" s="1">
        <v>5</v>
      </c>
      <c r="Q843" s="1" t="s">
        <v>162</v>
      </c>
    </row>
    <row r="844" spans="1:18" ht="14.25" customHeight="1" x14ac:dyDescent="0.3">
      <c r="A844" s="1" t="s">
        <v>62</v>
      </c>
      <c r="B844" s="1">
        <v>9</v>
      </c>
      <c r="C844" s="1">
        <v>6</v>
      </c>
      <c r="D844" s="1" t="str">
        <f t="shared" si="13"/>
        <v>Yes</v>
      </c>
      <c r="E844" s="1">
        <v>12.2</v>
      </c>
      <c r="F844" s="19">
        <v>192</v>
      </c>
      <c r="G844" s="1" t="s">
        <v>93</v>
      </c>
      <c r="H844" s="1" t="s">
        <v>95</v>
      </c>
      <c r="I844" s="1">
        <v>60</v>
      </c>
      <c r="J844" s="1" t="s">
        <v>101</v>
      </c>
      <c r="M844" s="1" t="s">
        <v>102</v>
      </c>
      <c r="O844" s="1">
        <v>5</v>
      </c>
      <c r="Q844" s="1" t="s">
        <v>162</v>
      </c>
    </row>
    <row r="845" spans="1:18" ht="14.25" customHeight="1" x14ac:dyDescent="0.3">
      <c r="A845" s="1" t="s">
        <v>62</v>
      </c>
      <c r="B845" s="1">
        <v>9</v>
      </c>
      <c r="C845" s="1">
        <v>15</v>
      </c>
      <c r="D845" s="1" t="str">
        <f t="shared" si="13"/>
        <v>Yes</v>
      </c>
      <c r="E845" s="1">
        <v>12.1</v>
      </c>
      <c r="F845" s="1">
        <v>280</v>
      </c>
      <c r="G845" s="1" t="s">
        <v>93</v>
      </c>
      <c r="H845" s="1" t="s">
        <v>95</v>
      </c>
      <c r="I845" s="1">
        <v>37.799999999999997</v>
      </c>
      <c r="J845" s="1" t="s">
        <v>95</v>
      </c>
      <c r="M845" s="1" t="s">
        <v>101</v>
      </c>
      <c r="O845" s="1">
        <v>1</v>
      </c>
    </row>
    <row r="846" spans="1:18" ht="14.25" customHeight="1" x14ac:dyDescent="0.3">
      <c r="A846" s="1" t="s">
        <v>62</v>
      </c>
      <c r="B846" s="1">
        <v>9</v>
      </c>
      <c r="C846" s="1">
        <v>4</v>
      </c>
      <c r="D846" s="1" t="str">
        <f t="shared" si="13"/>
        <v>Yes</v>
      </c>
      <c r="E846" s="1">
        <v>11.6</v>
      </c>
      <c r="F846" s="1">
        <v>3</v>
      </c>
      <c r="G846" s="1" t="s">
        <v>93</v>
      </c>
      <c r="H846" s="1" t="s">
        <v>95</v>
      </c>
      <c r="I846" s="1">
        <v>31</v>
      </c>
      <c r="J846" s="1" t="s">
        <v>95</v>
      </c>
      <c r="M846" s="1" t="s">
        <v>101</v>
      </c>
      <c r="O846" s="1">
        <v>1</v>
      </c>
    </row>
    <row r="847" spans="1:18" ht="14.25" customHeight="1" x14ac:dyDescent="0.3">
      <c r="A847" s="1" t="s">
        <v>62</v>
      </c>
      <c r="B847" s="1">
        <v>9</v>
      </c>
      <c r="C847" s="1">
        <v>12</v>
      </c>
      <c r="D847" s="1" t="str">
        <f t="shared" si="13"/>
        <v>Yes</v>
      </c>
      <c r="E847" s="1">
        <v>6.1</v>
      </c>
      <c r="F847" s="1">
        <v>272</v>
      </c>
      <c r="G847" s="1" t="s">
        <v>93</v>
      </c>
      <c r="H847" s="1" t="s">
        <v>95</v>
      </c>
      <c r="I847" s="1">
        <v>26.3</v>
      </c>
      <c r="J847" s="1" t="s">
        <v>95</v>
      </c>
      <c r="M847" s="1" t="s">
        <v>101</v>
      </c>
      <c r="O847" s="1">
        <v>1</v>
      </c>
    </row>
    <row r="848" spans="1:18" ht="14.25" customHeight="1" x14ac:dyDescent="0.3">
      <c r="A848" s="1" t="s">
        <v>62</v>
      </c>
      <c r="B848" s="1">
        <v>9</v>
      </c>
      <c r="C848" s="1">
        <v>13</v>
      </c>
      <c r="D848" s="1" t="str">
        <f t="shared" si="13"/>
        <v>Yes</v>
      </c>
      <c r="E848" s="1">
        <v>5.5</v>
      </c>
      <c r="F848" s="1">
        <v>273</v>
      </c>
      <c r="G848" s="1" t="s">
        <v>93</v>
      </c>
      <c r="H848" s="1" t="s">
        <v>95</v>
      </c>
      <c r="I848" s="1">
        <v>23.8</v>
      </c>
      <c r="J848" s="1" t="s">
        <v>95</v>
      </c>
      <c r="M848" s="1" t="s">
        <v>101</v>
      </c>
      <c r="O848" s="1">
        <v>2</v>
      </c>
      <c r="R848" s="1"/>
    </row>
    <row r="849" spans="1:18" ht="14.25" customHeight="1" x14ac:dyDescent="0.3">
      <c r="A849" s="1" t="s">
        <v>62</v>
      </c>
      <c r="B849" s="1">
        <v>9</v>
      </c>
      <c r="C849" s="1">
        <v>17</v>
      </c>
      <c r="D849" s="1" t="str">
        <f t="shared" si="13"/>
        <v>Yes</v>
      </c>
      <c r="E849" s="1">
        <v>11.6</v>
      </c>
      <c r="F849" s="1">
        <v>311</v>
      </c>
      <c r="G849" s="1" t="s">
        <v>93</v>
      </c>
      <c r="H849" s="1" t="s">
        <v>95</v>
      </c>
      <c r="I849" s="1">
        <v>21.4</v>
      </c>
      <c r="J849" s="1" t="s">
        <v>95</v>
      </c>
      <c r="M849" s="1" t="s">
        <v>101</v>
      </c>
      <c r="O849" s="1">
        <v>1</v>
      </c>
    </row>
    <row r="850" spans="1:18" ht="14.25" customHeight="1" x14ac:dyDescent="0.3">
      <c r="A850" s="1" t="s">
        <v>62</v>
      </c>
      <c r="B850" s="1">
        <v>9</v>
      </c>
      <c r="C850" s="1">
        <v>18</v>
      </c>
      <c r="D850" s="1" t="str">
        <f t="shared" si="13"/>
        <v>Yes</v>
      </c>
      <c r="E850" s="1">
        <v>5.9</v>
      </c>
      <c r="F850" s="1">
        <v>334</v>
      </c>
      <c r="G850" s="1" t="s">
        <v>93</v>
      </c>
      <c r="H850" s="1" t="s">
        <v>95</v>
      </c>
      <c r="I850" s="1">
        <v>15.6</v>
      </c>
      <c r="J850" s="1" t="s">
        <v>95</v>
      </c>
      <c r="M850" s="1" t="s">
        <v>101</v>
      </c>
      <c r="O850" s="1">
        <v>2</v>
      </c>
      <c r="P850" s="1">
        <v>609</v>
      </c>
      <c r="R850" s="1"/>
    </row>
    <row r="851" spans="1:18" ht="14.25" customHeight="1" x14ac:dyDescent="0.3">
      <c r="A851" s="1" t="s">
        <v>62</v>
      </c>
      <c r="B851" s="1">
        <v>9</v>
      </c>
      <c r="C851" s="1">
        <v>16</v>
      </c>
      <c r="D851" s="1" t="str">
        <f t="shared" si="13"/>
        <v>Yes</v>
      </c>
      <c r="E851" s="1">
        <v>7.4</v>
      </c>
      <c r="F851" s="1">
        <v>286</v>
      </c>
      <c r="G851" s="1" t="s">
        <v>93</v>
      </c>
      <c r="H851" s="1" t="s">
        <v>95</v>
      </c>
      <c r="I851" s="19">
        <v>14.7</v>
      </c>
      <c r="J851" s="1" t="s">
        <v>95</v>
      </c>
      <c r="M851" s="1" t="s">
        <v>101</v>
      </c>
      <c r="O851" s="1">
        <v>2</v>
      </c>
      <c r="R851" s="1"/>
    </row>
    <row r="852" spans="1:18" ht="14.25" customHeight="1" x14ac:dyDescent="0.3">
      <c r="A852" s="1" t="s">
        <v>62</v>
      </c>
      <c r="B852" s="1">
        <v>9</v>
      </c>
      <c r="C852" s="1">
        <v>10</v>
      </c>
      <c r="D852" s="1" t="str">
        <f t="shared" si="13"/>
        <v>Yes</v>
      </c>
      <c r="E852" s="1">
        <v>12.5</v>
      </c>
      <c r="F852" s="1">
        <v>244</v>
      </c>
      <c r="G852" s="1" t="s">
        <v>93</v>
      </c>
      <c r="H852" s="1" t="s">
        <v>95</v>
      </c>
      <c r="I852" s="1">
        <v>11.3</v>
      </c>
      <c r="J852" s="1" t="s">
        <v>95</v>
      </c>
      <c r="M852" s="1" t="s">
        <v>101</v>
      </c>
      <c r="O852" s="1">
        <v>3</v>
      </c>
    </row>
    <row r="853" spans="1:18" ht="14.25" customHeight="1" x14ac:dyDescent="0.3">
      <c r="A853" s="1" t="s">
        <v>62</v>
      </c>
      <c r="B853" s="1">
        <v>9</v>
      </c>
      <c r="C853" s="1">
        <v>3</v>
      </c>
      <c r="D853" s="1" t="str">
        <f t="shared" si="13"/>
        <v>Yes</v>
      </c>
      <c r="E853" s="1">
        <v>11.4</v>
      </c>
      <c r="F853" s="1">
        <v>4</v>
      </c>
      <c r="G853" s="1" t="s">
        <v>93</v>
      </c>
      <c r="H853" s="1" t="s">
        <v>95</v>
      </c>
      <c r="I853" s="1">
        <v>10.5</v>
      </c>
      <c r="J853" s="1" t="s">
        <v>95</v>
      </c>
      <c r="M853" s="1" t="s">
        <v>101</v>
      </c>
      <c r="O853" s="1">
        <v>4</v>
      </c>
      <c r="R853" s="1"/>
    </row>
    <row r="854" spans="1:18" ht="14.25" customHeight="1" x14ac:dyDescent="0.3">
      <c r="A854" s="1" t="s">
        <v>62</v>
      </c>
      <c r="B854" s="1">
        <v>10</v>
      </c>
      <c r="C854" s="1">
        <v>22</v>
      </c>
      <c r="D854" s="1" t="str">
        <f t="shared" si="13"/>
        <v>No</v>
      </c>
      <c r="E854" s="1">
        <v>14.3</v>
      </c>
      <c r="F854" s="1">
        <v>216</v>
      </c>
      <c r="G854" s="1" t="s">
        <v>96</v>
      </c>
      <c r="H854" s="1" t="s">
        <v>94</v>
      </c>
      <c r="I854" s="30">
        <v>11.11</v>
      </c>
      <c r="J854" s="1" t="s">
        <v>95</v>
      </c>
      <c r="K854" s="1">
        <v>0</v>
      </c>
      <c r="L854" s="1">
        <v>15</v>
      </c>
      <c r="M854" s="1" t="s">
        <v>95</v>
      </c>
      <c r="N854" s="1" t="s">
        <v>128</v>
      </c>
      <c r="P854" s="1">
        <v>565</v>
      </c>
      <c r="Q854" s="31" t="s">
        <v>987</v>
      </c>
    </row>
    <row r="855" spans="1:18" ht="14.25" customHeight="1" x14ac:dyDescent="0.3">
      <c r="A855" s="1" t="s">
        <v>62</v>
      </c>
      <c r="B855" s="1">
        <v>10</v>
      </c>
      <c r="C855" s="1">
        <v>6</v>
      </c>
      <c r="D855" s="1" t="str">
        <f t="shared" si="13"/>
        <v>Yes</v>
      </c>
      <c r="E855" s="1">
        <v>4.5</v>
      </c>
      <c r="F855" s="1">
        <v>115</v>
      </c>
      <c r="G855" s="66" t="s">
        <v>111</v>
      </c>
      <c r="H855" s="1" t="s">
        <v>95</v>
      </c>
      <c r="I855" s="1">
        <v>54.5</v>
      </c>
      <c r="J855" s="1" t="s">
        <v>95</v>
      </c>
      <c r="M855" s="1" t="s">
        <v>102</v>
      </c>
      <c r="O855" s="1">
        <v>2</v>
      </c>
      <c r="Q855" s="1" t="s">
        <v>163</v>
      </c>
    </row>
    <row r="856" spans="1:18" ht="14.25" customHeight="1" x14ac:dyDescent="0.3">
      <c r="A856" s="1" t="s">
        <v>62</v>
      </c>
      <c r="B856" s="1">
        <v>10</v>
      </c>
      <c r="C856" s="1">
        <v>7</v>
      </c>
      <c r="D856" s="1" t="str">
        <f t="shared" si="13"/>
        <v>Yes</v>
      </c>
      <c r="E856" s="1">
        <v>12.5</v>
      </c>
      <c r="F856" s="1">
        <v>135</v>
      </c>
      <c r="G856" s="1" t="s">
        <v>93</v>
      </c>
      <c r="H856" s="1" t="s">
        <v>95</v>
      </c>
      <c r="I856" s="1">
        <v>64.400000000000006</v>
      </c>
      <c r="J856" s="1" t="s">
        <v>95</v>
      </c>
      <c r="M856" s="1" t="s">
        <v>102</v>
      </c>
      <c r="O856" s="1">
        <v>5</v>
      </c>
    </row>
    <row r="857" spans="1:18" ht="14.25" customHeight="1" x14ac:dyDescent="0.3">
      <c r="A857" s="1" t="s">
        <v>62</v>
      </c>
      <c r="B857" s="1">
        <v>10</v>
      </c>
      <c r="C857" s="1">
        <v>8</v>
      </c>
      <c r="D857" s="1" t="str">
        <f t="shared" si="13"/>
        <v>Yes</v>
      </c>
      <c r="E857" s="1">
        <v>10.3</v>
      </c>
      <c r="F857" s="1">
        <v>100</v>
      </c>
      <c r="G857" s="1" t="s">
        <v>93</v>
      </c>
      <c r="H857" s="1" t="s">
        <v>95</v>
      </c>
      <c r="I857" s="1">
        <v>63.6</v>
      </c>
      <c r="J857" s="1" t="s">
        <v>95</v>
      </c>
      <c r="M857" s="1" t="s">
        <v>102</v>
      </c>
      <c r="O857" s="1">
        <v>5</v>
      </c>
    </row>
    <row r="858" spans="1:18" ht="14.25" customHeight="1" x14ac:dyDescent="0.3">
      <c r="A858" s="1" t="s">
        <v>62</v>
      </c>
      <c r="B858" s="1">
        <v>10</v>
      </c>
      <c r="C858" s="1">
        <v>20</v>
      </c>
      <c r="D858" s="1" t="str">
        <f t="shared" si="13"/>
        <v>Yes</v>
      </c>
      <c r="E858" s="1">
        <v>11.6</v>
      </c>
      <c r="F858" s="1">
        <v>285</v>
      </c>
      <c r="G858" s="1" t="s">
        <v>93</v>
      </c>
      <c r="H858" s="1" t="s">
        <v>95</v>
      </c>
      <c r="I858" s="1">
        <v>54.7</v>
      </c>
      <c r="J858" s="1" t="s">
        <v>95</v>
      </c>
      <c r="M858" s="1" t="s">
        <v>102</v>
      </c>
      <c r="O858" s="1">
        <v>3</v>
      </c>
    </row>
    <row r="859" spans="1:18" ht="14.25" customHeight="1" x14ac:dyDescent="0.3">
      <c r="A859" s="1" t="s">
        <v>62</v>
      </c>
      <c r="B859" s="1">
        <v>10</v>
      </c>
      <c r="C859" s="1">
        <v>11</v>
      </c>
      <c r="D859" s="1" t="str">
        <f t="shared" si="13"/>
        <v>Yes</v>
      </c>
      <c r="E859" s="1">
        <v>10.4</v>
      </c>
      <c r="F859" s="1">
        <v>83</v>
      </c>
      <c r="G859" s="1" t="s">
        <v>93</v>
      </c>
      <c r="H859" s="1" t="s">
        <v>95</v>
      </c>
      <c r="I859" s="1">
        <v>45.5</v>
      </c>
      <c r="J859" s="1" t="s">
        <v>101</v>
      </c>
      <c r="M859" s="1" t="s">
        <v>102</v>
      </c>
      <c r="O859" s="1">
        <v>5</v>
      </c>
      <c r="Q859" s="1" t="s">
        <v>162</v>
      </c>
    </row>
    <row r="860" spans="1:18" ht="14.25" customHeight="1" x14ac:dyDescent="0.3">
      <c r="A860" s="1" t="s">
        <v>62</v>
      </c>
      <c r="B860" s="1">
        <v>10</v>
      </c>
      <c r="C860" s="1">
        <v>4</v>
      </c>
      <c r="D860" s="1" t="str">
        <f t="shared" si="13"/>
        <v>Yes</v>
      </c>
      <c r="E860" s="1">
        <v>8.5</v>
      </c>
      <c r="F860" s="1">
        <v>202</v>
      </c>
      <c r="G860" s="1" t="s">
        <v>93</v>
      </c>
      <c r="H860" s="1" t="s">
        <v>95</v>
      </c>
      <c r="I860" s="1">
        <v>43.8</v>
      </c>
      <c r="J860" s="1" t="s">
        <v>95</v>
      </c>
      <c r="M860" s="1" t="s">
        <v>101</v>
      </c>
      <c r="O860" s="1">
        <v>3</v>
      </c>
    </row>
    <row r="861" spans="1:18" ht="14.25" customHeight="1" x14ac:dyDescent="0.3">
      <c r="A861" s="1" t="s">
        <v>62</v>
      </c>
      <c r="B861" s="1">
        <v>10</v>
      </c>
      <c r="C861" s="1">
        <v>17</v>
      </c>
      <c r="D861" s="1" t="str">
        <f t="shared" si="13"/>
        <v>Yes</v>
      </c>
      <c r="E861" s="1">
        <v>8.1999999999999993</v>
      </c>
      <c r="F861" s="1">
        <v>297</v>
      </c>
      <c r="G861" s="1" t="s">
        <v>93</v>
      </c>
      <c r="H861" s="1" t="s">
        <v>95</v>
      </c>
      <c r="I861" s="1">
        <v>36.700000000000003</v>
      </c>
      <c r="J861" s="1" t="s">
        <v>95</v>
      </c>
      <c r="M861" s="1" t="s">
        <v>102</v>
      </c>
      <c r="O861" s="1">
        <v>1</v>
      </c>
    </row>
    <row r="862" spans="1:18" ht="14.25" customHeight="1" x14ac:dyDescent="0.3">
      <c r="A862" s="1" t="s">
        <v>62</v>
      </c>
      <c r="B862" s="1">
        <v>10</v>
      </c>
      <c r="C862" s="1">
        <v>3</v>
      </c>
      <c r="D862" s="1" t="str">
        <f t="shared" si="13"/>
        <v>Yes</v>
      </c>
      <c r="E862" s="1">
        <v>7.4</v>
      </c>
      <c r="F862" s="1">
        <v>206</v>
      </c>
      <c r="G862" s="1" t="s">
        <v>93</v>
      </c>
      <c r="H862" s="1" t="s">
        <v>95</v>
      </c>
      <c r="I862" s="1">
        <v>30.9</v>
      </c>
      <c r="J862" s="1" t="s">
        <v>95</v>
      </c>
      <c r="M862" s="1" t="s">
        <v>101</v>
      </c>
      <c r="O862" s="1">
        <v>1</v>
      </c>
    </row>
    <row r="863" spans="1:18" ht="14.25" customHeight="1" x14ac:dyDescent="0.3">
      <c r="A863" s="1" t="s">
        <v>62</v>
      </c>
      <c r="B863" s="1">
        <v>10</v>
      </c>
      <c r="C863" s="1">
        <v>15</v>
      </c>
      <c r="D863" s="1" t="str">
        <f t="shared" si="13"/>
        <v>Yes</v>
      </c>
      <c r="E863" s="1">
        <v>5.2</v>
      </c>
      <c r="F863" s="1">
        <v>306</v>
      </c>
      <c r="G863" s="1" t="s">
        <v>93</v>
      </c>
      <c r="H863" s="1" t="s">
        <v>95</v>
      </c>
      <c r="I863" s="1">
        <v>20.8</v>
      </c>
      <c r="J863" s="1" t="s">
        <v>95</v>
      </c>
      <c r="M863" s="1" t="s">
        <v>101</v>
      </c>
      <c r="O863" s="1">
        <v>1</v>
      </c>
    </row>
    <row r="864" spans="1:18" ht="14.25" customHeight="1" x14ac:dyDescent="0.3">
      <c r="A864" s="1" t="s">
        <v>62</v>
      </c>
      <c r="B864" s="1">
        <v>10</v>
      </c>
      <c r="C864" s="1">
        <v>13</v>
      </c>
      <c r="D864" s="1" t="str">
        <f t="shared" si="13"/>
        <v>Yes</v>
      </c>
      <c r="E864" s="1">
        <v>1.9</v>
      </c>
      <c r="F864" s="1">
        <v>63</v>
      </c>
      <c r="G864" s="1" t="s">
        <v>93</v>
      </c>
      <c r="H864" s="1" t="s">
        <v>95</v>
      </c>
      <c r="I864" s="1">
        <v>20.100000000000001</v>
      </c>
      <c r="J864" s="1" t="s">
        <v>95</v>
      </c>
      <c r="M864" s="1" t="s">
        <v>101</v>
      </c>
      <c r="O864" s="1">
        <v>1</v>
      </c>
    </row>
    <row r="865" spans="1:18" ht="14.25" customHeight="1" x14ac:dyDescent="0.3">
      <c r="A865" s="1" t="s">
        <v>62</v>
      </c>
      <c r="B865" s="1">
        <v>10</v>
      </c>
      <c r="C865" s="1">
        <v>1</v>
      </c>
      <c r="D865" s="1" t="str">
        <f t="shared" si="13"/>
        <v>Yes</v>
      </c>
      <c r="E865" s="1">
        <v>5.9</v>
      </c>
      <c r="F865" s="1">
        <v>220</v>
      </c>
      <c r="G865" s="1" t="s">
        <v>93</v>
      </c>
      <c r="H865" s="1" t="s">
        <v>95</v>
      </c>
      <c r="I865" s="1">
        <v>18.100000000000001</v>
      </c>
      <c r="J865" s="1" t="s">
        <v>95</v>
      </c>
      <c r="M865" s="1" t="s">
        <v>101</v>
      </c>
      <c r="O865" s="1">
        <v>1</v>
      </c>
    </row>
    <row r="866" spans="1:18" ht="14.25" customHeight="1" x14ac:dyDescent="0.3">
      <c r="A866" s="1" t="s">
        <v>62</v>
      </c>
      <c r="B866" s="1">
        <v>10</v>
      </c>
      <c r="C866" s="1">
        <v>2</v>
      </c>
      <c r="D866" s="1" t="str">
        <f t="shared" si="13"/>
        <v>Yes</v>
      </c>
      <c r="E866" s="1">
        <v>3.6</v>
      </c>
      <c r="F866" s="1">
        <v>197</v>
      </c>
      <c r="G866" s="1" t="s">
        <v>93</v>
      </c>
      <c r="H866" s="1" t="s">
        <v>95</v>
      </c>
      <c r="I866" s="1">
        <v>18</v>
      </c>
      <c r="J866" s="1" t="s">
        <v>95</v>
      </c>
      <c r="M866" s="1" t="s">
        <v>101</v>
      </c>
      <c r="O866" s="1">
        <v>1</v>
      </c>
    </row>
    <row r="867" spans="1:18" ht="14.25" customHeight="1" x14ac:dyDescent="0.3">
      <c r="A867" s="1" t="s">
        <v>62</v>
      </c>
      <c r="B867" s="1">
        <v>10</v>
      </c>
      <c r="C867" s="1">
        <v>12</v>
      </c>
      <c r="D867" s="1" t="str">
        <f t="shared" si="13"/>
        <v>Yes</v>
      </c>
      <c r="E867" s="1">
        <v>11</v>
      </c>
      <c r="F867" s="1">
        <v>75</v>
      </c>
      <c r="G867" s="1" t="s">
        <v>93</v>
      </c>
      <c r="H867" s="1" t="s">
        <v>95</v>
      </c>
      <c r="I867" s="1">
        <v>17.600000000000001</v>
      </c>
      <c r="J867" s="1" t="s">
        <v>95</v>
      </c>
      <c r="M867" s="1" t="s">
        <v>101</v>
      </c>
      <c r="O867" s="1">
        <v>1</v>
      </c>
    </row>
    <row r="868" spans="1:18" ht="14.25" customHeight="1" x14ac:dyDescent="0.3">
      <c r="A868" s="1" t="s">
        <v>62</v>
      </c>
      <c r="B868" s="1">
        <v>10</v>
      </c>
      <c r="C868" s="1">
        <v>18</v>
      </c>
      <c r="D868" s="1" t="str">
        <f t="shared" si="13"/>
        <v>Yes</v>
      </c>
      <c r="E868" s="1">
        <v>7.3</v>
      </c>
      <c r="F868" s="1">
        <v>291</v>
      </c>
      <c r="G868" s="1" t="s">
        <v>93</v>
      </c>
      <c r="H868" s="1" t="s">
        <v>95</v>
      </c>
      <c r="I868" s="1">
        <v>17.399999999999999</v>
      </c>
      <c r="J868" s="1" t="s">
        <v>95</v>
      </c>
      <c r="M868" s="1" t="s">
        <v>101</v>
      </c>
      <c r="O868" s="1">
        <v>1</v>
      </c>
      <c r="R868" s="1"/>
    </row>
    <row r="869" spans="1:18" ht="14.25" customHeight="1" x14ac:dyDescent="0.3">
      <c r="A869" s="1" t="s">
        <v>62</v>
      </c>
      <c r="B869" s="1">
        <v>10</v>
      </c>
      <c r="C869" s="1">
        <v>19</v>
      </c>
      <c r="D869" s="1" t="str">
        <f t="shared" si="13"/>
        <v>Yes</v>
      </c>
      <c r="E869" s="1">
        <v>9.1999999999999993</v>
      </c>
      <c r="F869" s="1">
        <v>287</v>
      </c>
      <c r="G869" s="1" t="s">
        <v>93</v>
      </c>
      <c r="H869" s="1" t="s">
        <v>95</v>
      </c>
      <c r="I869" s="1">
        <v>12.2</v>
      </c>
      <c r="J869" s="1" t="s">
        <v>95</v>
      </c>
      <c r="M869" s="1" t="s">
        <v>101</v>
      </c>
      <c r="O869" s="1">
        <v>1</v>
      </c>
      <c r="R869" s="1"/>
    </row>
    <row r="870" spans="1:18" ht="14.25" customHeight="1" x14ac:dyDescent="0.3">
      <c r="A870" s="1" t="s">
        <v>62</v>
      </c>
      <c r="B870" s="1">
        <v>10</v>
      </c>
      <c r="C870" s="1">
        <v>10</v>
      </c>
      <c r="D870" s="1" t="str">
        <f t="shared" si="13"/>
        <v>Yes</v>
      </c>
      <c r="E870" s="1">
        <v>6.7</v>
      </c>
      <c r="F870" s="1">
        <v>80</v>
      </c>
      <c r="G870" s="1" t="s">
        <v>93</v>
      </c>
      <c r="H870" s="1" t="s">
        <v>95</v>
      </c>
      <c r="I870" s="1">
        <v>11.5</v>
      </c>
      <c r="J870" s="1" t="s">
        <v>101</v>
      </c>
      <c r="M870" s="1" t="s">
        <v>101</v>
      </c>
      <c r="O870" s="1">
        <v>5</v>
      </c>
    </row>
    <row r="871" spans="1:18" ht="14.25" customHeight="1" x14ac:dyDescent="0.3">
      <c r="A871" s="1" t="s">
        <v>62</v>
      </c>
      <c r="B871" s="1">
        <v>10</v>
      </c>
      <c r="C871" s="1">
        <v>16</v>
      </c>
      <c r="D871" s="1" t="str">
        <f t="shared" si="13"/>
        <v>Yes</v>
      </c>
      <c r="E871" s="1">
        <v>7.4</v>
      </c>
      <c r="F871" s="1">
        <v>300</v>
      </c>
      <c r="G871" s="1" t="s">
        <v>93</v>
      </c>
      <c r="H871" s="1" t="s">
        <v>95</v>
      </c>
      <c r="I871" s="1">
        <v>8.8000000000000007</v>
      </c>
      <c r="J871" s="1" t="s">
        <v>95</v>
      </c>
      <c r="M871" s="1" t="s">
        <v>101</v>
      </c>
      <c r="O871" s="1">
        <v>1</v>
      </c>
    </row>
    <row r="872" spans="1:18" ht="14.25" customHeight="1" x14ac:dyDescent="0.3">
      <c r="A872" s="1" t="s">
        <v>62</v>
      </c>
      <c r="B872" s="1">
        <v>10</v>
      </c>
      <c r="C872" s="1">
        <v>21</v>
      </c>
      <c r="D872" s="1" t="str">
        <f t="shared" si="13"/>
        <v>Yes</v>
      </c>
      <c r="E872" s="1">
        <v>11.2</v>
      </c>
      <c r="F872" s="1">
        <v>286</v>
      </c>
      <c r="G872" s="1" t="s">
        <v>93</v>
      </c>
      <c r="H872" s="1" t="s">
        <v>95</v>
      </c>
      <c r="I872" s="1">
        <v>8</v>
      </c>
      <c r="J872" s="1" t="s">
        <v>95</v>
      </c>
      <c r="M872" s="1" t="s">
        <v>101</v>
      </c>
      <c r="O872" s="1">
        <v>1</v>
      </c>
    </row>
    <row r="873" spans="1:18" ht="14.25" customHeight="1" x14ac:dyDescent="0.3">
      <c r="A873" s="1" t="s">
        <v>62</v>
      </c>
      <c r="B873" s="1">
        <v>10</v>
      </c>
      <c r="C873" s="1">
        <v>9</v>
      </c>
      <c r="D873" s="1" t="str">
        <f t="shared" si="13"/>
        <v>Yes</v>
      </c>
      <c r="E873" s="1">
        <v>5.4</v>
      </c>
      <c r="F873" s="1">
        <v>86</v>
      </c>
      <c r="G873" s="1" t="s">
        <v>111</v>
      </c>
      <c r="H873" s="1" t="s">
        <v>94</v>
      </c>
      <c r="I873" s="1">
        <v>94.7</v>
      </c>
      <c r="J873" s="1" t="s">
        <v>95</v>
      </c>
      <c r="K873" s="1">
        <v>0</v>
      </c>
      <c r="L873" s="1">
        <v>1</v>
      </c>
      <c r="M873" s="1" t="s">
        <v>97</v>
      </c>
      <c r="N873" s="1" t="s">
        <v>100</v>
      </c>
      <c r="P873" s="1">
        <v>564</v>
      </c>
    </row>
    <row r="874" spans="1:18" ht="14.25" customHeight="1" x14ac:dyDescent="0.3">
      <c r="A874" s="1" t="s">
        <v>62</v>
      </c>
      <c r="B874" s="1">
        <v>10</v>
      </c>
      <c r="C874" s="1">
        <v>14</v>
      </c>
      <c r="D874" s="1" t="str">
        <f t="shared" si="13"/>
        <v>Yes</v>
      </c>
      <c r="E874" s="1">
        <v>5.7</v>
      </c>
      <c r="F874" s="1">
        <v>316</v>
      </c>
      <c r="G874" s="1" t="s">
        <v>111</v>
      </c>
      <c r="H874" s="1" t="s">
        <v>94</v>
      </c>
      <c r="I874" s="1">
        <v>56.3</v>
      </c>
      <c r="J874" s="1" t="s">
        <v>95</v>
      </c>
      <c r="K874" s="1">
        <v>0</v>
      </c>
      <c r="L874" s="1">
        <v>80</v>
      </c>
      <c r="M874" s="1" t="s">
        <v>102</v>
      </c>
      <c r="N874" s="1" t="s">
        <v>100</v>
      </c>
      <c r="P874" s="1">
        <v>566</v>
      </c>
    </row>
    <row r="875" spans="1:18" ht="14.25" customHeight="1" x14ac:dyDescent="0.3">
      <c r="A875" s="1" t="s">
        <v>62</v>
      </c>
      <c r="B875" s="1">
        <v>10</v>
      </c>
      <c r="C875" s="1">
        <v>5</v>
      </c>
      <c r="D875" s="1" t="str">
        <f t="shared" si="13"/>
        <v>Yes</v>
      </c>
      <c r="E875" s="1">
        <v>5.4</v>
      </c>
      <c r="F875" s="1">
        <v>159</v>
      </c>
      <c r="G875" s="1" t="s">
        <v>93</v>
      </c>
      <c r="H875" s="1" t="s">
        <v>94</v>
      </c>
      <c r="I875" s="1">
        <v>68</v>
      </c>
      <c r="J875" s="1" t="s">
        <v>95</v>
      </c>
      <c r="K875" s="1">
        <v>1</v>
      </c>
      <c r="L875" s="1">
        <v>40</v>
      </c>
      <c r="M875" s="1" t="s">
        <v>102</v>
      </c>
      <c r="N875" s="1" t="s">
        <v>100</v>
      </c>
    </row>
    <row r="876" spans="1:18" ht="14.25" customHeight="1" x14ac:dyDescent="0.3">
      <c r="A876" s="1" t="s">
        <v>62</v>
      </c>
      <c r="B876" s="1">
        <v>11</v>
      </c>
      <c r="D876" s="1" t="str">
        <f t="shared" si="13"/>
        <v>No</v>
      </c>
      <c r="E876" s="1">
        <v>17.8</v>
      </c>
      <c r="F876" s="1">
        <v>150</v>
      </c>
      <c r="G876" s="1" t="s">
        <v>106</v>
      </c>
      <c r="H876" s="1" t="s">
        <v>94</v>
      </c>
      <c r="I876" s="1">
        <v>120.8</v>
      </c>
      <c r="J876" s="1" t="s">
        <v>95</v>
      </c>
      <c r="K876" s="1">
        <v>0</v>
      </c>
      <c r="L876" s="1">
        <v>0</v>
      </c>
      <c r="M876" s="1" t="s">
        <v>95</v>
      </c>
      <c r="P876" s="1">
        <v>561</v>
      </c>
    </row>
    <row r="877" spans="1:18" ht="14.25" customHeight="1" x14ac:dyDescent="0.3">
      <c r="A877" s="1" t="s">
        <v>62</v>
      </c>
      <c r="B877" s="1">
        <v>11</v>
      </c>
      <c r="C877" s="1">
        <v>2</v>
      </c>
      <c r="D877" s="1" t="str">
        <f t="shared" si="13"/>
        <v>Yes</v>
      </c>
      <c r="E877" s="1">
        <v>4</v>
      </c>
      <c r="F877" s="1">
        <v>334</v>
      </c>
      <c r="G877" s="1" t="s">
        <v>109</v>
      </c>
      <c r="H877" s="1" t="s">
        <v>95</v>
      </c>
      <c r="I877" s="17">
        <v>15.2</v>
      </c>
      <c r="J877" s="1" t="s">
        <v>95</v>
      </c>
      <c r="M877" s="1" t="s">
        <v>101</v>
      </c>
      <c r="O877" s="1">
        <v>1</v>
      </c>
    </row>
    <row r="878" spans="1:18" ht="14.25" customHeight="1" x14ac:dyDescent="0.3">
      <c r="A878" s="1" t="s">
        <v>62</v>
      </c>
      <c r="B878" s="1">
        <v>11</v>
      </c>
      <c r="C878" s="1">
        <v>9</v>
      </c>
      <c r="D878" s="1" t="str">
        <f t="shared" si="13"/>
        <v>Yes</v>
      </c>
      <c r="E878" s="1">
        <v>6.5</v>
      </c>
      <c r="F878" s="1">
        <v>255</v>
      </c>
      <c r="G878" s="1" t="s">
        <v>106</v>
      </c>
      <c r="H878" s="1" t="s">
        <v>95</v>
      </c>
      <c r="I878" s="1">
        <v>16.5</v>
      </c>
      <c r="J878" s="1" t="s">
        <v>95</v>
      </c>
      <c r="M878" s="1" t="s">
        <v>101</v>
      </c>
      <c r="O878" s="1">
        <v>1</v>
      </c>
    </row>
    <row r="879" spans="1:18" ht="14.25" customHeight="1" x14ac:dyDescent="0.3">
      <c r="A879" s="1" t="s">
        <v>62</v>
      </c>
      <c r="B879" s="1">
        <v>11</v>
      </c>
      <c r="C879" s="1">
        <v>10</v>
      </c>
      <c r="D879" s="1" t="str">
        <f t="shared" si="13"/>
        <v>Yes</v>
      </c>
      <c r="E879" s="1">
        <v>5</v>
      </c>
      <c r="F879" s="1">
        <v>238</v>
      </c>
      <c r="G879" s="1" t="s">
        <v>106</v>
      </c>
      <c r="H879" s="1" t="s">
        <v>95</v>
      </c>
      <c r="I879" s="1">
        <v>9.8000000000000007</v>
      </c>
      <c r="J879" s="1" t="s">
        <v>95</v>
      </c>
      <c r="M879" s="1" t="s">
        <v>101</v>
      </c>
      <c r="O879" s="1">
        <v>1</v>
      </c>
    </row>
    <row r="880" spans="1:18" ht="14.25" customHeight="1" x14ac:dyDescent="0.3">
      <c r="A880" s="1" t="s">
        <v>62</v>
      </c>
      <c r="B880" s="1">
        <v>11</v>
      </c>
      <c r="C880" s="1">
        <v>3</v>
      </c>
      <c r="D880" s="1" t="str">
        <f t="shared" si="13"/>
        <v>Yes</v>
      </c>
      <c r="E880" s="1">
        <v>8.9</v>
      </c>
      <c r="F880" s="1">
        <v>349</v>
      </c>
      <c r="G880" s="1" t="s">
        <v>106</v>
      </c>
      <c r="H880" s="1" t="s">
        <v>95</v>
      </c>
      <c r="I880" s="1">
        <v>9.4</v>
      </c>
      <c r="J880" s="1" t="s">
        <v>95</v>
      </c>
      <c r="M880" s="1" t="s">
        <v>101</v>
      </c>
      <c r="O880" s="1">
        <v>2</v>
      </c>
    </row>
    <row r="881" spans="1:17" ht="14.25" customHeight="1" x14ac:dyDescent="0.3">
      <c r="A881" s="1" t="s">
        <v>62</v>
      </c>
      <c r="B881" s="1">
        <v>11</v>
      </c>
      <c r="C881" s="1">
        <v>7</v>
      </c>
      <c r="D881" s="1" t="str">
        <f t="shared" si="13"/>
        <v>Yes</v>
      </c>
      <c r="E881" s="1">
        <v>3.3</v>
      </c>
      <c r="F881" s="1">
        <v>314</v>
      </c>
      <c r="G881" s="1" t="s">
        <v>106</v>
      </c>
      <c r="H881" s="1" t="s">
        <v>95</v>
      </c>
      <c r="I881" s="1">
        <v>8.9</v>
      </c>
      <c r="J881" s="1" t="s">
        <v>95</v>
      </c>
      <c r="M881" s="1" t="s">
        <v>101</v>
      </c>
      <c r="O881" s="1">
        <v>1</v>
      </c>
    </row>
    <row r="882" spans="1:17" ht="14.25" customHeight="1" x14ac:dyDescent="0.3">
      <c r="A882" s="1" t="s">
        <v>62</v>
      </c>
      <c r="B882" s="1">
        <v>11</v>
      </c>
      <c r="C882" s="1">
        <v>17</v>
      </c>
      <c r="D882" s="1" t="str">
        <f t="shared" si="13"/>
        <v>Yes</v>
      </c>
      <c r="E882" s="1">
        <v>6.5</v>
      </c>
      <c r="F882" s="1">
        <v>162</v>
      </c>
      <c r="G882" s="1" t="s">
        <v>93</v>
      </c>
      <c r="H882" s="1" t="s">
        <v>95</v>
      </c>
      <c r="I882" s="1">
        <v>69.7</v>
      </c>
      <c r="J882" s="1" t="s">
        <v>95</v>
      </c>
      <c r="M882" s="1" t="s">
        <v>102</v>
      </c>
      <c r="O882" s="1">
        <v>3</v>
      </c>
    </row>
    <row r="883" spans="1:17" ht="14.25" customHeight="1" x14ac:dyDescent="0.3">
      <c r="A883" s="1" t="s">
        <v>62</v>
      </c>
      <c r="B883" s="1">
        <v>11</v>
      </c>
      <c r="C883" s="1">
        <v>21</v>
      </c>
      <c r="D883" s="1" t="str">
        <f t="shared" si="13"/>
        <v>Yes</v>
      </c>
      <c r="E883" s="1">
        <v>12.2</v>
      </c>
      <c r="F883" s="1">
        <v>144</v>
      </c>
      <c r="G883" s="1" t="s">
        <v>93</v>
      </c>
      <c r="H883" s="1" t="s">
        <v>95</v>
      </c>
      <c r="I883" s="1">
        <v>65</v>
      </c>
      <c r="J883" s="1" t="s">
        <v>95</v>
      </c>
      <c r="M883" s="1" t="s">
        <v>102</v>
      </c>
      <c r="O883" s="1">
        <v>5</v>
      </c>
      <c r="Q883" s="1" t="s">
        <v>162</v>
      </c>
    </row>
    <row r="884" spans="1:17" ht="14.25" customHeight="1" x14ac:dyDescent="0.3">
      <c r="A884" s="1" t="s">
        <v>62</v>
      </c>
      <c r="B884" s="1">
        <v>11</v>
      </c>
      <c r="C884" s="1">
        <v>22</v>
      </c>
      <c r="D884" s="1" t="str">
        <f t="shared" si="13"/>
        <v>Yes</v>
      </c>
      <c r="E884" s="1">
        <v>8</v>
      </c>
      <c r="F884" s="1">
        <v>111</v>
      </c>
      <c r="G884" s="1" t="s">
        <v>93</v>
      </c>
      <c r="H884" s="1" t="s">
        <v>95</v>
      </c>
      <c r="I884" s="17">
        <v>61.6</v>
      </c>
      <c r="J884" s="1" t="s">
        <v>95</v>
      </c>
      <c r="M884" s="1" t="s">
        <v>102</v>
      </c>
      <c r="O884" s="1">
        <v>4</v>
      </c>
    </row>
    <row r="885" spans="1:17" ht="14.25" customHeight="1" x14ac:dyDescent="0.3">
      <c r="A885" s="1" t="s">
        <v>62</v>
      </c>
      <c r="B885" s="1">
        <v>11</v>
      </c>
      <c r="C885" s="1">
        <v>18</v>
      </c>
      <c r="D885" s="1" t="str">
        <f t="shared" si="13"/>
        <v>Yes</v>
      </c>
      <c r="E885" s="1">
        <v>11.1</v>
      </c>
      <c r="F885" s="1">
        <v>148</v>
      </c>
      <c r="G885" s="1" t="s">
        <v>93</v>
      </c>
      <c r="H885" s="1" t="s">
        <v>95</v>
      </c>
      <c r="I885" s="1">
        <v>46.6</v>
      </c>
      <c r="J885" s="1" t="s">
        <v>95</v>
      </c>
      <c r="M885" s="1" t="s">
        <v>102</v>
      </c>
      <c r="O885" s="1">
        <v>1</v>
      </c>
    </row>
    <row r="886" spans="1:17" ht="14.25" customHeight="1" x14ac:dyDescent="0.3">
      <c r="A886" s="1" t="s">
        <v>62</v>
      </c>
      <c r="B886" s="1">
        <v>11</v>
      </c>
      <c r="C886" s="1">
        <v>13</v>
      </c>
      <c r="D886" s="1" t="str">
        <f t="shared" si="13"/>
        <v>Yes</v>
      </c>
      <c r="E886" s="1">
        <v>5.6</v>
      </c>
      <c r="F886" s="1">
        <v>222</v>
      </c>
      <c r="G886" s="1" t="s">
        <v>93</v>
      </c>
      <c r="H886" s="1" t="s">
        <v>95</v>
      </c>
      <c r="I886" s="1">
        <v>41.4</v>
      </c>
      <c r="J886" s="1" t="s">
        <v>95</v>
      </c>
      <c r="M886" s="1" t="s">
        <v>102</v>
      </c>
      <c r="O886" s="1">
        <v>1</v>
      </c>
    </row>
    <row r="887" spans="1:17" ht="14.25" customHeight="1" x14ac:dyDescent="0.3">
      <c r="A887" s="1" t="s">
        <v>62</v>
      </c>
      <c r="B887" s="1">
        <v>11</v>
      </c>
      <c r="C887" s="1">
        <v>27</v>
      </c>
      <c r="D887" s="1" t="str">
        <f t="shared" si="13"/>
        <v>Yes</v>
      </c>
      <c r="E887" s="1">
        <v>7.5</v>
      </c>
      <c r="F887" s="1">
        <v>60</v>
      </c>
      <c r="G887" s="1" t="s">
        <v>93</v>
      </c>
      <c r="H887" s="1" t="s">
        <v>95</v>
      </c>
      <c r="I887" s="1">
        <v>35.5</v>
      </c>
      <c r="J887" s="1" t="s">
        <v>101</v>
      </c>
      <c r="M887" s="1" t="s">
        <v>102</v>
      </c>
      <c r="O887" s="1">
        <v>4</v>
      </c>
    </row>
    <row r="888" spans="1:17" ht="14.25" customHeight="1" x14ac:dyDescent="0.3">
      <c r="A888" s="1" t="s">
        <v>62</v>
      </c>
      <c r="B888" s="1">
        <v>11</v>
      </c>
      <c r="C888" s="1">
        <v>1</v>
      </c>
      <c r="D888" s="1" t="str">
        <f t="shared" si="13"/>
        <v>Yes</v>
      </c>
      <c r="E888" s="1">
        <v>2.2000000000000002</v>
      </c>
      <c r="F888" s="1">
        <v>322</v>
      </c>
      <c r="G888" s="1" t="s">
        <v>93</v>
      </c>
      <c r="H888" s="1" t="s">
        <v>95</v>
      </c>
      <c r="I888" s="1">
        <v>25.9</v>
      </c>
      <c r="J888" s="1" t="s">
        <v>95</v>
      </c>
      <c r="M888" s="1" t="s">
        <v>101</v>
      </c>
      <c r="O888" s="1">
        <v>1</v>
      </c>
    </row>
    <row r="889" spans="1:17" ht="14.25" customHeight="1" x14ac:dyDescent="0.3">
      <c r="A889" s="1" t="s">
        <v>62</v>
      </c>
      <c r="B889" s="1">
        <v>11</v>
      </c>
      <c r="C889" s="1">
        <v>24</v>
      </c>
      <c r="D889" s="1" t="str">
        <f t="shared" si="13"/>
        <v>Yes</v>
      </c>
      <c r="E889" s="1">
        <v>8.9</v>
      </c>
      <c r="F889" s="1">
        <v>89</v>
      </c>
      <c r="G889" s="1" t="s">
        <v>93</v>
      </c>
      <c r="H889" s="1" t="s">
        <v>95</v>
      </c>
      <c r="I889" s="1">
        <v>22.5</v>
      </c>
      <c r="J889" s="1" t="s">
        <v>101</v>
      </c>
      <c r="M889" s="1" t="s">
        <v>101</v>
      </c>
      <c r="O889" s="1">
        <v>5</v>
      </c>
    </row>
    <row r="890" spans="1:17" ht="14.25" customHeight="1" x14ac:dyDescent="0.3">
      <c r="A890" s="1" t="s">
        <v>62</v>
      </c>
      <c r="B890" s="1">
        <v>11</v>
      </c>
      <c r="C890" s="1">
        <v>25</v>
      </c>
      <c r="D890" s="1" t="str">
        <f t="shared" si="13"/>
        <v>Yes</v>
      </c>
      <c r="E890" s="1">
        <v>9</v>
      </c>
      <c r="F890" s="1">
        <v>80</v>
      </c>
      <c r="G890" s="1" t="s">
        <v>93</v>
      </c>
      <c r="H890" s="1" t="s">
        <v>95</v>
      </c>
      <c r="I890" s="1">
        <v>22.5</v>
      </c>
      <c r="J890" s="1" t="s">
        <v>101</v>
      </c>
      <c r="M890" s="1" t="s">
        <v>101</v>
      </c>
      <c r="O890" s="1">
        <v>5</v>
      </c>
    </row>
    <row r="891" spans="1:17" ht="14.25" customHeight="1" x14ac:dyDescent="0.3">
      <c r="A891" s="1" t="s">
        <v>62</v>
      </c>
      <c r="B891" s="1">
        <v>11</v>
      </c>
      <c r="C891" s="1">
        <v>6</v>
      </c>
      <c r="D891" s="1" t="str">
        <f t="shared" si="13"/>
        <v>Yes</v>
      </c>
      <c r="E891" s="1">
        <v>6.8</v>
      </c>
      <c r="F891" s="1">
        <v>338</v>
      </c>
      <c r="G891" s="1" t="s">
        <v>93</v>
      </c>
      <c r="H891" s="1" t="s">
        <v>95</v>
      </c>
      <c r="I891" s="1">
        <v>18.899999999999999</v>
      </c>
      <c r="J891" s="1" t="s">
        <v>95</v>
      </c>
      <c r="M891" s="1" t="s">
        <v>101</v>
      </c>
      <c r="O891" s="1">
        <v>1</v>
      </c>
    </row>
    <row r="892" spans="1:17" ht="14.25" customHeight="1" x14ac:dyDescent="0.3">
      <c r="A892" s="1" t="s">
        <v>62</v>
      </c>
      <c r="B892" s="1">
        <v>11</v>
      </c>
      <c r="C892" s="1">
        <v>16</v>
      </c>
      <c r="D892" s="1" t="str">
        <f t="shared" si="13"/>
        <v>Yes</v>
      </c>
      <c r="E892" s="1">
        <v>9.5</v>
      </c>
      <c r="F892" s="1">
        <v>158</v>
      </c>
      <c r="G892" s="1" t="s">
        <v>93</v>
      </c>
      <c r="H892" s="1" t="s">
        <v>95</v>
      </c>
      <c r="I892" s="1">
        <v>17.899999999999999</v>
      </c>
      <c r="J892" s="1" t="s">
        <v>95</v>
      </c>
      <c r="M892" s="1" t="s">
        <v>101</v>
      </c>
      <c r="O892" s="1">
        <v>1</v>
      </c>
    </row>
    <row r="893" spans="1:17" ht="14.25" customHeight="1" x14ac:dyDescent="0.3">
      <c r="A893" s="1" t="s">
        <v>62</v>
      </c>
      <c r="B893" s="1">
        <v>11</v>
      </c>
      <c r="C893" s="1">
        <v>14</v>
      </c>
      <c r="D893" s="1" t="str">
        <f t="shared" si="13"/>
        <v>Yes</v>
      </c>
      <c r="E893" s="1">
        <v>10.5</v>
      </c>
      <c r="F893" s="1">
        <v>180</v>
      </c>
      <c r="G893" s="1" t="s">
        <v>93</v>
      </c>
      <c r="H893" s="1" t="s">
        <v>95</v>
      </c>
      <c r="I893" s="1">
        <v>13.7</v>
      </c>
      <c r="J893" s="1" t="s">
        <v>95</v>
      </c>
      <c r="M893" s="1" t="s">
        <v>101</v>
      </c>
      <c r="O893" s="1">
        <v>1</v>
      </c>
    </row>
    <row r="894" spans="1:17" ht="14.25" customHeight="1" x14ac:dyDescent="0.3">
      <c r="A894" s="1" t="s">
        <v>62</v>
      </c>
      <c r="B894" s="1">
        <v>11</v>
      </c>
      <c r="C894" s="1">
        <v>5</v>
      </c>
      <c r="D894" s="1" t="str">
        <f t="shared" si="13"/>
        <v>Yes</v>
      </c>
      <c r="E894" s="1">
        <v>10.1</v>
      </c>
      <c r="F894" s="1">
        <v>348</v>
      </c>
      <c r="G894" s="1" t="s">
        <v>93</v>
      </c>
      <c r="H894" s="1" t="s">
        <v>95</v>
      </c>
      <c r="I894" s="1">
        <v>12.8</v>
      </c>
      <c r="J894" s="1" t="s">
        <v>95</v>
      </c>
      <c r="M894" s="1" t="s">
        <v>101</v>
      </c>
      <c r="O894" s="1">
        <v>2</v>
      </c>
    </row>
    <row r="895" spans="1:17" ht="14.25" customHeight="1" x14ac:dyDescent="0.3">
      <c r="A895" s="1" t="s">
        <v>62</v>
      </c>
      <c r="B895" s="1">
        <v>11</v>
      </c>
      <c r="C895" s="1">
        <v>4</v>
      </c>
      <c r="D895" s="1" t="str">
        <f t="shared" si="13"/>
        <v>Yes</v>
      </c>
      <c r="E895" s="1">
        <v>9.6999999999999993</v>
      </c>
      <c r="F895" s="1">
        <v>347</v>
      </c>
      <c r="G895" s="1" t="s">
        <v>93</v>
      </c>
      <c r="H895" s="1" t="s">
        <v>95</v>
      </c>
      <c r="I895" s="1">
        <v>12.4</v>
      </c>
      <c r="J895" s="1" t="s">
        <v>95</v>
      </c>
      <c r="M895" s="1" t="s">
        <v>101</v>
      </c>
      <c r="O895" s="1">
        <v>1</v>
      </c>
    </row>
    <row r="896" spans="1:17" ht="14.25" customHeight="1" x14ac:dyDescent="0.3">
      <c r="A896" s="1" t="s">
        <v>62</v>
      </c>
      <c r="B896" s="1">
        <v>11</v>
      </c>
      <c r="C896" s="1">
        <v>20</v>
      </c>
      <c r="D896" s="1" t="str">
        <f t="shared" si="13"/>
        <v>Yes</v>
      </c>
      <c r="E896" s="1">
        <v>12.3</v>
      </c>
      <c r="F896" s="1">
        <v>138</v>
      </c>
      <c r="G896" s="1" t="s">
        <v>93</v>
      </c>
      <c r="H896" s="1" t="s">
        <v>95</v>
      </c>
      <c r="I896" s="1">
        <v>11.1</v>
      </c>
      <c r="J896" s="1" t="s">
        <v>95</v>
      </c>
      <c r="M896" s="1" t="s">
        <v>101</v>
      </c>
      <c r="O896" s="1">
        <v>1</v>
      </c>
    </row>
    <row r="897" spans="1:18" ht="14.25" customHeight="1" x14ac:dyDescent="0.3">
      <c r="A897" s="1" t="s">
        <v>62</v>
      </c>
      <c r="B897" s="1">
        <v>11</v>
      </c>
      <c r="C897" s="1">
        <v>19</v>
      </c>
      <c r="D897" s="1" t="str">
        <f t="shared" si="13"/>
        <v>Yes</v>
      </c>
      <c r="E897" s="1">
        <v>11</v>
      </c>
      <c r="F897" s="1">
        <v>140</v>
      </c>
      <c r="G897" s="1" t="s">
        <v>93</v>
      </c>
      <c r="H897" s="1" t="s">
        <v>95</v>
      </c>
      <c r="I897" s="1">
        <v>10.5</v>
      </c>
      <c r="J897" s="1" t="s">
        <v>95</v>
      </c>
      <c r="M897" s="1" t="s">
        <v>101</v>
      </c>
      <c r="O897" s="1">
        <v>1</v>
      </c>
    </row>
    <row r="898" spans="1:18" ht="14.25" customHeight="1" x14ac:dyDescent="0.3">
      <c r="A898" s="1" t="s">
        <v>62</v>
      </c>
      <c r="B898" s="1">
        <v>11</v>
      </c>
      <c r="C898" s="1">
        <v>26</v>
      </c>
      <c r="D898" s="1" t="str">
        <f t="shared" ref="D898:D961" si="14">IF(E898&gt;12.5, "No", "Yes")</f>
        <v>Yes</v>
      </c>
      <c r="E898" s="1">
        <v>7.7</v>
      </c>
      <c r="F898" s="1">
        <v>73</v>
      </c>
      <c r="G898" s="1" t="s">
        <v>93</v>
      </c>
      <c r="H898" s="1" t="s">
        <v>95</v>
      </c>
      <c r="I898" s="1">
        <v>10</v>
      </c>
      <c r="J898" s="1" t="s">
        <v>95</v>
      </c>
      <c r="M898" s="1" t="s">
        <v>101</v>
      </c>
      <c r="O898" s="1">
        <v>1</v>
      </c>
      <c r="R898" s="1"/>
    </row>
    <row r="899" spans="1:18" ht="14.25" customHeight="1" x14ac:dyDescent="0.3">
      <c r="A899" s="1" t="s">
        <v>62</v>
      </c>
      <c r="B899" s="1">
        <v>11</v>
      </c>
      <c r="C899" s="1">
        <v>23</v>
      </c>
      <c r="D899" s="1" t="str">
        <f t="shared" si="14"/>
        <v>Yes</v>
      </c>
      <c r="E899" s="1">
        <v>2.1</v>
      </c>
      <c r="F899" s="1">
        <v>125</v>
      </c>
      <c r="G899" s="1" t="s">
        <v>93</v>
      </c>
      <c r="H899" s="1" t="s">
        <v>95</v>
      </c>
      <c r="I899" s="1">
        <v>9.9</v>
      </c>
      <c r="J899" s="1" t="s">
        <v>95</v>
      </c>
      <c r="M899" s="1" t="s">
        <v>101</v>
      </c>
      <c r="O899" s="1">
        <v>1</v>
      </c>
    </row>
    <row r="900" spans="1:18" ht="14.25" customHeight="1" x14ac:dyDescent="0.3">
      <c r="A900" s="1" t="s">
        <v>62</v>
      </c>
      <c r="B900" s="1">
        <v>11</v>
      </c>
      <c r="C900" s="1">
        <v>8</v>
      </c>
      <c r="D900" s="1" t="str">
        <f t="shared" si="14"/>
        <v>Yes</v>
      </c>
      <c r="E900" s="1">
        <v>9.6999999999999993</v>
      </c>
      <c r="F900" s="1">
        <v>257</v>
      </c>
      <c r="G900" s="1" t="s">
        <v>111</v>
      </c>
      <c r="H900" s="1" t="s">
        <v>94</v>
      </c>
      <c r="I900" s="1">
        <v>85.3</v>
      </c>
      <c r="J900" s="1" t="s">
        <v>95</v>
      </c>
      <c r="K900" s="1">
        <v>1</v>
      </c>
      <c r="L900" s="1">
        <v>5</v>
      </c>
      <c r="M900" s="1" t="s">
        <v>102</v>
      </c>
      <c r="N900" s="1" t="s">
        <v>100</v>
      </c>
      <c r="P900" s="1">
        <v>562</v>
      </c>
    </row>
    <row r="901" spans="1:18" ht="14.25" customHeight="1" x14ac:dyDescent="0.3">
      <c r="A901" s="1" t="s">
        <v>62</v>
      </c>
      <c r="B901" s="1">
        <v>11</v>
      </c>
      <c r="C901" s="1">
        <v>28</v>
      </c>
      <c r="D901" s="1" t="str">
        <f t="shared" si="14"/>
        <v>Yes</v>
      </c>
      <c r="E901" s="1">
        <v>12.1</v>
      </c>
      <c r="F901" s="1">
        <v>22</v>
      </c>
      <c r="G901" s="1" t="s">
        <v>109</v>
      </c>
      <c r="H901" s="1" t="s">
        <v>94</v>
      </c>
      <c r="I901" s="1">
        <v>41.2</v>
      </c>
      <c r="J901" s="1" t="s">
        <v>95</v>
      </c>
      <c r="K901" s="1">
        <v>0</v>
      </c>
      <c r="L901" s="1">
        <v>60</v>
      </c>
      <c r="M901" s="1" t="s">
        <v>102</v>
      </c>
      <c r="N901" s="1" t="s">
        <v>100</v>
      </c>
      <c r="P901" s="1">
        <v>563</v>
      </c>
    </row>
    <row r="902" spans="1:18" ht="14.25" customHeight="1" x14ac:dyDescent="0.3">
      <c r="A902" s="1" t="s">
        <v>62</v>
      </c>
      <c r="B902" s="1">
        <v>11</v>
      </c>
      <c r="C902" s="1">
        <v>12</v>
      </c>
      <c r="D902" s="1" t="str">
        <f t="shared" si="14"/>
        <v>Yes</v>
      </c>
      <c r="E902" s="1">
        <v>7.5</v>
      </c>
      <c r="F902" s="1">
        <v>226</v>
      </c>
      <c r="G902" s="1" t="s">
        <v>106</v>
      </c>
      <c r="H902" s="1" t="s">
        <v>94</v>
      </c>
      <c r="I902" s="1">
        <v>24</v>
      </c>
      <c r="J902" s="1" t="s">
        <v>95</v>
      </c>
      <c r="K902" s="1">
        <v>0</v>
      </c>
      <c r="L902" s="1">
        <v>80</v>
      </c>
      <c r="M902" s="1" t="s">
        <v>101</v>
      </c>
      <c r="N902" s="1" t="s">
        <v>100</v>
      </c>
      <c r="R902" s="1"/>
    </row>
    <row r="903" spans="1:18" ht="14.25" customHeight="1" x14ac:dyDescent="0.3">
      <c r="A903" s="1" t="s">
        <v>62</v>
      </c>
      <c r="B903" s="1">
        <v>11</v>
      </c>
      <c r="C903" s="1">
        <v>11</v>
      </c>
      <c r="D903" s="1" t="str">
        <f t="shared" si="14"/>
        <v>Yes</v>
      </c>
      <c r="E903" s="1">
        <v>9.1</v>
      </c>
      <c r="F903" s="1">
        <v>232</v>
      </c>
      <c r="G903" s="1" t="s">
        <v>93</v>
      </c>
      <c r="H903" s="1" t="s">
        <v>94</v>
      </c>
      <c r="I903" s="1">
        <v>33.299999999999997</v>
      </c>
      <c r="J903" s="1" t="s">
        <v>95</v>
      </c>
      <c r="K903" s="1">
        <v>1</v>
      </c>
      <c r="L903" s="1">
        <v>80</v>
      </c>
      <c r="M903" s="1" t="s">
        <v>101</v>
      </c>
      <c r="N903" s="1" t="s">
        <v>100</v>
      </c>
      <c r="Q903" s="1" t="s">
        <v>164</v>
      </c>
    </row>
    <row r="904" spans="1:18" ht="14.25" customHeight="1" x14ac:dyDescent="0.3">
      <c r="A904" s="1" t="s">
        <v>62</v>
      </c>
      <c r="B904" s="1">
        <v>11</v>
      </c>
      <c r="C904" s="1">
        <v>15</v>
      </c>
      <c r="D904" s="1" t="str">
        <f t="shared" si="14"/>
        <v>Yes</v>
      </c>
      <c r="E904" s="1">
        <v>11.6</v>
      </c>
      <c r="F904" s="1">
        <v>178</v>
      </c>
      <c r="G904" s="1" t="s">
        <v>93</v>
      </c>
      <c r="H904" s="1" t="s">
        <v>94</v>
      </c>
      <c r="I904" s="1">
        <v>19.399999999999999</v>
      </c>
      <c r="J904" s="1" t="s">
        <v>95</v>
      </c>
      <c r="K904" s="1">
        <v>0</v>
      </c>
      <c r="L904" s="1">
        <v>15</v>
      </c>
      <c r="M904" s="1" t="s">
        <v>101</v>
      </c>
      <c r="N904" s="1" t="s">
        <v>100</v>
      </c>
    </row>
    <row r="905" spans="1:18" ht="14.25" customHeight="1" x14ac:dyDescent="0.3">
      <c r="A905" s="1" t="s">
        <v>62</v>
      </c>
      <c r="B905" s="1">
        <v>12</v>
      </c>
      <c r="D905" s="1" t="str">
        <f t="shared" si="14"/>
        <v>No</v>
      </c>
      <c r="E905" s="1">
        <v>22.6</v>
      </c>
      <c r="F905" s="1">
        <v>319</v>
      </c>
      <c r="G905" s="1" t="s">
        <v>106</v>
      </c>
      <c r="H905" s="1" t="s">
        <v>94</v>
      </c>
      <c r="I905" s="1">
        <v>108.2</v>
      </c>
      <c r="J905" s="1" t="s">
        <v>95</v>
      </c>
      <c r="K905" s="1">
        <v>0</v>
      </c>
      <c r="L905" s="1">
        <v>10</v>
      </c>
      <c r="M905" s="1" t="s">
        <v>102</v>
      </c>
      <c r="N905" s="1" t="s">
        <v>100</v>
      </c>
      <c r="P905" s="1">
        <v>554</v>
      </c>
    </row>
    <row r="906" spans="1:18" ht="14.25" customHeight="1" x14ac:dyDescent="0.3">
      <c r="A906" s="1" t="s">
        <v>62</v>
      </c>
      <c r="B906" s="1">
        <v>12</v>
      </c>
      <c r="D906" s="1" t="str">
        <f t="shared" si="14"/>
        <v>No</v>
      </c>
      <c r="E906" s="1">
        <v>18.7</v>
      </c>
      <c r="F906" s="1">
        <v>38</v>
      </c>
      <c r="G906" s="1" t="s">
        <v>93</v>
      </c>
      <c r="H906" s="1" t="s">
        <v>94</v>
      </c>
      <c r="I906" s="1">
        <v>66.8</v>
      </c>
      <c r="J906" s="1" t="s">
        <v>95</v>
      </c>
      <c r="K906" s="1">
        <v>0</v>
      </c>
      <c r="L906" s="1">
        <v>60</v>
      </c>
      <c r="M906" s="1" t="s">
        <v>102</v>
      </c>
      <c r="N906" s="1" t="s">
        <v>100</v>
      </c>
      <c r="P906" s="1">
        <v>553</v>
      </c>
    </row>
    <row r="907" spans="1:18" ht="14.25" customHeight="1" x14ac:dyDescent="0.3">
      <c r="A907" s="1" t="s">
        <v>62</v>
      </c>
      <c r="B907" s="1">
        <v>12</v>
      </c>
      <c r="C907" s="1">
        <v>5</v>
      </c>
      <c r="D907" s="1" t="str">
        <f t="shared" si="14"/>
        <v>Yes</v>
      </c>
      <c r="E907" s="1">
        <v>2.9</v>
      </c>
      <c r="F907" s="1">
        <v>106</v>
      </c>
      <c r="G907" s="1" t="s">
        <v>98</v>
      </c>
      <c r="H907" s="1" t="s">
        <v>95</v>
      </c>
      <c r="I907" s="1">
        <v>32.200000000000003</v>
      </c>
      <c r="J907" s="1" t="s">
        <v>95</v>
      </c>
      <c r="M907" s="1" t="s">
        <v>101</v>
      </c>
      <c r="O907" s="1">
        <v>1</v>
      </c>
      <c r="P907" s="1">
        <v>552</v>
      </c>
    </row>
    <row r="908" spans="1:18" ht="14.25" customHeight="1" x14ac:dyDescent="0.3">
      <c r="A908" s="1" t="s">
        <v>62</v>
      </c>
      <c r="B908" s="1">
        <v>12</v>
      </c>
      <c r="C908" s="1">
        <v>6</v>
      </c>
      <c r="D908" s="1" t="str">
        <f t="shared" si="14"/>
        <v>Yes</v>
      </c>
      <c r="E908" s="1">
        <v>7.9</v>
      </c>
      <c r="F908" s="1">
        <v>105</v>
      </c>
      <c r="G908" s="1" t="s">
        <v>98</v>
      </c>
      <c r="H908" s="1" t="s">
        <v>95</v>
      </c>
      <c r="I908" s="1">
        <v>23.9</v>
      </c>
      <c r="J908" s="1" t="s">
        <v>95</v>
      </c>
      <c r="M908" s="1" t="s">
        <v>101</v>
      </c>
      <c r="O908" s="1">
        <v>1</v>
      </c>
    </row>
    <row r="909" spans="1:18" ht="14.25" customHeight="1" x14ac:dyDescent="0.3">
      <c r="A909" s="1" t="s">
        <v>62</v>
      </c>
      <c r="B909" s="1">
        <v>12</v>
      </c>
      <c r="C909" s="1">
        <v>4</v>
      </c>
      <c r="D909" s="1" t="str">
        <f t="shared" si="14"/>
        <v>Yes</v>
      </c>
      <c r="E909" s="1">
        <v>7.3</v>
      </c>
      <c r="F909" s="1">
        <v>104</v>
      </c>
      <c r="G909" s="1" t="s">
        <v>98</v>
      </c>
      <c r="H909" s="1" t="s">
        <v>95</v>
      </c>
      <c r="I909" s="1">
        <v>14.8</v>
      </c>
      <c r="J909" s="1" t="s">
        <v>95</v>
      </c>
      <c r="M909" s="1" t="s">
        <v>101</v>
      </c>
      <c r="O909" s="1">
        <v>5</v>
      </c>
    </row>
    <row r="910" spans="1:18" ht="14.25" customHeight="1" x14ac:dyDescent="0.3">
      <c r="A910" s="1" t="s">
        <v>62</v>
      </c>
      <c r="B910" s="1">
        <v>12</v>
      </c>
      <c r="C910" s="1">
        <v>12</v>
      </c>
      <c r="D910" s="1" t="str">
        <f t="shared" si="14"/>
        <v>Yes</v>
      </c>
      <c r="E910" s="1">
        <v>4.7</v>
      </c>
      <c r="F910" s="1">
        <v>264</v>
      </c>
      <c r="G910" s="66" t="s">
        <v>111</v>
      </c>
      <c r="H910" s="1" t="s">
        <v>95</v>
      </c>
      <c r="I910" s="1">
        <v>71.5</v>
      </c>
      <c r="J910" s="1" t="s">
        <v>95</v>
      </c>
      <c r="M910" s="1" t="s">
        <v>102</v>
      </c>
      <c r="O910" s="1">
        <v>1</v>
      </c>
    </row>
    <row r="911" spans="1:18" ht="14.25" customHeight="1" x14ac:dyDescent="0.3">
      <c r="A911" s="1" t="s">
        <v>62</v>
      </c>
      <c r="B911" s="1">
        <v>12</v>
      </c>
      <c r="C911" s="1">
        <v>8</v>
      </c>
      <c r="D911" s="1" t="str">
        <f t="shared" si="14"/>
        <v>Yes</v>
      </c>
      <c r="E911" s="1">
        <v>4.5999999999999996</v>
      </c>
      <c r="F911" s="1">
        <v>212</v>
      </c>
      <c r="G911" s="1" t="s">
        <v>106</v>
      </c>
      <c r="H911" s="1" t="s">
        <v>95</v>
      </c>
      <c r="I911" s="1">
        <v>79</v>
      </c>
      <c r="J911" s="1" t="s">
        <v>95</v>
      </c>
      <c r="M911" s="1" t="s">
        <v>101</v>
      </c>
      <c r="O911" s="1">
        <v>5</v>
      </c>
    </row>
    <row r="912" spans="1:18" ht="14.25" customHeight="1" x14ac:dyDescent="0.3">
      <c r="A912" s="1" t="s">
        <v>62</v>
      </c>
      <c r="B912" s="1">
        <v>12</v>
      </c>
      <c r="C912" s="1">
        <v>3</v>
      </c>
      <c r="D912" s="1" t="str">
        <f t="shared" si="14"/>
        <v>Yes</v>
      </c>
      <c r="E912" s="1">
        <v>6.1</v>
      </c>
      <c r="F912" s="1">
        <v>58</v>
      </c>
      <c r="G912" s="1" t="s">
        <v>93</v>
      </c>
      <c r="H912" s="1" t="s">
        <v>95</v>
      </c>
      <c r="I912" s="1">
        <v>120</v>
      </c>
      <c r="J912" s="1" t="s">
        <v>101</v>
      </c>
      <c r="M912" s="1" t="s">
        <v>102</v>
      </c>
      <c r="O912" s="1">
        <v>5</v>
      </c>
    </row>
    <row r="913" spans="1:18" ht="14.25" customHeight="1" x14ac:dyDescent="0.3">
      <c r="A913" s="1" t="s">
        <v>62</v>
      </c>
      <c r="B913" s="1">
        <v>12</v>
      </c>
      <c r="C913" s="1">
        <v>10</v>
      </c>
      <c r="D913" s="1" t="str">
        <f t="shared" si="14"/>
        <v>Yes</v>
      </c>
      <c r="E913" s="1">
        <v>6.6</v>
      </c>
      <c r="F913" s="1">
        <v>225</v>
      </c>
      <c r="G913" s="1" t="s">
        <v>93</v>
      </c>
      <c r="H913" s="1" t="s">
        <v>95</v>
      </c>
      <c r="I913" s="1">
        <v>50.4</v>
      </c>
      <c r="J913" s="1" t="s">
        <v>95</v>
      </c>
      <c r="M913" s="1" t="s">
        <v>102</v>
      </c>
      <c r="O913" s="1">
        <v>1</v>
      </c>
    </row>
    <row r="914" spans="1:18" ht="14.25" customHeight="1" x14ac:dyDescent="0.3">
      <c r="A914" s="1" t="s">
        <v>62</v>
      </c>
      <c r="B914" s="1">
        <v>12</v>
      </c>
      <c r="C914" s="1">
        <v>11</v>
      </c>
      <c r="D914" s="1" t="str">
        <f t="shared" si="14"/>
        <v>Yes</v>
      </c>
      <c r="E914" s="1">
        <v>4.5999999999999996</v>
      </c>
      <c r="F914" s="19">
        <v>267</v>
      </c>
      <c r="G914" s="1" t="s">
        <v>93</v>
      </c>
      <c r="H914" s="1" t="s">
        <v>95</v>
      </c>
      <c r="I914" s="1">
        <v>41.8</v>
      </c>
      <c r="J914" s="1" t="s">
        <v>95</v>
      </c>
      <c r="M914" s="1" t="s">
        <v>101</v>
      </c>
      <c r="O914" s="1">
        <v>1</v>
      </c>
    </row>
    <row r="915" spans="1:18" ht="14.25" customHeight="1" x14ac:dyDescent="0.3">
      <c r="A915" s="1" t="s">
        <v>62</v>
      </c>
      <c r="B915" s="1">
        <v>12</v>
      </c>
      <c r="C915" s="1">
        <v>2</v>
      </c>
      <c r="D915" s="1" t="str">
        <f t="shared" si="14"/>
        <v>Yes</v>
      </c>
      <c r="E915" s="1">
        <v>10.8</v>
      </c>
      <c r="F915" s="1">
        <v>68</v>
      </c>
      <c r="G915" s="1" t="s">
        <v>93</v>
      </c>
      <c r="H915" s="1" t="s">
        <v>95</v>
      </c>
      <c r="I915" s="1">
        <v>31.2</v>
      </c>
      <c r="J915" s="1" t="s">
        <v>95</v>
      </c>
      <c r="M915" s="1" t="s">
        <v>101</v>
      </c>
      <c r="O915" s="1">
        <v>1</v>
      </c>
    </row>
    <row r="916" spans="1:18" ht="14.25" customHeight="1" x14ac:dyDescent="0.3">
      <c r="A916" s="1" t="s">
        <v>62</v>
      </c>
      <c r="B916" s="1">
        <v>12</v>
      </c>
      <c r="C916" s="1">
        <v>9</v>
      </c>
      <c r="D916" s="1" t="str">
        <f t="shared" si="14"/>
        <v>Yes</v>
      </c>
      <c r="E916" s="1">
        <v>11.4</v>
      </c>
      <c r="F916" s="1">
        <v>225</v>
      </c>
      <c r="G916" s="1" t="s">
        <v>93</v>
      </c>
      <c r="H916" s="1" t="s">
        <v>95</v>
      </c>
      <c r="I916" s="1">
        <v>27.9</v>
      </c>
      <c r="J916" s="1" t="s">
        <v>95</v>
      </c>
      <c r="M916" s="1" t="s">
        <v>101</v>
      </c>
      <c r="O916" s="1">
        <v>1</v>
      </c>
    </row>
    <row r="917" spans="1:18" ht="14.25" customHeight="1" x14ac:dyDescent="0.3">
      <c r="A917" s="1" t="s">
        <v>62</v>
      </c>
      <c r="B917" s="1">
        <v>12</v>
      </c>
      <c r="C917" s="1">
        <v>7</v>
      </c>
      <c r="D917" s="1" t="str">
        <f t="shared" si="14"/>
        <v>Yes</v>
      </c>
      <c r="E917" s="1">
        <v>11.2</v>
      </c>
      <c r="F917" s="1">
        <v>187</v>
      </c>
      <c r="G917" s="1" t="s">
        <v>93</v>
      </c>
      <c r="H917" s="1" t="s">
        <v>95</v>
      </c>
      <c r="I917" s="1">
        <v>16.7</v>
      </c>
      <c r="J917" s="1" t="s">
        <v>95</v>
      </c>
      <c r="M917" s="1" t="s">
        <v>101</v>
      </c>
      <c r="O917" s="1">
        <v>1</v>
      </c>
      <c r="Q917" s="20"/>
      <c r="R917" s="20"/>
    </row>
    <row r="918" spans="1:18" ht="14.25" customHeight="1" x14ac:dyDescent="0.3">
      <c r="A918" s="1" t="s">
        <v>62</v>
      </c>
      <c r="B918" s="1">
        <v>12</v>
      </c>
      <c r="C918" s="1">
        <v>14</v>
      </c>
      <c r="D918" s="1" t="str">
        <f t="shared" si="14"/>
        <v>Yes</v>
      </c>
      <c r="E918" s="1">
        <v>10.9</v>
      </c>
      <c r="F918" s="1">
        <v>355</v>
      </c>
      <c r="G918" s="66" t="s">
        <v>111</v>
      </c>
      <c r="H918" s="1" t="s">
        <v>94</v>
      </c>
      <c r="I918" s="1">
        <v>10</v>
      </c>
      <c r="J918" s="1" t="s">
        <v>95</v>
      </c>
      <c r="K918" s="1">
        <v>0</v>
      </c>
      <c r="L918" s="1">
        <v>1</v>
      </c>
      <c r="M918" s="1" t="s">
        <v>101</v>
      </c>
      <c r="N918" s="1" t="s">
        <v>100</v>
      </c>
      <c r="Q918" s="31" t="s">
        <v>797</v>
      </c>
      <c r="R918" s="1"/>
    </row>
    <row r="919" spans="1:18" ht="14.25" customHeight="1" x14ac:dyDescent="0.3">
      <c r="A919" s="1" t="s">
        <v>62</v>
      </c>
      <c r="B919" s="1">
        <v>12</v>
      </c>
      <c r="C919" s="1">
        <v>13</v>
      </c>
      <c r="D919" s="1" t="str">
        <f t="shared" si="14"/>
        <v>Yes</v>
      </c>
      <c r="E919" s="1">
        <v>10.6</v>
      </c>
      <c r="F919" s="1">
        <v>349</v>
      </c>
      <c r="G919" s="1" t="s">
        <v>106</v>
      </c>
      <c r="H919" s="1" t="s">
        <v>94</v>
      </c>
      <c r="I919" s="1">
        <v>13.5</v>
      </c>
      <c r="J919" s="1" t="s">
        <v>95</v>
      </c>
      <c r="K919" s="1">
        <v>0</v>
      </c>
      <c r="L919" s="1">
        <v>5</v>
      </c>
      <c r="M919" s="1" t="s">
        <v>101</v>
      </c>
      <c r="R919" s="31"/>
    </row>
    <row r="920" spans="1:18" ht="14.25" customHeight="1" x14ac:dyDescent="0.3">
      <c r="A920" s="1" t="s">
        <v>62</v>
      </c>
      <c r="B920" s="1">
        <v>12</v>
      </c>
      <c r="C920" s="1">
        <v>1</v>
      </c>
      <c r="D920" s="1" t="str">
        <f t="shared" si="14"/>
        <v>Yes</v>
      </c>
      <c r="E920" s="1">
        <v>10.1</v>
      </c>
      <c r="F920" s="1">
        <v>6</v>
      </c>
      <c r="G920" s="1" t="s">
        <v>106</v>
      </c>
      <c r="H920" s="1" t="s">
        <v>94</v>
      </c>
      <c r="I920" s="1">
        <v>9.6</v>
      </c>
      <c r="J920" s="1" t="s">
        <v>95</v>
      </c>
      <c r="K920" s="1">
        <v>0</v>
      </c>
      <c r="L920" s="1">
        <v>25</v>
      </c>
      <c r="M920" s="1" t="s">
        <v>101</v>
      </c>
      <c r="N920" s="1" t="s">
        <v>65</v>
      </c>
      <c r="Q920" s="1" t="s">
        <v>165</v>
      </c>
    </row>
    <row r="921" spans="1:18" ht="14.25" customHeight="1" x14ac:dyDescent="0.3">
      <c r="A921" s="1" t="s">
        <v>62</v>
      </c>
      <c r="B921" s="1">
        <v>14</v>
      </c>
      <c r="C921" s="1">
        <v>12</v>
      </c>
      <c r="D921" s="1" t="str">
        <f t="shared" si="14"/>
        <v>Yes</v>
      </c>
      <c r="E921" s="1">
        <v>5.4</v>
      </c>
      <c r="F921" s="1">
        <v>129</v>
      </c>
      <c r="G921" s="1" t="s">
        <v>111</v>
      </c>
      <c r="H921" s="1" t="s">
        <v>95</v>
      </c>
      <c r="I921" s="1">
        <v>81</v>
      </c>
      <c r="J921" s="1" t="s">
        <v>101</v>
      </c>
      <c r="M921" s="1" t="s">
        <v>97</v>
      </c>
      <c r="O921" s="1">
        <v>5</v>
      </c>
      <c r="Q921" s="1" t="s">
        <v>166</v>
      </c>
    </row>
    <row r="922" spans="1:18" ht="14.25" customHeight="1" x14ac:dyDescent="0.3">
      <c r="A922" s="1" t="s">
        <v>62</v>
      </c>
      <c r="B922" s="1">
        <v>14</v>
      </c>
      <c r="C922" s="1">
        <v>5</v>
      </c>
      <c r="D922" s="1" t="str">
        <f t="shared" si="14"/>
        <v>Yes</v>
      </c>
      <c r="E922" s="1">
        <v>10.8</v>
      </c>
      <c r="F922" s="1">
        <v>45</v>
      </c>
      <c r="G922" s="1" t="s">
        <v>111</v>
      </c>
      <c r="H922" s="1" t="s">
        <v>95</v>
      </c>
      <c r="I922" s="1">
        <v>45</v>
      </c>
      <c r="J922" s="1" t="s">
        <v>101</v>
      </c>
      <c r="M922" s="1" t="s">
        <v>102</v>
      </c>
      <c r="O922" s="1">
        <v>5</v>
      </c>
      <c r="Q922" s="1" t="s">
        <v>166</v>
      </c>
      <c r="R922" s="1"/>
    </row>
    <row r="923" spans="1:18" ht="14.25" customHeight="1" x14ac:dyDescent="0.3">
      <c r="A923" s="1" t="s">
        <v>62</v>
      </c>
      <c r="B923" s="1">
        <v>14</v>
      </c>
      <c r="C923" s="1">
        <v>17</v>
      </c>
      <c r="D923" s="1" t="str">
        <f t="shared" si="14"/>
        <v>Yes</v>
      </c>
      <c r="E923" s="1">
        <v>8.8000000000000007</v>
      </c>
      <c r="F923" s="1">
        <v>169</v>
      </c>
      <c r="G923" s="1" t="s">
        <v>111</v>
      </c>
      <c r="H923" s="1" t="s">
        <v>95</v>
      </c>
      <c r="I923" s="1">
        <v>35</v>
      </c>
      <c r="J923" s="1" t="s">
        <v>101</v>
      </c>
      <c r="M923" s="1" t="s">
        <v>101</v>
      </c>
      <c r="O923" s="1">
        <v>5</v>
      </c>
    </row>
    <row r="924" spans="1:18" ht="14.25" customHeight="1" x14ac:dyDescent="0.3">
      <c r="A924" s="1" t="s">
        <v>62</v>
      </c>
      <c r="B924" s="1">
        <v>14</v>
      </c>
      <c r="C924" s="1">
        <v>21</v>
      </c>
      <c r="D924" s="1" t="str">
        <f t="shared" si="14"/>
        <v>Yes</v>
      </c>
      <c r="E924" s="1">
        <v>9.6999999999999993</v>
      </c>
      <c r="F924" s="1">
        <v>316</v>
      </c>
      <c r="G924" s="1" t="s">
        <v>111</v>
      </c>
      <c r="H924" s="1" t="s">
        <v>95</v>
      </c>
      <c r="I924" s="1">
        <v>34.299999999999997</v>
      </c>
      <c r="J924" s="1" t="s">
        <v>95</v>
      </c>
      <c r="M924" s="1" t="s">
        <v>102</v>
      </c>
      <c r="O924" s="1">
        <v>1</v>
      </c>
    </row>
    <row r="925" spans="1:18" ht="14.25" customHeight="1" x14ac:dyDescent="0.3">
      <c r="A925" s="1" t="s">
        <v>62</v>
      </c>
      <c r="B925" s="1">
        <v>14</v>
      </c>
      <c r="C925" s="1">
        <v>6</v>
      </c>
      <c r="D925" s="1" t="str">
        <f t="shared" si="14"/>
        <v>Yes</v>
      </c>
      <c r="E925" s="1">
        <v>8.6999999999999993</v>
      </c>
      <c r="F925" s="1">
        <v>48</v>
      </c>
      <c r="G925" s="1" t="s">
        <v>111</v>
      </c>
      <c r="H925" s="1" t="s">
        <v>95</v>
      </c>
      <c r="I925" s="1">
        <v>34</v>
      </c>
      <c r="J925" s="1" t="s">
        <v>101</v>
      </c>
      <c r="M925" s="1" t="s">
        <v>101</v>
      </c>
      <c r="O925" s="1">
        <v>5</v>
      </c>
      <c r="Q925" s="1" t="s">
        <v>166</v>
      </c>
    </row>
    <row r="926" spans="1:18" ht="14.25" customHeight="1" x14ac:dyDescent="0.3">
      <c r="A926" s="1" t="s">
        <v>62</v>
      </c>
      <c r="B926" s="1">
        <v>14</v>
      </c>
      <c r="C926" s="1">
        <v>16</v>
      </c>
      <c r="D926" s="1" t="str">
        <f t="shared" si="14"/>
        <v>Yes</v>
      </c>
      <c r="E926" s="1">
        <v>9.6999999999999993</v>
      </c>
      <c r="F926" s="1">
        <v>159</v>
      </c>
      <c r="G926" s="1" t="s">
        <v>111</v>
      </c>
      <c r="H926" s="1" t="s">
        <v>95</v>
      </c>
      <c r="I926" s="1">
        <v>34</v>
      </c>
      <c r="J926" s="1" t="s">
        <v>101</v>
      </c>
      <c r="M926" s="1" t="s">
        <v>102</v>
      </c>
      <c r="O926" s="1">
        <v>5</v>
      </c>
    </row>
    <row r="927" spans="1:18" ht="14.25" customHeight="1" x14ac:dyDescent="0.3">
      <c r="A927" s="1" t="s">
        <v>62</v>
      </c>
      <c r="B927" s="1">
        <v>14</v>
      </c>
      <c r="C927" s="1">
        <v>9</v>
      </c>
      <c r="D927" s="1" t="str">
        <f t="shared" si="14"/>
        <v>Yes</v>
      </c>
      <c r="E927" s="1">
        <v>10.5</v>
      </c>
      <c r="F927" s="1">
        <v>114</v>
      </c>
      <c r="G927" s="1" t="s">
        <v>111</v>
      </c>
      <c r="H927" s="1" t="s">
        <v>95</v>
      </c>
      <c r="I927" s="1">
        <v>32</v>
      </c>
      <c r="J927" s="1" t="s">
        <v>101</v>
      </c>
      <c r="M927" s="1" t="s">
        <v>102</v>
      </c>
      <c r="O927" s="1">
        <v>5</v>
      </c>
    </row>
    <row r="928" spans="1:18" ht="14.25" customHeight="1" x14ac:dyDescent="0.3">
      <c r="A928" s="1" t="s">
        <v>62</v>
      </c>
      <c r="B928" s="1">
        <v>14</v>
      </c>
      <c r="C928" s="1">
        <v>4</v>
      </c>
      <c r="D928" s="1" t="str">
        <f t="shared" si="14"/>
        <v>Yes</v>
      </c>
      <c r="E928" s="1">
        <v>4.9000000000000004</v>
      </c>
      <c r="F928" s="1">
        <v>39</v>
      </c>
      <c r="G928" s="1" t="s">
        <v>111</v>
      </c>
      <c r="H928" s="1" t="s">
        <v>95</v>
      </c>
      <c r="I928" s="1">
        <v>30.6</v>
      </c>
      <c r="J928" s="1" t="s">
        <v>95</v>
      </c>
      <c r="M928" s="1" t="s">
        <v>102</v>
      </c>
      <c r="O928" s="1">
        <v>1</v>
      </c>
      <c r="P928" s="1">
        <v>590</v>
      </c>
    </row>
    <row r="929" spans="1:18" ht="14.25" customHeight="1" x14ac:dyDescent="0.3">
      <c r="A929" s="1" t="s">
        <v>62</v>
      </c>
      <c r="B929" s="1">
        <v>14</v>
      </c>
      <c r="C929" s="1">
        <v>19</v>
      </c>
      <c r="D929" s="1" t="str">
        <f t="shared" si="14"/>
        <v>Yes</v>
      </c>
      <c r="E929" s="1">
        <v>7.5</v>
      </c>
      <c r="F929" s="1">
        <v>306</v>
      </c>
      <c r="G929" s="1" t="s">
        <v>111</v>
      </c>
      <c r="H929" s="1" t="s">
        <v>95</v>
      </c>
      <c r="I929" s="1">
        <v>30.4</v>
      </c>
      <c r="J929" s="1" t="s">
        <v>95</v>
      </c>
      <c r="M929" s="1" t="s">
        <v>101</v>
      </c>
      <c r="O929" s="1">
        <v>1</v>
      </c>
    </row>
    <row r="930" spans="1:18" ht="14.25" customHeight="1" x14ac:dyDescent="0.3">
      <c r="A930" s="1" t="s">
        <v>62</v>
      </c>
      <c r="B930" s="1">
        <v>14</v>
      </c>
      <c r="C930" s="1">
        <v>15</v>
      </c>
      <c r="D930" s="1" t="str">
        <f t="shared" si="14"/>
        <v>Yes</v>
      </c>
      <c r="E930" s="1">
        <v>2.7</v>
      </c>
      <c r="F930" s="1">
        <v>147</v>
      </c>
      <c r="G930" s="1" t="s">
        <v>111</v>
      </c>
      <c r="H930" s="1" t="s">
        <v>95</v>
      </c>
      <c r="I930" s="1">
        <v>29.8</v>
      </c>
      <c r="J930" s="1" t="s">
        <v>95</v>
      </c>
      <c r="M930" s="1" t="s">
        <v>102</v>
      </c>
      <c r="O930" s="1">
        <v>1</v>
      </c>
      <c r="P930" s="1">
        <v>589</v>
      </c>
    </row>
    <row r="931" spans="1:18" ht="14.25" customHeight="1" x14ac:dyDescent="0.3">
      <c r="A931" s="1" t="s">
        <v>62</v>
      </c>
      <c r="B931" s="1">
        <v>14</v>
      </c>
      <c r="C931" s="1">
        <v>18</v>
      </c>
      <c r="D931" s="1" t="str">
        <f t="shared" si="14"/>
        <v>Yes</v>
      </c>
      <c r="E931" s="1">
        <v>8.5</v>
      </c>
      <c r="F931" s="1">
        <v>267</v>
      </c>
      <c r="G931" s="1" t="s">
        <v>111</v>
      </c>
      <c r="H931" s="1" t="s">
        <v>95</v>
      </c>
      <c r="I931" s="1">
        <v>29.2</v>
      </c>
      <c r="J931" s="1" t="s">
        <v>95</v>
      </c>
      <c r="M931" s="1" t="s">
        <v>101</v>
      </c>
      <c r="O931" s="1">
        <v>1</v>
      </c>
    </row>
    <row r="932" spans="1:18" ht="14.25" customHeight="1" x14ac:dyDescent="0.3">
      <c r="A932" s="1" t="s">
        <v>62</v>
      </c>
      <c r="B932" s="1">
        <v>14</v>
      </c>
      <c r="C932" s="1">
        <v>10</v>
      </c>
      <c r="D932" s="1" t="str">
        <f t="shared" si="14"/>
        <v>Yes</v>
      </c>
      <c r="E932" s="1">
        <v>7.5</v>
      </c>
      <c r="F932" s="1">
        <v>114</v>
      </c>
      <c r="G932" s="1" t="s">
        <v>111</v>
      </c>
      <c r="H932" s="1" t="s">
        <v>95</v>
      </c>
      <c r="I932" s="1">
        <v>29</v>
      </c>
      <c r="J932" s="1" t="s">
        <v>101</v>
      </c>
      <c r="M932" s="1" t="s">
        <v>102</v>
      </c>
      <c r="O932" s="1">
        <v>5</v>
      </c>
    </row>
    <row r="933" spans="1:18" ht="14.25" customHeight="1" x14ac:dyDescent="0.3">
      <c r="A933" s="1" t="s">
        <v>62</v>
      </c>
      <c r="B933" s="1">
        <v>14</v>
      </c>
      <c r="C933" s="1">
        <v>1</v>
      </c>
      <c r="D933" s="1" t="str">
        <f t="shared" si="14"/>
        <v>Yes</v>
      </c>
      <c r="E933" s="1">
        <v>8.8000000000000007</v>
      </c>
      <c r="F933" s="1">
        <v>4</v>
      </c>
      <c r="G933" s="1" t="s">
        <v>111</v>
      </c>
      <c r="H933" s="1" t="s">
        <v>95</v>
      </c>
      <c r="I933" s="1">
        <v>26.5</v>
      </c>
      <c r="J933" s="1" t="s">
        <v>95</v>
      </c>
      <c r="M933" s="1" t="s">
        <v>101</v>
      </c>
      <c r="O933" s="1">
        <v>1</v>
      </c>
    </row>
    <row r="934" spans="1:18" ht="14.25" customHeight="1" x14ac:dyDescent="0.3">
      <c r="A934" s="1" t="s">
        <v>62</v>
      </c>
      <c r="B934" s="1">
        <v>14</v>
      </c>
      <c r="C934" s="1">
        <v>20</v>
      </c>
      <c r="D934" s="1" t="str">
        <f t="shared" si="14"/>
        <v>Yes</v>
      </c>
      <c r="E934" s="1">
        <v>4.3</v>
      </c>
      <c r="F934" s="1">
        <v>311</v>
      </c>
      <c r="G934" s="1" t="s">
        <v>111</v>
      </c>
      <c r="H934" s="1" t="s">
        <v>95</v>
      </c>
      <c r="I934" s="1">
        <v>22.1</v>
      </c>
      <c r="J934" s="1" t="s">
        <v>95</v>
      </c>
      <c r="M934" s="1" t="s">
        <v>102</v>
      </c>
      <c r="O934" s="1">
        <v>1</v>
      </c>
    </row>
    <row r="935" spans="1:18" ht="14.25" customHeight="1" x14ac:dyDescent="0.3">
      <c r="A935" s="1" t="s">
        <v>62</v>
      </c>
      <c r="B935" s="1">
        <v>14</v>
      </c>
      <c r="C935" s="1">
        <v>14</v>
      </c>
      <c r="D935" s="1" t="str">
        <f t="shared" si="14"/>
        <v>Yes</v>
      </c>
      <c r="E935" s="1">
        <v>6.8</v>
      </c>
      <c r="F935" s="1">
        <v>142</v>
      </c>
      <c r="G935" s="1" t="s">
        <v>111</v>
      </c>
      <c r="H935" s="1" t="s">
        <v>95</v>
      </c>
      <c r="I935" s="1">
        <v>21.8</v>
      </c>
      <c r="J935" s="1" t="s">
        <v>95</v>
      </c>
      <c r="M935" s="1" t="s">
        <v>101</v>
      </c>
      <c r="O935" s="1">
        <v>1</v>
      </c>
    </row>
    <row r="936" spans="1:18" ht="14.25" customHeight="1" x14ac:dyDescent="0.3">
      <c r="A936" s="1" t="s">
        <v>62</v>
      </c>
      <c r="B936" s="1">
        <v>14</v>
      </c>
      <c r="C936" s="1">
        <v>3</v>
      </c>
      <c r="D936" s="1" t="str">
        <f t="shared" si="14"/>
        <v>Yes</v>
      </c>
      <c r="E936" s="1">
        <v>6.9</v>
      </c>
      <c r="F936" s="1">
        <v>29</v>
      </c>
      <c r="G936" s="1" t="s">
        <v>111</v>
      </c>
      <c r="H936" s="1" t="s">
        <v>95</v>
      </c>
      <c r="I936" s="1">
        <v>18.5</v>
      </c>
      <c r="J936" s="1" t="s">
        <v>95</v>
      </c>
      <c r="M936" s="1" t="s">
        <v>102</v>
      </c>
      <c r="O936" s="1">
        <v>1</v>
      </c>
      <c r="R936" s="1"/>
    </row>
    <row r="937" spans="1:18" ht="14.25" customHeight="1" x14ac:dyDescent="0.3">
      <c r="A937" s="1" t="s">
        <v>62</v>
      </c>
      <c r="B937" s="1">
        <v>14</v>
      </c>
      <c r="C937" s="1">
        <v>22</v>
      </c>
      <c r="D937" s="1" t="str">
        <f t="shared" si="14"/>
        <v>Yes</v>
      </c>
      <c r="E937" s="1">
        <v>5.5</v>
      </c>
      <c r="F937" s="1">
        <v>4</v>
      </c>
      <c r="G937" s="1" t="s">
        <v>111</v>
      </c>
      <c r="H937" s="1" t="s">
        <v>95</v>
      </c>
      <c r="I937" s="1">
        <v>16.8</v>
      </c>
      <c r="J937" s="1" t="s">
        <v>95</v>
      </c>
      <c r="M937" s="1" t="s">
        <v>101</v>
      </c>
      <c r="O937" s="1">
        <v>5</v>
      </c>
    </row>
    <row r="938" spans="1:18" ht="14.25" customHeight="1" x14ac:dyDescent="0.3">
      <c r="A938" s="1" t="s">
        <v>62</v>
      </c>
      <c r="B938" s="1">
        <v>14</v>
      </c>
      <c r="C938" s="1">
        <v>2</v>
      </c>
      <c r="D938" s="1" t="str">
        <f t="shared" si="14"/>
        <v>Yes</v>
      </c>
      <c r="E938" s="1">
        <v>8.5</v>
      </c>
      <c r="F938" s="1">
        <v>23</v>
      </c>
      <c r="G938" s="1" t="s">
        <v>111</v>
      </c>
      <c r="H938" s="1" t="s">
        <v>95</v>
      </c>
      <c r="I938" s="1">
        <v>15</v>
      </c>
      <c r="J938" s="1" t="s">
        <v>101</v>
      </c>
      <c r="M938" s="1" t="s">
        <v>101</v>
      </c>
      <c r="O938" s="1">
        <v>5</v>
      </c>
      <c r="Q938" s="1" t="s">
        <v>152</v>
      </c>
    </row>
    <row r="939" spans="1:18" ht="14.25" customHeight="1" x14ac:dyDescent="0.3">
      <c r="A939" s="1" t="s">
        <v>62</v>
      </c>
      <c r="B939" s="1">
        <v>14</v>
      </c>
      <c r="C939" s="1">
        <v>11</v>
      </c>
      <c r="D939" s="1" t="str">
        <f t="shared" si="14"/>
        <v>Yes</v>
      </c>
      <c r="E939" s="1">
        <v>10</v>
      </c>
      <c r="F939" s="1">
        <v>121</v>
      </c>
      <c r="G939" s="1" t="s">
        <v>111</v>
      </c>
      <c r="H939" s="1" t="s">
        <v>95</v>
      </c>
      <c r="I939" s="1">
        <v>15</v>
      </c>
      <c r="J939" s="1" t="s">
        <v>101</v>
      </c>
      <c r="M939" s="1" t="s">
        <v>102</v>
      </c>
      <c r="O939" s="1">
        <v>5</v>
      </c>
    </row>
    <row r="940" spans="1:18" ht="14.25" customHeight="1" x14ac:dyDescent="0.3">
      <c r="A940" s="1" t="s">
        <v>62</v>
      </c>
      <c r="B940" s="1">
        <v>14</v>
      </c>
      <c r="C940" s="1">
        <v>13</v>
      </c>
      <c r="D940" s="1" t="str">
        <f t="shared" si="14"/>
        <v>Yes</v>
      </c>
      <c r="E940" s="1">
        <v>11.8</v>
      </c>
      <c r="F940" s="1">
        <v>135</v>
      </c>
      <c r="G940" s="1" t="s">
        <v>111</v>
      </c>
      <c r="H940" s="1" t="s">
        <v>95</v>
      </c>
      <c r="I940" s="1">
        <v>10.3</v>
      </c>
      <c r="J940" s="1" t="s">
        <v>95</v>
      </c>
      <c r="M940" s="1" t="s">
        <v>102</v>
      </c>
      <c r="O940" s="1">
        <v>2</v>
      </c>
    </row>
    <row r="941" spans="1:18" ht="14.25" customHeight="1" x14ac:dyDescent="0.3">
      <c r="A941" s="1" t="s">
        <v>62</v>
      </c>
      <c r="B941" s="1">
        <v>14</v>
      </c>
      <c r="C941" s="1">
        <v>7</v>
      </c>
      <c r="D941" s="1" t="str">
        <f t="shared" si="14"/>
        <v>Yes</v>
      </c>
      <c r="E941" s="1">
        <v>5.4</v>
      </c>
      <c r="F941" s="1">
        <v>68</v>
      </c>
      <c r="G941" s="1" t="s">
        <v>93</v>
      </c>
      <c r="H941" s="1" t="s">
        <v>95</v>
      </c>
      <c r="I941" s="1">
        <v>37.200000000000003</v>
      </c>
      <c r="J941" s="1" t="s">
        <v>95</v>
      </c>
      <c r="M941" s="1" t="s">
        <v>102</v>
      </c>
      <c r="O941" s="1">
        <v>1</v>
      </c>
      <c r="R941" s="1"/>
    </row>
    <row r="942" spans="1:18" ht="14.25" customHeight="1" x14ac:dyDescent="0.3">
      <c r="A942" s="1" t="s">
        <v>62</v>
      </c>
      <c r="B942" s="1">
        <v>14</v>
      </c>
      <c r="C942" s="1">
        <v>8</v>
      </c>
      <c r="D942" s="1" t="str">
        <f t="shared" si="14"/>
        <v>Yes</v>
      </c>
      <c r="E942" s="1">
        <v>6.5</v>
      </c>
      <c r="F942" s="1">
        <v>88</v>
      </c>
      <c r="G942" s="1" t="s">
        <v>93</v>
      </c>
      <c r="H942" s="1" t="s">
        <v>95</v>
      </c>
      <c r="I942" s="1">
        <v>22.9</v>
      </c>
      <c r="J942" s="1" t="s">
        <v>95</v>
      </c>
      <c r="M942" s="1" t="s">
        <v>102</v>
      </c>
      <c r="O942" s="1">
        <v>1</v>
      </c>
      <c r="R942" s="1"/>
    </row>
    <row r="943" spans="1:18" ht="14.25" customHeight="1" x14ac:dyDescent="0.3">
      <c r="A943" s="1" t="s">
        <v>62</v>
      </c>
      <c r="B943" s="1">
        <v>14</v>
      </c>
      <c r="C943" s="1">
        <v>23</v>
      </c>
      <c r="D943" s="1" t="str">
        <f t="shared" si="14"/>
        <v>Yes</v>
      </c>
      <c r="E943" s="1">
        <v>8.3000000000000007</v>
      </c>
      <c r="F943" s="1">
        <v>204</v>
      </c>
      <c r="G943" s="1" t="s">
        <v>96</v>
      </c>
      <c r="H943" s="1" t="s">
        <v>94</v>
      </c>
      <c r="I943" s="1">
        <v>9.8000000000000007</v>
      </c>
      <c r="J943" s="1" t="s">
        <v>95</v>
      </c>
      <c r="M943" s="1" t="s">
        <v>97</v>
      </c>
      <c r="O943" s="1">
        <v>5</v>
      </c>
      <c r="P943" s="1">
        <v>588</v>
      </c>
    </row>
    <row r="944" spans="1:18" ht="14.25" customHeight="1" x14ac:dyDescent="0.3">
      <c r="A944" s="1" t="s">
        <v>62</v>
      </c>
      <c r="B944" s="1">
        <v>15</v>
      </c>
      <c r="C944" s="1">
        <v>10</v>
      </c>
      <c r="D944" s="1" t="str">
        <f t="shared" si="14"/>
        <v>Yes</v>
      </c>
      <c r="E944" s="1">
        <v>9</v>
      </c>
      <c r="F944" s="1">
        <v>287</v>
      </c>
      <c r="G944" s="1" t="s">
        <v>109</v>
      </c>
      <c r="H944" s="1" t="s">
        <v>95</v>
      </c>
      <c r="I944" s="1">
        <v>57.1</v>
      </c>
      <c r="J944" s="1" t="s">
        <v>95</v>
      </c>
      <c r="M944" s="1" t="s">
        <v>101</v>
      </c>
      <c r="O944" s="1">
        <v>1</v>
      </c>
    </row>
    <row r="945" spans="1:17" ht="14.25" customHeight="1" x14ac:dyDescent="0.3">
      <c r="A945" s="1" t="s">
        <v>62</v>
      </c>
      <c r="B945" s="1">
        <v>15</v>
      </c>
      <c r="C945" s="1">
        <v>28</v>
      </c>
      <c r="D945" s="1" t="str">
        <f t="shared" si="14"/>
        <v>Yes</v>
      </c>
      <c r="E945" s="1">
        <v>7.5</v>
      </c>
      <c r="F945" s="1">
        <v>352</v>
      </c>
      <c r="G945" s="1" t="s">
        <v>106</v>
      </c>
      <c r="H945" s="1" t="s">
        <v>95</v>
      </c>
      <c r="I945" s="1">
        <v>61.4</v>
      </c>
      <c r="J945" s="1" t="s">
        <v>101</v>
      </c>
      <c r="M945" s="1" t="s">
        <v>102</v>
      </c>
      <c r="O945" s="1">
        <v>5</v>
      </c>
      <c r="Q945" s="1" t="s">
        <v>167</v>
      </c>
    </row>
    <row r="946" spans="1:17" ht="14.25" customHeight="1" x14ac:dyDescent="0.3">
      <c r="A946" s="1" t="s">
        <v>62</v>
      </c>
      <c r="B946" s="1">
        <v>15</v>
      </c>
      <c r="C946" s="1">
        <v>15</v>
      </c>
      <c r="D946" s="1" t="str">
        <f t="shared" si="14"/>
        <v>Yes</v>
      </c>
      <c r="E946" s="1">
        <v>3</v>
      </c>
      <c r="F946" s="1">
        <v>212</v>
      </c>
      <c r="G946" s="1" t="s">
        <v>93</v>
      </c>
      <c r="H946" s="1" t="s">
        <v>95</v>
      </c>
      <c r="I946" s="1">
        <v>57.3</v>
      </c>
      <c r="J946" s="1" t="s">
        <v>95</v>
      </c>
      <c r="M946" s="1" t="s">
        <v>102</v>
      </c>
      <c r="O946" s="1">
        <v>1</v>
      </c>
      <c r="P946" s="1">
        <v>586</v>
      </c>
    </row>
    <row r="947" spans="1:17" ht="14.25" customHeight="1" x14ac:dyDescent="0.3">
      <c r="A947" s="1" t="s">
        <v>62</v>
      </c>
      <c r="B947" s="1">
        <v>15</v>
      </c>
      <c r="C947" s="1">
        <v>12</v>
      </c>
      <c r="D947" s="1" t="str">
        <f t="shared" si="14"/>
        <v>Yes</v>
      </c>
      <c r="E947" s="1">
        <v>8.1</v>
      </c>
      <c r="F947" s="1">
        <v>248</v>
      </c>
      <c r="G947" s="1" t="s">
        <v>93</v>
      </c>
      <c r="H947" s="1" t="s">
        <v>95</v>
      </c>
      <c r="I947" s="1">
        <v>46.3</v>
      </c>
      <c r="J947" s="1" t="s">
        <v>101</v>
      </c>
      <c r="M947" s="1" t="s">
        <v>101</v>
      </c>
      <c r="O947" s="1">
        <v>5</v>
      </c>
    </row>
    <row r="948" spans="1:17" ht="14.25" customHeight="1" x14ac:dyDescent="0.3">
      <c r="A948" s="1" t="s">
        <v>62</v>
      </c>
      <c r="B948" s="1">
        <v>15</v>
      </c>
      <c r="C948" s="1">
        <v>14</v>
      </c>
      <c r="D948" s="1" t="str">
        <f t="shared" si="14"/>
        <v>Yes</v>
      </c>
      <c r="E948" s="1">
        <v>9.3000000000000007</v>
      </c>
      <c r="F948" s="1">
        <v>225</v>
      </c>
      <c r="G948" s="1" t="s">
        <v>93</v>
      </c>
      <c r="H948" s="1" t="s">
        <v>95</v>
      </c>
      <c r="I948" s="1">
        <v>38</v>
      </c>
      <c r="J948" s="1" t="s">
        <v>101</v>
      </c>
      <c r="M948" s="1" t="s">
        <v>101</v>
      </c>
      <c r="O948" s="1">
        <v>5</v>
      </c>
    </row>
    <row r="949" spans="1:17" ht="14.25" customHeight="1" x14ac:dyDescent="0.3">
      <c r="A949" s="1" t="s">
        <v>62</v>
      </c>
      <c r="B949" s="1">
        <v>15</v>
      </c>
      <c r="C949" s="1">
        <v>25</v>
      </c>
      <c r="D949" s="1" t="str">
        <f t="shared" si="14"/>
        <v>Yes</v>
      </c>
      <c r="E949" s="1">
        <v>11.1</v>
      </c>
      <c r="F949" s="1">
        <v>122</v>
      </c>
      <c r="G949" s="1" t="s">
        <v>93</v>
      </c>
      <c r="H949" s="1" t="s">
        <v>95</v>
      </c>
      <c r="I949" s="1">
        <v>38</v>
      </c>
      <c r="J949" s="1" t="s">
        <v>95</v>
      </c>
      <c r="M949" s="1" t="s">
        <v>101</v>
      </c>
      <c r="O949" s="1">
        <v>1</v>
      </c>
      <c r="P949" s="1">
        <v>587</v>
      </c>
    </row>
    <row r="950" spans="1:17" ht="14.25" customHeight="1" x14ac:dyDescent="0.3">
      <c r="A950" s="1" t="s">
        <v>62</v>
      </c>
      <c r="B950" s="1">
        <v>15</v>
      </c>
      <c r="C950" s="1">
        <v>6</v>
      </c>
      <c r="D950" s="1" t="str">
        <f t="shared" si="14"/>
        <v>Yes</v>
      </c>
      <c r="E950" s="1">
        <v>7.2</v>
      </c>
      <c r="F950" s="1">
        <v>314</v>
      </c>
      <c r="G950" s="1" t="s">
        <v>93</v>
      </c>
      <c r="H950" s="1" t="s">
        <v>95</v>
      </c>
      <c r="I950" s="1">
        <v>37.9</v>
      </c>
      <c r="J950" s="1" t="s">
        <v>95</v>
      </c>
      <c r="M950" s="1" t="s">
        <v>101</v>
      </c>
      <c r="O950" s="1">
        <v>1</v>
      </c>
    </row>
    <row r="951" spans="1:17" ht="14.25" customHeight="1" x14ac:dyDescent="0.3">
      <c r="A951" s="1" t="s">
        <v>62</v>
      </c>
      <c r="B951" s="1">
        <v>15</v>
      </c>
      <c r="C951" s="1">
        <v>3</v>
      </c>
      <c r="D951" s="1" t="str">
        <f t="shared" si="14"/>
        <v>Yes</v>
      </c>
      <c r="E951" s="1">
        <v>10.7</v>
      </c>
      <c r="F951" s="1">
        <v>337</v>
      </c>
      <c r="G951" s="1" t="s">
        <v>93</v>
      </c>
      <c r="H951" s="1" t="s">
        <v>95</v>
      </c>
      <c r="I951" s="1">
        <v>37.299999999999997</v>
      </c>
      <c r="J951" s="1" t="s">
        <v>95</v>
      </c>
      <c r="M951" s="1" t="s">
        <v>101</v>
      </c>
      <c r="O951" s="1">
        <v>1</v>
      </c>
    </row>
    <row r="952" spans="1:17" ht="14.25" customHeight="1" x14ac:dyDescent="0.3">
      <c r="A952" s="1" t="s">
        <v>62</v>
      </c>
      <c r="B952" s="1">
        <v>15</v>
      </c>
      <c r="C952" s="1">
        <v>17</v>
      </c>
      <c r="D952" s="1" t="str">
        <f t="shared" si="14"/>
        <v>Yes</v>
      </c>
      <c r="E952" s="1">
        <v>10.1</v>
      </c>
      <c r="F952" s="1">
        <v>212</v>
      </c>
      <c r="G952" s="1" t="s">
        <v>93</v>
      </c>
      <c r="H952" s="1" t="s">
        <v>95</v>
      </c>
      <c r="I952" s="1">
        <v>35.5</v>
      </c>
      <c r="J952" s="1" t="s">
        <v>101</v>
      </c>
      <c r="M952" s="1" t="s">
        <v>101</v>
      </c>
      <c r="O952" s="1">
        <v>5</v>
      </c>
    </row>
    <row r="953" spans="1:17" ht="14.25" customHeight="1" x14ac:dyDescent="0.3">
      <c r="A953" s="1" t="s">
        <v>62</v>
      </c>
      <c r="B953" s="1">
        <v>15</v>
      </c>
      <c r="C953" s="1">
        <v>18</v>
      </c>
      <c r="D953" s="1" t="str">
        <f t="shared" si="14"/>
        <v>Yes</v>
      </c>
      <c r="E953" s="1">
        <v>9.9</v>
      </c>
      <c r="F953" s="1">
        <v>204</v>
      </c>
      <c r="G953" s="1" t="s">
        <v>93</v>
      </c>
      <c r="H953" s="1" t="s">
        <v>95</v>
      </c>
      <c r="I953" s="1">
        <v>33.5</v>
      </c>
      <c r="J953" s="1" t="s">
        <v>101</v>
      </c>
      <c r="M953" s="1" t="s">
        <v>101</v>
      </c>
      <c r="O953" s="1">
        <v>5</v>
      </c>
    </row>
    <row r="954" spans="1:17" ht="14.25" customHeight="1" x14ac:dyDescent="0.3">
      <c r="A954" s="1" t="s">
        <v>62</v>
      </c>
      <c r="B954" s="1">
        <v>15</v>
      </c>
      <c r="C954" s="1">
        <v>13</v>
      </c>
      <c r="D954" s="1" t="str">
        <f t="shared" si="14"/>
        <v>Yes</v>
      </c>
      <c r="E954" s="1">
        <v>7.2</v>
      </c>
      <c r="F954" s="1">
        <v>232</v>
      </c>
      <c r="G954" s="1" t="s">
        <v>93</v>
      </c>
      <c r="H954" s="1" t="s">
        <v>95</v>
      </c>
      <c r="I954" s="1">
        <v>33</v>
      </c>
      <c r="J954" s="1" t="s">
        <v>101</v>
      </c>
      <c r="M954" s="1" t="s">
        <v>101</v>
      </c>
      <c r="O954" s="1">
        <v>5</v>
      </c>
    </row>
    <row r="955" spans="1:17" ht="14.25" customHeight="1" x14ac:dyDescent="0.3">
      <c r="A955" s="1" t="s">
        <v>62</v>
      </c>
      <c r="B955" s="1">
        <v>15</v>
      </c>
      <c r="C955" s="1">
        <v>5</v>
      </c>
      <c r="D955" s="1" t="str">
        <f t="shared" si="14"/>
        <v>Yes</v>
      </c>
      <c r="E955" s="1">
        <v>7</v>
      </c>
      <c r="F955" s="1">
        <v>329</v>
      </c>
      <c r="G955" s="1" t="s">
        <v>93</v>
      </c>
      <c r="H955" s="1" t="s">
        <v>95</v>
      </c>
      <c r="I955" s="1">
        <v>28.6</v>
      </c>
      <c r="J955" s="1" t="s">
        <v>95</v>
      </c>
      <c r="M955" s="1" t="s">
        <v>101</v>
      </c>
      <c r="O955" s="1">
        <v>1</v>
      </c>
    </row>
    <row r="956" spans="1:17" ht="14.25" customHeight="1" x14ac:dyDescent="0.3">
      <c r="A956" s="1" t="s">
        <v>62</v>
      </c>
      <c r="B956" s="1">
        <v>15</v>
      </c>
      <c r="C956" s="1">
        <v>1</v>
      </c>
      <c r="D956" s="1" t="str">
        <f t="shared" si="14"/>
        <v>Yes</v>
      </c>
      <c r="E956" s="1">
        <v>10.9</v>
      </c>
      <c r="F956" s="1">
        <v>341</v>
      </c>
      <c r="G956" s="1" t="s">
        <v>93</v>
      </c>
      <c r="H956" s="1" t="s">
        <v>95</v>
      </c>
      <c r="I956" s="1">
        <v>27.8</v>
      </c>
      <c r="J956" s="1" t="s">
        <v>95</v>
      </c>
      <c r="M956" s="1" t="s">
        <v>101</v>
      </c>
      <c r="O956" s="1">
        <v>3</v>
      </c>
    </row>
    <row r="957" spans="1:17" ht="14.25" customHeight="1" x14ac:dyDescent="0.3">
      <c r="A957" s="1" t="s">
        <v>62</v>
      </c>
      <c r="B957" s="1">
        <v>15</v>
      </c>
      <c r="C957" s="1">
        <v>4</v>
      </c>
      <c r="D957" s="1" t="str">
        <f t="shared" si="14"/>
        <v>Yes</v>
      </c>
      <c r="E957" s="1">
        <v>8.6999999999999993</v>
      </c>
      <c r="F957" s="1">
        <v>335</v>
      </c>
      <c r="G957" s="1" t="s">
        <v>93</v>
      </c>
      <c r="H957" s="1" t="s">
        <v>95</v>
      </c>
      <c r="I957" s="1">
        <v>26.5</v>
      </c>
      <c r="J957" s="1" t="s">
        <v>95</v>
      </c>
      <c r="M957" s="1" t="s">
        <v>101</v>
      </c>
      <c r="O957" s="1">
        <v>1</v>
      </c>
    </row>
    <row r="958" spans="1:17" ht="14.25" customHeight="1" x14ac:dyDescent="0.3">
      <c r="A958" s="1" t="s">
        <v>62</v>
      </c>
      <c r="B958" s="1">
        <v>15</v>
      </c>
      <c r="C958" s="1">
        <v>21</v>
      </c>
      <c r="D958" s="1" t="str">
        <f t="shared" si="14"/>
        <v>Yes</v>
      </c>
      <c r="E958" s="1">
        <v>10.6</v>
      </c>
      <c r="F958" s="1">
        <v>183</v>
      </c>
      <c r="G958" s="1" t="s">
        <v>93</v>
      </c>
      <c r="H958" s="1" t="s">
        <v>95</v>
      </c>
      <c r="I958" s="1">
        <v>23.7</v>
      </c>
      <c r="J958" s="1" t="s">
        <v>101</v>
      </c>
      <c r="M958" s="1" t="s">
        <v>101</v>
      </c>
      <c r="O958" s="1">
        <v>5</v>
      </c>
    </row>
    <row r="959" spans="1:17" ht="14.25" customHeight="1" x14ac:dyDescent="0.3">
      <c r="A959" s="1" t="s">
        <v>62</v>
      </c>
      <c r="B959" s="1">
        <v>15</v>
      </c>
      <c r="C959" s="1">
        <v>11</v>
      </c>
      <c r="D959" s="1" t="str">
        <f t="shared" si="14"/>
        <v>Yes</v>
      </c>
      <c r="E959" s="1">
        <v>12</v>
      </c>
      <c r="F959" s="1">
        <v>288</v>
      </c>
      <c r="G959" s="1" t="s">
        <v>93</v>
      </c>
      <c r="H959" s="1" t="s">
        <v>95</v>
      </c>
      <c r="I959" s="1">
        <v>21.8</v>
      </c>
      <c r="J959" s="1" t="s">
        <v>95</v>
      </c>
      <c r="M959" s="1" t="s">
        <v>101</v>
      </c>
      <c r="O959" s="1">
        <v>5</v>
      </c>
    </row>
    <row r="960" spans="1:17" ht="14.25" customHeight="1" x14ac:dyDescent="0.3">
      <c r="A960" s="1" t="s">
        <v>62</v>
      </c>
      <c r="B960" s="1">
        <v>15</v>
      </c>
      <c r="C960" s="1">
        <v>16</v>
      </c>
      <c r="D960" s="1" t="str">
        <f t="shared" si="14"/>
        <v>Yes</v>
      </c>
      <c r="E960" s="1">
        <v>8.1</v>
      </c>
      <c r="F960" s="1">
        <v>212</v>
      </c>
      <c r="G960" s="1" t="s">
        <v>93</v>
      </c>
      <c r="H960" s="1" t="s">
        <v>95</v>
      </c>
      <c r="I960" s="1">
        <v>20</v>
      </c>
      <c r="J960" s="1" t="s">
        <v>101</v>
      </c>
      <c r="M960" s="1" t="s">
        <v>101</v>
      </c>
      <c r="O960" s="1">
        <v>5</v>
      </c>
    </row>
    <row r="961" spans="1:18" ht="14.25" customHeight="1" x14ac:dyDescent="0.3">
      <c r="A961" s="1" t="s">
        <v>62</v>
      </c>
      <c r="B961" s="1">
        <v>15</v>
      </c>
      <c r="C961" s="1">
        <v>26</v>
      </c>
      <c r="D961" s="1" t="str">
        <f t="shared" si="14"/>
        <v>Yes</v>
      </c>
      <c r="E961" s="1">
        <v>5.0999999999999996</v>
      </c>
      <c r="F961" s="1">
        <v>93</v>
      </c>
      <c r="G961" s="1" t="s">
        <v>93</v>
      </c>
      <c r="H961" s="1" t="s">
        <v>95</v>
      </c>
      <c r="I961" s="1">
        <v>18.600000000000001</v>
      </c>
      <c r="J961" s="1" t="s">
        <v>101</v>
      </c>
      <c r="M961" s="1" t="s">
        <v>101</v>
      </c>
      <c r="O961" s="1">
        <v>5</v>
      </c>
    </row>
    <row r="962" spans="1:18" ht="14.25" customHeight="1" x14ac:dyDescent="0.3">
      <c r="A962" s="1" t="s">
        <v>62</v>
      </c>
      <c r="B962" s="1">
        <v>15</v>
      </c>
      <c r="C962" s="1">
        <v>20</v>
      </c>
      <c r="D962" s="1" t="str">
        <f t="shared" ref="D962:D1025" si="15">IF(E962&gt;12.5, "No", "Yes")</f>
        <v>Yes</v>
      </c>
      <c r="E962" s="1">
        <v>9.1999999999999993</v>
      </c>
      <c r="F962" s="1">
        <v>173</v>
      </c>
      <c r="G962" s="1" t="s">
        <v>93</v>
      </c>
      <c r="H962" s="1" t="s">
        <v>95</v>
      </c>
      <c r="I962" s="1">
        <v>18.5</v>
      </c>
      <c r="J962" s="1" t="s">
        <v>95</v>
      </c>
      <c r="M962" s="1" t="s">
        <v>101</v>
      </c>
      <c r="O962" s="1">
        <v>1</v>
      </c>
    </row>
    <row r="963" spans="1:18" ht="14.25" customHeight="1" x14ac:dyDescent="0.3">
      <c r="A963" s="1" t="s">
        <v>62</v>
      </c>
      <c r="B963" s="1">
        <v>15</v>
      </c>
      <c r="C963" s="1">
        <v>23</v>
      </c>
      <c r="D963" s="1" t="str">
        <f t="shared" si="15"/>
        <v>Yes</v>
      </c>
      <c r="E963" s="1">
        <v>10.4</v>
      </c>
      <c r="F963" s="1">
        <v>134</v>
      </c>
      <c r="G963" s="1" t="s">
        <v>93</v>
      </c>
      <c r="H963" s="1" t="s">
        <v>95</v>
      </c>
      <c r="I963" s="1">
        <v>18.5</v>
      </c>
      <c r="J963" s="1" t="s">
        <v>95</v>
      </c>
      <c r="M963" s="1" t="s">
        <v>101</v>
      </c>
      <c r="O963" s="1">
        <v>1</v>
      </c>
    </row>
    <row r="964" spans="1:18" ht="14.25" customHeight="1" x14ac:dyDescent="0.3">
      <c r="A964" s="1" t="s">
        <v>62</v>
      </c>
      <c r="B964" s="1">
        <v>15</v>
      </c>
      <c r="C964" s="1">
        <v>2</v>
      </c>
      <c r="D964" s="1" t="str">
        <f t="shared" si="15"/>
        <v>Yes</v>
      </c>
      <c r="E964" s="1">
        <v>9</v>
      </c>
      <c r="F964" s="1">
        <v>353</v>
      </c>
      <c r="G964" s="1" t="s">
        <v>93</v>
      </c>
      <c r="H964" s="1" t="s">
        <v>95</v>
      </c>
      <c r="I964" s="1">
        <v>16.100000000000001</v>
      </c>
      <c r="J964" s="1" t="s">
        <v>95</v>
      </c>
      <c r="M964" s="1" t="s">
        <v>101</v>
      </c>
      <c r="O964" s="1">
        <v>5</v>
      </c>
    </row>
    <row r="965" spans="1:18" ht="14.25" customHeight="1" x14ac:dyDescent="0.3">
      <c r="A965" s="1" t="s">
        <v>62</v>
      </c>
      <c r="B965" s="1">
        <v>15</v>
      </c>
      <c r="C965" s="1">
        <v>9</v>
      </c>
      <c r="D965" s="1" t="str">
        <f t="shared" si="15"/>
        <v>Yes</v>
      </c>
      <c r="E965" s="1">
        <v>11.5</v>
      </c>
      <c r="F965" s="1">
        <v>291</v>
      </c>
      <c r="G965" s="1" t="s">
        <v>93</v>
      </c>
      <c r="H965" s="1" t="s">
        <v>95</v>
      </c>
      <c r="I965" s="1">
        <v>12.8</v>
      </c>
      <c r="J965" s="1" t="s">
        <v>95</v>
      </c>
      <c r="M965" s="1" t="s">
        <v>101</v>
      </c>
      <c r="O965" s="1">
        <v>1</v>
      </c>
    </row>
    <row r="966" spans="1:18" ht="14.25" customHeight="1" x14ac:dyDescent="0.3">
      <c r="A966" s="1" t="s">
        <v>62</v>
      </c>
      <c r="B966" s="1">
        <v>15</v>
      </c>
      <c r="C966" s="1">
        <v>24</v>
      </c>
      <c r="D966" s="1" t="str">
        <f t="shared" si="15"/>
        <v>Yes</v>
      </c>
      <c r="E966" s="1">
        <v>10.6</v>
      </c>
      <c r="F966" s="1">
        <v>108</v>
      </c>
      <c r="G966" s="1" t="s">
        <v>93</v>
      </c>
      <c r="H966" s="1" t="s">
        <v>95</v>
      </c>
      <c r="I966" s="1">
        <v>10.7</v>
      </c>
      <c r="J966" s="1" t="s">
        <v>95</v>
      </c>
      <c r="M966" s="1" t="s">
        <v>101</v>
      </c>
      <c r="O966" s="1">
        <v>1</v>
      </c>
    </row>
    <row r="967" spans="1:18" ht="14.25" customHeight="1" x14ac:dyDescent="0.3">
      <c r="A967" s="1" t="s">
        <v>62</v>
      </c>
      <c r="B967" s="1">
        <v>15</v>
      </c>
      <c r="C967" s="1">
        <v>22</v>
      </c>
      <c r="D967" s="1" t="str">
        <f t="shared" si="15"/>
        <v>Yes</v>
      </c>
      <c r="E967" s="1">
        <v>10.9</v>
      </c>
      <c r="F967" s="1">
        <v>139</v>
      </c>
      <c r="G967" s="1" t="s">
        <v>93</v>
      </c>
      <c r="H967" s="1" t="s">
        <v>95</v>
      </c>
      <c r="I967" s="1">
        <v>8.8000000000000007</v>
      </c>
      <c r="J967" s="1" t="s">
        <v>95</v>
      </c>
      <c r="M967" s="1" t="s">
        <v>101</v>
      </c>
      <c r="O967" s="1">
        <v>1</v>
      </c>
      <c r="R967" s="1"/>
    </row>
    <row r="968" spans="1:18" ht="14.25" customHeight="1" x14ac:dyDescent="0.3">
      <c r="A968" s="1" t="s">
        <v>62</v>
      </c>
      <c r="B968" s="1">
        <v>15</v>
      </c>
      <c r="C968" s="1">
        <v>7</v>
      </c>
      <c r="D968" s="1" t="str">
        <f t="shared" si="15"/>
        <v>Yes</v>
      </c>
      <c r="E968" s="1">
        <v>7</v>
      </c>
      <c r="F968" s="1">
        <v>312</v>
      </c>
      <c r="G968" s="1" t="s">
        <v>109</v>
      </c>
      <c r="H968" s="1" t="s">
        <v>94</v>
      </c>
      <c r="I968" s="1">
        <v>70</v>
      </c>
      <c r="J968" s="1" t="s">
        <v>95</v>
      </c>
      <c r="K968" s="1">
        <v>0</v>
      </c>
      <c r="L968" s="1">
        <v>25</v>
      </c>
      <c r="M968" s="1" t="s">
        <v>102</v>
      </c>
      <c r="N968" s="1" t="s">
        <v>100</v>
      </c>
      <c r="Q968" s="31" t="s">
        <v>796</v>
      </c>
    </row>
    <row r="969" spans="1:18" ht="14.25" customHeight="1" x14ac:dyDescent="0.3">
      <c r="A969" s="1" t="s">
        <v>62</v>
      </c>
      <c r="B969" s="1">
        <v>15</v>
      </c>
      <c r="C969" s="1">
        <v>27</v>
      </c>
      <c r="D969" s="1" t="str">
        <f t="shared" si="15"/>
        <v>Yes</v>
      </c>
      <c r="E969" s="1">
        <v>10.199999999999999</v>
      </c>
      <c r="F969" s="1">
        <v>29</v>
      </c>
      <c r="G969" s="1" t="s">
        <v>109</v>
      </c>
      <c r="H969" s="1" t="s">
        <v>94</v>
      </c>
      <c r="I969" s="1">
        <v>9.5</v>
      </c>
      <c r="J969" s="1" t="s">
        <v>95</v>
      </c>
      <c r="M969" s="1" t="s">
        <v>101</v>
      </c>
      <c r="O969" s="1">
        <v>1</v>
      </c>
    </row>
    <row r="970" spans="1:18" ht="14.25" customHeight="1" x14ac:dyDescent="0.3">
      <c r="A970" s="1" t="s">
        <v>62</v>
      </c>
      <c r="B970" s="1">
        <v>15</v>
      </c>
      <c r="C970" s="1">
        <v>8</v>
      </c>
      <c r="D970" s="1" t="str">
        <f t="shared" si="15"/>
        <v>Yes</v>
      </c>
      <c r="E970" s="1">
        <v>6.9</v>
      </c>
      <c r="F970" s="1">
        <v>305</v>
      </c>
      <c r="G970" s="1" t="s">
        <v>106</v>
      </c>
      <c r="H970" s="1" t="s">
        <v>94</v>
      </c>
      <c r="I970" s="1">
        <v>112.7</v>
      </c>
      <c r="J970" s="1" t="s">
        <v>95</v>
      </c>
      <c r="K970" s="1">
        <v>1</v>
      </c>
      <c r="L970" s="1">
        <v>20</v>
      </c>
      <c r="M970" s="1" t="s">
        <v>102</v>
      </c>
      <c r="P970" s="1">
        <v>585</v>
      </c>
      <c r="R970" s="31"/>
    </row>
    <row r="971" spans="1:18" ht="14.25" customHeight="1" x14ac:dyDescent="0.3">
      <c r="A971" s="1" t="s">
        <v>62</v>
      </c>
      <c r="B971" s="1">
        <v>15</v>
      </c>
      <c r="C971" s="1">
        <v>19</v>
      </c>
      <c r="D971" s="1" t="str">
        <f t="shared" si="15"/>
        <v>Yes</v>
      </c>
      <c r="E971" s="1">
        <v>6.8</v>
      </c>
      <c r="F971" s="1">
        <v>191</v>
      </c>
      <c r="G971" s="1" t="s">
        <v>93</v>
      </c>
      <c r="H971" s="1" t="s">
        <v>94</v>
      </c>
      <c r="I971" s="1">
        <v>49.3</v>
      </c>
      <c r="J971" s="1" t="s">
        <v>95</v>
      </c>
      <c r="K971" s="1">
        <v>1</v>
      </c>
      <c r="L971" s="1">
        <v>80</v>
      </c>
      <c r="M971" s="1" t="s">
        <v>102</v>
      </c>
      <c r="N971" s="1" t="s">
        <v>100</v>
      </c>
    </row>
    <row r="972" spans="1:18" ht="14.25" customHeight="1" x14ac:dyDescent="0.3">
      <c r="A972" s="1" t="s">
        <v>62</v>
      </c>
      <c r="B972" s="1">
        <v>18</v>
      </c>
      <c r="C972" s="1">
        <v>13</v>
      </c>
      <c r="D972" s="1" t="str">
        <f t="shared" si="15"/>
        <v>No</v>
      </c>
      <c r="E972" s="1">
        <v>16.100000000000001</v>
      </c>
      <c r="F972" s="1">
        <v>34</v>
      </c>
      <c r="G972" s="1" t="s">
        <v>93</v>
      </c>
      <c r="H972" s="1" t="s">
        <v>94</v>
      </c>
      <c r="I972" s="1">
        <v>78.900000000000006</v>
      </c>
      <c r="J972" s="1" t="s">
        <v>95</v>
      </c>
      <c r="K972" s="1">
        <v>1</v>
      </c>
      <c r="L972" s="1">
        <v>10</v>
      </c>
      <c r="M972" s="1" t="s">
        <v>102</v>
      </c>
      <c r="P972" s="1">
        <v>593</v>
      </c>
    </row>
    <row r="973" spans="1:18" ht="14.25" customHeight="1" x14ac:dyDescent="0.3">
      <c r="A973" s="1" t="s">
        <v>62</v>
      </c>
      <c r="B973" s="1">
        <v>18</v>
      </c>
      <c r="C973" s="1">
        <v>12</v>
      </c>
      <c r="D973" s="1" t="str">
        <f t="shared" si="15"/>
        <v>No</v>
      </c>
      <c r="E973" s="1">
        <v>15.1</v>
      </c>
      <c r="F973" s="1">
        <v>313</v>
      </c>
      <c r="G973" s="1" t="s">
        <v>93</v>
      </c>
      <c r="H973" s="1" t="s">
        <v>94</v>
      </c>
      <c r="I973" s="1">
        <v>39.9</v>
      </c>
      <c r="J973" s="1" t="s">
        <v>95</v>
      </c>
      <c r="K973" s="1">
        <v>1</v>
      </c>
      <c r="L973" s="1">
        <v>65</v>
      </c>
      <c r="M973" s="1" t="s">
        <v>102</v>
      </c>
      <c r="N973" s="1" t="s">
        <v>118</v>
      </c>
      <c r="P973" s="1">
        <v>591</v>
      </c>
    </row>
    <row r="974" spans="1:18" ht="14.25" customHeight="1" x14ac:dyDescent="0.3">
      <c r="A974" s="1" t="s">
        <v>62</v>
      </c>
      <c r="B974" s="1">
        <v>18</v>
      </c>
      <c r="C974" s="1">
        <v>6</v>
      </c>
      <c r="D974" s="1" t="str">
        <f t="shared" si="15"/>
        <v>Yes</v>
      </c>
      <c r="E974" s="1">
        <v>11</v>
      </c>
      <c r="F974" s="1">
        <v>179</v>
      </c>
      <c r="G974" s="1" t="s">
        <v>106</v>
      </c>
      <c r="H974" s="1" t="s">
        <v>95</v>
      </c>
      <c r="I974" s="1">
        <v>54.5</v>
      </c>
      <c r="J974" s="1" t="s">
        <v>95</v>
      </c>
      <c r="M974" s="1" t="s">
        <v>101</v>
      </c>
      <c r="O974" s="1">
        <v>5</v>
      </c>
    </row>
    <row r="975" spans="1:18" ht="14.25" customHeight="1" x14ac:dyDescent="0.3">
      <c r="A975" s="1" t="s">
        <v>62</v>
      </c>
      <c r="B975" s="1">
        <v>18</v>
      </c>
      <c r="C975" s="1">
        <v>3</v>
      </c>
      <c r="D975" s="1" t="str">
        <f t="shared" si="15"/>
        <v>Yes</v>
      </c>
      <c r="E975" s="1">
        <v>3.2</v>
      </c>
      <c r="F975" s="1">
        <v>162</v>
      </c>
      <c r="G975" s="1" t="s">
        <v>106</v>
      </c>
      <c r="H975" s="1" t="s">
        <v>95</v>
      </c>
      <c r="I975" s="1">
        <v>34.1</v>
      </c>
      <c r="J975" s="1" t="s">
        <v>101</v>
      </c>
      <c r="M975" s="1" t="s">
        <v>102</v>
      </c>
      <c r="O975" s="1">
        <v>5</v>
      </c>
    </row>
    <row r="976" spans="1:18" ht="14.25" customHeight="1" x14ac:dyDescent="0.3">
      <c r="A976" s="1" t="s">
        <v>62</v>
      </c>
      <c r="B976" s="1">
        <v>18</v>
      </c>
      <c r="C976" s="1">
        <v>2</v>
      </c>
      <c r="D976" s="1" t="str">
        <f t="shared" si="15"/>
        <v>Yes</v>
      </c>
      <c r="E976" s="1">
        <v>7.4</v>
      </c>
      <c r="F976" s="1">
        <v>56</v>
      </c>
      <c r="G976" s="1" t="s">
        <v>93</v>
      </c>
      <c r="H976" s="1" t="s">
        <v>95</v>
      </c>
      <c r="I976" s="1">
        <v>101.7</v>
      </c>
      <c r="J976" s="1" t="s">
        <v>95</v>
      </c>
      <c r="M976" s="1" t="s">
        <v>102</v>
      </c>
      <c r="O976" s="1">
        <v>1</v>
      </c>
      <c r="Q976" s="1" t="s">
        <v>168</v>
      </c>
    </row>
    <row r="977" spans="1:18" ht="14.25" customHeight="1" x14ac:dyDescent="0.3">
      <c r="A977" s="1" t="s">
        <v>62</v>
      </c>
      <c r="B977" s="1">
        <v>18</v>
      </c>
      <c r="C977" s="1">
        <v>1</v>
      </c>
      <c r="D977" s="1" t="str">
        <f t="shared" si="15"/>
        <v>Yes</v>
      </c>
      <c r="E977" s="1">
        <v>6.4</v>
      </c>
      <c r="F977" s="1">
        <v>8</v>
      </c>
      <c r="G977" s="1" t="s">
        <v>93</v>
      </c>
      <c r="H977" s="1" t="s">
        <v>95</v>
      </c>
      <c r="I977" s="1">
        <v>91</v>
      </c>
      <c r="J977" s="1" t="s">
        <v>95</v>
      </c>
      <c r="M977" s="1" t="s">
        <v>102</v>
      </c>
      <c r="O977" s="1">
        <v>4</v>
      </c>
    </row>
    <row r="978" spans="1:18" ht="14.25" customHeight="1" x14ac:dyDescent="0.3">
      <c r="A978" s="1" t="s">
        <v>62</v>
      </c>
      <c r="B978" s="1">
        <v>18</v>
      </c>
      <c r="C978" s="1">
        <v>5</v>
      </c>
      <c r="D978" s="1" t="str">
        <f t="shared" si="15"/>
        <v>Yes</v>
      </c>
      <c r="E978" s="1">
        <v>11.3</v>
      </c>
      <c r="F978" s="1">
        <v>176</v>
      </c>
      <c r="G978" s="1" t="s">
        <v>93</v>
      </c>
      <c r="H978" s="1" t="s">
        <v>95</v>
      </c>
      <c r="I978" s="1">
        <v>26.3</v>
      </c>
      <c r="J978" s="1" t="s">
        <v>95</v>
      </c>
      <c r="M978" s="1" t="s">
        <v>101</v>
      </c>
      <c r="O978" s="1">
        <v>1</v>
      </c>
    </row>
    <row r="979" spans="1:18" ht="14.25" customHeight="1" x14ac:dyDescent="0.3">
      <c r="A979" s="1" t="s">
        <v>62</v>
      </c>
      <c r="B979" s="1">
        <v>18</v>
      </c>
      <c r="C979" s="1">
        <v>9</v>
      </c>
      <c r="D979" s="1" t="str">
        <f t="shared" si="15"/>
        <v>Yes</v>
      </c>
      <c r="E979" s="1">
        <v>9.6</v>
      </c>
      <c r="F979" s="1">
        <v>200</v>
      </c>
      <c r="G979" s="1" t="s">
        <v>93</v>
      </c>
      <c r="H979" s="1" t="s">
        <v>95</v>
      </c>
      <c r="I979" s="1">
        <v>25.8</v>
      </c>
      <c r="J979" s="1" t="s">
        <v>95</v>
      </c>
      <c r="M979" s="1" t="s">
        <v>101</v>
      </c>
      <c r="O979" s="1">
        <v>1</v>
      </c>
    </row>
    <row r="980" spans="1:18" ht="14.25" customHeight="1" x14ac:dyDescent="0.3">
      <c r="A980" s="1" t="s">
        <v>62</v>
      </c>
      <c r="B980" s="1">
        <v>18</v>
      </c>
      <c r="C980" s="1">
        <v>10</v>
      </c>
      <c r="D980" s="1" t="str">
        <f t="shared" si="15"/>
        <v>Yes</v>
      </c>
      <c r="E980" s="1">
        <v>11.9</v>
      </c>
      <c r="F980" s="1">
        <v>220</v>
      </c>
      <c r="G980" s="1" t="s">
        <v>93</v>
      </c>
      <c r="H980" s="1" t="s">
        <v>95</v>
      </c>
      <c r="I980" s="1">
        <v>25.2</v>
      </c>
      <c r="J980" s="1" t="s">
        <v>95</v>
      </c>
      <c r="M980" s="1" t="s">
        <v>101</v>
      </c>
      <c r="O980" s="1">
        <v>1</v>
      </c>
    </row>
    <row r="981" spans="1:18" ht="14.25" customHeight="1" x14ac:dyDescent="0.3">
      <c r="A981" s="1" t="s">
        <v>62</v>
      </c>
      <c r="B981" s="1">
        <v>18</v>
      </c>
      <c r="C981" s="1">
        <v>7</v>
      </c>
      <c r="D981" s="1" t="str">
        <f t="shared" si="15"/>
        <v>Yes</v>
      </c>
      <c r="E981" s="1">
        <v>11.4</v>
      </c>
      <c r="F981" s="1">
        <v>198</v>
      </c>
      <c r="G981" s="1" t="s">
        <v>93</v>
      </c>
      <c r="H981" s="1" t="s">
        <v>95</v>
      </c>
      <c r="I981" s="1">
        <v>22.5</v>
      </c>
      <c r="J981" s="1" t="s">
        <v>95</v>
      </c>
      <c r="M981" s="1" t="s">
        <v>101</v>
      </c>
      <c r="O981" s="1">
        <v>1</v>
      </c>
    </row>
    <row r="982" spans="1:18" ht="14.25" customHeight="1" x14ac:dyDescent="0.3">
      <c r="A982" s="1" t="s">
        <v>62</v>
      </c>
      <c r="B982" s="1">
        <v>18</v>
      </c>
      <c r="C982" s="1">
        <v>4</v>
      </c>
      <c r="D982" s="1" t="str">
        <f t="shared" si="15"/>
        <v>Yes</v>
      </c>
      <c r="E982" s="1">
        <v>7.1</v>
      </c>
      <c r="F982" s="1">
        <v>173</v>
      </c>
      <c r="G982" s="1" t="s">
        <v>93</v>
      </c>
      <c r="H982" s="1" t="s">
        <v>95</v>
      </c>
      <c r="I982" s="1">
        <v>21</v>
      </c>
      <c r="J982" s="1" t="s">
        <v>101</v>
      </c>
      <c r="M982" s="1" t="s">
        <v>102</v>
      </c>
      <c r="O982" s="1">
        <v>5</v>
      </c>
    </row>
    <row r="983" spans="1:18" ht="14.25" customHeight="1" x14ac:dyDescent="0.3">
      <c r="A983" s="1" t="s">
        <v>62</v>
      </c>
      <c r="B983" s="1">
        <v>18</v>
      </c>
      <c r="C983" s="1">
        <v>8</v>
      </c>
      <c r="D983" s="1" t="str">
        <f t="shared" si="15"/>
        <v>Yes</v>
      </c>
      <c r="E983" s="1">
        <v>10.5</v>
      </c>
      <c r="F983" s="1">
        <v>200</v>
      </c>
      <c r="G983" s="1" t="s">
        <v>93</v>
      </c>
      <c r="H983" s="1" t="s">
        <v>95</v>
      </c>
      <c r="I983" s="1">
        <v>18.3</v>
      </c>
      <c r="J983" s="1" t="s">
        <v>97</v>
      </c>
      <c r="M983" s="1" t="s">
        <v>101</v>
      </c>
      <c r="O983" s="1">
        <v>5</v>
      </c>
      <c r="R983" s="1"/>
    </row>
    <row r="984" spans="1:18" ht="14.25" customHeight="1" x14ac:dyDescent="0.3">
      <c r="A984" s="1" t="s">
        <v>62</v>
      </c>
      <c r="B984" s="1">
        <v>18</v>
      </c>
      <c r="C984" s="1">
        <v>11</v>
      </c>
      <c r="D984" s="1" t="str">
        <f t="shared" si="15"/>
        <v>Yes</v>
      </c>
      <c r="E984" s="1">
        <v>5.2</v>
      </c>
      <c r="F984" s="1">
        <v>240</v>
      </c>
      <c r="G984" s="1" t="s">
        <v>93</v>
      </c>
      <c r="H984" s="1" t="s">
        <v>94</v>
      </c>
      <c r="I984" s="1">
        <v>98.9</v>
      </c>
      <c r="J984" s="1" t="s">
        <v>95</v>
      </c>
      <c r="K984" s="1">
        <v>0</v>
      </c>
      <c r="L984" s="1">
        <v>45</v>
      </c>
      <c r="M984" s="1" t="s">
        <v>102</v>
      </c>
      <c r="N984" s="1" t="s">
        <v>100</v>
      </c>
      <c r="P984" s="1">
        <v>592</v>
      </c>
    </row>
    <row r="985" spans="1:18" ht="14.25" customHeight="1" x14ac:dyDescent="0.3">
      <c r="A985" s="1" t="s">
        <v>62</v>
      </c>
      <c r="B985" s="1">
        <v>19</v>
      </c>
      <c r="C985" s="1">
        <v>4</v>
      </c>
      <c r="D985" s="1" t="str">
        <f t="shared" si="15"/>
        <v>No</v>
      </c>
      <c r="E985" s="1">
        <v>12.6</v>
      </c>
      <c r="F985" s="1">
        <v>304</v>
      </c>
      <c r="G985" s="1" t="s">
        <v>111</v>
      </c>
      <c r="H985" s="1" t="s">
        <v>95</v>
      </c>
      <c r="I985" s="1">
        <v>21.1</v>
      </c>
      <c r="J985" s="1" t="s">
        <v>95</v>
      </c>
      <c r="M985" s="1" t="s">
        <v>101</v>
      </c>
      <c r="O985" s="1">
        <v>1</v>
      </c>
    </row>
    <row r="986" spans="1:18" ht="14.25" customHeight="1" x14ac:dyDescent="0.3">
      <c r="A986" s="1" t="s">
        <v>62</v>
      </c>
      <c r="B986" s="1">
        <v>19</v>
      </c>
      <c r="C986" s="1">
        <v>9</v>
      </c>
      <c r="D986" s="1" t="str">
        <f t="shared" si="15"/>
        <v>No</v>
      </c>
      <c r="E986" s="1">
        <v>12.6</v>
      </c>
      <c r="F986" s="1">
        <v>359</v>
      </c>
      <c r="G986" s="1" t="s">
        <v>111</v>
      </c>
      <c r="H986" s="1" t="s">
        <v>94</v>
      </c>
      <c r="I986" s="1">
        <v>23.2</v>
      </c>
      <c r="J986" s="1" t="s">
        <v>95</v>
      </c>
      <c r="K986" s="1">
        <v>1</v>
      </c>
      <c r="L986" s="1">
        <v>15</v>
      </c>
      <c r="M986" s="1" t="s">
        <v>101</v>
      </c>
    </row>
    <row r="987" spans="1:18" ht="14.25" customHeight="1" x14ac:dyDescent="0.3">
      <c r="A987" s="1" t="s">
        <v>62</v>
      </c>
      <c r="B987" s="1">
        <v>19</v>
      </c>
      <c r="C987" s="1">
        <v>3</v>
      </c>
      <c r="D987" s="1" t="str">
        <f t="shared" si="15"/>
        <v>Yes</v>
      </c>
      <c r="E987" s="1">
        <v>10.6</v>
      </c>
      <c r="F987" s="1">
        <v>295</v>
      </c>
      <c r="G987" s="1" t="s">
        <v>111</v>
      </c>
      <c r="H987" s="1" t="s">
        <v>95</v>
      </c>
      <c r="I987" s="1">
        <v>12.3</v>
      </c>
      <c r="J987" s="1" t="s">
        <v>95</v>
      </c>
      <c r="M987" s="1" t="s">
        <v>101</v>
      </c>
      <c r="O987" s="1">
        <v>1</v>
      </c>
    </row>
    <row r="988" spans="1:18" ht="14.25" customHeight="1" x14ac:dyDescent="0.3">
      <c r="A988" s="1" t="s">
        <v>62</v>
      </c>
      <c r="B988" s="1">
        <v>19</v>
      </c>
      <c r="C988" s="1">
        <v>19</v>
      </c>
      <c r="D988" s="1" t="str">
        <f t="shared" si="15"/>
        <v>Yes</v>
      </c>
      <c r="E988" s="1">
        <v>5.4</v>
      </c>
      <c r="F988" s="1">
        <v>119</v>
      </c>
      <c r="G988" s="1" t="s">
        <v>111</v>
      </c>
      <c r="H988" s="1" t="s">
        <v>95</v>
      </c>
      <c r="I988" s="1">
        <v>10.5</v>
      </c>
      <c r="J988" s="1" t="s">
        <v>95</v>
      </c>
      <c r="M988" s="1" t="s">
        <v>101</v>
      </c>
      <c r="O988" s="1">
        <v>1</v>
      </c>
    </row>
    <row r="989" spans="1:18" ht="14.25" customHeight="1" x14ac:dyDescent="0.3">
      <c r="A989" s="1" t="s">
        <v>62</v>
      </c>
      <c r="B989" s="1">
        <v>19</v>
      </c>
      <c r="C989" s="1">
        <v>18</v>
      </c>
      <c r="D989" s="1" t="str">
        <f t="shared" si="15"/>
        <v>Yes</v>
      </c>
      <c r="E989" s="1">
        <v>11.6</v>
      </c>
      <c r="F989" s="1">
        <v>116</v>
      </c>
      <c r="G989" s="1" t="s">
        <v>106</v>
      </c>
      <c r="H989" s="1" t="s">
        <v>95</v>
      </c>
      <c r="I989" s="1">
        <v>160</v>
      </c>
      <c r="J989" s="1" t="s">
        <v>101</v>
      </c>
      <c r="M989" s="1" t="s">
        <v>102</v>
      </c>
      <c r="O989" s="1">
        <v>5</v>
      </c>
    </row>
    <row r="990" spans="1:18" ht="14.25" customHeight="1" x14ac:dyDescent="0.3">
      <c r="A990" s="1" t="s">
        <v>62</v>
      </c>
      <c r="B990" s="1">
        <v>19</v>
      </c>
      <c r="C990" s="1">
        <v>28</v>
      </c>
      <c r="D990" s="1" t="str">
        <f t="shared" si="15"/>
        <v>Yes</v>
      </c>
      <c r="E990" s="1">
        <v>6.1</v>
      </c>
      <c r="F990" s="1">
        <v>198</v>
      </c>
      <c r="G990" s="1" t="s">
        <v>106</v>
      </c>
      <c r="H990" s="1" t="s">
        <v>95</v>
      </c>
      <c r="I990" s="1">
        <v>108</v>
      </c>
      <c r="J990" s="1" t="s">
        <v>101</v>
      </c>
      <c r="M990" s="1" t="s">
        <v>102</v>
      </c>
      <c r="O990" s="1">
        <v>5</v>
      </c>
      <c r="Q990" s="1" t="s">
        <v>152</v>
      </c>
    </row>
    <row r="991" spans="1:18" ht="14.25" customHeight="1" x14ac:dyDescent="0.3">
      <c r="A991" s="1" t="s">
        <v>62</v>
      </c>
      <c r="B991" s="1">
        <v>19</v>
      </c>
      <c r="C991" s="1">
        <v>7</v>
      </c>
      <c r="D991" s="1" t="str">
        <f t="shared" si="15"/>
        <v>Yes</v>
      </c>
      <c r="E991" s="1">
        <v>4.3</v>
      </c>
      <c r="F991" s="1">
        <v>338</v>
      </c>
      <c r="G991" s="1" t="s">
        <v>106</v>
      </c>
      <c r="H991" s="1" t="s">
        <v>95</v>
      </c>
      <c r="I991" s="1">
        <v>85</v>
      </c>
      <c r="J991" s="1" t="s">
        <v>97</v>
      </c>
      <c r="M991" s="1" t="s">
        <v>101</v>
      </c>
      <c r="O991" s="1">
        <v>5</v>
      </c>
      <c r="Q991" s="1" t="s">
        <v>152</v>
      </c>
    </row>
    <row r="992" spans="1:18" ht="14.25" customHeight="1" x14ac:dyDescent="0.3">
      <c r="A992" s="1" t="s">
        <v>62</v>
      </c>
      <c r="B992" s="1">
        <v>19</v>
      </c>
      <c r="C992" s="1">
        <v>1</v>
      </c>
      <c r="D992" s="1" t="str">
        <f t="shared" si="15"/>
        <v>Yes</v>
      </c>
      <c r="E992" s="1">
        <v>6.2</v>
      </c>
      <c r="F992" s="1">
        <v>295</v>
      </c>
      <c r="G992" s="1" t="s">
        <v>106</v>
      </c>
      <c r="H992" s="1" t="s">
        <v>95</v>
      </c>
      <c r="I992" s="1">
        <v>80</v>
      </c>
      <c r="J992" s="1" t="s">
        <v>97</v>
      </c>
      <c r="M992" s="1" t="s">
        <v>102</v>
      </c>
      <c r="O992" s="1">
        <v>5</v>
      </c>
      <c r="Q992" s="1" t="s">
        <v>169</v>
      </c>
    </row>
    <row r="993" spans="1:18" ht="14.25" customHeight="1" x14ac:dyDescent="0.3">
      <c r="A993" s="1" t="s">
        <v>62</v>
      </c>
      <c r="B993" s="1">
        <v>19</v>
      </c>
      <c r="C993" s="1">
        <v>17</v>
      </c>
      <c r="D993" s="1" t="str">
        <f t="shared" si="15"/>
        <v>Yes</v>
      </c>
      <c r="E993" s="1">
        <v>11.8</v>
      </c>
      <c r="F993" s="1">
        <v>106</v>
      </c>
      <c r="G993" s="1" t="s">
        <v>106</v>
      </c>
      <c r="H993" s="1" t="s">
        <v>95</v>
      </c>
      <c r="I993" s="1">
        <v>35</v>
      </c>
      <c r="J993" s="1" t="s">
        <v>101</v>
      </c>
      <c r="M993" s="1" t="s">
        <v>101</v>
      </c>
      <c r="O993" s="1">
        <v>5</v>
      </c>
      <c r="R993" s="1"/>
    </row>
    <row r="994" spans="1:18" ht="14.25" customHeight="1" x14ac:dyDescent="0.3">
      <c r="A994" s="1" t="s">
        <v>62</v>
      </c>
      <c r="B994" s="1">
        <v>19</v>
      </c>
      <c r="C994" s="1">
        <v>2</v>
      </c>
      <c r="D994" s="1" t="str">
        <f t="shared" si="15"/>
        <v>Yes</v>
      </c>
      <c r="E994" s="1">
        <v>12.1</v>
      </c>
      <c r="F994" s="1">
        <v>285</v>
      </c>
      <c r="G994" s="1" t="s">
        <v>106</v>
      </c>
      <c r="H994" s="1" t="s">
        <v>95</v>
      </c>
      <c r="I994" s="1">
        <v>17.5</v>
      </c>
      <c r="J994" s="1" t="s">
        <v>95</v>
      </c>
      <c r="M994" s="1" t="s">
        <v>101</v>
      </c>
      <c r="O994" s="1">
        <v>1</v>
      </c>
      <c r="R994" s="1"/>
    </row>
    <row r="995" spans="1:18" ht="14.25" customHeight="1" x14ac:dyDescent="0.3">
      <c r="A995" s="1" t="s">
        <v>62</v>
      </c>
      <c r="B995" s="1">
        <v>19</v>
      </c>
      <c r="C995" s="1">
        <v>30</v>
      </c>
      <c r="D995" s="1" t="str">
        <f t="shared" si="15"/>
        <v>Yes</v>
      </c>
      <c r="E995" s="1">
        <v>12.2</v>
      </c>
      <c r="F995" s="1">
        <v>249</v>
      </c>
      <c r="G995" s="1" t="s">
        <v>93</v>
      </c>
      <c r="H995" s="1" t="s">
        <v>95</v>
      </c>
      <c r="I995" s="1">
        <v>37</v>
      </c>
      <c r="J995" s="1" t="s">
        <v>95</v>
      </c>
      <c r="M995" s="1" t="s">
        <v>101</v>
      </c>
      <c r="O995" s="1">
        <v>1</v>
      </c>
      <c r="R995" s="1"/>
    </row>
    <row r="996" spans="1:18" ht="14.25" customHeight="1" x14ac:dyDescent="0.3">
      <c r="A996" s="1" t="s">
        <v>62</v>
      </c>
      <c r="B996" s="1">
        <v>19</v>
      </c>
      <c r="C996" s="1">
        <v>15</v>
      </c>
      <c r="D996" s="1" t="str">
        <f t="shared" si="15"/>
        <v>Yes</v>
      </c>
      <c r="E996" s="1">
        <v>11.3</v>
      </c>
      <c r="F996" s="1">
        <v>78</v>
      </c>
      <c r="G996" s="1" t="s">
        <v>93</v>
      </c>
      <c r="H996" s="1" t="s">
        <v>95</v>
      </c>
      <c r="I996" s="1">
        <v>36.700000000000003</v>
      </c>
      <c r="J996" s="1" t="s">
        <v>95</v>
      </c>
      <c r="M996" s="1" t="s">
        <v>102</v>
      </c>
      <c r="O996" s="1">
        <v>1</v>
      </c>
    </row>
    <row r="997" spans="1:18" ht="14.25" customHeight="1" x14ac:dyDescent="0.3">
      <c r="A997" s="1" t="s">
        <v>62</v>
      </c>
      <c r="B997" s="1">
        <v>19</v>
      </c>
      <c r="C997" s="1">
        <v>8</v>
      </c>
      <c r="D997" s="1" t="str">
        <f t="shared" si="15"/>
        <v>Yes</v>
      </c>
      <c r="E997" s="1">
        <v>1.6</v>
      </c>
      <c r="F997" s="1">
        <v>4</v>
      </c>
      <c r="G997" s="1" t="s">
        <v>111</v>
      </c>
      <c r="H997" s="1" t="s">
        <v>94</v>
      </c>
      <c r="I997" s="1">
        <v>41.2</v>
      </c>
      <c r="J997" s="1" t="s">
        <v>95</v>
      </c>
      <c r="K997" s="1">
        <v>5</v>
      </c>
      <c r="L997" s="1">
        <v>65</v>
      </c>
      <c r="M997" s="1" t="s">
        <v>101</v>
      </c>
      <c r="P997" s="1">
        <v>582</v>
      </c>
    </row>
    <row r="998" spans="1:18" ht="14.25" customHeight="1" x14ac:dyDescent="0.3">
      <c r="A998" s="1" t="s">
        <v>62</v>
      </c>
      <c r="B998" s="1">
        <v>19</v>
      </c>
      <c r="C998" s="1">
        <v>16</v>
      </c>
      <c r="D998" s="1" t="str">
        <f t="shared" si="15"/>
        <v>Yes</v>
      </c>
      <c r="E998" s="1">
        <v>1.8</v>
      </c>
      <c r="F998" s="1">
        <v>101</v>
      </c>
      <c r="G998" s="1" t="s">
        <v>111</v>
      </c>
      <c r="H998" s="1" t="s">
        <v>94</v>
      </c>
      <c r="I998" s="1">
        <v>38.299999999999997</v>
      </c>
      <c r="J998" s="1" t="s">
        <v>95</v>
      </c>
      <c r="K998" s="1">
        <v>1</v>
      </c>
      <c r="L998" s="1">
        <v>70</v>
      </c>
      <c r="M998" s="1" t="s">
        <v>101</v>
      </c>
      <c r="P998" s="1">
        <v>583</v>
      </c>
    </row>
    <row r="999" spans="1:18" ht="14.25" customHeight="1" x14ac:dyDescent="0.3">
      <c r="A999" s="1" t="s">
        <v>62</v>
      </c>
      <c r="B999" s="1">
        <v>19</v>
      </c>
      <c r="C999" s="1">
        <v>27</v>
      </c>
      <c r="D999" s="1" t="str">
        <f t="shared" si="15"/>
        <v>Yes</v>
      </c>
      <c r="E999" s="1">
        <v>9.3000000000000007</v>
      </c>
      <c r="F999" s="1">
        <v>178</v>
      </c>
      <c r="G999" s="1" t="s">
        <v>111</v>
      </c>
      <c r="H999" s="1" t="s">
        <v>94</v>
      </c>
      <c r="I999" s="1">
        <v>36.5</v>
      </c>
      <c r="J999" s="1" t="s">
        <v>95</v>
      </c>
      <c r="K999" s="1">
        <v>0</v>
      </c>
      <c r="L999" s="1">
        <v>60</v>
      </c>
      <c r="M999" s="1" t="s">
        <v>101</v>
      </c>
    </row>
    <row r="1000" spans="1:18" ht="14.25" customHeight="1" x14ac:dyDescent="0.3">
      <c r="A1000" s="1" t="s">
        <v>62</v>
      </c>
      <c r="B1000" s="1">
        <v>19</v>
      </c>
      <c r="C1000" s="1">
        <v>25</v>
      </c>
      <c r="D1000" s="1" t="str">
        <f t="shared" si="15"/>
        <v>Yes</v>
      </c>
      <c r="E1000" s="1">
        <v>7.4</v>
      </c>
      <c r="F1000" s="1">
        <v>166</v>
      </c>
      <c r="G1000" s="1" t="s">
        <v>111</v>
      </c>
      <c r="H1000" s="1" t="s">
        <v>94</v>
      </c>
      <c r="I1000" s="1">
        <v>36.200000000000003</v>
      </c>
      <c r="J1000" s="1" t="s">
        <v>95</v>
      </c>
      <c r="K1000" s="1">
        <v>0</v>
      </c>
      <c r="L1000" s="1">
        <v>70</v>
      </c>
      <c r="M1000" s="1" t="s">
        <v>101</v>
      </c>
    </row>
    <row r="1001" spans="1:18" ht="14.25" customHeight="1" x14ac:dyDescent="0.3">
      <c r="A1001" s="1" t="s">
        <v>62</v>
      </c>
      <c r="B1001" s="1">
        <v>19</v>
      </c>
      <c r="C1001" s="1">
        <v>26</v>
      </c>
      <c r="D1001" s="1" t="str">
        <f t="shared" si="15"/>
        <v>Yes</v>
      </c>
      <c r="E1001" s="1">
        <v>12.5</v>
      </c>
      <c r="F1001" s="1">
        <v>168</v>
      </c>
      <c r="G1001" s="1" t="s">
        <v>111</v>
      </c>
      <c r="H1001" s="1" t="s">
        <v>94</v>
      </c>
      <c r="I1001" s="1">
        <v>32.9</v>
      </c>
      <c r="J1001" s="1" t="s">
        <v>95</v>
      </c>
      <c r="K1001" s="1">
        <v>1</v>
      </c>
      <c r="L1001" s="1">
        <v>30</v>
      </c>
      <c r="M1001" s="1" t="s">
        <v>101</v>
      </c>
    </row>
    <row r="1002" spans="1:18" ht="14.25" customHeight="1" x14ac:dyDescent="0.3">
      <c r="A1002" s="1" t="s">
        <v>62</v>
      </c>
      <c r="B1002" s="1">
        <v>19</v>
      </c>
      <c r="C1002" s="1">
        <v>13</v>
      </c>
      <c r="D1002" s="1" t="str">
        <f t="shared" si="15"/>
        <v>Yes</v>
      </c>
      <c r="E1002" s="1">
        <v>8.1999999999999993</v>
      </c>
      <c r="F1002" s="1">
        <v>25</v>
      </c>
      <c r="G1002" s="1" t="s">
        <v>111</v>
      </c>
      <c r="H1002" s="1" t="s">
        <v>94</v>
      </c>
      <c r="I1002" s="1">
        <v>31.7</v>
      </c>
      <c r="J1002" s="1" t="s">
        <v>95</v>
      </c>
      <c r="K1002" s="1">
        <v>1</v>
      </c>
      <c r="L1002" s="1">
        <v>20</v>
      </c>
      <c r="M1002" s="1" t="s">
        <v>101</v>
      </c>
    </row>
    <row r="1003" spans="1:18" ht="14.25" customHeight="1" x14ac:dyDescent="0.3">
      <c r="A1003" s="1" t="s">
        <v>62</v>
      </c>
      <c r="B1003" s="1">
        <v>19</v>
      </c>
      <c r="C1003" s="1">
        <v>12</v>
      </c>
      <c r="D1003" s="1" t="str">
        <f t="shared" si="15"/>
        <v>Yes</v>
      </c>
      <c r="E1003" s="1">
        <v>10.8</v>
      </c>
      <c r="F1003" s="1">
        <v>13</v>
      </c>
      <c r="G1003" s="1" t="s">
        <v>111</v>
      </c>
      <c r="H1003" s="1" t="s">
        <v>94</v>
      </c>
      <c r="I1003" s="1">
        <v>30.5</v>
      </c>
      <c r="J1003" s="1" t="s">
        <v>95</v>
      </c>
      <c r="K1003" s="1">
        <v>0</v>
      </c>
      <c r="L1003" s="1">
        <v>5</v>
      </c>
      <c r="M1003" s="1" t="s">
        <v>101</v>
      </c>
    </row>
    <row r="1004" spans="1:18" ht="14.25" customHeight="1" x14ac:dyDescent="0.3">
      <c r="A1004" s="1" t="s">
        <v>62</v>
      </c>
      <c r="B1004" s="1">
        <v>19</v>
      </c>
      <c r="C1004" s="1">
        <v>24</v>
      </c>
      <c r="D1004" s="1" t="str">
        <f t="shared" si="15"/>
        <v>Yes</v>
      </c>
      <c r="E1004" s="1">
        <v>4.0999999999999996</v>
      </c>
      <c r="F1004" s="1">
        <v>162</v>
      </c>
      <c r="G1004" s="1" t="s">
        <v>111</v>
      </c>
      <c r="H1004" s="1" t="s">
        <v>94</v>
      </c>
      <c r="I1004" s="1">
        <v>30.5</v>
      </c>
      <c r="J1004" s="1" t="s">
        <v>95</v>
      </c>
      <c r="K1004" s="1">
        <v>0</v>
      </c>
      <c r="L1004" s="1">
        <v>75</v>
      </c>
      <c r="M1004" s="1" t="s">
        <v>101</v>
      </c>
    </row>
    <row r="1005" spans="1:18" ht="14.25" customHeight="1" x14ac:dyDescent="0.3">
      <c r="A1005" s="1" t="s">
        <v>62</v>
      </c>
      <c r="B1005" s="1">
        <v>19</v>
      </c>
      <c r="C1005" s="1">
        <v>11</v>
      </c>
      <c r="D1005" s="1" t="str">
        <f t="shared" si="15"/>
        <v>Yes</v>
      </c>
      <c r="E1005" s="1">
        <v>9.4</v>
      </c>
      <c r="F1005" s="1">
        <v>2</v>
      </c>
      <c r="G1005" s="1" t="s">
        <v>111</v>
      </c>
      <c r="H1005" s="1" t="s">
        <v>94</v>
      </c>
      <c r="I1005" s="1">
        <v>28.8</v>
      </c>
      <c r="J1005" s="1" t="s">
        <v>95</v>
      </c>
      <c r="K1005" s="1">
        <v>1</v>
      </c>
      <c r="L1005" s="1">
        <v>15</v>
      </c>
      <c r="M1005" s="1" t="s">
        <v>101</v>
      </c>
    </row>
    <row r="1006" spans="1:18" ht="14.25" customHeight="1" x14ac:dyDescent="0.3">
      <c r="A1006" s="1" t="s">
        <v>62</v>
      </c>
      <c r="B1006" s="1">
        <v>19</v>
      </c>
      <c r="C1006" s="1">
        <v>22</v>
      </c>
      <c r="D1006" s="1" t="str">
        <f t="shared" si="15"/>
        <v>Yes</v>
      </c>
      <c r="E1006" s="1">
        <v>6.8</v>
      </c>
      <c r="F1006" s="1">
        <v>144</v>
      </c>
      <c r="G1006" s="1" t="s">
        <v>111</v>
      </c>
      <c r="H1006" s="1" t="s">
        <v>94</v>
      </c>
      <c r="I1006" s="1">
        <v>25.8</v>
      </c>
      <c r="J1006" s="1" t="s">
        <v>95</v>
      </c>
      <c r="K1006" s="1">
        <v>0</v>
      </c>
      <c r="L1006" s="1">
        <v>60</v>
      </c>
      <c r="M1006" s="1" t="s">
        <v>101</v>
      </c>
    </row>
    <row r="1007" spans="1:18" ht="14.25" customHeight="1" x14ac:dyDescent="0.3">
      <c r="A1007" s="1" t="s">
        <v>62</v>
      </c>
      <c r="B1007" s="1">
        <v>19</v>
      </c>
      <c r="C1007" s="1">
        <v>14</v>
      </c>
      <c r="D1007" s="1" t="str">
        <f t="shared" si="15"/>
        <v>Yes</v>
      </c>
      <c r="E1007" s="1">
        <v>7.5</v>
      </c>
      <c r="F1007" s="1">
        <v>69</v>
      </c>
      <c r="G1007" s="1" t="s">
        <v>111</v>
      </c>
      <c r="H1007" s="1" t="s">
        <v>94</v>
      </c>
      <c r="I1007" s="1">
        <v>25.1</v>
      </c>
      <c r="J1007" s="1" t="s">
        <v>95</v>
      </c>
      <c r="K1007" s="1">
        <v>0</v>
      </c>
      <c r="L1007" s="1">
        <v>20</v>
      </c>
      <c r="M1007" s="1" t="s">
        <v>101</v>
      </c>
      <c r="N1007" s="1" t="s">
        <v>100</v>
      </c>
    </row>
    <row r="1008" spans="1:18" ht="14.25" customHeight="1" x14ac:dyDescent="0.3">
      <c r="A1008" s="1" t="s">
        <v>62</v>
      </c>
      <c r="B1008" s="1">
        <v>19</v>
      </c>
      <c r="C1008" s="1">
        <v>5</v>
      </c>
      <c r="D1008" s="1" t="str">
        <f t="shared" si="15"/>
        <v>Yes</v>
      </c>
      <c r="E1008" s="1">
        <v>9.1</v>
      </c>
      <c r="F1008" s="1">
        <v>320</v>
      </c>
      <c r="G1008" s="1" t="s">
        <v>111</v>
      </c>
      <c r="H1008" s="1" t="s">
        <v>94</v>
      </c>
      <c r="I1008" s="1">
        <v>21.5</v>
      </c>
      <c r="J1008" s="1" t="s">
        <v>95</v>
      </c>
      <c r="K1008" s="1">
        <v>0</v>
      </c>
      <c r="L1008" s="1">
        <v>90</v>
      </c>
      <c r="M1008" s="1" t="s">
        <v>101</v>
      </c>
    </row>
    <row r="1009" spans="1:16" ht="14.25" customHeight="1" x14ac:dyDescent="0.3">
      <c r="A1009" s="1" t="s">
        <v>62</v>
      </c>
      <c r="B1009" s="1">
        <v>19</v>
      </c>
      <c r="C1009" s="1">
        <v>20</v>
      </c>
      <c r="D1009" s="1" t="str">
        <f t="shared" si="15"/>
        <v>Yes</v>
      </c>
      <c r="E1009" s="1">
        <v>10.199999999999999</v>
      </c>
      <c r="F1009" s="1">
        <v>128</v>
      </c>
      <c r="G1009" s="1" t="s">
        <v>111</v>
      </c>
      <c r="H1009" s="1" t="s">
        <v>94</v>
      </c>
      <c r="I1009" s="1">
        <v>21.1</v>
      </c>
      <c r="J1009" s="1" t="s">
        <v>95</v>
      </c>
      <c r="K1009" s="1">
        <v>0</v>
      </c>
      <c r="L1009" s="1">
        <v>15</v>
      </c>
      <c r="M1009" s="1" t="s">
        <v>102</v>
      </c>
    </row>
    <row r="1010" spans="1:16" ht="14.25" customHeight="1" x14ac:dyDescent="0.3">
      <c r="A1010" s="1" t="s">
        <v>62</v>
      </c>
      <c r="B1010" s="1">
        <v>19</v>
      </c>
      <c r="C1010" s="1">
        <v>10</v>
      </c>
      <c r="D1010" s="1" t="str">
        <f t="shared" si="15"/>
        <v>Yes</v>
      </c>
      <c r="E1010" s="1">
        <v>5.5</v>
      </c>
      <c r="F1010" s="1">
        <v>2</v>
      </c>
      <c r="G1010" s="1" t="s">
        <v>111</v>
      </c>
      <c r="H1010" s="1" t="s">
        <v>94</v>
      </c>
      <c r="I1010" s="1">
        <v>20.2</v>
      </c>
      <c r="J1010" s="1" t="s">
        <v>95</v>
      </c>
      <c r="K1010" s="1">
        <v>0</v>
      </c>
      <c r="L1010" s="1">
        <v>10</v>
      </c>
      <c r="M1010" s="1" t="s">
        <v>101</v>
      </c>
    </row>
    <row r="1011" spans="1:16" ht="14.25" customHeight="1" x14ac:dyDescent="0.3">
      <c r="A1011" s="1" t="s">
        <v>62</v>
      </c>
      <c r="B1011" s="1">
        <v>19</v>
      </c>
      <c r="C1011" s="1">
        <v>21</v>
      </c>
      <c r="D1011" s="1" t="str">
        <f t="shared" si="15"/>
        <v>Yes</v>
      </c>
      <c r="E1011" s="1">
        <v>10.9</v>
      </c>
      <c r="F1011" s="1">
        <v>138</v>
      </c>
      <c r="G1011" s="1" t="s">
        <v>111</v>
      </c>
      <c r="H1011" s="1" t="s">
        <v>94</v>
      </c>
      <c r="I1011" s="1">
        <v>17</v>
      </c>
      <c r="J1011" s="1" t="s">
        <v>95</v>
      </c>
      <c r="K1011" s="1">
        <v>1</v>
      </c>
      <c r="L1011" s="1">
        <v>25</v>
      </c>
      <c r="M1011" s="1" t="s">
        <v>101</v>
      </c>
    </row>
    <row r="1012" spans="1:16" ht="14.25" customHeight="1" x14ac:dyDescent="0.3">
      <c r="A1012" s="1" t="s">
        <v>62</v>
      </c>
      <c r="B1012" s="1">
        <v>19</v>
      </c>
      <c r="C1012" s="1">
        <v>6</v>
      </c>
      <c r="D1012" s="1" t="str">
        <f t="shared" si="15"/>
        <v>Yes</v>
      </c>
      <c r="E1012" s="1">
        <v>10.4</v>
      </c>
      <c r="F1012" s="1">
        <v>342</v>
      </c>
      <c r="G1012" s="1" t="s">
        <v>111</v>
      </c>
      <c r="H1012" s="1" t="s">
        <v>94</v>
      </c>
      <c r="I1012" s="1">
        <v>16.600000000000001</v>
      </c>
      <c r="J1012" s="1" t="s">
        <v>95</v>
      </c>
      <c r="K1012" s="1">
        <v>0</v>
      </c>
      <c r="L1012" s="1">
        <v>50</v>
      </c>
      <c r="M1012" s="1" t="s">
        <v>101</v>
      </c>
    </row>
    <row r="1013" spans="1:16" ht="14.25" customHeight="1" x14ac:dyDescent="0.3">
      <c r="A1013" s="1" t="s">
        <v>62</v>
      </c>
      <c r="B1013" s="1">
        <v>19</v>
      </c>
      <c r="C1013" s="1">
        <v>23</v>
      </c>
      <c r="D1013" s="1" t="str">
        <f t="shared" si="15"/>
        <v>Yes</v>
      </c>
      <c r="E1013" s="1">
        <v>12.4</v>
      </c>
      <c r="F1013" s="1">
        <v>154</v>
      </c>
      <c r="G1013" s="1" t="s">
        <v>111</v>
      </c>
      <c r="H1013" s="1" t="s">
        <v>94</v>
      </c>
      <c r="I1013" s="1">
        <v>14.8</v>
      </c>
      <c r="J1013" s="1" t="s">
        <v>95</v>
      </c>
      <c r="K1013" s="1">
        <v>1</v>
      </c>
      <c r="L1013" s="1">
        <v>70</v>
      </c>
      <c r="M1013" s="1" t="s">
        <v>101</v>
      </c>
    </row>
    <row r="1014" spans="1:16" ht="14.25" customHeight="1" x14ac:dyDescent="0.3">
      <c r="A1014" s="1" t="s">
        <v>62</v>
      </c>
      <c r="B1014" s="1">
        <v>19</v>
      </c>
      <c r="C1014" s="1">
        <v>29</v>
      </c>
      <c r="D1014" s="1" t="str">
        <f t="shared" si="15"/>
        <v>Yes</v>
      </c>
      <c r="E1014" s="1">
        <v>9.5</v>
      </c>
      <c r="F1014" s="1">
        <v>240</v>
      </c>
      <c r="G1014" s="1" t="s">
        <v>93</v>
      </c>
      <c r="H1014" s="1" t="s">
        <v>94</v>
      </c>
      <c r="I1014" s="1">
        <v>48.5</v>
      </c>
      <c r="J1014" s="1" t="s">
        <v>95</v>
      </c>
      <c r="K1014" s="1">
        <v>0</v>
      </c>
      <c r="L1014" s="1">
        <v>90</v>
      </c>
      <c r="M1014" s="1" t="s">
        <v>102</v>
      </c>
      <c r="P1014" s="1">
        <v>584</v>
      </c>
    </row>
    <row r="1015" spans="1:16" ht="14.25" customHeight="1" x14ac:dyDescent="0.3">
      <c r="A1015" s="1" t="s">
        <v>62</v>
      </c>
      <c r="B1015" s="1">
        <v>20</v>
      </c>
      <c r="C1015" s="1">
        <v>22</v>
      </c>
      <c r="D1015" s="1" t="str">
        <f t="shared" si="15"/>
        <v>Yes</v>
      </c>
      <c r="E1015" s="1">
        <v>7.1</v>
      </c>
      <c r="F1015" s="1">
        <v>231</v>
      </c>
      <c r="G1015" s="1" t="s">
        <v>111</v>
      </c>
      <c r="H1015" s="1" t="s">
        <v>95</v>
      </c>
      <c r="I1015" s="1">
        <v>68.099999999999994</v>
      </c>
      <c r="J1015" s="1" t="s">
        <v>101</v>
      </c>
      <c r="M1015" s="1" t="s">
        <v>97</v>
      </c>
      <c r="O1015" s="1">
        <v>5</v>
      </c>
    </row>
    <row r="1016" spans="1:16" ht="14.25" customHeight="1" x14ac:dyDescent="0.3">
      <c r="A1016" s="1" t="s">
        <v>62</v>
      </c>
      <c r="B1016" s="1">
        <v>20</v>
      </c>
      <c r="C1016" s="1">
        <v>33</v>
      </c>
      <c r="D1016" s="1" t="str">
        <f t="shared" si="15"/>
        <v>Yes</v>
      </c>
      <c r="E1016" s="1">
        <v>5.9</v>
      </c>
      <c r="F1016" s="1">
        <v>340</v>
      </c>
      <c r="G1016" s="1" t="s">
        <v>111</v>
      </c>
      <c r="H1016" s="1" t="s">
        <v>95</v>
      </c>
      <c r="I1016" s="1">
        <v>43.5</v>
      </c>
      <c r="J1016" s="1" t="s">
        <v>95</v>
      </c>
      <c r="M1016" s="1" t="s">
        <v>102</v>
      </c>
      <c r="O1016" s="1">
        <v>1</v>
      </c>
    </row>
    <row r="1017" spans="1:16" ht="14.25" customHeight="1" x14ac:dyDescent="0.3">
      <c r="A1017" s="1" t="s">
        <v>62</v>
      </c>
      <c r="B1017" s="1">
        <v>20</v>
      </c>
      <c r="C1017" s="1">
        <v>6</v>
      </c>
      <c r="D1017" s="1" t="str">
        <f t="shared" si="15"/>
        <v>Yes</v>
      </c>
      <c r="E1017" s="1">
        <v>2.2000000000000002</v>
      </c>
      <c r="F1017" s="1">
        <v>56</v>
      </c>
      <c r="G1017" s="1" t="s">
        <v>111</v>
      </c>
      <c r="H1017" s="1" t="s">
        <v>95</v>
      </c>
      <c r="I1017" s="1">
        <v>39.299999999999997</v>
      </c>
      <c r="J1017" s="1" t="s">
        <v>95</v>
      </c>
      <c r="M1017" s="1" t="s">
        <v>102</v>
      </c>
      <c r="O1017" s="1">
        <v>2</v>
      </c>
      <c r="P1017" s="1">
        <v>603</v>
      </c>
    </row>
    <row r="1018" spans="1:16" ht="14.25" customHeight="1" x14ac:dyDescent="0.3">
      <c r="A1018" s="1" t="s">
        <v>62</v>
      </c>
      <c r="B1018" s="1">
        <v>20</v>
      </c>
      <c r="C1018" s="1">
        <v>25</v>
      </c>
      <c r="D1018" s="1" t="str">
        <f t="shared" si="15"/>
        <v>Yes</v>
      </c>
      <c r="E1018" s="1">
        <v>3.7</v>
      </c>
      <c r="F1018" s="1">
        <v>258</v>
      </c>
      <c r="G1018" s="1" t="s">
        <v>111</v>
      </c>
      <c r="H1018" s="1" t="s">
        <v>95</v>
      </c>
      <c r="I1018" s="1">
        <v>36</v>
      </c>
      <c r="J1018" s="1" t="s">
        <v>95</v>
      </c>
      <c r="M1018" s="1" t="s">
        <v>102</v>
      </c>
      <c r="O1018" s="1">
        <v>1</v>
      </c>
      <c r="P1018" s="1">
        <v>605</v>
      </c>
    </row>
    <row r="1019" spans="1:16" ht="14.25" customHeight="1" x14ac:dyDescent="0.3">
      <c r="A1019" s="1" t="s">
        <v>62</v>
      </c>
      <c r="B1019" s="1">
        <v>20</v>
      </c>
      <c r="C1019" s="1">
        <v>18</v>
      </c>
      <c r="D1019" s="1" t="str">
        <f t="shared" si="15"/>
        <v>Yes</v>
      </c>
      <c r="E1019" s="1">
        <v>4.5999999999999996</v>
      </c>
      <c r="F1019" s="1">
        <v>169</v>
      </c>
      <c r="G1019" s="1" t="s">
        <v>111</v>
      </c>
      <c r="H1019" s="1" t="s">
        <v>95</v>
      </c>
      <c r="I1019" s="1">
        <v>35.5</v>
      </c>
      <c r="J1019" s="1" t="s">
        <v>95</v>
      </c>
      <c r="M1019" s="1" t="s">
        <v>102</v>
      </c>
      <c r="O1019" s="1">
        <v>1</v>
      </c>
    </row>
    <row r="1020" spans="1:16" ht="14.25" customHeight="1" x14ac:dyDescent="0.3">
      <c r="A1020" s="1" t="s">
        <v>62</v>
      </c>
      <c r="B1020" s="1">
        <v>20</v>
      </c>
      <c r="C1020" s="1">
        <v>31</v>
      </c>
      <c r="D1020" s="1" t="str">
        <f t="shared" si="15"/>
        <v>Yes</v>
      </c>
      <c r="E1020" s="1">
        <v>9.1999999999999993</v>
      </c>
      <c r="F1020" s="1">
        <v>312</v>
      </c>
      <c r="G1020" s="1" t="s">
        <v>111</v>
      </c>
      <c r="H1020" s="1" t="s">
        <v>95</v>
      </c>
      <c r="I1020" s="1">
        <v>35.5</v>
      </c>
      <c r="J1020" s="1" t="s">
        <v>95</v>
      </c>
      <c r="M1020" s="1" t="s">
        <v>102</v>
      </c>
      <c r="O1020" s="1">
        <v>1</v>
      </c>
    </row>
    <row r="1021" spans="1:16" ht="14.25" customHeight="1" x14ac:dyDescent="0.3">
      <c r="A1021" s="1" t="s">
        <v>62</v>
      </c>
      <c r="B1021" s="1">
        <v>20</v>
      </c>
      <c r="C1021" s="1">
        <v>20</v>
      </c>
      <c r="D1021" s="1" t="str">
        <f t="shared" si="15"/>
        <v>Yes</v>
      </c>
      <c r="E1021" s="1">
        <v>8.4</v>
      </c>
      <c r="F1021" s="1">
        <v>198</v>
      </c>
      <c r="G1021" s="1" t="s">
        <v>111</v>
      </c>
      <c r="H1021" s="1" t="s">
        <v>95</v>
      </c>
      <c r="I1021" s="1">
        <v>32.1</v>
      </c>
      <c r="J1021" s="1" t="s">
        <v>95</v>
      </c>
      <c r="M1021" s="1" t="s">
        <v>102</v>
      </c>
      <c r="O1021" s="1">
        <v>1</v>
      </c>
    </row>
    <row r="1022" spans="1:16" ht="14.25" customHeight="1" x14ac:dyDescent="0.3">
      <c r="A1022" s="1" t="s">
        <v>62</v>
      </c>
      <c r="B1022" s="1">
        <v>20</v>
      </c>
      <c r="C1022" s="1">
        <v>24</v>
      </c>
      <c r="D1022" s="1" t="str">
        <f t="shared" si="15"/>
        <v>Yes</v>
      </c>
      <c r="E1022" s="1">
        <v>11.6</v>
      </c>
      <c r="F1022" s="1">
        <v>258</v>
      </c>
      <c r="G1022" s="1" t="s">
        <v>111</v>
      </c>
      <c r="H1022" s="1" t="s">
        <v>95</v>
      </c>
      <c r="I1022" s="1">
        <v>31.2</v>
      </c>
      <c r="J1022" s="1" t="s">
        <v>95</v>
      </c>
      <c r="M1022" s="1" t="s">
        <v>102</v>
      </c>
      <c r="O1022" s="1">
        <v>1</v>
      </c>
    </row>
    <row r="1023" spans="1:16" ht="14.25" customHeight="1" x14ac:dyDescent="0.3">
      <c r="A1023" s="1" t="s">
        <v>62</v>
      </c>
      <c r="B1023" s="1">
        <v>20</v>
      </c>
      <c r="C1023" s="1">
        <v>23</v>
      </c>
      <c r="D1023" s="1" t="str">
        <f t="shared" si="15"/>
        <v>Yes</v>
      </c>
      <c r="E1023" s="1">
        <v>9.6999999999999993</v>
      </c>
      <c r="F1023" s="1">
        <v>252</v>
      </c>
      <c r="G1023" s="1" t="s">
        <v>111</v>
      </c>
      <c r="H1023" s="1" t="s">
        <v>95</v>
      </c>
      <c r="I1023" s="1">
        <v>30.9</v>
      </c>
      <c r="J1023" s="1" t="s">
        <v>95</v>
      </c>
      <c r="M1023" s="1" t="s">
        <v>102</v>
      </c>
      <c r="O1023" s="1">
        <v>1</v>
      </c>
    </row>
    <row r="1024" spans="1:16" ht="14.25" customHeight="1" x14ac:dyDescent="0.3">
      <c r="A1024" s="1" t="s">
        <v>62</v>
      </c>
      <c r="B1024" s="1">
        <v>20</v>
      </c>
      <c r="C1024" s="1">
        <v>8</v>
      </c>
      <c r="D1024" s="1" t="str">
        <f t="shared" si="15"/>
        <v>Yes</v>
      </c>
      <c r="E1024" s="1">
        <v>7.3</v>
      </c>
      <c r="F1024" s="1">
        <v>83</v>
      </c>
      <c r="G1024" s="1" t="s">
        <v>111</v>
      </c>
      <c r="H1024" s="1" t="s">
        <v>95</v>
      </c>
      <c r="I1024" s="1">
        <v>30.4</v>
      </c>
      <c r="J1024" s="1" t="s">
        <v>95</v>
      </c>
      <c r="M1024" s="1" t="s">
        <v>101</v>
      </c>
      <c r="O1024" s="1">
        <v>2</v>
      </c>
    </row>
    <row r="1025" spans="1:18" ht="14.25" customHeight="1" x14ac:dyDescent="0.3">
      <c r="A1025" s="1" t="s">
        <v>62</v>
      </c>
      <c r="B1025" s="1">
        <v>20</v>
      </c>
      <c r="C1025" s="1">
        <v>10</v>
      </c>
      <c r="D1025" s="1" t="str">
        <f t="shared" si="15"/>
        <v>Yes</v>
      </c>
      <c r="E1025" s="1">
        <v>12</v>
      </c>
      <c r="F1025" s="1">
        <v>88</v>
      </c>
      <c r="G1025" s="1" t="s">
        <v>111</v>
      </c>
      <c r="H1025" s="1" t="s">
        <v>95</v>
      </c>
      <c r="I1025" s="1">
        <v>30.2</v>
      </c>
      <c r="J1025" s="1" t="s">
        <v>95</v>
      </c>
      <c r="M1025" s="1" t="s">
        <v>101</v>
      </c>
      <c r="O1025" s="1">
        <v>1</v>
      </c>
      <c r="R1025" s="1"/>
    </row>
    <row r="1026" spans="1:18" ht="14.25" customHeight="1" x14ac:dyDescent="0.3">
      <c r="A1026" s="1" t="s">
        <v>62</v>
      </c>
      <c r="B1026" s="1">
        <v>20</v>
      </c>
      <c r="C1026" s="1">
        <v>12</v>
      </c>
      <c r="D1026" s="1" t="str">
        <f t="shared" ref="D1026:D1089" si="16">IF(E1026&gt;12.5, "No", "Yes")</f>
        <v>Yes</v>
      </c>
      <c r="E1026" s="1">
        <v>7.2</v>
      </c>
      <c r="F1026" s="1">
        <v>114</v>
      </c>
      <c r="G1026" s="1" t="s">
        <v>111</v>
      </c>
      <c r="H1026" s="1" t="s">
        <v>95</v>
      </c>
      <c r="I1026" s="1">
        <v>29.2</v>
      </c>
      <c r="J1026" s="1" t="s">
        <v>95</v>
      </c>
      <c r="M1026" s="1" t="s">
        <v>101</v>
      </c>
      <c r="O1026" s="1">
        <v>1</v>
      </c>
    </row>
    <row r="1027" spans="1:18" ht="14.25" customHeight="1" x14ac:dyDescent="0.3">
      <c r="A1027" s="1" t="s">
        <v>62</v>
      </c>
      <c r="B1027" s="1">
        <v>20</v>
      </c>
      <c r="C1027" s="1">
        <v>19</v>
      </c>
      <c r="D1027" s="1" t="str">
        <f t="shared" si="16"/>
        <v>Yes</v>
      </c>
      <c r="E1027" s="1">
        <v>9.6</v>
      </c>
      <c r="F1027" s="1">
        <v>175</v>
      </c>
      <c r="G1027" s="1" t="s">
        <v>111</v>
      </c>
      <c r="H1027" s="1" t="s">
        <v>95</v>
      </c>
      <c r="I1027" s="1">
        <v>28.6</v>
      </c>
      <c r="J1027" s="1" t="s">
        <v>95</v>
      </c>
      <c r="M1027" s="1" t="s">
        <v>101</v>
      </c>
      <c r="O1027" s="1">
        <v>1</v>
      </c>
    </row>
    <row r="1028" spans="1:18" ht="14.25" customHeight="1" x14ac:dyDescent="0.3">
      <c r="A1028" s="1" t="s">
        <v>62</v>
      </c>
      <c r="B1028" s="1">
        <v>20</v>
      </c>
      <c r="C1028" s="1">
        <v>9</v>
      </c>
      <c r="D1028" s="1" t="str">
        <f t="shared" si="16"/>
        <v>Yes</v>
      </c>
      <c r="E1028" s="1">
        <v>10</v>
      </c>
      <c r="F1028" s="1">
        <v>83</v>
      </c>
      <c r="G1028" s="1" t="s">
        <v>111</v>
      </c>
      <c r="H1028" s="1" t="s">
        <v>95</v>
      </c>
      <c r="I1028" s="1">
        <v>27.5</v>
      </c>
      <c r="J1028" s="1" t="s">
        <v>95</v>
      </c>
      <c r="M1028" s="1" t="s">
        <v>101</v>
      </c>
      <c r="O1028" s="1">
        <v>1</v>
      </c>
    </row>
    <row r="1029" spans="1:18" ht="14.25" customHeight="1" x14ac:dyDescent="0.3">
      <c r="A1029" s="1" t="s">
        <v>62</v>
      </c>
      <c r="B1029" s="1">
        <v>20</v>
      </c>
      <c r="C1029" s="1">
        <v>11</v>
      </c>
      <c r="D1029" s="1" t="str">
        <f t="shared" si="16"/>
        <v>Yes</v>
      </c>
      <c r="E1029" s="1">
        <v>4.3</v>
      </c>
      <c r="F1029" s="1">
        <v>95</v>
      </c>
      <c r="G1029" s="1" t="s">
        <v>111</v>
      </c>
      <c r="H1029" s="1" t="s">
        <v>95</v>
      </c>
      <c r="I1029" s="1">
        <v>26.2</v>
      </c>
      <c r="J1029" s="1" t="s">
        <v>95</v>
      </c>
      <c r="M1029" s="1" t="s">
        <v>101</v>
      </c>
      <c r="O1029" s="1">
        <v>2</v>
      </c>
    </row>
    <row r="1030" spans="1:18" ht="14.25" customHeight="1" x14ac:dyDescent="0.3">
      <c r="A1030" s="1" t="s">
        <v>62</v>
      </c>
      <c r="B1030" s="1">
        <v>20</v>
      </c>
      <c r="C1030" s="1">
        <v>14</v>
      </c>
      <c r="D1030" s="1" t="str">
        <f t="shared" si="16"/>
        <v>Yes</v>
      </c>
      <c r="E1030" s="1">
        <v>11.1</v>
      </c>
      <c r="F1030" s="1">
        <v>138</v>
      </c>
      <c r="G1030" s="1" t="s">
        <v>111</v>
      </c>
      <c r="H1030" s="1" t="s">
        <v>95</v>
      </c>
      <c r="I1030" s="1">
        <v>24.8</v>
      </c>
      <c r="J1030" s="1" t="s">
        <v>95</v>
      </c>
      <c r="M1030" s="1" t="s">
        <v>101</v>
      </c>
      <c r="O1030" s="1">
        <v>1</v>
      </c>
    </row>
    <row r="1031" spans="1:18" ht="14.25" customHeight="1" x14ac:dyDescent="0.3">
      <c r="A1031" s="1" t="s">
        <v>62</v>
      </c>
      <c r="B1031" s="1">
        <v>20</v>
      </c>
      <c r="C1031" s="1">
        <v>34</v>
      </c>
      <c r="D1031" s="1" t="str">
        <f t="shared" si="16"/>
        <v>Yes</v>
      </c>
      <c r="E1031" s="1">
        <v>11.3</v>
      </c>
      <c r="F1031" s="1">
        <v>156</v>
      </c>
      <c r="G1031" s="1" t="s">
        <v>111</v>
      </c>
      <c r="H1031" s="1" t="s">
        <v>95</v>
      </c>
      <c r="I1031" s="1">
        <v>24.6</v>
      </c>
      <c r="J1031" s="1" t="s">
        <v>95</v>
      </c>
      <c r="M1031" s="1" t="s">
        <v>102</v>
      </c>
      <c r="O1031" s="1">
        <v>1</v>
      </c>
    </row>
    <row r="1032" spans="1:18" ht="14.25" customHeight="1" x14ac:dyDescent="0.3">
      <c r="A1032" s="1" t="s">
        <v>62</v>
      </c>
      <c r="B1032" s="1">
        <v>20</v>
      </c>
      <c r="C1032" s="1">
        <v>32</v>
      </c>
      <c r="D1032" s="1" t="str">
        <f t="shared" si="16"/>
        <v>Yes</v>
      </c>
      <c r="E1032" s="1">
        <v>7.3</v>
      </c>
      <c r="F1032" s="1">
        <v>321</v>
      </c>
      <c r="G1032" s="1" t="s">
        <v>111</v>
      </c>
      <c r="H1032" s="1" t="s">
        <v>95</v>
      </c>
      <c r="I1032" s="1">
        <v>23.2</v>
      </c>
      <c r="J1032" s="1" t="s">
        <v>95</v>
      </c>
      <c r="M1032" s="1" t="s">
        <v>102</v>
      </c>
      <c r="O1032" s="1">
        <v>1</v>
      </c>
    </row>
    <row r="1033" spans="1:18" ht="14.25" customHeight="1" x14ac:dyDescent="0.3">
      <c r="A1033" s="1" t="s">
        <v>62</v>
      </c>
      <c r="B1033" s="1">
        <v>20</v>
      </c>
      <c r="C1033" s="1">
        <v>5</v>
      </c>
      <c r="D1033" s="1" t="str">
        <f t="shared" si="16"/>
        <v>Yes</v>
      </c>
      <c r="E1033" s="1">
        <v>7.3</v>
      </c>
      <c r="F1033" s="1">
        <v>44</v>
      </c>
      <c r="G1033" s="1" t="s">
        <v>111</v>
      </c>
      <c r="H1033" s="1" t="s">
        <v>95</v>
      </c>
      <c r="I1033" s="1">
        <v>23.1</v>
      </c>
      <c r="J1033" s="1" t="s">
        <v>95</v>
      </c>
      <c r="M1033" s="1" t="s">
        <v>101</v>
      </c>
      <c r="O1033" s="1">
        <v>2</v>
      </c>
    </row>
    <row r="1034" spans="1:18" ht="14.25" customHeight="1" x14ac:dyDescent="0.3">
      <c r="A1034" s="1" t="s">
        <v>62</v>
      </c>
      <c r="B1034" s="1">
        <v>20</v>
      </c>
      <c r="C1034" s="1">
        <v>1</v>
      </c>
      <c r="D1034" s="1" t="str">
        <f t="shared" si="16"/>
        <v>Yes</v>
      </c>
      <c r="E1034" s="1">
        <v>9</v>
      </c>
      <c r="F1034" s="1">
        <v>12</v>
      </c>
      <c r="G1034" s="1" t="s">
        <v>111</v>
      </c>
      <c r="H1034" s="1" t="s">
        <v>95</v>
      </c>
      <c r="I1034" s="1">
        <v>21.8</v>
      </c>
      <c r="J1034" s="1" t="s">
        <v>95</v>
      </c>
      <c r="M1034" s="1" t="s">
        <v>101</v>
      </c>
      <c r="O1034" s="1">
        <v>2</v>
      </c>
      <c r="Q1034" s="1" t="s">
        <v>170</v>
      </c>
    </row>
    <row r="1035" spans="1:18" ht="14.25" customHeight="1" x14ac:dyDescent="0.3">
      <c r="A1035" s="1" t="s">
        <v>62</v>
      </c>
      <c r="B1035" s="1">
        <v>20</v>
      </c>
      <c r="C1035" s="1">
        <v>15</v>
      </c>
      <c r="D1035" s="1" t="str">
        <f t="shared" si="16"/>
        <v>Yes</v>
      </c>
      <c r="E1035" s="1">
        <v>9.5</v>
      </c>
      <c r="F1035" s="1">
        <v>147</v>
      </c>
      <c r="G1035" s="1" t="s">
        <v>111</v>
      </c>
      <c r="H1035" s="1" t="s">
        <v>95</v>
      </c>
      <c r="I1035" s="1">
        <v>20.8</v>
      </c>
      <c r="J1035" s="1" t="s">
        <v>95</v>
      </c>
      <c r="M1035" s="1" t="s">
        <v>101</v>
      </c>
      <c r="O1035" s="1">
        <v>1</v>
      </c>
    </row>
    <row r="1036" spans="1:18" ht="14.25" customHeight="1" x14ac:dyDescent="0.3">
      <c r="A1036" s="1" t="s">
        <v>62</v>
      </c>
      <c r="B1036" s="1">
        <v>20</v>
      </c>
      <c r="C1036" s="1">
        <v>13</v>
      </c>
      <c r="D1036" s="1" t="str">
        <f t="shared" si="16"/>
        <v>Yes</v>
      </c>
      <c r="E1036" s="1">
        <v>8.6</v>
      </c>
      <c r="F1036" s="1">
        <v>131</v>
      </c>
      <c r="G1036" s="1" t="s">
        <v>111</v>
      </c>
      <c r="H1036" s="1" t="s">
        <v>95</v>
      </c>
      <c r="I1036" s="1">
        <v>19.2</v>
      </c>
      <c r="J1036" s="1" t="s">
        <v>95</v>
      </c>
      <c r="M1036" s="1" t="s">
        <v>101</v>
      </c>
      <c r="O1036" s="1">
        <v>1</v>
      </c>
    </row>
    <row r="1037" spans="1:18" ht="14.25" customHeight="1" x14ac:dyDescent="0.3">
      <c r="A1037" s="1" t="s">
        <v>62</v>
      </c>
      <c r="B1037" s="1">
        <v>20</v>
      </c>
      <c r="C1037" s="1">
        <v>21</v>
      </c>
      <c r="D1037" s="1" t="str">
        <f t="shared" si="16"/>
        <v>Yes</v>
      </c>
      <c r="E1037" s="1">
        <v>3.6</v>
      </c>
      <c r="F1037" s="1">
        <v>198</v>
      </c>
      <c r="G1037" s="1" t="s">
        <v>111</v>
      </c>
      <c r="H1037" s="1" t="s">
        <v>95</v>
      </c>
      <c r="I1037" s="1">
        <v>17.600000000000001</v>
      </c>
      <c r="J1037" s="1" t="s">
        <v>95</v>
      </c>
      <c r="M1037" s="1" t="s">
        <v>101</v>
      </c>
      <c r="O1037" s="1">
        <v>1</v>
      </c>
    </row>
    <row r="1038" spans="1:18" ht="14.25" customHeight="1" x14ac:dyDescent="0.3">
      <c r="A1038" s="1" t="s">
        <v>62</v>
      </c>
      <c r="B1038" s="1">
        <v>20</v>
      </c>
      <c r="C1038" s="1">
        <v>16</v>
      </c>
      <c r="D1038" s="1" t="str">
        <f t="shared" si="16"/>
        <v>Yes</v>
      </c>
      <c r="E1038" s="1">
        <v>11.6</v>
      </c>
      <c r="F1038" s="1">
        <v>152</v>
      </c>
      <c r="G1038" s="1" t="s">
        <v>111</v>
      </c>
      <c r="H1038" s="1" t="s">
        <v>95</v>
      </c>
      <c r="I1038" s="1">
        <v>16.8</v>
      </c>
      <c r="J1038" s="1" t="s">
        <v>95</v>
      </c>
      <c r="M1038" s="1" t="s">
        <v>101</v>
      </c>
      <c r="O1038" s="1">
        <v>1</v>
      </c>
      <c r="P1038" s="1">
        <v>604</v>
      </c>
    </row>
    <row r="1039" spans="1:18" ht="14.25" customHeight="1" x14ac:dyDescent="0.3">
      <c r="A1039" s="1" t="s">
        <v>62</v>
      </c>
      <c r="B1039" s="1">
        <v>20</v>
      </c>
      <c r="C1039" s="1">
        <v>7</v>
      </c>
      <c r="D1039" s="1" t="str">
        <f t="shared" si="16"/>
        <v>Yes</v>
      </c>
      <c r="E1039" s="1">
        <v>11</v>
      </c>
      <c r="F1039" s="1">
        <v>60</v>
      </c>
      <c r="G1039" s="1" t="s">
        <v>111</v>
      </c>
      <c r="H1039" s="1" t="s">
        <v>95</v>
      </c>
      <c r="I1039" s="1">
        <v>16.100000000000001</v>
      </c>
      <c r="J1039" s="1" t="s">
        <v>95</v>
      </c>
      <c r="M1039" s="1" t="s">
        <v>101</v>
      </c>
      <c r="O1039" s="1">
        <v>1</v>
      </c>
    </row>
    <row r="1040" spans="1:18" ht="14.25" customHeight="1" x14ac:dyDescent="0.3">
      <c r="A1040" s="1" t="s">
        <v>62</v>
      </c>
      <c r="B1040" s="1">
        <v>20</v>
      </c>
      <c r="C1040" s="1">
        <v>17</v>
      </c>
      <c r="D1040" s="1" t="str">
        <f t="shared" si="16"/>
        <v>Yes</v>
      </c>
      <c r="E1040" s="1">
        <v>8.5</v>
      </c>
      <c r="F1040" s="1">
        <v>161</v>
      </c>
      <c r="G1040" s="1" t="s">
        <v>111</v>
      </c>
      <c r="H1040" s="1" t="s">
        <v>95</v>
      </c>
      <c r="I1040" s="1">
        <v>15.5</v>
      </c>
      <c r="J1040" s="1" t="s">
        <v>95</v>
      </c>
      <c r="M1040" s="1" t="s">
        <v>101</v>
      </c>
      <c r="O1040" s="1">
        <v>1</v>
      </c>
    </row>
    <row r="1041" spans="1:17" ht="14.25" customHeight="1" x14ac:dyDescent="0.3">
      <c r="A1041" s="1" t="s">
        <v>62</v>
      </c>
      <c r="B1041" s="1">
        <v>20</v>
      </c>
      <c r="C1041" s="1">
        <v>2</v>
      </c>
      <c r="D1041" s="1" t="str">
        <f t="shared" si="16"/>
        <v>Yes</v>
      </c>
      <c r="E1041" s="1">
        <v>11.3</v>
      </c>
      <c r="F1041" s="1">
        <v>21</v>
      </c>
      <c r="G1041" s="1" t="s">
        <v>111</v>
      </c>
      <c r="H1041" s="1" t="s">
        <v>95</v>
      </c>
      <c r="I1041" s="1">
        <v>15.3</v>
      </c>
      <c r="J1041" s="1" t="s">
        <v>95</v>
      </c>
      <c r="M1041" s="1" t="s">
        <v>101</v>
      </c>
      <c r="O1041" s="1">
        <v>2</v>
      </c>
    </row>
    <row r="1042" spans="1:17" ht="14.25" customHeight="1" x14ac:dyDescent="0.3">
      <c r="A1042" s="1" t="s">
        <v>62</v>
      </c>
      <c r="B1042" s="1">
        <v>20</v>
      </c>
      <c r="C1042" s="1">
        <v>3</v>
      </c>
      <c r="D1042" s="1" t="str">
        <f t="shared" si="16"/>
        <v>Yes</v>
      </c>
      <c r="E1042" s="1">
        <v>8</v>
      </c>
      <c r="F1042" s="1">
        <v>28</v>
      </c>
      <c r="G1042" s="1" t="s">
        <v>111</v>
      </c>
      <c r="H1042" s="1" t="s">
        <v>95</v>
      </c>
      <c r="I1042" s="1">
        <v>13.7</v>
      </c>
      <c r="J1042" s="1" t="s">
        <v>95</v>
      </c>
      <c r="M1042" s="1" t="s">
        <v>101</v>
      </c>
      <c r="O1042" s="1">
        <v>2</v>
      </c>
    </row>
    <row r="1043" spans="1:17" ht="14.25" customHeight="1" x14ac:dyDescent="0.3">
      <c r="A1043" s="1" t="s">
        <v>62</v>
      </c>
      <c r="B1043" s="1">
        <v>20</v>
      </c>
      <c r="C1043" s="1">
        <v>4</v>
      </c>
      <c r="D1043" s="1" t="str">
        <f t="shared" si="16"/>
        <v>Yes</v>
      </c>
      <c r="E1043" s="1">
        <v>10.7</v>
      </c>
      <c r="F1043" s="1">
        <v>37</v>
      </c>
      <c r="G1043" s="1" t="s">
        <v>111</v>
      </c>
      <c r="H1043" s="1" t="s">
        <v>95</v>
      </c>
      <c r="I1043" s="1">
        <v>11.2</v>
      </c>
      <c r="J1043" s="1" t="s">
        <v>95</v>
      </c>
      <c r="M1043" s="1" t="s">
        <v>101</v>
      </c>
      <c r="O1043" s="1">
        <v>2</v>
      </c>
    </row>
    <row r="1044" spans="1:17" ht="14.25" customHeight="1" x14ac:dyDescent="0.3">
      <c r="A1044" s="1" t="s">
        <v>62</v>
      </c>
      <c r="B1044" s="1">
        <v>20</v>
      </c>
      <c r="C1044" s="1">
        <v>26</v>
      </c>
      <c r="D1044" s="1" t="str">
        <f t="shared" si="16"/>
        <v>Yes</v>
      </c>
      <c r="E1044" s="1">
        <v>10.9</v>
      </c>
      <c r="F1044" s="1">
        <v>272</v>
      </c>
      <c r="G1044" s="1" t="s">
        <v>106</v>
      </c>
      <c r="H1044" s="1" t="s">
        <v>95</v>
      </c>
      <c r="I1044" s="1">
        <v>40.6</v>
      </c>
      <c r="J1044" s="1" t="s">
        <v>95</v>
      </c>
      <c r="M1044" s="1" t="s">
        <v>102</v>
      </c>
      <c r="O1044" s="1">
        <v>1</v>
      </c>
    </row>
    <row r="1045" spans="1:17" ht="14.25" customHeight="1" x14ac:dyDescent="0.3">
      <c r="A1045" s="1" t="s">
        <v>62</v>
      </c>
      <c r="B1045" s="1">
        <v>20</v>
      </c>
      <c r="C1045" s="1">
        <v>29</v>
      </c>
      <c r="D1045" s="1" t="str">
        <f t="shared" si="16"/>
        <v>Yes</v>
      </c>
      <c r="E1045" s="1">
        <v>12.5</v>
      </c>
      <c r="F1045" s="1">
        <v>283</v>
      </c>
      <c r="G1045" s="1" t="s">
        <v>106</v>
      </c>
      <c r="H1045" s="1" t="s">
        <v>95</v>
      </c>
      <c r="I1045" s="1">
        <v>32.5</v>
      </c>
      <c r="J1045" s="1" t="s">
        <v>95</v>
      </c>
      <c r="M1045" s="1" t="s">
        <v>102</v>
      </c>
      <c r="O1045" s="1">
        <v>1</v>
      </c>
    </row>
    <row r="1046" spans="1:17" ht="14.25" customHeight="1" x14ac:dyDescent="0.3">
      <c r="A1046" s="1" t="s">
        <v>62</v>
      </c>
      <c r="B1046" s="1">
        <v>20</v>
      </c>
      <c r="C1046" s="1">
        <v>30</v>
      </c>
      <c r="D1046" s="1" t="str">
        <f t="shared" si="16"/>
        <v>Yes</v>
      </c>
      <c r="E1046" s="1">
        <v>12.5</v>
      </c>
      <c r="F1046" s="1">
        <v>286</v>
      </c>
      <c r="G1046" s="1" t="s">
        <v>106</v>
      </c>
      <c r="H1046" s="1" t="s">
        <v>95</v>
      </c>
      <c r="I1046" s="1">
        <v>30.3</v>
      </c>
      <c r="J1046" s="1" t="s">
        <v>95</v>
      </c>
      <c r="M1046" s="1" t="s">
        <v>102</v>
      </c>
      <c r="O1046" s="1">
        <v>1</v>
      </c>
    </row>
    <row r="1047" spans="1:17" ht="14.25" customHeight="1" x14ac:dyDescent="0.3">
      <c r="A1047" s="1" t="s">
        <v>62</v>
      </c>
      <c r="B1047" s="1">
        <v>20</v>
      </c>
      <c r="C1047" s="1">
        <v>27</v>
      </c>
      <c r="D1047" s="1" t="str">
        <f t="shared" si="16"/>
        <v>Yes</v>
      </c>
      <c r="E1047" s="1">
        <v>11.6</v>
      </c>
      <c r="F1047" s="1">
        <v>272</v>
      </c>
      <c r="G1047" s="1" t="s">
        <v>106</v>
      </c>
      <c r="H1047" s="1" t="s">
        <v>95</v>
      </c>
      <c r="I1047" s="1">
        <v>26.5</v>
      </c>
      <c r="J1047" s="1" t="s">
        <v>95</v>
      </c>
      <c r="M1047" s="1" t="s">
        <v>102</v>
      </c>
      <c r="O1047" s="1">
        <v>1</v>
      </c>
    </row>
    <row r="1048" spans="1:17" ht="14.25" customHeight="1" x14ac:dyDescent="0.3">
      <c r="A1048" s="1" t="s">
        <v>62</v>
      </c>
      <c r="B1048" s="1">
        <v>20</v>
      </c>
      <c r="C1048" s="1">
        <v>28</v>
      </c>
      <c r="D1048" s="1" t="str">
        <f t="shared" si="16"/>
        <v>Yes</v>
      </c>
      <c r="E1048" s="1">
        <v>10.3</v>
      </c>
      <c r="F1048" s="1">
        <v>283</v>
      </c>
      <c r="G1048" s="1" t="s">
        <v>106</v>
      </c>
      <c r="H1048" s="1" t="s">
        <v>95</v>
      </c>
      <c r="I1048" s="1">
        <v>17.399999999999999</v>
      </c>
      <c r="J1048" s="1" t="s">
        <v>95</v>
      </c>
      <c r="M1048" s="1" t="s">
        <v>101</v>
      </c>
      <c r="O1048" s="1">
        <v>1</v>
      </c>
    </row>
    <row r="1049" spans="1:17" ht="14.25" customHeight="1" x14ac:dyDescent="0.3">
      <c r="A1049" s="1" t="s">
        <v>62</v>
      </c>
      <c r="B1049" s="1">
        <v>21</v>
      </c>
      <c r="C1049" s="1">
        <v>13</v>
      </c>
      <c r="D1049" s="1" t="str">
        <f t="shared" si="16"/>
        <v>No</v>
      </c>
      <c r="E1049" s="1">
        <v>15.5</v>
      </c>
      <c r="F1049" s="1">
        <v>1</v>
      </c>
      <c r="G1049" s="1" t="s">
        <v>96</v>
      </c>
      <c r="H1049" s="1" t="s">
        <v>94</v>
      </c>
      <c r="I1049" s="19">
        <v>9.1</v>
      </c>
      <c r="J1049" s="1" t="s">
        <v>95</v>
      </c>
      <c r="K1049" s="1">
        <v>30</v>
      </c>
      <c r="M1049" s="1" t="s">
        <v>95</v>
      </c>
      <c r="N1049" s="1" t="s">
        <v>171</v>
      </c>
      <c r="P1049" s="1">
        <v>579</v>
      </c>
      <c r="Q1049" t="s">
        <v>784</v>
      </c>
    </row>
    <row r="1050" spans="1:17" ht="14.25" customHeight="1" x14ac:dyDescent="0.3">
      <c r="A1050" s="1" t="s">
        <v>62</v>
      </c>
      <c r="B1050" s="1">
        <v>21</v>
      </c>
      <c r="C1050" s="1">
        <v>12</v>
      </c>
      <c r="D1050" s="1" t="str">
        <f t="shared" si="16"/>
        <v>Yes</v>
      </c>
      <c r="E1050" s="1">
        <v>6.2</v>
      </c>
      <c r="F1050" s="1">
        <v>350</v>
      </c>
      <c r="G1050" s="1" t="s">
        <v>109</v>
      </c>
      <c r="H1050" s="1" t="s">
        <v>95</v>
      </c>
      <c r="I1050" s="1">
        <v>77.400000000000006</v>
      </c>
      <c r="J1050" s="1" t="s">
        <v>95</v>
      </c>
      <c r="M1050" s="1" t="s">
        <v>102</v>
      </c>
      <c r="O1050" s="1">
        <v>5</v>
      </c>
      <c r="Q1050" s="1" t="s">
        <v>152</v>
      </c>
    </row>
    <row r="1051" spans="1:17" ht="14.25" customHeight="1" x14ac:dyDescent="0.3">
      <c r="A1051" s="1" t="s">
        <v>62</v>
      </c>
      <c r="B1051" s="1">
        <v>21</v>
      </c>
      <c r="C1051" s="1">
        <v>7</v>
      </c>
      <c r="D1051" s="1" t="str">
        <f t="shared" si="16"/>
        <v>Yes</v>
      </c>
      <c r="E1051" s="1">
        <v>9.5</v>
      </c>
      <c r="F1051" s="1">
        <v>274</v>
      </c>
      <c r="G1051" s="1" t="s">
        <v>109</v>
      </c>
      <c r="H1051" s="1" t="s">
        <v>95</v>
      </c>
      <c r="I1051" s="1">
        <v>63</v>
      </c>
      <c r="J1051" s="1" t="s">
        <v>95</v>
      </c>
      <c r="M1051" s="1" t="s">
        <v>102</v>
      </c>
      <c r="O1051" s="1">
        <v>4</v>
      </c>
    </row>
    <row r="1052" spans="1:17" ht="14.25" customHeight="1" x14ac:dyDescent="0.3">
      <c r="A1052" s="1" t="s">
        <v>62</v>
      </c>
      <c r="B1052" s="1">
        <v>21</v>
      </c>
      <c r="C1052" s="1">
        <v>10</v>
      </c>
      <c r="D1052" s="1" t="str">
        <f t="shared" si="16"/>
        <v>Yes</v>
      </c>
      <c r="E1052" s="1">
        <v>10.9</v>
      </c>
      <c r="F1052" s="1">
        <v>286</v>
      </c>
      <c r="G1052" s="1" t="s">
        <v>109</v>
      </c>
      <c r="H1052" s="1" t="s">
        <v>95</v>
      </c>
      <c r="I1052" s="1">
        <v>56.8</v>
      </c>
      <c r="J1052" s="1" t="s">
        <v>95</v>
      </c>
      <c r="M1052" s="1" t="s">
        <v>101</v>
      </c>
      <c r="O1052" s="1">
        <v>1</v>
      </c>
    </row>
    <row r="1053" spans="1:17" ht="14.25" customHeight="1" x14ac:dyDescent="0.3">
      <c r="A1053" s="1" t="s">
        <v>62</v>
      </c>
      <c r="B1053" s="1">
        <v>21</v>
      </c>
      <c r="C1053" s="1">
        <v>1</v>
      </c>
      <c r="D1053" s="1" t="str">
        <f t="shared" si="16"/>
        <v>Yes</v>
      </c>
      <c r="E1053" s="1">
        <v>11.7</v>
      </c>
      <c r="F1053" s="1">
        <v>22</v>
      </c>
      <c r="G1053" s="1" t="s">
        <v>93</v>
      </c>
      <c r="H1053" s="1" t="s">
        <v>95</v>
      </c>
      <c r="I1053" s="1">
        <v>57.5</v>
      </c>
      <c r="J1053" s="1" t="s">
        <v>101</v>
      </c>
      <c r="M1053" s="1" t="s">
        <v>101</v>
      </c>
      <c r="O1053" s="1">
        <v>5</v>
      </c>
    </row>
    <row r="1054" spans="1:17" ht="14.25" customHeight="1" x14ac:dyDescent="0.3">
      <c r="A1054" s="1" t="s">
        <v>62</v>
      </c>
      <c r="B1054" s="1">
        <v>21</v>
      </c>
      <c r="C1054" s="1">
        <v>5</v>
      </c>
      <c r="D1054" s="1" t="str">
        <f t="shared" si="16"/>
        <v>Yes</v>
      </c>
      <c r="E1054" s="1">
        <v>10.199999999999999</v>
      </c>
      <c r="F1054" s="1">
        <v>258</v>
      </c>
      <c r="G1054" s="1" t="s">
        <v>93</v>
      </c>
      <c r="H1054" s="1" t="s">
        <v>95</v>
      </c>
      <c r="I1054" s="1">
        <v>53</v>
      </c>
      <c r="J1054" s="1" t="s">
        <v>95</v>
      </c>
      <c r="M1054" s="1" t="s">
        <v>101</v>
      </c>
      <c r="O1054" s="1">
        <v>1</v>
      </c>
      <c r="P1054" s="1">
        <v>581</v>
      </c>
    </row>
    <row r="1055" spans="1:17" ht="14.25" customHeight="1" x14ac:dyDescent="0.3">
      <c r="A1055" s="1" t="s">
        <v>62</v>
      </c>
      <c r="B1055" s="1">
        <v>21</v>
      </c>
      <c r="C1055" s="1">
        <v>8</v>
      </c>
      <c r="D1055" s="1" t="str">
        <f t="shared" si="16"/>
        <v>Yes</v>
      </c>
      <c r="E1055" s="1">
        <v>12.4</v>
      </c>
      <c r="F1055" s="1">
        <v>269</v>
      </c>
      <c r="G1055" s="1" t="s">
        <v>93</v>
      </c>
      <c r="H1055" s="1" t="s">
        <v>95</v>
      </c>
      <c r="I1055" s="1">
        <v>50.2</v>
      </c>
      <c r="J1055" s="1" t="s">
        <v>95</v>
      </c>
      <c r="M1055" s="1" t="s">
        <v>101</v>
      </c>
      <c r="O1055" s="1">
        <v>5</v>
      </c>
    </row>
    <row r="1056" spans="1:17" ht="14.25" customHeight="1" x14ac:dyDescent="0.3">
      <c r="A1056" s="1" t="s">
        <v>62</v>
      </c>
      <c r="B1056" s="1">
        <v>21</v>
      </c>
      <c r="C1056" s="1">
        <v>11</v>
      </c>
      <c r="D1056" s="1" t="str">
        <f t="shared" si="16"/>
        <v>Yes</v>
      </c>
      <c r="E1056" s="1">
        <v>9.6</v>
      </c>
      <c r="F1056" s="1">
        <v>324</v>
      </c>
      <c r="G1056" s="1" t="s">
        <v>93</v>
      </c>
      <c r="H1056" s="1" t="s">
        <v>95</v>
      </c>
      <c r="I1056" s="1">
        <v>43.2</v>
      </c>
      <c r="J1056" s="1" t="s">
        <v>95</v>
      </c>
      <c r="M1056" s="1" t="s">
        <v>101</v>
      </c>
      <c r="O1056" s="1">
        <v>1</v>
      </c>
    </row>
    <row r="1057" spans="1:18" ht="14.25" customHeight="1" x14ac:dyDescent="0.3">
      <c r="A1057" s="1" t="s">
        <v>62</v>
      </c>
      <c r="B1057" s="1">
        <v>21</v>
      </c>
      <c r="C1057" s="1">
        <v>9</v>
      </c>
      <c r="D1057" s="1" t="str">
        <f t="shared" si="16"/>
        <v>Yes</v>
      </c>
      <c r="E1057" s="1">
        <v>11.9</v>
      </c>
      <c r="F1057" s="1">
        <v>278</v>
      </c>
      <c r="G1057" s="1" t="s">
        <v>93</v>
      </c>
      <c r="H1057" s="1" t="s">
        <v>95</v>
      </c>
      <c r="I1057" s="1">
        <v>39.4</v>
      </c>
      <c r="J1057" s="1" t="s">
        <v>95</v>
      </c>
      <c r="M1057" s="1" t="s">
        <v>101</v>
      </c>
      <c r="O1057" s="1">
        <v>1</v>
      </c>
    </row>
    <row r="1058" spans="1:18" ht="14.25" customHeight="1" x14ac:dyDescent="0.3">
      <c r="A1058" s="1" t="s">
        <v>62</v>
      </c>
      <c r="B1058" s="1">
        <v>21</v>
      </c>
      <c r="C1058" s="1">
        <v>3</v>
      </c>
      <c r="D1058" s="1" t="str">
        <f t="shared" si="16"/>
        <v>Yes</v>
      </c>
      <c r="E1058" s="1">
        <v>9.3000000000000007</v>
      </c>
      <c r="F1058" s="1">
        <v>32</v>
      </c>
      <c r="G1058" s="1" t="s">
        <v>93</v>
      </c>
      <c r="H1058" s="1" t="s">
        <v>95</v>
      </c>
      <c r="I1058" s="1">
        <v>34.799999999999997</v>
      </c>
      <c r="J1058" s="1" t="s">
        <v>95</v>
      </c>
      <c r="M1058" s="1" t="s">
        <v>101</v>
      </c>
      <c r="O1058" s="1">
        <v>1</v>
      </c>
    </row>
    <row r="1059" spans="1:18" ht="14.25" customHeight="1" x14ac:dyDescent="0.3">
      <c r="A1059" s="1" t="s">
        <v>62</v>
      </c>
      <c r="B1059" s="1">
        <v>21</v>
      </c>
      <c r="C1059" s="1">
        <v>2</v>
      </c>
      <c r="D1059" s="1" t="str">
        <f t="shared" si="16"/>
        <v>Yes</v>
      </c>
      <c r="E1059" s="1">
        <v>10.7</v>
      </c>
      <c r="F1059" s="1">
        <v>22</v>
      </c>
      <c r="G1059" s="1" t="s">
        <v>93</v>
      </c>
      <c r="H1059" s="1" t="s">
        <v>95</v>
      </c>
      <c r="I1059" s="1">
        <v>30.1</v>
      </c>
      <c r="J1059" s="1" t="s">
        <v>95</v>
      </c>
      <c r="M1059" s="1" t="s">
        <v>101</v>
      </c>
      <c r="O1059" s="1">
        <v>1</v>
      </c>
    </row>
    <row r="1060" spans="1:18" ht="14.25" customHeight="1" x14ac:dyDescent="0.3">
      <c r="A1060" s="1" t="s">
        <v>62</v>
      </c>
      <c r="B1060" s="1">
        <v>21</v>
      </c>
      <c r="C1060" s="1">
        <v>6</v>
      </c>
      <c r="D1060" s="1" t="str">
        <f t="shared" si="16"/>
        <v>Yes</v>
      </c>
      <c r="E1060" s="1">
        <v>10.7</v>
      </c>
      <c r="F1060" s="1">
        <v>264</v>
      </c>
      <c r="G1060" s="1" t="s">
        <v>93</v>
      </c>
      <c r="H1060" s="1" t="s">
        <v>95</v>
      </c>
      <c r="I1060" s="1">
        <v>14.2</v>
      </c>
      <c r="J1060" s="1" t="s">
        <v>95</v>
      </c>
      <c r="M1060" s="1" t="s">
        <v>101</v>
      </c>
      <c r="O1060" s="1">
        <v>1</v>
      </c>
      <c r="R1060" s="1"/>
    </row>
    <row r="1061" spans="1:18" ht="14.25" customHeight="1" x14ac:dyDescent="0.3">
      <c r="A1061" s="1" t="s">
        <v>62</v>
      </c>
      <c r="B1061" s="1">
        <v>21</v>
      </c>
      <c r="C1061" s="1">
        <v>4</v>
      </c>
      <c r="D1061" s="1" t="str">
        <f t="shared" si="16"/>
        <v>Yes</v>
      </c>
      <c r="E1061" s="1">
        <v>4.7</v>
      </c>
      <c r="F1061" s="1">
        <v>85</v>
      </c>
      <c r="G1061" s="1" t="s">
        <v>106</v>
      </c>
      <c r="H1061" s="1" t="s">
        <v>94</v>
      </c>
      <c r="I1061" s="1">
        <v>89.2</v>
      </c>
      <c r="J1061" s="1" t="s">
        <v>95</v>
      </c>
      <c r="K1061" s="1">
        <v>10</v>
      </c>
      <c r="L1061" s="1">
        <v>60</v>
      </c>
      <c r="M1061" s="1" t="s">
        <v>102</v>
      </c>
      <c r="P1061" s="1">
        <v>580</v>
      </c>
    </row>
    <row r="1062" spans="1:18" ht="14.25" customHeight="1" x14ac:dyDescent="0.3">
      <c r="A1062" s="1" t="s">
        <v>62</v>
      </c>
      <c r="B1062" s="1">
        <v>22</v>
      </c>
      <c r="C1062" s="1">
        <v>17</v>
      </c>
      <c r="D1062" s="1" t="str">
        <f t="shared" si="16"/>
        <v>No</v>
      </c>
      <c r="E1062" s="1">
        <v>20.9</v>
      </c>
      <c r="F1062" s="1">
        <v>229</v>
      </c>
      <c r="G1062" s="1" t="s">
        <v>96</v>
      </c>
      <c r="H1062" s="1" t="s">
        <v>95</v>
      </c>
      <c r="I1062" s="19">
        <v>10.8</v>
      </c>
      <c r="J1062" s="1" t="s">
        <v>95</v>
      </c>
      <c r="M1062" s="1" t="s">
        <v>95</v>
      </c>
      <c r="O1062" s="1">
        <v>1</v>
      </c>
      <c r="P1062" s="1">
        <v>602</v>
      </c>
      <c r="Q1062" t="s">
        <v>785</v>
      </c>
    </row>
    <row r="1063" spans="1:18" ht="14.25" customHeight="1" x14ac:dyDescent="0.3">
      <c r="A1063" s="1" t="s">
        <v>62</v>
      </c>
      <c r="B1063" s="1">
        <v>22</v>
      </c>
      <c r="C1063" s="1">
        <v>15</v>
      </c>
      <c r="D1063" s="1" t="str">
        <f t="shared" si="16"/>
        <v>Yes</v>
      </c>
      <c r="E1063" s="1">
        <v>5.7</v>
      </c>
      <c r="F1063" s="1">
        <v>326</v>
      </c>
      <c r="G1063" s="1" t="s">
        <v>111</v>
      </c>
      <c r="H1063" s="1" t="s">
        <v>95</v>
      </c>
      <c r="I1063" s="1">
        <v>18.3</v>
      </c>
      <c r="J1063" s="1" t="s">
        <v>95</v>
      </c>
      <c r="M1063" s="1" t="s">
        <v>101</v>
      </c>
      <c r="O1063" s="1">
        <v>1</v>
      </c>
      <c r="R1063" s="1"/>
    </row>
    <row r="1064" spans="1:18" ht="14.25" customHeight="1" x14ac:dyDescent="0.3">
      <c r="A1064" s="1" t="s">
        <v>62</v>
      </c>
      <c r="B1064" s="1">
        <v>22</v>
      </c>
      <c r="C1064" s="1">
        <v>2</v>
      </c>
      <c r="D1064" s="1" t="str">
        <f t="shared" si="16"/>
        <v>Yes</v>
      </c>
      <c r="E1064" s="1">
        <v>9.5</v>
      </c>
      <c r="F1064" s="1">
        <v>69</v>
      </c>
      <c r="G1064" s="1" t="s">
        <v>106</v>
      </c>
      <c r="H1064" s="1" t="s">
        <v>95</v>
      </c>
      <c r="I1064" s="1">
        <v>48.5</v>
      </c>
      <c r="J1064" s="1" t="s">
        <v>95</v>
      </c>
      <c r="M1064" s="1" t="s">
        <v>102</v>
      </c>
      <c r="O1064" s="1">
        <v>1</v>
      </c>
    </row>
    <row r="1065" spans="1:18" ht="14.25" customHeight="1" x14ac:dyDescent="0.3">
      <c r="A1065" s="1" t="s">
        <v>62</v>
      </c>
      <c r="B1065" s="1">
        <v>22</v>
      </c>
      <c r="C1065" s="1">
        <v>6</v>
      </c>
      <c r="D1065" s="1" t="str">
        <f t="shared" si="16"/>
        <v>Yes</v>
      </c>
      <c r="E1065" s="1">
        <v>10.6</v>
      </c>
      <c r="F1065" s="1">
        <v>98</v>
      </c>
      <c r="G1065" s="1" t="s">
        <v>106</v>
      </c>
      <c r="H1065" s="1" t="s">
        <v>95</v>
      </c>
      <c r="I1065" s="1">
        <v>20.3</v>
      </c>
      <c r="J1065" s="1" t="s">
        <v>95</v>
      </c>
      <c r="M1065" s="1" t="s">
        <v>101</v>
      </c>
      <c r="O1065" s="1">
        <v>2</v>
      </c>
    </row>
    <row r="1066" spans="1:18" ht="14.25" customHeight="1" x14ac:dyDescent="0.3">
      <c r="A1066" s="1" t="s">
        <v>62</v>
      </c>
      <c r="B1066" s="1">
        <v>22</v>
      </c>
      <c r="C1066" s="1">
        <v>9</v>
      </c>
      <c r="D1066" s="1" t="str">
        <f t="shared" si="16"/>
        <v>Yes</v>
      </c>
      <c r="E1066" s="1">
        <v>2.4</v>
      </c>
      <c r="F1066" s="1">
        <v>113</v>
      </c>
      <c r="G1066" s="1" t="s">
        <v>93</v>
      </c>
      <c r="H1066" s="1" t="s">
        <v>95</v>
      </c>
      <c r="I1066" s="1">
        <v>50.4</v>
      </c>
      <c r="J1066" s="1" t="s">
        <v>95</v>
      </c>
      <c r="M1066" s="1" t="s">
        <v>102</v>
      </c>
      <c r="O1066" s="1">
        <v>1</v>
      </c>
      <c r="P1066" s="1">
        <v>601</v>
      </c>
    </row>
    <row r="1067" spans="1:18" ht="14.25" customHeight="1" x14ac:dyDescent="0.3">
      <c r="A1067" s="1" t="s">
        <v>62</v>
      </c>
      <c r="B1067" s="1">
        <v>22</v>
      </c>
      <c r="C1067" s="1">
        <v>5</v>
      </c>
      <c r="D1067" s="1" t="str">
        <f t="shared" si="16"/>
        <v>Yes</v>
      </c>
      <c r="E1067" s="1">
        <v>8.4</v>
      </c>
      <c r="F1067" s="1">
        <v>98</v>
      </c>
      <c r="G1067" s="1" t="s">
        <v>93</v>
      </c>
      <c r="H1067" s="1" t="s">
        <v>95</v>
      </c>
      <c r="I1067" s="1">
        <v>46.3</v>
      </c>
      <c r="J1067" s="1" t="s">
        <v>95</v>
      </c>
      <c r="M1067" s="1" t="s">
        <v>102</v>
      </c>
      <c r="O1067" s="1">
        <v>1</v>
      </c>
    </row>
    <row r="1068" spans="1:18" ht="14.25" customHeight="1" x14ac:dyDescent="0.3">
      <c r="A1068" s="1" t="s">
        <v>62</v>
      </c>
      <c r="B1068" s="1">
        <v>22</v>
      </c>
      <c r="C1068" s="1">
        <v>13</v>
      </c>
      <c r="D1068" s="1" t="str">
        <f t="shared" si="16"/>
        <v>Yes</v>
      </c>
      <c r="E1068" s="1">
        <v>11.5</v>
      </c>
      <c r="F1068" s="1">
        <v>238</v>
      </c>
      <c r="G1068" s="1" t="s">
        <v>93</v>
      </c>
      <c r="H1068" s="1" t="s">
        <v>95</v>
      </c>
      <c r="I1068" s="1">
        <v>44.5</v>
      </c>
      <c r="J1068" s="1" t="s">
        <v>95</v>
      </c>
      <c r="M1068" s="1" t="s">
        <v>101</v>
      </c>
      <c r="O1068" s="1">
        <v>1</v>
      </c>
    </row>
    <row r="1069" spans="1:18" ht="14.25" customHeight="1" x14ac:dyDescent="0.3">
      <c r="A1069" s="1" t="s">
        <v>62</v>
      </c>
      <c r="B1069" s="1">
        <v>22</v>
      </c>
      <c r="C1069" s="1">
        <v>8</v>
      </c>
      <c r="D1069" s="1" t="str">
        <f t="shared" si="16"/>
        <v>Yes</v>
      </c>
      <c r="E1069" s="1">
        <v>8</v>
      </c>
      <c r="F1069" s="1">
        <v>114</v>
      </c>
      <c r="G1069" s="1" t="s">
        <v>93</v>
      </c>
      <c r="H1069" s="1" t="s">
        <v>95</v>
      </c>
      <c r="I1069" s="1">
        <v>41.6</v>
      </c>
      <c r="J1069" s="1" t="s">
        <v>95</v>
      </c>
      <c r="M1069" s="1" t="s">
        <v>102</v>
      </c>
      <c r="O1069" s="1">
        <v>1</v>
      </c>
    </row>
    <row r="1070" spans="1:18" ht="14.25" customHeight="1" x14ac:dyDescent="0.3">
      <c r="A1070" s="1" t="s">
        <v>62</v>
      </c>
      <c r="B1070" s="1">
        <v>22</v>
      </c>
      <c r="C1070" s="1">
        <v>16</v>
      </c>
      <c r="D1070" s="1" t="str">
        <f t="shared" si="16"/>
        <v>Yes</v>
      </c>
      <c r="E1070" s="1">
        <v>7.4</v>
      </c>
      <c r="F1070" s="1">
        <v>342</v>
      </c>
      <c r="G1070" s="1" t="s">
        <v>93</v>
      </c>
      <c r="H1070" s="1" t="s">
        <v>95</v>
      </c>
      <c r="I1070" s="1">
        <v>38.5</v>
      </c>
      <c r="J1070" s="1" t="s">
        <v>95</v>
      </c>
      <c r="M1070" s="1" t="s">
        <v>101</v>
      </c>
      <c r="O1070" s="1">
        <v>5</v>
      </c>
      <c r="R1070" s="1"/>
    </row>
    <row r="1071" spans="1:18" ht="14.25" customHeight="1" x14ac:dyDescent="0.3">
      <c r="A1071" s="1" t="s">
        <v>62</v>
      </c>
      <c r="B1071" s="1">
        <v>22</v>
      </c>
      <c r="C1071" s="1">
        <v>1</v>
      </c>
      <c r="D1071" s="1" t="str">
        <f t="shared" si="16"/>
        <v>Yes</v>
      </c>
      <c r="E1071" s="1">
        <v>4.9000000000000004</v>
      </c>
      <c r="F1071" s="1">
        <v>64</v>
      </c>
      <c r="G1071" s="1" t="s">
        <v>93</v>
      </c>
      <c r="H1071" s="1" t="s">
        <v>95</v>
      </c>
      <c r="I1071" s="1">
        <v>33.5</v>
      </c>
      <c r="J1071" s="1" t="s">
        <v>95</v>
      </c>
      <c r="M1071" s="1" t="s">
        <v>102</v>
      </c>
      <c r="O1071" s="1">
        <v>1</v>
      </c>
      <c r="P1071" s="1">
        <v>600</v>
      </c>
    </row>
    <row r="1072" spans="1:18" ht="14.25" customHeight="1" x14ac:dyDescent="0.3">
      <c r="A1072" s="1" t="s">
        <v>62</v>
      </c>
      <c r="B1072" s="1">
        <v>22</v>
      </c>
      <c r="C1072" s="1">
        <v>10</v>
      </c>
      <c r="D1072" s="1" t="str">
        <f t="shared" si="16"/>
        <v>Yes</v>
      </c>
      <c r="E1072" s="1">
        <v>6.1</v>
      </c>
      <c r="F1072" s="1">
        <v>121</v>
      </c>
      <c r="G1072" s="1" t="s">
        <v>93</v>
      </c>
      <c r="H1072" s="1" t="s">
        <v>95</v>
      </c>
      <c r="I1072" s="1">
        <v>30.5</v>
      </c>
      <c r="J1072" s="1" t="s">
        <v>95</v>
      </c>
      <c r="M1072" s="1" t="s">
        <v>102</v>
      </c>
      <c r="O1072" s="1">
        <v>1</v>
      </c>
    </row>
    <row r="1073" spans="1:18" ht="14.25" customHeight="1" x14ac:dyDescent="0.3">
      <c r="A1073" s="1" t="s">
        <v>62</v>
      </c>
      <c r="B1073" s="1">
        <v>22</v>
      </c>
      <c r="C1073" s="1">
        <v>14</v>
      </c>
      <c r="D1073" s="1" t="str">
        <f t="shared" si="16"/>
        <v>Yes</v>
      </c>
      <c r="E1073" s="1">
        <v>11</v>
      </c>
      <c r="F1073" s="1">
        <v>307</v>
      </c>
      <c r="G1073" s="1" t="s">
        <v>93</v>
      </c>
      <c r="H1073" s="1" t="s">
        <v>95</v>
      </c>
      <c r="I1073" s="1">
        <v>29.7</v>
      </c>
      <c r="J1073" s="1" t="s">
        <v>95</v>
      </c>
      <c r="M1073" s="1" t="s">
        <v>102</v>
      </c>
      <c r="O1073" s="1">
        <v>5</v>
      </c>
      <c r="Q1073" s="1" t="s">
        <v>152</v>
      </c>
    </row>
    <row r="1074" spans="1:18" ht="14.25" customHeight="1" x14ac:dyDescent="0.3">
      <c r="A1074" s="1" t="s">
        <v>62</v>
      </c>
      <c r="B1074" s="1">
        <v>22</v>
      </c>
      <c r="C1074" s="1">
        <v>11</v>
      </c>
      <c r="D1074" s="1" t="str">
        <f t="shared" si="16"/>
        <v>Yes</v>
      </c>
      <c r="E1074" s="1">
        <v>5.8</v>
      </c>
      <c r="F1074" s="1">
        <v>136</v>
      </c>
      <c r="G1074" s="1" t="s">
        <v>93</v>
      </c>
      <c r="H1074" s="1" t="s">
        <v>95</v>
      </c>
      <c r="I1074" s="1">
        <v>26.8</v>
      </c>
      <c r="J1074" s="1" t="s">
        <v>95</v>
      </c>
      <c r="M1074" s="1" t="s">
        <v>102</v>
      </c>
      <c r="O1074" s="1">
        <v>1</v>
      </c>
    </row>
    <row r="1075" spans="1:18" ht="14.25" customHeight="1" x14ac:dyDescent="0.3">
      <c r="A1075" s="1" t="s">
        <v>62</v>
      </c>
      <c r="B1075" s="1">
        <v>22</v>
      </c>
      <c r="C1075" s="1">
        <v>7</v>
      </c>
      <c r="D1075" s="1" t="str">
        <f t="shared" si="16"/>
        <v>Yes</v>
      </c>
      <c r="E1075" s="1">
        <v>8.1</v>
      </c>
      <c r="F1075" s="1">
        <v>112</v>
      </c>
      <c r="G1075" s="1" t="s">
        <v>93</v>
      </c>
      <c r="H1075" s="1" t="s">
        <v>95</v>
      </c>
      <c r="I1075" s="1">
        <v>18.5</v>
      </c>
      <c r="J1075" s="1" t="s">
        <v>95</v>
      </c>
      <c r="M1075" s="1" t="s">
        <v>101</v>
      </c>
      <c r="O1075" s="1">
        <v>1</v>
      </c>
    </row>
    <row r="1076" spans="1:18" ht="14.25" customHeight="1" x14ac:dyDescent="0.3">
      <c r="A1076" s="1" t="s">
        <v>62</v>
      </c>
      <c r="B1076" s="1">
        <v>22</v>
      </c>
      <c r="C1076" s="1">
        <v>12</v>
      </c>
      <c r="D1076" s="1" t="str">
        <f t="shared" si="16"/>
        <v>Yes</v>
      </c>
      <c r="E1076" s="1">
        <v>7.1</v>
      </c>
      <c r="F1076" s="1">
        <v>145</v>
      </c>
      <c r="G1076" s="1" t="s">
        <v>93</v>
      </c>
      <c r="H1076" s="1" t="s">
        <v>95</v>
      </c>
      <c r="I1076" s="1">
        <v>15</v>
      </c>
      <c r="J1076" s="1" t="s">
        <v>95</v>
      </c>
      <c r="M1076" s="1" t="s">
        <v>101</v>
      </c>
      <c r="O1076" s="1">
        <v>1</v>
      </c>
    </row>
    <row r="1077" spans="1:18" ht="14.25" customHeight="1" x14ac:dyDescent="0.3">
      <c r="A1077" s="1" t="s">
        <v>62</v>
      </c>
      <c r="B1077" s="1">
        <v>22</v>
      </c>
      <c r="C1077" s="1">
        <v>3</v>
      </c>
      <c r="D1077" s="1" t="str">
        <f t="shared" si="16"/>
        <v>Yes</v>
      </c>
      <c r="E1077" s="1">
        <v>10.7</v>
      </c>
      <c r="F1077" s="1">
        <v>74</v>
      </c>
      <c r="G1077" s="1" t="s">
        <v>93</v>
      </c>
      <c r="H1077" s="1" t="s">
        <v>95</v>
      </c>
      <c r="I1077" s="1">
        <v>14.6</v>
      </c>
      <c r="J1077" s="1" t="s">
        <v>95</v>
      </c>
      <c r="M1077" s="1" t="s">
        <v>101</v>
      </c>
      <c r="O1077" s="1">
        <v>1</v>
      </c>
    </row>
    <row r="1078" spans="1:18" ht="14.25" customHeight="1" x14ac:dyDescent="0.3">
      <c r="A1078" s="1" t="s">
        <v>62</v>
      </c>
      <c r="B1078" s="1">
        <v>22</v>
      </c>
      <c r="C1078" s="1">
        <v>4</v>
      </c>
      <c r="D1078" s="1" t="str">
        <f t="shared" si="16"/>
        <v>Yes</v>
      </c>
      <c r="E1078" s="1">
        <v>10.5</v>
      </c>
      <c r="F1078" s="1">
        <v>79</v>
      </c>
      <c r="G1078" s="1" t="s">
        <v>93</v>
      </c>
      <c r="H1078" s="1" t="s">
        <v>95</v>
      </c>
      <c r="I1078" s="1">
        <v>8.1</v>
      </c>
      <c r="J1078" s="1" t="s">
        <v>95</v>
      </c>
      <c r="M1078" s="1" t="s">
        <v>101</v>
      </c>
      <c r="O1078" s="1">
        <v>2</v>
      </c>
      <c r="Q1078" s="1" t="s">
        <v>172</v>
      </c>
    </row>
    <row r="1079" spans="1:18" ht="14.25" customHeight="1" x14ac:dyDescent="0.3">
      <c r="A1079" s="1" t="s">
        <v>68</v>
      </c>
      <c r="B1079" s="1">
        <v>1</v>
      </c>
      <c r="C1079" s="1">
        <v>6</v>
      </c>
      <c r="D1079" s="1" t="str">
        <f t="shared" si="16"/>
        <v>Yes</v>
      </c>
      <c r="E1079" s="1">
        <v>8</v>
      </c>
      <c r="F1079" s="1">
        <v>77</v>
      </c>
      <c r="G1079" s="1" t="s">
        <v>93</v>
      </c>
      <c r="H1079" s="1" t="s">
        <v>95</v>
      </c>
      <c r="I1079" s="1">
        <v>135</v>
      </c>
      <c r="J1079" s="1" t="s">
        <v>101</v>
      </c>
      <c r="M1079" s="1" t="s">
        <v>97</v>
      </c>
      <c r="O1079" s="1">
        <v>5</v>
      </c>
      <c r="Q1079" s="1" t="s">
        <v>195</v>
      </c>
    </row>
    <row r="1080" spans="1:18" ht="14.25" customHeight="1" x14ac:dyDescent="0.3">
      <c r="A1080" s="1" t="s">
        <v>68</v>
      </c>
      <c r="B1080" s="1">
        <v>1</v>
      </c>
      <c r="C1080" s="1">
        <v>4</v>
      </c>
      <c r="D1080" s="1" t="str">
        <f t="shared" si="16"/>
        <v>Yes</v>
      </c>
      <c r="E1080" s="1">
        <v>12.3</v>
      </c>
      <c r="F1080" s="1">
        <v>35</v>
      </c>
      <c r="G1080" s="1" t="s">
        <v>93</v>
      </c>
      <c r="H1080" s="1" t="s">
        <v>95</v>
      </c>
      <c r="I1080" s="1">
        <v>131</v>
      </c>
      <c r="J1080" s="1" t="s">
        <v>101</v>
      </c>
      <c r="M1080" s="1" t="s">
        <v>97</v>
      </c>
      <c r="O1080" s="1">
        <v>5</v>
      </c>
      <c r="Q1080" s="1" t="s">
        <v>195</v>
      </c>
    </row>
    <row r="1081" spans="1:18" ht="14.25" customHeight="1" x14ac:dyDescent="0.3">
      <c r="A1081" s="1" t="s">
        <v>68</v>
      </c>
      <c r="B1081" s="1">
        <v>1</v>
      </c>
      <c r="C1081" s="1">
        <v>8</v>
      </c>
      <c r="D1081" s="1" t="str">
        <f t="shared" si="16"/>
        <v>Yes</v>
      </c>
      <c r="E1081" s="1">
        <v>8.8000000000000007</v>
      </c>
      <c r="F1081" s="1">
        <v>256</v>
      </c>
      <c r="G1081" s="1" t="s">
        <v>93</v>
      </c>
      <c r="H1081" s="1" t="s">
        <v>95</v>
      </c>
      <c r="I1081" s="1">
        <v>115</v>
      </c>
      <c r="J1081" s="1" t="s">
        <v>101</v>
      </c>
      <c r="M1081" s="1" t="s">
        <v>102</v>
      </c>
      <c r="O1081" s="1">
        <v>5</v>
      </c>
      <c r="R1081" s="1"/>
    </row>
    <row r="1082" spans="1:18" ht="14.25" customHeight="1" x14ac:dyDescent="0.3">
      <c r="A1082" s="1" t="s">
        <v>68</v>
      </c>
      <c r="B1082" s="1">
        <v>1</v>
      </c>
      <c r="C1082" s="1">
        <v>12</v>
      </c>
      <c r="D1082" s="1" t="str">
        <f t="shared" si="16"/>
        <v>Yes</v>
      </c>
      <c r="E1082" s="1">
        <v>6.5</v>
      </c>
      <c r="F1082" s="1">
        <v>287</v>
      </c>
      <c r="G1082" s="1" t="s">
        <v>93</v>
      </c>
      <c r="H1082" s="1" t="s">
        <v>95</v>
      </c>
      <c r="I1082" s="1">
        <v>107</v>
      </c>
      <c r="J1082" s="1" t="s">
        <v>101</v>
      </c>
      <c r="M1082" s="1" t="s">
        <v>102</v>
      </c>
      <c r="O1082" s="1">
        <v>5</v>
      </c>
      <c r="R1082" s="1"/>
    </row>
    <row r="1083" spans="1:18" ht="14.25" customHeight="1" x14ac:dyDescent="0.3">
      <c r="A1083" s="1" t="s">
        <v>68</v>
      </c>
      <c r="B1083" s="1">
        <v>1</v>
      </c>
      <c r="C1083" s="1">
        <v>1</v>
      </c>
      <c r="D1083" s="1" t="str">
        <f t="shared" si="16"/>
        <v>Yes</v>
      </c>
      <c r="E1083" s="1">
        <v>10.199999999999999</v>
      </c>
      <c r="F1083" s="1">
        <v>17</v>
      </c>
      <c r="G1083" s="1" t="s">
        <v>93</v>
      </c>
      <c r="H1083" s="1" t="s">
        <v>95</v>
      </c>
      <c r="I1083" s="1">
        <v>97.6</v>
      </c>
      <c r="J1083" s="1" t="s">
        <v>95</v>
      </c>
      <c r="M1083" s="1" t="s">
        <v>102</v>
      </c>
      <c r="O1083" s="1">
        <v>1</v>
      </c>
    </row>
    <row r="1084" spans="1:18" ht="14.25" customHeight="1" x14ac:dyDescent="0.3">
      <c r="A1084" s="1" t="s">
        <v>68</v>
      </c>
      <c r="B1084" s="1">
        <v>1</v>
      </c>
      <c r="C1084" s="1">
        <v>15</v>
      </c>
      <c r="D1084" s="1" t="str">
        <f t="shared" si="16"/>
        <v>Yes</v>
      </c>
      <c r="E1084" s="1">
        <v>11.4</v>
      </c>
      <c r="F1084" s="1">
        <v>319</v>
      </c>
      <c r="G1084" s="1" t="s">
        <v>93</v>
      </c>
      <c r="H1084" s="1" t="s">
        <v>95</v>
      </c>
      <c r="I1084" s="1">
        <v>96</v>
      </c>
      <c r="J1084" s="1" t="s">
        <v>101</v>
      </c>
      <c r="M1084" s="1" t="s">
        <v>102</v>
      </c>
      <c r="O1084" s="1">
        <v>5</v>
      </c>
      <c r="Q1084" s="1" t="s">
        <v>195</v>
      </c>
      <c r="R1084" s="1"/>
    </row>
    <row r="1085" spans="1:18" ht="14.25" customHeight="1" x14ac:dyDescent="0.3">
      <c r="A1085" s="1" t="s">
        <v>68</v>
      </c>
      <c r="B1085" s="1">
        <v>1</v>
      </c>
      <c r="C1085" s="1">
        <v>13</v>
      </c>
      <c r="D1085" s="1" t="str">
        <f t="shared" si="16"/>
        <v>Yes</v>
      </c>
      <c r="E1085" s="1">
        <v>6.4</v>
      </c>
      <c r="F1085" s="1">
        <v>317</v>
      </c>
      <c r="G1085" s="1" t="s">
        <v>93</v>
      </c>
      <c r="H1085" s="1" t="s">
        <v>95</v>
      </c>
      <c r="I1085" s="1">
        <v>92.5</v>
      </c>
      <c r="J1085" s="1" t="s">
        <v>95</v>
      </c>
      <c r="M1085" s="1" t="s">
        <v>102</v>
      </c>
      <c r="O1085" s="1">
        <v>1</v>
      </c>
      <c r="P1085" s="1">
        <v>693</v>
      </c>
    </row>
    <row r="1086" spans="1:18" ht="14.25" customHeight="1" x14ac:dyDescent="0.3">
      <c r="A1086" s="1" t="s">
        <v>68</v>
      </c>
      <c r="B1086" s="1">
        <v>1</v>
      </c>
      <c r="C1086" s="1">
        <v>11</v>
      </c>
      <c r="D1086" s="1" t="str">
        <f t="shared" si="16"/>
        <v>Yes</v>
      </c>
      <c r="E1086" s="1">
        <v>7.8</v>
      </c>
      <c r="F1086" s="1">
        <v>268</v>
      </c>
      <c r="G1086" s="1" t="s">
        <v>93</v>
      </c>
      <c r="H1086" s="1" t="s">
        <v>95</v>
      </c>
      <c r="I1086" s="1">
        <v>86.7</v>
      </c>
      <c r="J1086" s="1" t="s">
        <v>95</v>
      </c>
      <c r="M1086" s="1" t="s">
        <v>102</v>
      </c>
      <c r="O1086" s="1">
        <v>1</v>
      </c>
    </row>
    <row r="1087" spans="1:18" ht="14.25" customHeight="1" x14ac:dyDescent="0.3">
      <c r="A1087" s="1" t="s">
        <v>68</v>
      </c>
      <c r="B1087" s="1">
        <v>1</v>
      </c>
      <c r="C1087" s="1">
        <v>7</v>
      </c>
      <c r="D1087" s="1" t="str">
        <f t="shared" si="16"/>
        <v>Yes</v>
      </c>
      <c r="E1087" s="1">
        <v>12.1</v>
      </c>
      <c r="F1087" s="1">
        <v>229</v>
      </c>
      <c r="G1087" s="1" t="s">
        <v>93</v>
      </c>
      <c r="H1087" s="1" t="s">
        <v>95</v>
      </c>
      <c r="I1087" s="1">
        <v>80</v>
      </c>
      <c r="J1087" s="1" t="s">
        <v>95</v>
      </c>
      <c r="M1087" s="1" t="s">
        <v>102</v>
      </c>
      <c r="O1087" s="1">
        <v>5</v>
      </c>
    </row>
    <row r="1088" spans="1:18" ht="14.25" customHeight="1" x14ac:dyDescent="0.3">
      <c r="A1088" s="1" t="s">
        <v>68</v>
      </c>
      <c r="B1088" s="1">
        <v>1</v>
      </c>
      <c r="C1088" s="1">
        <v>2</v>
      </c>
      <c r="D1088" s="1" t="str">
        <f t="shared" si="16"/>
        <v>Yes</v>
      </c>
      <c r="E1088" s="1">
        <v>8.4</v>
      </c>
      <c r="F1088" s="1">
        <v>27</v>
      </c>
      <c r="G1088" s="1" t="s">
        <v>93</v>
      </c>
      <c r="H1088" s="1" t="s">
        <v>95</v>
      </c>
      <c r="I1088" s="1">
        <v>78.099999999999994</v>
      </c>
      <c r="J1088" s="1" t="s">
        <v>101</v>
      </c>
      <c r="M1088" s="1" t="s">
        <v>102</v>
      </c>
      <c r="O1088" s="1">
        <v>5</v>
      </c>
    </row>
    <row r="1089" spans="1:18" ht="14.25" customHeight="1" x14ac:dyDescent="0.3">
      <c r="A1089" s="1" t="s">
        <v>68</v>
      </c>
      <c r="B1089" s="1">
        <v>1</v>
      </c>
      <c r="C1089" s="1">
        <v>18</v>
      </c>
      <c r="D1089" s="1" t="str">
        <f t="shared" si="16"/>
        <v>Yes</v>
      </c>
      <c r="E1089" s="1">
        <v>10.6</v>
      </c>
      <c r="F1089" s="1">
        <v>343</v>
      </c>
      <c r="G1089" s="1" t="s">
        <v>93</v>
      </c>
      <c r="H1089" s="1" t="s">
        <v>95</v>
      </c>
      <c r="I1089" s="1">
        <v>72</v>
      </c>
      <c r="J1089" s="1" t="s">
        <v>101</v>
      </c>
      <c r="M1089" s="1" t="s">
        <v>102</v>
      </c>
      <c r="O1089" s="1">
        <v>5</v>
      </c>
      <c r="Q1089" s="1" t="s">
        <v>195</v>
      </c>
      <c r="R1089" s="1"/>
    </row>
    <row r="1090" spans="1:18" ht="14.25" customHeight="1" x14ac:dyDescent="0.3">
      <c r="A1090" s="1" t="s">
        <v>68</v>
      </c>
      <c r="B1090" s="1">
        <v>1</v>
      </c>
      <c r="C1090" s="1">
        <v>14</v>
      </c>
      <c r="D1090" s="1" t="str">
        <f t="shared" ref="D1090:D1153" si="17">IF(E1090&gt;12.5, "No", "Yes")</f>
        <v>Yes</v>
      </c>
      <c r="E1090" s="1">
        <v>11.2</v>
      </c>
      <c r="F1090" s="1">
        <v>310</v>
      </c>
      <c r="G1090" s="1" t="s">
        <v>93</v>
      </c>
      <c r="H1090" s="1" t="s">
        <v>95</v>
      </c>
      <c r="I1090" s="1">
        <v>51.9</v>
      </c>
      <c r="J1090" s="1" t="s">
        <v>95</v>
      </c>
      <c r="M1090" s="1" t="s">
        <v>101</v>
      </c>
      <c r="O1090" s="1">
        <v>1</v>
      </c>
    </row>
    <row r="1091" spans="1:18" ht="14.25" customHeight="1" x14ac:dyDescent="0.3">
      <c r="A1091" s="1" t="s">
        <v>68</v>
      </c>
      <c r="B1091" s="1">
        <v>1</v>
      </c>
      <c r="C1091" s="1">
        <v>17</v>
      </c>
      <c r="D1091" s="1" t="str">
        <f t="shared" si="17"/>
        <v>Yes</v>
      </c>
      <c r="E1091" s="1">
        <v>10.6</v>
      </c>
      <c r="F1091" s="1">
        <v>330</v>
      </c>
      <c r="G1091" s="1" t="s">
        <v>93</v>
      </c>
      <c r="H1091" s="1" t="s">
        <v>95</v>
      </c>
      <c r="I1091" s="1">
        <v>38</v>
      </c>
      <c r="J1091" s="1" t="s">
        <v>95</v>
      </c>
      <c r="M1091" s="1" t="s">
        <v>101</v>
      </c>
      <c r="O1091" s="1">
        <v>5</v>
      </c>
      <c r="Q1091" s="1" t="s">
        <v>196</v>
      </c>
    </row>
    <row r="1092" spans="1:18" ht="14.25" customHeight="1" x14ac:dyDescent="0.3">
      <c r="A1092" s="1" t="s">
        <v>68</v>
      </c>
      <c r="B1092" s="1">
        <v>1</v>
      </c>
      <c r="C1092" s="1">
        <v>16</v>
      </c>
      <c r="D1092" s="1" t="str">
        <f t="shared" si="17"/>
        <v>Yes</v>
      </c>
      <c r="E1092" s="1">
        <v>11.1</v>
      </c>
      <c r="F1092" s="1">
        <v>321</v>
      </c>
      <c r="G1092" s="1" t="s">
        <v>93</v>
      </c>
      <c r="H1092" s="1" t="s">
        <v>95</v>
      </c>
      <c r="I1092" s="1">
        <v>31</v>
      </c>
      <c r="J1092" s="1" t="s">
        <v>101</v>
      </c>
      <c r="M1092" s="1" t="s">
        <v>101</v>
      </c>
      <c r="O1092" s="1">
        <v>5</v>
      </c>
      <c r="Q1092" s="1" t="s">
        <v>195</v>
      </c>
    </row>
    <row r="1093" spans="1:18" ht="14.25" customHeight="1" x14ac:dyDescent="0.3">
      <c r="A1093" s="1" t="s">
        <v>68</v>
      </c>
      <c r="B1093" s="1">
        <v>1</v>
      </c>
      <c r="C1093" s="1">
        <v>10</v>
      </c>
      <c r="D1093" s="1" t="str">
        <f t="shared" si="17"/>
        <v>Yes</v>
      </c>
      <c r="E1093" s="1">
        <v>7.7</v>
      </c>
      <c r="F1093" s="1">
        <v>259</v>
      </c>
      <c r="G1093" s="1" t="s">
        <v>93</v>
      </c>
      <c r="H1093" s="1" t="s">
        <v>95</v>
      </c>
      <c r="I1093" s="1">
        <v>23.2</v>
      </c>
      <c r="J1093" s="1" t="s">
        <v>95</v>
      </c>
      <c r="M1093" s="1" t="s">
        <v>101</v>
      </c>
      <c r="O1093" s="1">
        <v>5</v>
      </c>
      <c r="R1093" s="1"/>
    </row>
    <row r="1094" spans="1:18" ht="14.25" customHeight="1" x14ac:dyDescent="0.3">
      <c r="A1094" s="1" t="s">
        <v>68</v>
      </c>
      <c r="B1094" s="1">
        <v>1</v>
      </c>
      <c r="C1094" s="1">
        <v>3</v>
      </c>
      <c r="D1094" s="1" t="str">
        <f t="shared" si="17"/>
        <v>Yes</v>
      </c>
      <c r="E1094" s="1">
        <v>9</v>
      </c>
      <c r="F1094" s="1">
        <v>27</v>
      </c>
      <c r="G1094" s="1" t="s">
        <v>93</v>
      </c>
      <c r="H1094" s="1" t="s">
        <v>95</v>
      </c>
      <c r="I1094" s="1">
        <v>20.7</v>
      </c>
      <c r="J1094" s="1" t="s">
        <v>101</v>
      </c>
      <c r="M1094" s="1" t="s">
        <v>101</v>
      </c>
      <c r="O1094" s="1">
        <v>5</v>
      </c>
      <c r="R1094" s="1"/>
    </row>
    <row r="1095" spans="1:18" ht="14.25" customHeight="1" x14ac:dyDescent="0.3">
      <c r="A1095" s="1" t="s">
        <v>68</v>
      </c>
      <c r="B1095" s="1">
        <v>1</v>
      </c>
      <c r="C1095" s="1">
        <v>9</v>
      </c>
      <c r="D1095" s="1" t="str">
        <f t="shared" si="17"/>
        <v>Yes</v>
      </c>
      <c r="E1095" s="1">
        <v>10.199999999999999</v>
      </c>
      <c r="F1095" s="1">
        <v>259</v>
      </c>
      <c r="G1095" s="1" t="s">
        <v>93</v>
      </c>
      <c r="H1095" s="1" t="s">
        <v>94</v>
      </c>
      <c r="I1095" s="1">
        <v>79.2</v>
      </c>
      <c r="J1095" s="1" t="s">
        <v>95</v>
      </c>
      <c r="K1095" s="1">
        <v>5</v>
      </c>
      <c r="L1095" s="1">
        <v>85</v>
      </c>
      <c r="M1095" s="1" t="s">
        <v>102</v>
      </c>
      <c r="N1095" s="1" t="s">
        <v>100</v>
      </c>
    </row>
    <row r="1096" spans="1:18" ht="14.25" customHeight="1" x14ac:dyDescent="0.3">
      <c r="A1096" s="1" t="s">
        <v>68</v>
      </c>
      <c r="B1096" s="1">
        <v>1</v>
      </c>
      <c r="C1096" s="1">
        <v>5</v>
      </c>
      <c r="D1096" s="1" t="str">
        <f t="shared" si="17"/>
        <v>Yes</v>
      </c>
      <c r="E1096" s="1">
        <v>11</v>
      </c>
      <c r="F1096" s="1">
        <v>54</v>
      </c>
      <c r="G1096" s="1" t="s">
        <v>93</v>
      </c>
      <c r="H1096" s="1" t="s">
        <v>94</v>
      </c>
      <c r="I1096" s="1">
        <v>47</v>
      </c>
      <c r="J1096" s="1" t="s">
        <v>95</v>
      </c>
      <c r="K1096" s="1">
        <v>1</v>
      </c>
      <c r="L1096" s="1">
        <v>60</v>
      </c>
      <c r="M1096" s="1" t="s">
        <v>101</v>
      </c>
      <c r="P1096" s="1">
        <v>694</v>
      </c>
    </row>
    <row r="1097" spans="1:18" ht="14.25" customHeight="1" x14ac:dyDescent="0.3">
      <c r="A1097" s="1" t="s">
        <v>68</v>
      </c>
      <c r="B1097" s="1">
        <v>2</v>
      </c>
      <c r="D1097" s="1" t="str">
        <f t="shared" si="17"/>
        <v>No</v>
      </c>
      <c r="E1097" s="1">
        <v>15</v>
      </c>
      <c r="F1097" s="1">
        <v>200</v>
      </c>
      <c r="G1097" s="1" t="s">
        <v>109</v>
      </c>
      <c r="H1097" s="1" t="s">
        <v>94</v>
      </c>
      <c r="I1097" s="1">
        <v>153.1</v>
      </c>
      <c r="J1097" s="1" t="s">
        <v>95</v>
      </c>
      <c r="K1097" s="1">
        <v>0</v>
      </c>
      <c r="L1097" s="1">
        <v>0</v>
      </c>
      <c r="M1097" s="1" t="s">
        <v>95</v>
      </c>
      <c r="P1097" s="1">
        <v>661</v>
      </c>
    </row>
    <row r="1098" spans="1:18" ht="14.25" customHeight="1" x14ac:dyDescent="0.3">
      <c r="A1098" s="1" t="s">
        <v>68</v>
      </c>
      <c r="B1098" s="1">
        <v>2</v>
      </c>
      <c r="C1098" s="1">
        <v>5</v>
      </c>
      <c r="D1098" s="1" t="str">
        <f t="shared" si="17"/>
        <v>Yes</v>
      </c>
      <c r="E1098" s="1">
        <v>7.2</v>
      </c>
      <c r="F1098" s="1">
        <v>161</v>
      </c>
      <c r="G1098" s="1" t="s">
        <v>109</v>
      </c>
      <c r="H1098" s="1" t="s">
        <v>95</v>
      </c>
      <c r="I1098" s="1">
        <v>31.9</v>
      </c>
      <c r="J1098" s="1" t="s">
        <v>95</v>
      </c>
      <c r="M1098" s="1" t="s">
        <v>102</v>
      </c>
      <c r="O1098" s="1">
        <v>4</v>
      </c>
    </row>
    <row r="1099" spans="1:18" ht="14.25" customHeight="1" x14ac:dyDescent="0.3">
      <c r="A1099" s="1" t="s">
        <v>68</v>
      </c>
      <c r="B1099" s="1">
        <v>2</v>
      </c>
      <c r="C1099" s="1">
        <v>3</v>
      </c>
      <c r="D1099" s="1" t="str">
        <f t="shared" si="17"/>
        <v>Yes</v>
      </c>
      <c r="E1099" s="1">
        <v>10.5</v>
      </c>
      <c r="F1099" s="1">
        <v>62</v>
      </c>
      <c r="G1099" s="1" t="s">
        <v>93</v>
      </c>
      <c r="H1099" s="1" t="s">
        <v>95</v>
      </c>
      <c r="I1099" s="1">
        <v>78.7</v>
      </c>
      <c r="J1099" s="1" t="s">
        <v>95</v>
      </c>
      <c r="M1099" s="1" t="s">
        <v>102</v>
      </c>
      <c r="O1099" s="1">
        <v>5</v>
      </c>
      <c r="Q1099" s="1" t="s">
        <v>162</v>
      </c>
    </row>
    <row r="1100" spans="1:18" ht="14.25" customHeight="1" x14ac:dyDescent="0.3">
      <c r="A1100" s="1" t="s">
        <v>68</v>
      </c>
      <c r="B1100" s="1">
        <v>2</v>
      </c>
      <c r="C1100" s="1">
        <v>6</v>
      </c>
      <c r="D1100" s="1" t="str">
        <f t="shared" si="17"/>
        <v>Yes</v>
      </c>
      <c r="E1100" s="1">
        <v>12.3</v>
      </c>
      <c r="F1100" s="1">
        <v>156</v>
      </c>
      <c r="G1100" s="1" t="s">
        <v>93</v>
      </c>
      <c r="H1100" s="1" t="s">
        <v>95</v>
      </c>
      <c r="I1100" s="1">
        <v>65.5</v>
      </c>
      <c r="J1100" s="1" t="s">
        <v>95</v>
      </c>
      <c r="M1100" s="1" t="s">
        <v>102</v>
      </c>
      <c r="O1100" s="1">
        <v>1</v>
      </c>
    </row>
    <row r="1101" spans="1:18" ht="14.25" customHeight="1" x14ac:dyDescent="0.3">
      <c r="A1101" s="1" t="s">
        <v>68</v>
      </c>
      <c r="B1101" s="1">
        <v>2</v>
      </c>
      <c r="C1101" s="1">
        <v>8</v>
      </c>
      <c r="D1101" s="1" t="str">
        <f t="shared" si="17"/>
        <v>Yes</v>
      </c>
      <c r="E1101" s="1">
        <v>8.1</v>
      </c>
      <c r="F1101" s="1">
        <v>255</v>
      </c>
      <c r="G1101" s="1" t="s">
        <v>93</v>
      </c>
      <c r="H1101" s="1" t="s">
        <v>95</v>
      </c>
      <c r="I1101" s="1">
        <v>32.5</v>
      </c>
      <c r="J1101" s="1" t="s">
        <v>95</v>
      </c>
      <c r="M1101" s="1" t="s">
        <v>101</v>
      </c>
      <c r="O1101" s="1">
        <v>1</v>
      </c>
    </row>
    <row r="1102" spans="1:18" ht="14.25" customHeight="1" x14ac:dyDescent="0.3">
      <c r="A1102" s="1" t="s">
        <v>68</v>
      </c>
      <c r="B1102" s="1">
        <v>2</v>
      </c>
      <c r="C1102" s="1">
        <v>2</v>
      </c>
      <c r="D1102" s="1" t="str">
        <f t="shared" si="17"/>
        <v>Yes</v>
      </c>
      <c r="E1102" s="1">
        <v>11.4</v>
      </c>
      <c r="F1102" s="1">
        <v>5</v>
      </c>
      <c r="G1102" s="1" t="s">
        <v>93</v>
      </c>
      <c r="H1102" s="1" t="s">
        <v>95</v>
      </c>
      <c r="I1102" s="1">
        <v>31.7</v>
      </c>
      <c r="J1102" s="1" t="s">
        <v>95</v>
      </c>
      <c r="M1102" s="1" t="s">
        <v>101</v>
      </c>
      <c r="O1102" s="1">
        <v>1</v>
      </c>
    </row>
    <row r="1103" spans="1:18" ht="14.25" customHeight="1" x14ac:dyDescent="0.3">
      <c r="A1103" s="1" t="s">
        <v>68</v>
      </c>
      <c r="B1103" s="1">
        <v>2</v>
      </c>
      <c r="C1103" s="1">
        <v>10</v>
      </c>
      <c r="D1103" s="1" t="str">
        <f t="shared" si="17"/>
        <v>Yes</v>
      </c>
      <c r="E1103" s="1">
        <v>9.6</v>
      </c>
      <c r="F1103" s="1">
        <v>264</v>
      </c>
      <c r="G1103" s="1" t="s">
        <v>93</v>
      </c>
      <c r="H1103" s="1" t="s">
        <v>95</v>
      </c>
      <c r="I1103" s="1">
        <v>30.8</v>
      </c>
      <c r="J1103" s="1" t="s">
        <v>95</v>
      </c>
      <c r="M1103" s="1" t="s">
        <v>101</v>
      </c>
      <c r="O1103" s="1">
        <v>1</v>
      </c>
    </row>
    <row r="1104" spans="1:18" ht="14.25" customHeight="1" x14ac:dyDescent="0.3">
      <c r="A1104" s="1" t="s">
        <v>68</v>
      </c>
      <c r="B1104" s="1">
        <v>2</v>
      </c>
      <c r="C1104" s="1">
        <v>9</v>
      </c>
      <c r="D1104" s="1" t="str">
        <f t="shared" si="17"/>
        <v>Yes</v>
      </c>
      <c r="E1104" s="1">
        <v>10.199999999999999</v>
      </c>
      <c r="F1104" s="1">
        <v>261</v>
      </c>
      <c r="G1104" s="1" t="s">
        <v>93</v>
      </c>
      <c r="H1104" s="1" t="s">
        <v>95</v>
      </c>
      <c r="I1104" s="1">
        <v>29.8</v>
      </c>
      <c r="J1104" s="1" t="s">
        <v>95</v>
      </c>
      <c r="M1104" s="1" t="s">
        <v>101</v>
      </c>
      <c r="O1104" s="1">
        <v>1</v>
      </c>
    </row>
    <row r="1105" spans="1:18" ht="14.25" customHeight="1" x14ac:dyDescent="0.3">
      <c r="A1105" s="1" t="s">
        <v>68</v>
      </c>
      <c r="B1105" s="1">
        <v>2</v>
      </c>
      <c r="C1105" s="1">
        <v>7</v>
      </c>
      <c r="D1105" s="1" t="str">
        <f t="shared" si="17"/>
        <v>Yes</v>
      </c>
      <c r="E1105" s="1">
        <v>6</v>
      </c>
      <c r="F1105" s="1">
        <v>184</v>
      </c>
      <c r="G1105" s="1" t="s">
        <v>93</v>
      </c>
      <c r="H1105" s="1" t="s">
        <v>95</v>
      </c>
      <c r="I1105" s="1">
        <v>20.399999999999999</v>
      </c>
      <c r="J1105" s="1" t="s">
        <v>95</v>
      </c>
      <c r="M1105" s="1" t="s">
        <v>101</v>
      </c>
      <c r="O1105" s="1">
        <v>1</v>
      </c>
    </row>
    <row r="1106" spans="1:18" ht="14.25" customHeight="1" x14ac:dyDescent="0.3">
      <c r="A1106" s="1" t="s">
        <v>68</v>
      </c>
      <c r="B1106" s="1">
        <v>2</v>
      </c>
      <c r="C1106" s="1">
        <v>11</v>
      </c>
      <c r="D1106" s="1" t="str">
        <f t="shared" si="17"/>
        <v>Yes</v>
      </c>
      <c r="E1106" s="1">
        <v>8.6999999999999993</v>
      </c>
      <c r="F1106" s="1">
        <v>268</v>
      </c>
      <c r="G1106" s="1" t="s">
        <v>93</v>
      </c>
      <c r="H1106" s="1" t="s">
        <v>95</v>
      </c>
      <c r="I1106" s="1">
        <v>15.5</v>
      </c>
      <c r="J1106" s="1" t="s">
        <v>95</v>
      </c>
      <c r="M1106" s="1" t="s">
        <v>101</v>
      </c>
      <c r="O1106" s="1">
        <v>1</v>
      </c>
      <c r="R1106" s="1"/>
    </row>
    <row r="1107" spans="1:18" ht="14.25" customHeight="1" x14ac:dyDescent="0.3">
      <c r="A1107" s="1" t="s">
        <v>68</v>
      </c>
      <c r="B1107" s="1">
        <v>2</v>
      </c>
      <c r="C1107" s="1">
        <v>4</v>
      </c>
      <c r="D1107" s="1" t="str">
        <f t="shared" si="17"/>
        <v>Yes</v>
      </c>
      <c r="E1107" s="1">
        <v>9.3000000000000007</v>
      </c>
      <c r="F1107" s="1">
        <v>85</v>
      </c>
      <c r="G1107" s="1" t="s">
        <v>109</v>
      </c>
      <c r="H1107" s="1" t="s">
        <v>94</v>
      </c>
      <c r="I1107" s="1">
        <v>48.9</v>
      </c>
      <c r="J1107" s="1" t="s">
        <v>95</v>
      </c>
      <c r="K1107" s="1">
        <v>0</v>
      </c>
      <c r="L1107" s="1">
        <v>75</v>
      </c>
      <c r="M1107" s="1" t="s">
        <v>101</v>
      </c>
      <c r="N1107" s="1" t="s">
        <v>118</v>
      </c>
      <c r="P1107" s="1">
        <v>660</v>
      </c>
    </row>
    <row r="1108" spans="1:18" ht="14.25" customHeight="1" x14ac:dyDescent="0.3">
      <c r="A1108" s="1" t="s">
        <v>68</v>
      </c>
      <c r="B1108" s="1">
        <v>2</v>
      </c>
      <c r="C1108" s="1">
        <v>1</v>
      </c>
      <c r="D1108" s="1" t="str">
        <f t="shared" si="17"/>
        <v>Yes</v>
      </c>
      <c r="E1108" s="1">
        <v>11</v>
      </c>
      <c r="F1108" s="1">
        <v>5</v>
      </c>
      <c r="G1108" s="1" t="s">
        <v>93</v>
      </c>
      <c r="H1108" s="1" t="s">
        <v>94</v>
      </c>
      <c r="I1108" s="1">
        <v>90.5</v>
      </c>
      <c r="J1108" s="1" t="s">
        <v>95</v>
      </c>
      <c r="K1108" s="1">
        <v>0</v>
      </c>
      <c r="L1108" s="1">
        <v>40</v>
      </c>
      <c r="M1108" s="1" t="s">
        <v>102</v>
      </c>
      <c r="N1108" s="1" t="s">
        <v>100</v>
      </c>
      <c r="P1108" s="1">
        <v>659</v>
      </c>
    </row>
    <row r="1109" spans="1:18" ht="14.25" customHeight="1" x14ac:dyDescent="0.3">
      <c r="A1109" s="1" t="s">
        <v>68</v>
      </c>
      <c r="B1109" s="1">
        <v>3</v>
      </c>
      <c r="C1109" s="1">
        <v>16</v>
      </c>
      <c r="D1109" s="1" t="str">
        <f t="shared" si="17"/>
        <v>No</v>
      </c>
      <c r="E1109" s="1">
        <v>12.6</v>
      </c>
      <c r="F1109" s="1">
        <v>245</v>
      </c>
      <c r="G1109" s="1" t="s">
        <v>93</v>
      </c>
      <c r="H1109" s="1" t="s">
        <v>95</v>
      </c>
      <c r="I1109" s="1">
        <v>71</v>
      </c>
      <c r="J1109" s="1" t="s">
        <v>101</v>
      </c>
      <c r="M1109" s="1" t="s">
        <v>102</v>
      </c>
      <c r="O1109" s="1">
        <v>5</v>
      </c>
      <c r="Q1109" s="1" t="s">
        <v>195</v>
      </c>
      <c r="R1109" s="1"/>
    </row>
    <row r="1110" spans="1:18" ht="14.25" customHeight="1" x14ac:dyDescent="0.3">
      <c r="A1110" s="1" t="s">
        <v>68</v>
      </c>
      <c r="B1110" s="1">
        <v>3</v>
      </c>
      <c r="C1110" s="1">
        <v>14</v>
      </c>
      <c r="D1110" s="1" t="str">
        <f t="shared" si="17"/>
        <v>Yes</v>
      </c>
      <c r="E1110" s="1">
        <v>9</v>
      </c>
      <c r="F1110" s="1">
        <v>247</v>
      </c>
      <c r="G1110" s="1" t="s">
        <v>93</v>
      </c>
      <c r="H1110" s="1" t="s">
        <v>95</v>
      </c>
      <c r="I1110" s="1">
        <v>71.400000000000006</v>
      </c>
      <c r="J1110" s="1" t="s">
        <v>95</v>
      </c>
      <c r="M1110" s="1" t="s">
        <v>102</v>
      </c>
      <c r="O1110" s="1">
        <v>1</v>
      </c>
    </row>
    <row r="1111" spans="1:18" ht="14.25" customHeight="1" x14ac:dyDescent="0.3">
      <c r="A1111" s="1" t="s">
        <v>68</v>
      </c>
      <c r="B1111" s="1">
        <v>3</v>
      </c>
      <c r="C1111" s="1">
        <v>10</v>
      </c>
      <c r="D1111" s="1" t="str">
        <f t="shared" si="17"/>
        <v>Yes</v>
      </c>
      <c r="E1111" s="1">
        <v>7.8</v>
      </c>
      <c r="F1111" s="1">
        <v>158</v>
      </c>
      <c r="G1111" s="1" t="s">
        <v>93</v>
      </c>
      <c r="H1111" s="1" t="s">
        <v>95</v>
      </c>
      <c r="I1111" s="1">
        <v>70</v>
      </c>
      <c r="J1111" s="1" t="s">
        <v>101</v>
      </c>
      <c r="M1111" s="1" t="s">
        <v>102</v>
      </c>
      <c r="O1111" s="1">
        <v>5</v>
      </c>
      <c r="Q1111" s="1" t="s">
        <v>195</v>
      </c>
    </row>
    <row r="1112" spans="1:18" ht="14.25" customHeight="1" x14ac:dyDescent="0.3">
      <c r="A1112" s="1" t="s">
        <v>68</v>
      </c>
      <c r="B1112" s="1">
        <v>3</v>
      </c>
      <c r="C1112" s="1">
        <v>7</v>
      </c>
      <c r="D1112" s="1" t="str">
        <f t="shared" si="17"/>
        <v>Yes</v>
      </c>
      <c r="E1112" s="1">
        <v>8.8000000000000007</v>
      </c>
      <c r="F1112" s="1">
        <v>115</v>
      </c>
      <c r="G1112" s="1" t="s">
        <v>93</v>
      </c>
      <c r="H1112" s="1" t="s">
        <v>95</v>
      </c>
      <c r="I1112" s="1">
        <v>57.6</v>
      </c>
      <c r="J1112" s="1" t="s">
        <v>95</v>
      </c>
      <c r="M1112" s="1" t="s">
        <v>102</v>
      </c>
      <c r="O1112" s="1">
        <v>1</v>
      </c>
    </row>
    <row r="1113" spans="1:18" ht="14.25" customHeight="1" x14ac:dyDescent="0.3">
      <c r="A1113" s="1" t="s">
        <v>68</v>
      </c>
      <c r="B1113" s="1">
        <v>3</v>
      </c>
      <c r="C1113" s="1">
        <v>22</v>
      </c>
      <c r="D1113" s="1" t="str">
        <f t="shared" si="17"/>
        <v>Yes</v>
      </c>
      <c r="E1113" s="1">
        <v>11</v>
      </c>
      <c r="F1113" s="1">
        <v>270</v>
      </c>
      <c r="G1113" s="1" t="s">
        <v>93</v>
      </c>
      <c r="H1113" s="1" t="s">
        <v>95</v>
      </c>
      <c r="I1113" s="1">
        <v>54.1</v>
      </c>
      <c r="J1113" s="1" t="s">
        <v>95</v>
      </c>
      <c r="M1113" s="1" t="s">
        <v>101</v>
      </c>
      <c r="O1113" s="1">
        <v>1</v>
      </c>
      <c r="R1113" s="1"/>
    </row>
    <row r="1114" spans="1:18" ht="14.25" customHeight="1" x14ac:dyDescent="0.3">
      <c r="A1114" s="1" t="s">
        <v>68</v>
      </c>
      <c r="B1114" s="1">
        <v>3</v>
      </c>
      <c r="C1114" s="1">
        <v>20</v>
      </c>
      <c r="D1114" s="1" t="str">
        <f t="shared" si="17"/>
        <v>Yes</v>
      </c>
      <c r="E1114" s="1">
        <v>2.4</v>
      </c>
      <c r="F1114" s="1">
        <v>324</v>
      </c>
      <c r="G1114" s="1" t="s">
        <v>93</v>
      </c>
      <c r="H1114" s="1" t="s">
        <v>95</v>
      </c>
      <c r="I1114" s="1">
        <v>48.2</v>
      </c>
      <c r="J1114" s="1" t="s">
        <v>95</v>
      </c>
      <c r="M1114" s="1" t="s">
        <v>102</v>
      </c>
      <c r="O1114" s="1">
        <v>1</v>
      </c>
      <c r="P1114" s="1">
        <v>691</v>
      </c>
    </row>
    <row r="1115" spans="1:18" ht="14.25" customHeight="1" x14ac:dyDescent="0.3">
      <c r="A1115" s="1" t="s">
        <v>68</v>
      </c>
      <c r="B1115" s="1">
        <v>3</v>
      </c>
      <c r="C1115" s="1">
        <v>13</v>
      </c>
      <c r="D1115" s="1" t="str">
        <f t="shared" si="17"/>
        <v>Yes</v>
      </c>
      <c r="E1115" s="1">
        <v>7.6</v>
      </c>
      <c r="F1115" s="1">
        <v>238</v>
      </c>
      <c r="G1115" s="1" t="s">
        <v>93</v>
      </c>
      <c r="H1115" s="1" t="s">
        <v>95</v>
      </c>
      <c r="I1115" s="1">
        <v>47.5</v>
      </c>
      <c r="J1115" s="1" t="s">
        <v>95</v>
      </c>
      <c r="M1115" s="1" t="s">
        <v>101</v>
      </c>
      <c r="O1115" s="1">
        <v>1</v>
      </c>
      <c r="P1115" s="1">
        <v>690</v>
      </c>
    </row>
    <row r="1116" spans="1:18" ht="14.25" customHeight="1" x14ac:dyDescent="0.3">
      <c r="A1116" s="1" t="s">
        <v>68</v>
      </c>
      <c r="B1116" s="1">
        <v>3</v>
      </c>
      <c r="C1116" s="1">
        <v>3</v>
      </c>
      <c r="D1116" s="1" t="str">
        <f t="shared" si="17"/>
        <v>Yes</v>
      </c>
      <c r="E1116" s="1">
        <v>7.7</v>
      </c>
      <c r="F1116" s="1">
        <v>84</v>
      </c>
      <c r="G1116" s="1" t="s">
        <v>93</v>
      </c>
      <c r="H1116" s="1" t="s">
        <v>95</v>
      </c>
      <c r="I1116" s="1">
        <v>45.7</v>
      </c>
      <c r="J1116" s="1" t="s">
        <v>95</v>
      </c>
      <c r="M1116" s="1" t="s">
        <v>101</v>
      </c>
      <c r="O1116" s="1">
        <v>5</v>
      </c>
    </row>
    <row r="1117" spans="1:18" ht="14.25" customHeight="1" x14ac:dyDescent="0.3">
      <c r="A1117" s="1" t="s">
        <v>68</v>
      </c>
      <c r="B1117" s="1">
        <v>3</v>
      </c>
      <c r="C1117" s="1">
        <v>11</v>
      </c>
      <c r="D1117" s="1" t="str">
        <f t="shared" si="17"/>
        <v>Yes</v>
      </c>
      <c r="E1117" s="1">
        <v>9.5</v>
      </c>
      <c r="F1117" s="1">
        <v>168</v>
      </c>
      <c r="G1117" s="1" t="s">
        <v>93</v>
      </c>
      <c r="H1117" s="1" t="s">
        <v>95</v>
      </c>
      <c r="I1117" s="1">
        <v>45</v>
      </c>
      <c r="J1117" s="1" t="s">
        <v>101</v>
      </c>
      <c r="M1117" s="1" t="s">
        <v>101</v>
      </c>
      <c r="O1117" s="1">
        <v>5</v>
      </c>
      <c r="Q1117" s="1" t="s">
        <v>195</v>
      </c>
    </row>
    <row r="1118" spans="1:18" ht="14.25" customHeight="1" x14ac:dyDescent="0.3">
      <c r="A1118" s="1" t="s">
        <v>68</v>
      </c>
      <c r="B1118" s="1">
        <v>3</v>
      </c>
      <c r="C1118" s="1">
        <v>8</v>
      </c>
      <c r="D1118" s="1" t="str">
        <f t="shared" si="17"/>
        <v>Yes</v>
      </c>
      <c r="E1118" s="1">
        <v>8.4</v>
      </c>
      <c r="F1118" s="1">
        <v>134</v>
      </c>
      <c r="G1118" s="1" t="s">
        <v>93</v>
      </c>
      <c r="H1118" s="1" t="s">
        <v>95</v>
      </c>
      <c r="I1118" s="1">
        <v>42</v>
      </c>
      <c r="J1118" s="1" t="s">
        <v>95</v>
      </c>
      <c r="M1118" s="1" t="s">
        <v>101</v>
      </c>
      <c r="O1118" s="1">
        <v>5</v>
      </c>
      <c r="R1118" s="1"/>
    </row>
    <row r="1119" spans="1:18" ht="14.25" customHeight="1" x14ac:dyDescent="0.3">
      <c r="A1119" s="1" t="s">
        <v>68</v>
      </c>
      <c r="B1119" s="1">
        <v>3</v>
      </c>
      <c r="C1119" s="1">
        <v>9</v>
      </c>
      <c r="D1119" s="1" t="str">
        <f t="shared" si="17"/>
        <v>Yes</v>
      </c>
      <c r="E1119" s="1">
        <v>8.5</v>
      </c>
      <c r="F1119" s="1">
        <v>153</v>
      </c>
      <c r="G1119" s="1" t="s">
        <v>93</v>
      </c>
      <c r="H1119" s="1" t="s">
        <v>95</v>
      </c>
      <c r="I1119" s="1">
        <v>40</v>
      </c>
      <c r="J1119" s="1" t="s">
        <v>101</v>
      </c>
      <c r="M1119" s="1" t="s">
        <v>102</v>
      </c>
      <c r="O1119" s="1">
        <v>5</v>
      </c>
      <c r="Q1119" s="1" t="s">
        <v>195</v>
      </c>
    </row>
    <row r="1120" spans="1:18" ht="14.25" customHeight="1" x14ac:dyDescent="0.3">
      <c r="A1120" s="1" t="s">
        <v>68</v>
      </c>
      <c r="B1120" s="1">
        <v>3</v>
      </c>
      <c r="C1120" s="1">
        <v>12</v>
      </c>
      <c r="D1120" s="1" t="str">
        <f t="shared" si="17"/>
        <v>Yes</v>
      </c>
      <c r="E1120" s="1">
        <v>6.9</v>
      </c>
      <c r="F1120" s="1">
        <v>178</v>
      </c>
      <c r="G1120" s="1" t="s">
        <v>93</v>
      </c>
      <c r="H1120" s="1" t="s">
        <v>95</v>
      </c>
      <c r="I1120" s="1">
        <v>39.700000000000003</v>
      </c>
      <c r="J1120" s="1" t="s">
        <v>95</v>
      </c>
      <c r="M1120" s="1" t="s">
        <v>101</v>
      </c>
      <c r="O1120" s="1">
        <v>1</v>
      </c>
      <c r="P1120" s="1">
        <v>689</v>
      </c>
    </row>
    <row r="1121" spans="1:18" ht="14.25" customHeight="1" x14ac:dyDescent="0.3">
      <c r="A1121" s="1" t="s">
        <v>68</v>
      </c>
      <c r="B1121" s="1">
        <v>3</v>
      </c>
      <c r="C1121" s="1">
        <v>19</v>
      </c>
      <c r="D1121" s="1" t="str">
        <f t="shared" si="17"/>
        <v>Yes</v>
      </c>
      <c r="E1121" s="1">
        <v>5.3</v>
      </c>
      <c r="F1121" s="1">
        <v>309</v>
      </c>
      <c r="G1121" s="1" t="s">
        <v>93</v>
      </c>
      <c r="H1121" s="1" t="s">
        <v>95</v>
      </c>
      <c r="I1121" s="1">
        <v>37.200000000000003</v>
      </c>
      <c r="J1121" s="1" t="s">
        <v>95</v>
      </c>
      <c r="M1121" s="1" t="s">
        <v>101</v>
      </c>
      <c r="O1121" s="1">
        <v>1</v>
      </c>
      <c r="R1121" s="1"/>
    </row>
    <row r="1122" spans="1:18" ht="14.25" customHeight="1" x14ac:dyDescent="0.3">
      <c r="A1122" s="1" t="s">
        <v>68</v>
      </c>
      <c r="B1122" s="1">
        <v>3</v>
      </c>
      <c r="C1122" s="1">
        <v>4</v>
      </c>
      <c r="D1122" s="1" t="str">
        <f t="shared" si="17"/>
        <v>Yes</v>
      </c>
      <c r="E1122" s="1">
        <v>9.6999999999999993</v>
      </c>
      <c r="F1122" s="1">
        <v>85</v>
      </c>
      <c r="G1122" s="1" t="s">
        <v>93</v>
      </c>
      <c r="H1122" s="1" t="s">
        <v>95</v>
      </c>
      <c r="I1122" s="1">
        <v>36</v>
      </c>
      <c r="J1122" s="1" t="s">
        <v>101</v>
      </c>
      <c r="M1122" s="1" t="s">
        <v>101</v>
      </c>
      <c r="O1122" s="1">
        <v>5</v>
      </c>
      <c r="Q1122" s="1" t="s">
        <v>162</v>
      </c>
    </row>
    <row r="1123" spans="1:18" ht="14.25" customHeight="1" x14ac:dyDescent="0.3">
      <c r="A1123" s="1" t="s">
        <v>68</v>
      </c>
      <c r="B1123" s="1">
        <v>3</v>
      </c>
      <c r="C1123" s="1">
        <v>6</v>
      </c>
      <c r="D1123" s="1" t="str">
        <f t="shared" si="17"/>
        <v>Yes</v>
      </c>
      <c r="E1123" s="1">
        <v>9</v>
      </c>
      <c r="F1123" s="1">
        <v>113</v>
      </c>
      <c r="G1123" s="1" t="s">
        <v>93</v>
      </c>
      <c r="H1123" s="1" t="s">
        <v>95</v>
      </c>
      <c r="I1123" s="1">
        <v>33.799999999999997</v>
      </c>
      <c r="J1123" s="1" t="s">
        <v>95</v>
      </c>
      <c r="M1123" s="1" t="s">
        <v>101</v>
      </c>
      <c r="O1123" s="1">
        <v>5</v>
      </c>
      <c r="R1123" s="1"/>
    </row>
    <row r="1124" spans="1:18" ht="14.25" customHeight="1" x14ac:dyDescent="0.3">
      <c r="A1124" s="1" t="s">
        <v>68</v>
      </c>
      <c r="B1124" s="1">
        <v>3</v>
      </c>
      <c r="C1124" s="1">
        <v>1</v>
      </c>
      <c r="D1124" s="1" t="str">
        <f t="shared" si="17"/>
        <v>Yes</v>
      </c>
      <c r="E1124" s="1">
        <v>8.1</v>
      </c>
      <c r="F1124" s="1">
        <v>22</v>
      </c>
      <c r="G1124" s="1" t="s">
        <v>93</v>
      </c>
      <c r="H1124" s="1" t="s">
        <v>95</v>
      </c>
      <c r="I1124" s="1">
        <v>33.1</v>
      </c>
      <c r="J1124" s="1" t="s">
        <v>95</v>
      </c>
      <c r="M1124" s="1" t="s">
        <v>101</v>
      </c>
      <c r="O1124" s="1">
        <v>1</v>
      </c>
    </row>
    <row r="1125" spans="1:18" ht="14.25" customHeight="1" x14ac:dyDescent="0.3">
      <c r="A1125" s="1" t="s">
        <v>68</v>
      </c>
      <c r="B1125" s="1">
        <v>3</v>
      </c>
      <c r="C1125" s="1">
        <v>17</v>
      </c>
      <c r="D1125" s="1" t="str">
        <f t="shared" si="17"/>
        <v>Yes</v>
      </c>
      <c r="E1125" s="1">
        <v>11.8</v>
      </c>
      <c r="F1125" s="1">
        <v>279</v>
      </c>
      <c r="G1125" s="1" t="s">
        <v>93</v>
      </c>
      <c r="H1125" s="1" t="s">
        <v>95</v>
      </c>
      <c r="I1125" s="1">
        <v>32.799999999999997</v>
      </c>
      <c r="J1125" s="1" t="s">
        <v>101</v>
      </c>
      <c r="M1125" s="1" t="s">
        <v>101</v>
      </c>
      <c r="O1125" s="1">
        <v>2</v>
      </c>
    </row>
    <row r="1126" spans="1:18" ht="14.25" customHeight="1" x14ac:dyDescent="0.3">
      <c r="A1126" s="1" t="s">
        <v>68</v>
      </c>
      <c r="B1126" s="1">
        <v>3</v>
      </c>
      <c r="C1126" s="1">
        <v>18</v>
      </c>
      <c r="D1126" s="1" t="str">
        <f t="shared" si="17"/>
        <v>Yes</v>
      </c>
      <c r="E1126" s="1">
        <v>5.8</v>
      </c>
      <c r="F1126" s="1">
        <v>302</v>
      </c>
      <c r="G1126" s="1" t="s">
        <v>93</v>
      </c>
      <c r="H1126" s="1" t="s">
        <v>95</v>
      </c>
      <c r="I1126" s="1">
        <v>30.1</v>
      </c>
      <c r="J1126" s="1" t="s">
        <v>95</v>
      </c>
      <c r="M1126" s="1" t="s">
        <v>101</v>
      </c>
      <c r="O1126" s="1">
        <v>5</v>
      </c>
    </row>
    <row r="1127" spans="1:18" ht="14.25" customHeight="1" x14ac:dyDescent="0.3">
      <c r="A1127" s="1" t="s">
        <v>68</v>
      </c>
      <c r="B1127" s="1">
        <v>3</v>
      </c>
      <c r="C1127" s="1">
        <v>5</v>
      </c>
      <c r="D1127" s="1" t="str">
        <f t="shared" si="17"/>
        <v>Yes</v>
      </c>
      <c r="E1127" s="1">
        <v>9.8000000000000007</v>
      </c>
      <c r="F1127" s="1">
        <v>101</v>
      </c>
      <c r="G1127" s="1" t="s">
        <v>93</v>
      </c>
      <c r="H1127" s="1" t="s">
        <v>95</v>
      </c>
      <c r="I1127" s="1">
        <v>30</v>
      </c>
      <c r="J1127" s="1" t="s">
        <v>101</v>
      </c>
      <c r="M1127" s="1" t="s">
        <v>101</v>
      </c>
      <c r="O1127" s="1">
        <v>5</v>
      </c>
      <c r="Q1127" s="1" t="s">
        <v>162</v>
      </c>
    </row>
    <row r="1128" spans="1:18" ht="14.25" customHeight="1" x14ac:dyDescent="0.3">
      <c r="A1128" s="1" t="s">
        <v>68</v>
      </c>
      <c r="B1128" s="1">
        <v>3</v>
      </c>
      <c r="C1128" s="1">
        <v>15</v>
      </c>
      <c r="D1128" s="1" t="str">
        <f t="shared" si="17"/>
        <v>Yes</v>
      </c>
      <c r="E1128" s="1">
        <v>4.0999999999999996</v>
      </c>
      <c r="F1128" s="1">
        <v>265</v>
      </c>
      <c r="G1128" s="1" t="s">
        <v>93</v>
      </c>
      <c r="H1128" s="1" t="s">
        <v>95</v>
      </c>
      <c r="I1128" s="1">
        <v>29.4</v>
      </c>
      <c r="J1128" s="1" t="s">
        <v>95</v>
      </c>
      <c r="M1128" s="1" t="s">
        <v>101</v>
      </c>
      <c r="O1128" s="1">
        <v>5</v>
      </c>
    </row>
    <row r="1129" spans="1:18" ht="14.25" customHeight="1" x14ac:dyDescent="0.3">
      <c r="A1129" s="1" t="s">
        <v>68</v>
      </c>
      <c r="B1129" s="1">
        <v>3</v>
      </c>
      <c r="C1129" s="1">
        <v>2</v>
      </c>
      <c r="D1129" s="1" t="str">
        <f t="shared" si="17"/>
        <v>Yes</v>
      </c>
      <c r="E1129" s="1">
        <v>9.5</v>
      </c>
      <c r="F1129" s="1">
        <v>58</v>
      </c>
      <c r="G1129" s="1" t="s">
        <v>93</v>
      </c>
      <c r="H1129" s="1" t="s">
        <v>95</v>
      </c>
      <c r="I1129" s="1">
        <v>26.5</v>
      </c>
      <c r="J1129" s="1" t="s">
        <v>95</v>
      </c>
      <c r="M1129" s="1" t="s">
        <v>101</v>
      </c>
      <c r="O1129" s="1">
        <v>5</v>
      </c>
      <c r="R1129" s="1"/>
    </row>
    <row r="1130" spans="1:18" ht="14.25" customHeight="1" x14ac:dyDescent="0.3">
      <c r="A1130" s="1" t="s">
        <v>68</v>
      </c>
      <c r="B1130" s="1">
        <v>3</v>
      </c>
      <c r="C1130" s="1">
        <v>21</v>
      </c>
      <c r="D1130" s="1" t="str">
        <f t="shared" si="17"/>
        <v>Yes</v>
      </c>
      <c r="E1130" s="1">
        <v>1.8</v>
      </c>
      <c r="F1130" s="1">
        <v>334</v>
      </c>
      <c r="G1130" s="1" t="s">
        <v>93</v>
      </c>
      <c r="H1130" s="1" t="s">
        <v>95</v>
      </c>
      <c r="I1130" s="1">
        <v>25.8</v>
      </c>
      <c r="J1130" s="1" t="s">
        <v>101</v>
      </c>
      <c r="M1130" s="1" t="s">
        <v>101</v>
      </c>
      <c r="O1130" s="1">
        <v>5</v>
      </c>
    </row>
    <row r="1131" spans="1:18" ht="14.25" customHeight="1" x14ac:dyDescent="0.3">
      <c r="A1131" s="1" t="s">
        <v>68</v>
      </c>
      <c r="B1131" s="1">
        <v>4</v>
      </c>
      <c r="C1131" s="1">
        <v>8</v>
      </c>
      <c r="D1131" s="1" t="str">
        <f t="shared" si="17"/>
        <v>Yes</v>
      </c>
      <c r="E1131" s="1">
        <v>4.4000000000000004</v>
      </c>
      <c r="F1131" s="1">
        <v>316</v>
      </c>
      <c r="G1131" s="1" t="s">
        <v>109</v>
      </c>
      <c r="H1131" s="1" t="s">
        <v>95</v>
      </c>
      <c r="I1131" s="1">
        <v>32</v>
      </c>
      <c r="J1131" s="1" t="s">
        <v>95</v>
      </c>
      <c r="M1131" s="1" t="s">
        <v>101</v>
      </c>
      <c r="O1131" s="1">
        <v>1</v>
      </c>
    </row>
    <row r="1132" spans="1:18" ht="14.25" customHeight="1" x14ac:dyDescent="0.3">
      <c r="A1132" s="1" t="s">
        <v>68</v>
      </c>
      <c r="B1132" s="1">
        <v>4</v>
      </c>
      <c r="C1132" s="1">
        <v>5</v>
      </c>
      <c r="D1132" s="1" t="str">
        <f t="shared" si="17"/>
        <v>Yes</v>
      </c>
      <c r="E1132" s="1">
        <v>12.5</v>
      </c>
      <c r="F1132" s="1">
        <v>160</v>
      </c>
      <c r="G1132" s="1" t="s">
        <v>93</v>
      </c>
      <c r="H1132" s="1" t="s">
        <v>95</v>
      </c>
      <c r="I1132" s="1">
        <v>135.9</v>
      </c>
      <c r="J1132" s="1" t="s">
        <v>95</v>
      </c>
      <c r="M1132" s="1" t="s">
        <v>97</v>
      </c>
      <c r="O1132" s="1">
        <v>1</v>
      </c>
      <c r="Q1132" s="1">
        <v>644</v>
      </c>
    </row>
    <row r="1133" spans="1:18" ht="14.25" customHeight="1" x14ac:dyDescent="0.3">
      <c r="A1133" s="1" t="s">
        <v>68</v>
      </c>
      <c r="B1133" s="1">
        <v>4</v>
      </c>
      <c r="C1133" s="1">
        <v>3</v>
      </c>
      <c r="D1133" s="1" t="str">
        <f t="shared" si="17"/>
        <v>Yes</v>
      </c>
      <c r="E1133" s="1">
        <v>7.1</v>
      </c>
      <c r="F1133" s="1">
        <v>50</v>
      </c>
      <c r="G1133" s="1" t="s">
        <v>93</v>
      </c>
      <c r="H1133" s="1" t="s">
        <v>95</v>
      </c>
      <c r="I1133" s="1">
        <v>92.2</v>
      </c>
      <c r="J1133" s="1" t="s">
        <v>95</v>
      </c>
      <c r="M1133" s="1" t="s">
        <v>97</v>
      </c>
      <c r="O1133" s="1">
        <v>1</v>
      </c>
      <c r="Q1133" s="1">
        <v>645</v>
      </c>
    </row>
    <row r="1134" spans="1:18" ht="14.25" customHeight="1" x14ac:dyDescent="0.3">
      <c r="A1134" s="1" t="s">
        <v>68</v>
      </c>
      <c r="B1134" s="1">
        <v>4</v>
      </c>
      <c r="C1134" s="1">
        <v>9</v>
      </c>
      <c r="D1134" s="1" t="str">
        <f t="shared" si="17"/>
        <v>Yes</v>
      </c>
      <c r="E1134" s="1">
        <v>11.7</v>
      </c>
      <c r="F1134" s="1">
        <v>331</v>
      </c>
      <c r="G1134" s="1" t="s">
        <v>93</v>
      </c>
      <c r="H1134" s="1" t="s">
        <v>95</v>
      </c>
      <c r="I1134" s="1">
        <v>71.5</v>
      </c>
      <c r="J1134" s="1" t="s">
        <v>95</v>
      </c>
      <c r="M1134" s="1" t="s">
        <v>102</v>
      </c>
      <c r="O1134" s="1">
        <v>1</v>
      </c>
    </row>
    <row r="1135" spans="1:18" ht="14.25" customHeight="1" x14ac:dyDescent="0.3">
      <c r="A1135" s="1" t="s">
        <v>68</v>
      </c>
      <c r="B1135" s="1">
        <v>4</v>
      </c>
      <c r="C1135" s="1">
        <v>7</v>
      </c>
      <c r="D1135" s="1" t="str">
        <f t="shared" si="17"/>
        <v>Yes</v>
      </c>
      <c r="E1135" s="1">
        <v>6.5</v>
      </c>
      <c r="F1135" s="1">
        <v>284</v>
      </c>
      <c r="G1135" s="1" t="s">
        <v>93</v>
      </c>
      <c r="H1135" s="1" t="s">
        <v>95</v>
      </c>
      <c r="I1135" s="1">
        <v>54</v>
      </c>
      <c r="J1135" s="1" t="s">
        <v>95</v>
      </c>
      <c r="M1135" s="1" t="s">
        <v>102</v>
      </c>
      <c r="O1135" s="1">
        <v>1</v>
      </c>
    </row>
    <row r="1136" spans="1:18" ht="14.25" customHeight="1" x14ac:dyDescent="0.3">
      <c r="A1136" s="1" t="s">
        <v>68</v>
      </c>
      <c r="B1136" s="1">
        <v>4</v>
      </c>
      <c r="C1136" s="1">
        <v>1</v>
      </c>
      <c r="D1136" s="1" t="str">
        <f t="shared" si="17"/>
        <v>Yes</v>
      </c>
      <c r="E1136" s="1">
        <v>6.3</v>
      </c>
      <c r="F1136" s="1">
        <v>11</v>
      </c>
      <c r="G1136" s="1" t="s">
        <v>93</v>
      </c>
      <c r="H1136" s="1" t="s">
        <v>95</v>
      </c>
      <c r="I1136" s="1">
        <v>51.5</v>
      </c>
      <c r="J1136" s="1" t="s">
        <v>95</v>
      </c>
      <c r="M1136" s="1" t="s">
        <v>101</v>
      </c>
      <c r="O1136" s="1">
        <v>1</v>
      </c>
    </row>
    <row r="1137" spans="1:18" ht="14.25" customHeight="1" x14ac:dyDescent="0.3">
      <c r="A1137" s="1" t="s">
        <v>68</v>
      </c>
      <c r="B1137" s="1">
        <v>4</v>
      </c>
      <c r="C1137" s="1">
        <v>4</v>
      </c>
      <c r="D1137" s="1" t="str">
        <f t="shared" si="17"/>
        <v>Yes</v>
      </c>
      <c r="E1137" s="1">
        <v>7.9</v>
      </c>
      <c r="F1137" s="1">
        <v>82</v>
      </c>
      <c r="G1137" s="1" t="s">
        <v>93</v>
      </c>
      <c r="H1137" s="1" t="s">
        <v>95</v>
      </c>
      <c r="I1137" s="1">
        <v>29.3</v>
      </c>
      <c r="J1137" s="1" t="s">
        <v>95</v>
      </c>
      <c r="M1137" s="1" t="s">
        <v>101</v>
      </c>
      <c r="O1137" s="1">
        <v>1</v>
      </c>
    </row>
    <row r="1138" spans="1:18" ht="14.25" customHeight="1" x14ac:dyDescent="0.3">
      <c r="A1138" s="1" t="s">
        <v>68</v>
      </c>
      <c r="B1138" s="1">
        <v>4</v>
      </c>
      <c r="C1138" s="1">
        <v>2</v>
      </c>
      <c r="D1138" s="1" t="str">
        <f t="shared" si="17"/>
        <v>Yes</v>
      </c>
      <c r="E1138" s="1">
        <v>4.3</v>
      </c>
      <c r="F1138" s="1">
        <v>26</v>
      </c>
      <c r="G1138" s="1" t="s">
        <v>93</v>
      </c>
      <c r="H1138" s="1" t="s">
        <v>95</v>
      </c>
      <c r="I1138" s="1">
        <v>29</v>
      </c>
      <c r="J1138" s="1" t="s">
        <v>95</v>
      </c>
      <c r="M1138" s="1" t="s">
        <v>101</v>
      </c>
      <c r="O1138" s="1">
        <v>1</v>
      </c>
      <c r="R1138" s="1"/>
    </row>
    <row r="1139" spans="1:18" ht="14.25" customHeight="1" x14ac:dyDescent="0.3">
      <c r="A1139" s="1" t="s">
        <v>68</v>
      </c>
      <c r="B1139" s="1">
        <v>4</v>
      </c>
      <c r="C1139" s="1">
        <v>6</v>
      </c>
      <c r="D1139" s="1" t="str">
        <f t="shared" si="17"/>
        <v>Yes</v>
      </c>
      <c r="E1139" s="1">
        <v>9.8000000000000007</v>
      </c>
      <c r="F1139" s="1">
        <v>210</v>
      </c>
      <c r="G1139" s="1" t="s">
        <v>93</v>
      </c>
      <c r="H1139" s="1" t="s">
        <v>95</v>
      </c>
      <c r="I1139" s="1">
        <v>19.8</v>
      </c>
      <c r="J1139" s="1" t="s">
        <v>95</v>
      </c>
      <c r="M1139" s="1" t="s">
        <v>102</v>
      </c>
      <c r="O1139" s="1">
        <v>1</v>
      </c>
      <c r="R1139" s="1"/>
    </row>
    <row r="1140" spans="1:18" ht="14.25" customHeight="1" x14ac:dyDescent="0.3">
      <c r="A1140" s="1" t="s">
        <v>68</v>
      </c>
      <c r="B1140" s="1">
        <v>4</v>
      </c>
      <c r="C1140" s="1">
        <v>12</v>
      </c>
      <c r="D1140" s="1" t="str">
        <f t="shared" si="17"/>
        <v>Yes</v>
      </c>
      <c r="E1140" s="1">
        <v>12.2</v>
      </c>
      <c r="F1140" s="1">
        <v>351</v>
      </c>
      <c r="G1140" s="1" t="s">
        <v>109</v>
      </c>
      <c r="H1140" s="1" t="s">
        <v>94</v>
      </c>
      <c r="I1140" s="1">
        <v>56</v>
      </c>
      <c r="J1140" s="1" t="s">
        <v>95</v>
      </c>
      <c r="K1140" s="1">
        <v>5</v>
      </c>
      <c r="L1140" s="1">
        <v>85</v>
      </c>
      <c r="M1140" s="1" t="s">
        <v>102</v>
      </c>
    </row>
    <row r="1141" spans="1:18" ht="14.25" customHeight="1" x14ac:dyDescent="0.3">
      <c r="A1141" s="1" t="s">
        <v>68</v>
      </c>
      <c r="B1141" s="1">
        <v>4</v>
      </c>
      <c r="C1141" s="1">
        <v>11</v>
      </c>
      <c r="D1141" s="1" t="str">
        <f t="shared" si="17"/>
        <v>Yes</v>
      </c>
      <c r="E1141" s="1">
        <v>2.8</v>
      </c>
      <c r="F1141" s="1">
        <v>341</v>
      </c>
      <c r="G1141" s="1" t="s">
        <v>93</v>
      </c>
      <c r="H1141" s="1" t="s">
        <v>94</v>
      </c>
      <c r="I1141" s="1">
        <v>94</v>
      </c>
      <c r="J1141" s="1" t="s">
        <v>95</v>
      </c>
      <c r="K1141" s="1">
        <v>5</v>
      </c>
      <c r="L1141" s="1">
        <v>65</v>
      </c>
      <c r="M1141" s="1" t="s">
        <v>97</v>
      </c>
      <c r="N1141" s="1" t="s">
        <v>100</v>
      </c>
    </row>
    <row r="1142" spans="1:18" ht="14.25" customHeight="1" x14ac:dyDescent="0.3">
      <c r="A1142" s="1" t="s">
        <v>68</v>
      </c>
      <c r="B1142" s="1">
        <v>4</v>
      </c>
      <c r="C1142" s="1">
        <v>10</v>
      </c>
      <c r="D1142" s="1" t="str">
        <f t="shared" si="17"/>
        <v>Yes</v>
      </c>
      <c r="E1142" s="1">
        <v>8.1999999999999993</v>
      </c>
      <c r="F1142" s="1">
        <v>347</v>
      </c>
      <c r="G1142" s="1" t="s">
        <v>93</v>
      </c>
      <c r="H1142" s="1" t="s">
        <v>94</v>
      </c>
      <c r="I1142" s="1">
        <v>87</v>
      </c>
      <c r="J1142" s="1" t="s">
        <v>95</v>
      </c>
      <c r="K1142" s="1">
        <v>10</v>
      </c>
      <c r="L1142" s="1">
        <v>80</v>
      </c>
      <c r="M1142" s="1" t="s">
        <v>97</v>
      </c>
      <c r="N1142" s="1" t="s">
        <v>100</v>
      </c>
    </row>
    <row r="1143" spans="1:18" ht="14.25" customHeight="1" x14ac:dyDescent="0.3">
      <c r="A1143" s="1" t="s">
        <v>68</v>
      </c>
      <c r="B1143" s="1">
        <v>5</v>
      </c>
      <c r="C1143" s="1">
        <v>11</v>
      </c>
      <c r="D1143" s="1" t="str">
        <f t="shared" si="17"/>
        <v>No</v>
      </c>
      <c r="E1143" s="1">
        <v>12.6</v>
      </c>
      <c r="F1143" s="1">
        <v>315</v>
      </c>
      <c r="G1143" s="1" t="s">
        <v>93</v>
      </c>
      <c r="H1143" s="1" t="s">
        <v>94</v>
      </c>
      <c r="I1143" s="1">
        <v>82.8</v>
      </c>
      <c r="J1143" s="1" t="s">
        <v>95</v>
      </c>
      <c r="K1143" s="1">
        <v>5</v>
      </c>
      <c r="L1143" s="1">
        <v>70</v>
      </c>
      <c r="M1143" s="1" t="s">
        <v>97</v>
      </c>
      <c r="N1143" s="1" t="s">
        <v>202</v>
      </c>
      <c r="P1143" s="1">
        <v>676</v>
      </c>
    </row>
    <row r="1144" spans="1:18" ht="14.25" customHeight="1" x14ac:dyDescent="0.3">
      <c r="A1144" s="1" t="s">
        <v>68</v>
      </c>
      <c r="B1144" s="1">
        <v>5</v>
      </c>
      <c r="C1144" s="1">
        <v>1</v>
      </c>
      <c r="D1144" s="1" t="str">
        <f t="shared" si="17"/>
        <v>Yes</v>
      </c>
      <c r="E1144" s="1">
        <v>4.4000000000000004</v>
      </c>
      <c r="F1144" s="1">
        <v>14</v>
      </c>
      <c r="G1144" s="1" t="s">
        <v>93</v>
      </c>
      <c r="H1144" s="1" t="s">
        <v>95</v>
      </c>
      <c r="I1144" s="1">
        <v>98.2</v>
      </c>
      <c r="J1144" s="1" t="s">
        <v>95</v>
      </c>
      <c r="M1144" s="1" t="s">
        <v>102</v>
      </c>
      <c r="O1144" s="1">
        <v>1</v>
      </c>
      <c r="P1144" s="1">
        <v>674</v>
      </c>
    </row>
    <row r="1145" spans="1:18" ht="14.25" customHeight="1" x14ac:dyDescent="0.3">
      <c r="A1145" s="1" t="s">
        <v>68</v>
      </c>
      <c r="B1145" s="1">
        <v>5</v>
      </c>
      <c r="C1145" s="1">
        <v>10</v>
      </c>
      <c r="D1145" s="1" t="str">
        <f t="shared" si="17"/>
        <v>Yes</v>
      </c>
      <c r="E1145" s="1">
        <v>10.6</v>
      </c>
      <c r="F1145" s="1">
        <v>276</v>
      </c>
      <c r="G1145" s="1" t="s">
        <v>93</v>
      </c>
      <c r="H1145" s="1" t="s">
        <v>95</v>
      </c>
      <c r="I1145" s="1">
        <v>76.2</v>
      </c>
      <c r="J1145" s="1" t="s">
        <v>95</v>
      </c>
      <c r="M1145" s="1" t="s">
        <v>102</v>
      </c>
      <c r="O1145" s="1">
        <v>5</v>
      </c>
    </row>
    <row r="1146" spans="1:18" ht="14.25" customHeight="1" x14ac:dyDescent="0.3">
      <c r="A1146" s="1" t="s">
        <v>68</v>
      </c>
      <c r="B1146" s="1">
        <v>5</v>
      </c>
      <c r="C1146" s="1">
        <v>3</v>
      </c>
      <c r="D1146" s="1" t="str">
        <f t="shared" si="17"/>
        <v>Yes</v>
      </c>
      <c r="E1146" s="1">
        <v>12.1</v>
      </c>
      <c r="F1146" s="1">
        <v>82</v>
      </c>
      <c r="G1146" s="1" t="s">
        <v>93</v>
      </c>
      <c r="H1146" s="1" t="s">
        <v>95</v>
      </c>
      <c r="I1146" s="1">
        <v>71.5</v>
      </c>
      <c r="J1146" s="1" t="s">
        <v>95</v>
      </c>
      <c r="M1146" s="1" t="s">
        <v>102</v>
      </c>
      <c r="O1146" s="1">
        <v>1</v>
      </c>
    </row>
    <row r="1147" spans="1:18" ht="14.25" customHeight="1" x14ac:dyDescent="0.3">
      <c r="A1147" s="1" t="s">
        <v>68</v>
      </c>
      <c r="B1147" s="1">
        <v>5</v>
      </c>
      <c r="C1147" s="1">
        <v>9</v>
      </c>
      <c r="D1147" s="1" t="str">
        <f t="shared" si="17"/>
        <v>Yes</v>
      </c>
      <c r="E1147" s="1">
        <v>10.7</v>
      </c>
      <c r="F1147" s="1">
        <v>272</v>
      </c>
      <c r="G1147" s="1" t="s">
        <v>93</v>
      </c>
      <c r="H1147" s="1" t="s">
        <v>95</v>
      </c>
      <c r="I1147" s="1">
        <v>67.099999999999994</v>
      </c>
      <c r="J1147" s="1" t="s">
        <v>95</v>
      </c>
      <c r="M1147" s="1" t="s">
        <v>102</v>
      </c>
      <c r="O1147" s="1">
        <v>5</v>
      </c>
      <c r="R1147" s="1"/>
    </row>
    <row r="1148" spans="1:18" ht="14.25" customHeight="1" x14ac:dyDescent="0.3">
      <c r="A1148" s="1" t="s">
        <v>68</v>
      </c>
      <c r="B1148" s="1">
        <v>5</v>
      </c>
      <c r="C1148" s="1">
        <v>2</v>
      </c>
      <c r="D1148" s="1" t="str">
        <f t="shared" si="17"/>
        <v>Yes</v>
      </c>
      <c r="E1148" s="1">
        <v>5.9</v>
      </c>
      <c r="F1148" s="1">
        <v>35</v>
      </c>
      <c r="G1148" s="1" t="s">
        <v>93</v>
      </c>
      <c r="H1148" s="1" t="s">
        <v>95</v>
      </c>
      <c r="I1148" s="1">
        <v>65</v>
      </c>
      <c r="J1148" s="1" t="s">
        <v>101</v>
      </c>
      <c r="M1148" s="1" t="s">
        <v>102</v>
      </c>
      <c r="O1148" s="1">
        <v>5</v>
      </c>
      <c r="Q1148" s="1" t="s">
        <v>193</v>
      </c>
    </row>
    <row r="1149" spans="1:18" ht="14.25" customHeight="1" x14ac:dyDescent="0.3">
      <c r="A1149" s="1" t="s">
        <v>68</v>
      </c>
      <c r="B1149" s="1">
        <v>5</v>
      </c>
      <c r="C1149" s="1">
        <v>4</v>
      </c>
      <c r="D1149" s="1" t="str">
        <f t="shared" si="17"/>
        <v>Yes</v>
      </c>
      <c r="E1149" s="1">
        <v>10.3</v>
      </c>
      <c r="F1149" s="1">
        <v>94</v>
      </c>
      <c r="G1149" s="1" t="s">
        <v>93</v>
      </c>
      <c r="H1149" s="1" t="s">
        <v>95</v>
      </c>
      <c r="I1149" s="1">
        <v>64</v>
      </c>
      <c r="J1149" s="1" t="s">
        <v>95</v>
      </c>
      <c r="M1149" s="1" t="s">
        <v>102</v>
      </c>
      <c r="O1149" s="1">
        <v>4</v>
      </c>
      <c r="R1149" s="1"/>
    </row>
    <row r="1150" spans="1:18" ht="14.25" customHeight="1" x14ac:dyDescent="0.3">
      <c r="A1150" s="1" t="s">
        <v>68</v>
      </c>
      <c r="B1150" s="1">
        <v>5</v>
      </c>
      <c r="C1150" s="1">
        <v>12</v>
      </c>
      <c r="D1150" s="1" t="str">
        <f t="shared" si="17"/>
        <v>Yes</v>
      </c>
      <c r="E1150" s="1">
        <v>10.3</v>
      </c>
      <c r="F1150" s="1">
        <v>355</v>
      </c>
      <c r="G1150" s="1" t="s">
        <v>93</v>
      </c>
      <c r="H1150" s="1" t="s">
        <v>95</v>
      </c>
      <c r="I1150" s="1">
        <v>55</v>
      </c>
      <c r="J1150" s="1" t="s">
        <v>101</v>
      </c>
      <c r="M1150" s="1" t="s">
        <v>101</v>
      </c>
      <c r="O1150" s="1">
        <v>5</v>
      </c>
      <c r="Q1150" s="1" t="s">
        <v>162</v>
      </c>
    </row>
    <row r="1151" spans="1:18" ht="14.25" customHeight="1" x14ac:dyDescent="0.3">
      <c r="A1151" s="1" t="s">
        <v>68</v>
      </c>
      <c r="B1151" s="1">
        <v>5</v>
      </c>
      <c r="C1151" s="1">
        <v>8</v>
      </c>
      <c r="D1151" s="1" t="str">
        <f t="shared" si="17"/>
        <v>Yes</v>
      </c>
      <c r="E1151" s="1">
        <v>7</v>
      </c>
      <c r="F1151" s="1">
        <v>233</v>
      </c>
      <c r="G1151" s="1" t="s">
        <v>93</v>
      </c>
      <c r="H1151" s="1" t="s">
        <v>95</v>
      </c>
      <c r="I1151" s="1">
        <v>31.2</v>
      </c>
      <c r="J1151" s="1" t="s">
        <v>95</v>
      </c>
      <c r="M1151" s="1" t="s">
        <v>101</v>
      </c>
      <c r="O1151" s="1">
        <v>1</v>
      </c>
    </row>
    <row r="1152" spans="1:18" ht="14.25" customHeight="1" x14ac:dyDescent="0.3">
      <c r="A1152" s="1" t="s">
        <v>68</v>
      </c>
      <c r="B1152" s="1">
        <v>5</v>
      </c>
      <c r="C1152" s="1">
        <v>7</v>
      </c>
      <c r="D1152" s="1" t="str">
        <f t="shared" si="17"/>
        <v>Yes</v>
      </c>
      <c r="E1152" s="1">
        <v>7.3</v>
      </c>
      <c r="F1152" s="1">
        <v>231</v>
      </c>
      <c r="G1152" s="1" t="s">
        <v>93</v>
      </c>
      <c r="H1152" s="1" t="s">
        <v>95</v>
      </c>
      <c r="I1152" s="1">
        <v>31.1</v>
      </c>
      <c r="J1152" s="1" t="s">
        <v>95</v>
      </c>
      <c r="M1152" s="1" t="s">
        <v>101</v>
      </c>
      <c r="O1152" s="1">
        <v>1</v>
      </c>
    </row>
    <row r="1153" spans="1:18" ht="14.25" customHeight="1" x14ac:dyDescent="0.3">
      <c r="A1153" s="1" t="s">
        <v>68</v>
      </c>
      <c r="B1153" s="1">
        <v>5</v>
      </c>
      <c r="C1153" s="1">
        <v>5</v>
      </c>
      <c r="D1153" s="1" t="str">
        <f t="shared" si="17"/>
        <v>Yes</v>
      </c>
      <c r="E1153" s="1">
        <v>11.8</v>
      </c>
      <c r="F1153" s="1">
        <v>200</v>
      </c>
      <c r="G1153" s="1" t="s">
        <v>93</v>
      </c>
      <c r="H1153" s="1" t="s">
        <v>95</v>
      </c>
      <c r="I1153" s="1">
        <v>18.899999999999999</v>
      </c>
      <c r="J1153" s="1" t="s">
        <v>95</v>
      </c>
      <c r="M1153" s="1" t="s">
        <v>101</v>
      </c>
      <c r="O1153" s="1">
        <v>1</v>
      </c>
    </row>
    <row r="1154" spans="1:18" ht="14.25" customHeight="1" x14ac:dyDescent="0.3">
      <c r="A1154" s="1" t="s">
        <v>68</v>
      </c>
      <c r="B1154" s="1">
        <v>5</v>
      </c>
      <c r="C1154" s="1">
        <v>6</v>
      </c>
      <c r="D1154" s="1" t="str">
        <f t="shared" ref="D1154:D1217" si="18">IF(E1154&gt;12.5, "No", "Yes")</f>
        <v>Yes</v>
      </c>
      <c r="E1154" s="1">
        <v>11.8</v>
      </c>
      <c r="F1154" s="1">
        <v>211</v>
      </c>
      <c r="G1154" s="1" t="s">
        <v>96</v>
      </c>
      <c r="H1154" s="1" t="s">
        <v>94</v>
      </c>
      <c r="I1154" s="1">
        <v>124.2</v>
      </c>
      <c r="J1154" s="1" t="s">
        <v>95</v>
      </c>
      <c r="K1154" s="1">
        <v>0</v>
      </c>
      <c r="L1154" s="1">
        <v>40</v>
      </c>
      <c r="M1154" s="1" t="s">
        <v>97</v>
      </c>
      <c r="P1154" s="1">
        <v>675</v>
      </c>
    </row>
    <row r="1155" spans="1:18" ht="14.25" customHeight="1" x14ac:dyDescent="0.3">
      <c r="A1155" s="1" t="s">
        <v>68</v>
      </c>
      <c r="B1155" s="1">
        <v>6</v>
      </c>
      <c r="C1155" s="1">
        <v>13</v>
      </c>
      <c r="D1155" s="1" t="str">
        <f t="shared" si="18"/>
        <v>Yes</v>
      </c>
      <c r="E1155" s="1">
        <v>1.1000000000000001</v>
      </c>
      <c r="F1155" s="1">
        <v>228</v>
      </c>
      <c r="G1155" s="1" t="s">
        <v>96</v>
      </c>
      <c r="H1155" s="1" t="s">
        <v>95</v>
      </c>
      <c r="I1155" s="1">
        <v>7.6</v>
      </c>
      <c r="J1155" s="1" t="s">
        <v>95</v>
      </c>
      <c r="M1155" s="1" t="s">
        <v>101</v>
      </c>
      <c r="O1155" s="1">
        <v>1</v>
      </c>
    </row>
    <row r="1156" spans="1:18" ht="14.25" customHeight="1" x14ac:dyDescent="0.3">
      <c r="A1156" s="1" t="s">
        <v>68</v>
      </c>
      <c r="B1156" s="1">
        <v>6</v>
      </c>
      <c r="C1156" s="1">
        <v>9</v>
      </c>
      <c r="D1156" s="1" t="str">
        <f t="shared" si="18"/>
        <v>Yes</v>
      </c>
      <c r="E1156" s="1">
        <v>10.5</v>
      </c>
      <c r="F1156" s="1">
        <v>127</v>
      </c>
      <c r="G1156" s="1" t="s">
        <v>98</v>
      </c>
      <c r="H1156" s="1" t="s">
        <v>95</v>
      </c>
      <c r="I1156" s="1">
        <v>31.5</v>
      </c>
      <c r="J1156" s="1" t="s">
        <v>95</v>
      </c>
      <c r="M1156" s="1" t="s">
        <v>101</v>
      </c>
      <c r="O1156" s="1">
        <v>1</v>
      </c>
      <c r="Q1156" s="1">
        <v>630</v>
      </c>
    </row>
    <row r="1157" spans="1:18" ht="14.25" customHeight="1" x14ac:dyDescent="0.3">
      <c r="A1157" s="1" t="s">
        <v>68</v>
      </c>
      <c r="B1157" s="1">
        <v>6</v>
      </c>
      <c r="C1157" s="1">
        <v>10</v>
      </c>
      <c r="D1157" s="1" t="str">
        <f t="shared" si="18"/>
        <v>Yes</v>
      </c>
      <c r="E1157" s="1">
        <v>6.7</v>
      </c>
      <c r="F1157" s="1">
        <v>181</v>
      </c>
      <c r="G1157" s="1" t="s">
        <v>98</v>
      </c>
      <c r="H1157" s="1" t="s">
        <v>95</v>
      </c>
      <c r="I1157" s="1">
        <v>25.6</v>
      </c>
      <c r="J1157" s="1" t="s">
        <v>95</v>
      </c>
      <c r="M1157" s="1" t="s">
        <v>101</v>
      </c>
      <c r="O1157" s="1">
        <v>1</v>
      </c>
    </row>
    <row r="1158" spans="1:18" ht="14.25" customHeight="1" x14ac:dyDescent="0.3">
      <c r="A1158" s="1" t="s">
        <v>68</v>
      </c>
      <c r="B1158" s="1">
        <v>6</v>
      </c>
      <c r="C1158" s="1">
        <v>12</v>
      </c>
      <c r="D1158" s="1" t="str">
        <f t="shared" si="18"/>
        <v>Yes</v>
      </c>
      <c r="E1158" s="1">
        <v>2.2000000000000002</v>
      </c>
      <c r="F1158" s="1">
        <v>228</v>
      </c>
      <c r="G1158" s="1" t="s">
        <v>93</v>
      </c>
      <c r="H1158" s="1" t="s">
        <v>95</v>
      </c>
      <c r="I1158" s="1">
        <v>77.2</v>
      </c>
      <c r="J1158" s="1" t="s">
        <v>95</v>
      </c>
      <c r="M1158" s="1" t="s">
        <v>102</v>
      </c>
      <c r="O1158" s="1">
        <v>1</v>
      </c>
      <c r="Q1158" s="1">
        <v>631</v>
      </c>
    </row>
    <row r="1159" spans="1:18" ht="14.25" customHeight="1" x14ac:dyDescent="0.3">
      <c r="A1159" s="1" t="s">
        <v>68</v>
      </c>
      <c r="B1159" s="1">
        <v>6</v>
      </c>
      <c r="C1159" s="1">
        <v>7</v>
      </c>
      <c r="D1159" s="1" t="str">
        <f t="shared" si="18"/>
        <v>Yes</v>
      </c>
      <c r="E1159" s="1">
        <v>6</v>
      </c>
      <c r="F1159" s="1">
        <v>20</v>
      </c>
      <c r="G1159" s="1" t="s">
        <v>93</v>
      </c>
      <c r="H1159" s="1" t="s">
        <v>95</v>
      </c>
      <c r="I1159" s="1">
        <v>70.5</v>
      </c>
      <c r="J1159" s="1" t="s">
        <v>95</v>
      </c>
      <c r="M1159" s="1" t="s">
        <v>102</v>
      </c>
      <c r="O1159" s="1">
        <v>5</v>
      </c>
    </row>
    <row r="1160" spans="1:18" ht="14.25" customHeight="1" x14ac:dyDescent="0.3">
      <c r="A1160" s="1" t="s">
        <v>68</v>
      </c>
      <c r="B1160" s="1">
        <v>6</v>
      </c>
      <c r="C1160" s="1">
        <v>16</v>
      </c>
      <c r="D1160" s="1" t="str">
        <f t="shared" si="18"/>
        <v>Yes</v>
      </c>
      <c r="E1160" s="1">
        <v>9.6999999999999993</v>
      </c>
      <c r="F1160" s="1">
        <v>340</v>
      </c>
      <c r="G1160" s="1" t="s">
        <v>93</v>
      </c>
      <c r="H1160" s="1" t="s">
        <v>95</v>
      </c>
      <c r="I1160" s="1">
        <v>70.2</v>
      </c>
      <c r="J1160" s="1" t="s">
        <v>95</v>
      </c>
      <c r="M1160" s="1" t="s">
        <v>102</v>
      </c>
      <c r="O1160" s="1">
        <v>5</v>
      </c>
    </row>
    <row r="1161" spans="1:18" ht="14.25" customHeight="1" x14ac:dyDescent="0.3">
      <c r="A1161" s="1" t="s">
        <v>68</v>
      </c>
      <c r="B1161" s="1">
        <v>6</v>
      </c>
      <c r="C1161" s="1">
        <v>14</v>
      </c>
      <c r="D1161" s="1" t="str">
        <f t="shared" si="18"/>
        <v>Yes</v>
      </c>
      <c r="E1161" s="1">
        <v>6.5</v>
      </c>
      <c r="F1161" s="1">
        <v>354</v>
      </c>
      <c r="G1161" s="1" t="s">
        <v>93</v>
      </c>
      <c r="H1161" s="1" t="s">
        <v>95</v>
      </c>
      <c r="I1161" s="1">
        <v>68.2</v>
      </c>
      <c r="J1161" s="1" t="s">
        <v>95</v>
      </c>
      <c r="M1161" s="1" t="s">
        <v>102</v>
      </c>
      <c r="O1161" s="1">
        <v>1</v>
      </c>
      <c r="Q1161" s="1">
        <v>629</v>
      </c>
    </row>
    <row r="1162" spans="1:18" ht="14.25" customHeight="1" x14ac:dyDescent="0.3">
      <c r="A1162" s="1" t="s">
        <v>68</v>
      </c>
      <c r="B1162" s="1">
        <v>6</v>
      </c>
      <c r="C1162" s="1">
        <v>15</v>
      </c>
      <c r="D1162" s="1" t="str">
        <f t="shared" si="18"/>
        <v>Yes</v>
      </c>
      <c r="E1162" s="1">
        <v>7.2</v>
      </c>
      <c r="F1162" s="1">
        <v>354</v>
      </c>
      <c r="G1162" s="1" t="s">
        <v>93</v>
      </c>
      <c r="H1162" s="1" t="s">
        <v>95</v>
      </c>
      <c r="I1162" s="1">
        <v>61.3</v>
      </c>
      <c r="J1162" s="1" t="s">
        <v>95</v>
      </c>
      <c r="M1162" s="1" t="s">
        <v>102</v>
      </c>
      <c r="O1162" s="1">
        <v>1</v>
      </c>
    </row>
    <row r="1163" spans="1:18" ht="14.25" customHeight="1" x14ac:dyDescent="0.3">
      <c r="A1163" s="1" t="s">
        <v>68</v>
      </c>
      <c r="B1163" s="1">
        <v>6</v>
      </c>
      <c r="C1163" s="1">
        <v>1</v>
      </c>
      <c r="D1163" s="1" t="str">
        <f t="shared" si="18"/>
        <v>Yes</v>
      </c>
      <c r="E1163" s="1">
        <v>8</v>
      </c>
      <c r="F1163" s="1">
        <v>1</v>
      </c>
      <c r="G1163" s="1" t="s">
        <v>93</v>
      </c>
      <c r="H1163" s="1" t="s">
        <v>95</v>
      </c>
      <c r="I1163" s="1">
        <v>32.5</v>
      </c>
      <c r="J1163" s="1" t="s">
        <v>95</v>
      </c>
      <c r="M1163" s="1" t="s">
        <v>101</v>
      </c>
      <c r="O1163" s="1">
        <v>5</v>
      </c>
    </row>
    <row r="1164" spans="1:18" ht="14.25" customHeight="1" x14ac:dyDescent="0.3">
      <c r="A1164" s="1" t="s">
        <v>68</v>
      </c>
      <c r="B1164" s="1">
        <v>6</v>
      </c>
      <c r="C1164" s="1">
        <v>4</v>
      </c>
      <c r="D1164" s="1" t="str">
        <f t="shared" si="18"/>
        <v>Yes</v>
      </c>
      <c r="E1164" s="1">
        <v>8.6</v>
      </c>
      <c r="F1164" s="1">
        <v>14</v>
      </c>
      <c r="G1164" s="1" t="s">
        <v>93</v>
      </c>
      <c r="H1164" s="1" t="s">
        <v>95</v>
      </c>
      <c r="I1164" s="1">
        <v>29.3</v>
      </c>
      <c r="J1164" s="1" t="s">
        <v>95</v>
      </c>
      <c r="M1164" s="1" t="s">
        <v>101</v>
      </c>
      <c r="O1164" s="1">
        <v>5</v>
      </c>
      <c r="R1164" s="1"/>
    </row>
    <row r="1165" spans="1:18" ht="14.25" customHeight="1" x14ac:dyDescent="0.3">
      <c r="A1165" s="1" t="s">
        <v>68</v>
      </c>
      <c r="B1165" s="1">
        <v>6</v>
      </c>
      <c r="C1165" s="1">
        <v>2</v>
      </c>
      <c r="D1165" s="1" t="str">
        <f t="shared" si="18"/>
        <v>Yes</v>
      </c>
      <c r="E1165" s="1">
        <v>8.5</v>
      </c>
      <c r="F1165" s="1">
        <v>5</v>
      </c>
      <c r="G1165" s="1" t="s">
        <v>93</v>
      </c>
      <c r="H1165" s="1" t="s">
        <v>95</v>
      </c>
      <c r="I1165" s="1">
        <v>20.100000000000001</v>
      </c>
      <c r="J1165" s="1" t="s">
        <v>95</v>
      </c>
      <c r="M1165" s="1" t="s">
        <v>101</v>
      </c>
      <c r="O1165" s="1">
        <v>1</v>
      </c>
    </row>
    <row r="1166" spans="1:18" ht="14.25" customHeight="1" x14ac:dyDescent="0.3">
      <c r="A1166" s="1" t="s">
        <v>68</v>
      </c>
      <c r="B1166" s="1">
        <v>6</v>
      </c>
      <c r="C1166" s="1">
        <v>8</v>
      </c>
      <c r="D1166" s="1" t="str">
        <f t="shared" si="18"/>
        <v>Yes</v>
      </c>
      <c r="E1166" s="1">
        <v>5.9</v>
      </c>
      <c r="F1166" s="1">
        <v>114</v>
      </c>
      <c r="G1166" s="1" t="s">
        <v>93</v>
      </c>
      <c r="H1166" s="1" t="s">
        <v>95</v>
      </c>
      <c r="I1166" s="1">
        <v>19.8</v>
      </c>
      <c r="J1166" s="1" t="s">
        <v>95</v>
      </c>
      <c r="M1166" s="1" t="s">
        <v>101</v>
      </c>
      <c r="O1166" s="1">
        <v>1</v>
      </c>
    </row>
    <row r="1167" spans="1:18" ht="14.25" customHeight="1" x14ac:dyDescent="0.3">
      <c r="A1167" s="1" t="s">
        <v>68</v>
      </c>
      <c r="B1167" s="1">
        <v>6</v>
      </c>
      <c r="C1167" s="1">
        <v>5</v>
      </c>
      <c r="D1167" s="1" t="str">
        <f t="shared" si="18"/>
        <v>Yes</v>
      </c>
      <c r="E1167" s="1">
        <v>7.2</v>
      </c>
      <c r="F1167" s="1">
        <v>12</v>
      </c>
      <c r="G1167" s="1" t="s">
        <v>93</v>
      </c>
      <c r="H1167" s="1" t="s">
        <v>95</v>
      </c>
      <c r="I1167" s="1">
        <v>14</v>
      </c>
      <c r="J1167" s="1" t="s">
        <v>95</v>
      </c>
      <c r="M1167" s="1" t="s">
        <v>101</v>
      </c>
      <c r="O1167" s="1">
        <v>1</v>
      </c>
      <c r="R1167" s="1"/>
    </row>
    <row r="1168" spans="1:18" ht="14.25" customHeight="1" x14ac:dyDescent="0.3">
      <c r="A1168" s="1" t="s">
        <v>68</v>
      </c>
      <c r="B1168" s="1">
        <v>6</v>
      </c>
      <c r="C1168" s="1">
        <v>11</v>
      </c>
      <c r="D1168" s="1" t="str">
        <f t="shared" si="18"/>
        <v>Yes</v>
      </c>
      <c r="E1168" s="1">
        <v>9.5</v>
      </c>
      <c r="F1168" s="1">
        <v>190</v>
      </c>
      <c r="G1168" s="1" t="s">
        <v>93</v>
      </c>
      <c r="H1168" s="1" t="s">
        <v>95</v>
      </c>
      <c r="I1168" s="1">
        <v>13.5</v>
      </c>
      <c r="J1168" s="1" t="s">
        <v>95</v>
      </c>
      <c r="M1168" s="1" t="s">
        <v>101</v>
      </c>
      <c r="O1168" s="1">
        <v>1</v>
      </c>
    </row>
    <row r="1169" spans="1:18" ht="14.25" customHeight="1" x14ac:dyDescent="0.3">
      <c r="A1169" s="1" t="s">
        <v>68</v>
      </c>
      <c r="B1169" s="1">
        <v>6</v>
      </c>
      <c r="C1169" s="1">
        <v>6</v>
      </c>
      <c r="D1169" s="1" t="str">
        <f t="shared" si="18"/>
        <v>Yes</v>
      </c>
      <c r="E1169" s="1">
        <v>7.5</v>
      </c>
      <c r="F1169" s="1">
        <v>20</v>
      </c>
      <c r="G1169" s="1" t="s">
        <v>93</v>
      </c>
      <c r="H1169" s="1" t="s">
        <v>95</v>
      </c>
      <c r="I1169" s="1">
        <v>13.4</v>
      </c>
      <c r="J1169" s="1" t="s">
        <v>95</v>
      </c>
      <c r="M1169" s="1" t="s">
        <v>101</v>
      </c>
      <c r="O1169" s="1">
        <v>1</v>
      </c>
    </row>
    <row r="1170" spans="1:18" ht="14.25" customHeight="1" x14ac:dyDescent="0.3">
      <c r="A1170" s="1" t="s">
        <v>68</v>
      </c>
      <c r="B1170" s="1">
        <v>6</v>
      </c>
      <c r="C1170" s="1">
        <v>3</v>
      </c>
      <c r="D1170" s="1" t="str">
        <f t="shared" si="18"/>
        <v>Yes</v>
      </c>
      <c r="E1170" s="1">
        <v>9.5</v>
      </c>
      <c r="F1170" s="1">
        <v>14</v>
      </c>
      <c r="G1170" s="1" t="s">
        <v>93</v>
      </c>
      <c r="H1170" s="1" t="s">
        <v>95</v>
      </c>
      <c r="I1170" s="1">
        <v>11.4</v>
      </c>
      <c r="J1170" s="1" t="s">
        <v>95</v>
      </c>
      <c r="M1170" s="1" t="s">
        <v>101</v>
      </c>
      <c r="O1170" s="1">
        <v>1</v>
      </c>
      <c r="R1170" s="1"/>
    </row>
    <row r="1171" spans="1:18" ht="14.25" customHeight="1" x14ac:dyDescent="0.3">
      <c r="A1171" s="1" t="s">
        <v>68</v>
      </c>
      <c r="B1171" s="1">
        <v>7</v>
      </c>
      <c r="C1171" s="1">
        <v>12</v>
      </c>
      <c r="D1171" s="1" t="str">
        <f t="shared" si="18"/>
        <v>No</v>
      </c>
      <c r="E1171" s="1">
        <v>12.6</v>
      </c>
      <c r="F1171" s="1">
        <v>145</v>
      </c>
      <c r="G1171" s="1" t="s">
        <v>106</v>
      </c>
      <c r="H1171" s="1" t="s">
        <v>94</v>
      </c>
      <c r="I1171" s="1">
        <v>11.1</v>
      </c>
      <c r="J1171" s="1" t="s">
        <v>95</v>
      </c>
      <c r="K1171" s="1">
        <v>0</v>
      </c>
      <c r="L1171" s="1">
        <v>10</v>
      </c>
      <c r="M1171" s="1" t="s">
        <v>101</v>
      </c>
      <c r="N1171" s="1" t="s">
        <v>100</v>
      </c>
      <c r="Q1171" s="19" t="s">
        <v>205</v>
      </c>
      <c r="R1171" s="19"/>
    </row>
    <row r="1172" spans="1:18" ht="14.25" customHeight="1" x14ac:dyDescent="0.3">
      <c r="A1172" s="1" t="s">
        <v>68</v>
      </c>
      <c r="B1172" s="1">
        <v>7</v>
      </c>
      <c r="C1172" s="1">
        <v>33</v>
      </c>
      <c r="D1172" s="1" t="str">
        <f t="shared" si="18"/>
        <v>Yes</v>
      </c>
      <c r="E1172" s="1">
        <v>12</v>
      </c>
      <c r="F1172" s="1">
        <v>312</v>
      </c>
      <c r="G1172" s="1" t="s">
        <v>173</v>
      </c>
      <c r="H1172" s="1" t="s">
        <v>95</v>
      </c>
      <c r="I1172" s="1">
        <v>12.2</v>
      </c>
      <c r="J1172" s="1" t="s">
        <v>95</v>
      </c>
      <c r="M1172" s="1" t="s">
        <v>101</v>
      </c>
      <c r="O1172" s="1">
        <v>1</v>
      </c>
    </row>
    <row r="1173" spans="1:18" ht="14.25" customHeight="1" x14ac:dyDescent="0.3">
      <c r="A1173" s="1" t="s">
        <v>68</v>
      </c>
      <c r="B1173" s="1">
        <v>7</v>
      </c>
      <c r="C1173" s="1">
        <v>34</v>
      </c>
      <c r="D1173" s="1" t="str">
        <f t="shared" si="18"/>
        <v>Yes</v>
      </c>
      <c r="E1173" s="1">
        <v>12</v>
      </c>
      <c r="F1173" s="1">
        <v>312</v>
      </c>
      <c r="G1173" s="1" t="s">
        <v>173</v>
      </c>
      <c r="H1173" s="1" t="s">
        <v>95</v>
      </c>
      <c r="I1173" s="1">
        <v>8.6</v>
      </c>
      <c r="J1173" s="1" t="s">
        <v>95</v>
      </c>
      <c r="M1173" s="1" t="s">
        <v>101</v>
      </c>
      <c r="O1173" s="1">
        <v>1</v>
      </c>
    </row>
    <row r="1174" spans="1:18" ht="14.25" customHeight="1" x14ac:dyDescent="0.3">
      <c r="A1174" s="1" t="s">
        <v>68</v>
      </c>
      <c r="B1174" s="1">
        <v>7</v>
      </c>
      <c r="C1174" s="1">
        <v>23</v>
      </c>
      <c r="D1174" s="1" t="str">
        <f t="shared" si="18"/>
        <v>Yes</v>
      </c>
      <c r="E1174" s="1">
        <v>11.7</v>
      </c>
      <c r="F1174" s="1">
        <v>260</v>
      </c>
      <c r="G1174" s="1" t="s">
        <v>93</v>
      </c>
      <c r="H1174" s="1" t="s">
        <v>95</v>
      </c>
      <c r="I1174" s="1">
        <v>96.8</v>
      </c>
      <c r="J1174" s="1" t="s">
        <v>95</v>
      </c>
      <c r="M1174" s="1" t="s">
        <v>102</v>
      </c>
      <c r="O1174" s="1">
        <v>1</v>
      </c>
    </row>
    <row r="1175" spans="1:18" ht="14.25" customHeight="1" x14ac:dyDescent="0.3">
      <c r="A1175" s="1" t="s">
        <v>68</v>
      </c>
      <c r="B1175" s="1">
        <v>7</v>
      </c>
      <c r="C1175" s="1">
        <v>22</v>
      </c>
      <c r="D1175" s="1" t="str">
        <f t="shared" si="18"/>
        <v>Yes</v>
      </c>
      <c r="E1175" s="1">
        <v>10.5</v>
      </c>
      <c r="F1175" s="1">
        <v>258</v>
      </c>
      <c r="G1175" s="1" t="s">
        <v>93</v>
      </c>
      <c r="H1175" s="1" t="s">
        <v>95</v>
      </c>
      <c r="I1175" s="1">
        <v>43.5</v>
      </c>
      <c r="J1175" s="1" t="s">
        <v>95</v>
      </c>
      <c r="M1175" s="1" t="s">
        <v>101</v>
      </c>
      <c r="O1175" s="1">
        <v>1</v>
      </c>
    </row>
    <row r="1176" spans="1:18" ht="14.25" customHeight="1" x14ac:dyDescent="0.3">
      <c r="A1176" s="1" t="s">
        <v>68</v>
      </c>
      <c r="B1176" s="1">
        <v>7</v>
      </c>
      <c r="C1176" s="1">
        <v>27</v>
      </c>
      <c r="D1176" s="1" t="str">
        <f t="shared" si="18"/>
        <v>Yes</v>
      </c>
      <c r="E1176" s="1">
        <v>6.1</v>
      </c>
      <c r="F1176" s="1">
        <v>266</v>
      </c>
      <c r="G1176" s="1" t="s">
        <v>93</v>
      </c>
      <c r="H1176" s="1" t="s">
        <v>95</v>
      </c>
      <c r="I1176" s="1">
        <v>17.100000000000001</v>
      </c>
      <c r="J1176" s="1" t="s">
        <v>95</v>
      </c>
      <c r="M1176" s="1" t="s">
        <v>101</v>
      </c>
      <c r="O1176" s="1">
        <v>1</v>
      </c>
    </row>
    <row r="1177" spans="1:18" ht="14.25" customHeight="1" x14ac:dyDescent="0.3">
      <c r="A1177" s="1" t="s">
        <v>68</v>
      </c>
      <c r="B1177" s="1">
        <v>7</v>
      </c>
      <c r="C1177" s="1">
        <v>14</v>
      </c>
      <c r="D1177" s="1" t="str">
        <f t="shared" si="18"/>
        <v>Yes</v>
      </c>
      <c r="E1177" s="1">
        <v>4.5</v>
      </c>
      <c r="F1177" s="1">
        <v>198</v>
      </c>
      <c r="G1177" s="1" t="s">
        <v>93</v>
      </c>
      <c r="H1177" s="1" t="s">
        <v>95</v>
      </c>
      <c r="I1177" s="1">
        <v>12.2</v>
      </c>
      <c r="J1177" s="1" t="s">
        <v>95</v>
      </c>
      <c r="M1177" s="1" t="s">
        <v>101</v>
      </c>
      <c r="O1177" s="1">
        <v>1</v>
      </c>
    </row>
    <row r="1178" spans="1:18" ht="14.25" customHeight="1" x14ac:dyDescent="0.3">
      <c r="A1178" s="1" t="s">
        <v>68</v>
      </c>
      <c r="B1178" s="1">
        <v>7</v>
      </c>
      <c r="C1178" s="1">
        <v>26</v>
      </c>
      <c r="D1178" s="1" t="str">
        <f t="shared" si="18"/>
        <v>Yes</v>
      </c>
      <c r="E1178" s="1">
        <v>8.5</v>
      </c>
      <c r="F1178" s="1">
        <v>265</v>
      </c>
      <c r="G1178" s="1" t="s">
        <v>93</v>
      </c>
      <c r="H1178" s="1" t="s">
        <v>95</v>
      </c>
      <c r="I1178" s="1">
        <v>9.5</v>
      </c>
      <c r="J1178" s="1" t="s">
        <v>95</v>
      </c>
      <c r="M1178" s="1" t="s">
        <v>101</v>
      </c>
      <c r="O1178" s="1">
        <v>1</v>
      </c>
    </row>
    <row r="1179" spans="1:18" ht="14.25" customHeight="1" x14ac:dyDescent="0.3">
      <c r="A1179" s="1" t="s">
        <v>68</v>
      </c>
      <c r="B1179" s="1">
        <v>7</v>
      </c>
      <c r="C1179" s="1">
        <v>19</v>
      </c>
      <c r="D1179" s="1" t="str">
        <f t="shared" si="18"/>
        <v>Yes</v>
      </c>
      <c r="E1179" s="1">
        <v>9.5</v>
      </c>
      <c r="F1179" s="1">
        <v>235</v>
      </c>
      <c r="G1179" s="1" t="s">
        <v>93</v>
      </c>
      <c r="H1179" s="1" t="s">
        <v>95</v>
      </c>
      <c r="I1179" s="1">
        <v>8.3000000000000007</v>
      </c>
      <c r="J1179" s="1" t="s">
        <v>95</v>
      </c>
      <c r="M1179" s="1" t="s">
        <v>101</v>
      </c>
      <c r="O1179" s="1">
        <v>1</v>
      </c>
    </row>
    <row r="1180" spans="1:18" ht="14.25" customHeight="1" x14ac:dyDescent="0.3">
      <c r="A1180" s="1" t="s">
        <v>68</v>
      </c>
      <c r="B1180" s="1">
        <v>7</v>
      </c>
      <c r="C1180" s="1">
        <v>16</v>
      </c>
      <c r="D1180" s="1" t="str">
        <f t="shared" si="18"/>
        <v>Yes</v>
      </c>
      <c r="E1180" s="1">
        <v>2.8</v>
      </c>
      <c r="F1180" s="1">
        <v>197</v>
      </c>
      <c r="G1180" s="1" t="s">
        <v>93</v>
      </c>
      <c r="H1180" s="1" t="s">
        <v>95</v>
      </c>
      <c r="I1180" s="1">
        <v>7.6</v>
      </c>
      <c r="J1180" s="1" t="s">
        <v>95</v>
      </c>
      <c r="M1180" s="1" t="s">
        <v>101</v>
      </c>
      <c r="O1180" s="1">
        <v>1</v>
      </c>
    </row>
    <row r="1181" spans="1:18" ht="14.25" customHeight="1" x14ac:dyDescent="0.3">
      <c r="A1181" s="1" t="s">
        <v>68</v>
      </c>
      <c r="B1181" s="1">
        <v>7</v>
      </c>
      <c r="C1181" s="1">
        <v>11</v>
      </c>
      <c r="D1181" s="1" t="str">
        <f t="shared" si="18"/>
        <v>Yes</v>
      </c>
      <c r="E1181" s="1">
        <v>7.7</v>
      </c>
      <c r="F1181" s="1">
        <v>191</v>
      </c>
      <c r="G1181" s="1" t="s">
        <v>96</v>
      </c>
      <c r="H1181" s="1" t="s">
        <v>94</v>
      </c>
      <c r="I1181" s="1">
        <v>92.4</v>
      </c>
      <c r="J1181" s="1" t="s">
        <v>95</v>
      </c>
      <c r="K1181" s="1">
        <v>0</v>
      </c>
      <c r="L1181" s="1">
        <v>0</v>
      </c>
      <c r="M1181" s="1" t="s">
        <v>102</v>
      </c>
      <c r="N1181" s="1" t="s">
        <v>206</v>
      </c>
      <c r="P1181" s="1">
        <v>671</v>
      </c>
      <c r="Q1181" s="19" t="s">
        <v>207</v>
      </c>
    </row>
    <row r="1182" spans="1:18" ht="14.25" customHeight="1" x14ac:dyDescent="0.3">
      <c r="A1182" s="1" t="s">
        <v>68</v>
      </c>
      <c r="B1182" s="1">
        <v>7</v>
      </c>
      <c r="C1182" s="1">
        <v>18</v>
      </c>
      <c r="D1182" s="1" t="str">
        <f t="shared" si="18"/>
        <v>Yes</v>
      </c>
      <c r="E1182" s="1">
        <v>11.3</v>
      </c>
      <c r="F1182" s="1">
        <v>209</v>
      </c>
      <c r="G1182" s="1" t="s">
        <v>96</v>
      </c>
      <c r="H1182" s="1" t="s">
        <v>94</v>
      </c>
      <c r="I1182" s="1">
        <v>79.2</v>
      </c>
      <c r="J1182" s="1" t="s">
        <v>95</v>
      </c>
      <c r="K1182" s="1">
        <v>0</v>
      </c>
      <c r="L1182" s="1">
        <v>0</v>
      </c>
      <c r="M1182" s="1" t="s">
        <v>102</v>
      </c>
      <c r="N1182" s="1" t="s">
        <v>100</v>
      </c>
    </row>
    <row r="1183" spans="1:18" ht="14.25" customHeight="1" x14ac:dyDescent="0.3">
      <c r="A1183" s="1" t="s">
        <v>68</v>
      </c>
      <c r="B1183" s="1">
        <v>7</v>
      </c>
      <c r="C1183" s="1">
        <v>6</v>
      </c>
      <c r="D1183" s="1" t="str">
        <f t="shared" si="18"/>
        <v>Yes</v>
      </c>
      <c r="E1183" s="1">
        <v>11.1</v>
      </c>
      <c r="F1183" s="1">
        <v>143</v>
      </c>
      <c r="G1183" s="1" t="s">
        <v>96</v>
      </c>
      <c r="H1183" s="1" t="s">
        <v>94</v>
      </c>
      <c r="I1183" s="1">
        <v>69.599999999999994</v>
      </c>
      <c r="J1183" s="1" t="s">
        <v>95</v>
      </c>
      <c r="K1183" s="1">
        <v>0</v>
      </c>
      <c r="L1183" s="1">
        <v>10</v>
      </c>
      <c r="M1183" s="1" t="s">
        <v>102</v>
      </c>
      <c r="N1183" s="1" t="s">
        <v>100</v>
      </c>
      <c r="P1183" s="1">
        <v>673</v>
      </c>
    </row>
    <row r="1184" spans="1:18" ht="14.25" customHeight="1" x14ac:dyDescent="0.3">
      <c r="A1184" s="1" t="s">
        <v>68</v>
      </c>
      <c r="B1184" s="1">
        <v>7</v>
      </c>
      <c r="C1184" s="1">
        <v>17</v>
      </c>
      <c r="D1184" s="1" t="str">
        <f t="shared" si="18"/>
        <v>Yes</v>
      </c>
      <c r="E1184" s="1">
        <v>10.4</v>
      </c>
      <c r="F1184" s="1">
        <v>214</v>
      </c>
      <c r="G1184" s="1" t="s">
        <v>96</v>
      </c>
      <c r="H1184" s="1" t="s">
        <v>94</v>
      </c>
      <c r="I1184" s="1">
        <v>21.8</v>
      </c>
      <c r="J1184" s="1" t="s">
        <v>95</v>
      </c>
      <c r="K1184" s="1">
        <v>0</v>
      </c>
      <c r="L1184" s="1">
        <v>0</v>
      </c>
      <c r="M1184" s="1" t="s">
        <v>101</v>
      </c>
      <c r="N1184" s="1" t="s">
        <v>100</v>
      </c>
    </row>
    <row r="1185" spans="1:18" ht="14.25" customHeight="1" x14ac:dyDescent="0.3">
      <c r="A1185" s="1" t="s">
        <v>68</v>
      </c>
      <c r="B1185" s="1">
        <v>7</v>
      </c>
      <c r="C1185" s="1">
        <v>1</v>
      </c>
      <c r="D1185" s="1" t="str">
        <f t="shared" si="18"/>
        <v>Yes</v>
      </c>
      <c r="E1185" s="1">
        <v>0.7</v>
      </c>
      <c r="F1185" s="1">
        <v>32</v>
      </c>
      <c r="G1185" s="1" t="s">
        <v>96</v>
      </c>
      <c r="H1185" s="1" t="s">
        <v>94</v>
      </c>
      <c r="I1185" s="1">
        <v>21.6</v>
      </c>
      <c r="J1185" s="1" t="s">
        <v>95</v>
      </c>
      <c r="K1185" s="1">
        <v>0</v>
      </c>
      <c r="L1185" s="1">
        <v>0</v>
      </c>
      <c r="M1185" s="1" t="s">
        <v>102</v>
      </c>
      <c r="Q1185" s="1" t="s">
        <v>203</v>
      </c>
    </row>
    <row r="1186" spans="1:18" ht="14.25" customHeight="1" x14ac:dyDescent="0.3">
      <c r="A1186" s="1" t="s">
        <v>68</v>
      </c>
      <c r="B1186" s="1">
        <v>7</v>
      </c>
      <c r="C1186" s="1">
        <v>30</v>
      </c>
      <c r="D1186" s="1" t="str">
        <f t="shared" si="18"/>
        <v>Yes</v>
      </c>
      <c r="E1186" s="1">
        <v>12</v>
      </c>
      <c r="F1186" s="1">
        <v>312</v>
      </c>
      <c r="G1186" s="1" t="s">
        <v>173</v>
      </c>
      <c r="H1186" s="1" t="s">
        <v>94</v>
      </c>
      <c r="I1186" s="1">
        <v>12.5</v>
      </c>
      <c r="J1186" s="1" t="s">
        <v>95</v>
      </c>
      <c r="K1186" s="1">
        <v>0</v>
      </c>
      <c r="L1186" s="1">
        <v>0</v>
      </c>
      <c r="M1186" s="1" t="s">
        <v>101</v>
      </c>
      <c r="N1186" s="1" t="s">
        <v>118</v>
      </c>
    </row>
    <row r="1187" spans="1:18" ht="14.25" customHeight="1" x14ac:dyDescent="0.3">
      <c r="A1187" s="1" t="s">
        <v>68</v>
      </c>
      <c r="B1187" s="1">
        <v>7</v>
      </c>
      <c r="C1187" s="1">
        <v>32</v>
      </c>
      <c r="D1187" s="1" t="str">
        <f t="shared" si="18"/>
        <v>Yes</v>
      </c>
      <c r="E1187" s="1">
        <v>12</v>
      </c>
      <c r="F1187" s="1">
        <v>312</v>
      </c>
      <c r="G1187" s="1" t="s">
        <v>173</v>
      </c>
      <c r="H1187" s="1" t="s">
        <v>94</v>
      </c>
      <c r="I1187" s="1">
        <v>10.6</v>
      </c>
      <c r="J1187" s="1" t="s">
        <v>95</v>
      </c>
      <c r="K1187" s="1">
        <v>0</v>
      </c>
      <c r="L1187" s="1">
        <v>0</v>
      </c>
      <c r="M1187" s="1" t="s">
        <v>101</v>
      </c>
      <c r="N1187" s="1" t="s">
        <v>118</v>
      </c>
      <c r="R1187" s="19"/>
    </row>
    <row r="1188" spans="1:18" ht="14.25" customHeight="1" x14ac:dyDescent="0.3">
      <c r="A1188" s="1" t="s">
        <v>68</v>
      </c>
      <c r="B1188" s="1">
        <v>7</v>
      </c>
      <c r="C1188" s="1">
        <v>31</v>
      </c>
      <c r="D1188" s="1" t="str">
        <f t="shared" si="18"/>
        <v>Yes</v>
      </c>
      <c r="E1188" s="1">
        <v>12</v>
      </c>
      <c r="F1188" s="1">
        <v>312</v>
      </c>
      <c r="G1188" s="1" t="s">
        <v>173</v>
      </c>
      <c r="H1188" s="1" t="s">
        <v>94</v>
      </c>
      <c r="I1188" s="1">
        <v>10.3</v>
      </c>
      <c r="J1188" s="1" t="s">
        <v>95</v>
      </c>
      <c r="K1188" s="1">
        <v>0</v>
      </c>
      <c r="L1188" s="1">
        <v>0</v>
      </c>
      <c r="M1188" s="1" t="s">
        <v>101</v>
      </c>
      <c r="N1188" s="1" t="s">
        <v>118</v>
      </c>
    </row>
    <row r="1189" spans="1:18" ht="14.25" customHeight="1" x14ac:dyDescent="0.3">
      <c r="A1189" s="1" t="s">
        <v>68</v>
      </c>
      <c r="B1189" s="1">
        <v>7</v>
      </c>
      <c r="C1189" s="1">
        <v>35</v>
      </c>
      <c r="D1189" s="1" t="str">
        <f t="shared" si="18"/>
        <v>Yes</v>
      </c>
      <c r="E1189" s="1">
        <v>12</v>
      </c>
      <c r="F1189" s="1">
        <v>312</v>
      </c>
      <c r="G1189" s="1" t="s">
        <v>173</v>
      </c>
      <c r="H1189" s="1" t="s">
        <v>94</v>
      </c>
      <c r="I1189" s="1">
        <v>9.5</v>
      </c>
      <c r="J1189" s="1" t="s">
        <v>95</v>
      </c>
      <c r="K1189" s="1">
        <v>0</v>
      </c>
      <c r="L1189" s="1">
        <v>0</v>
      </c>
      <c r="M1189" s="1" t="s">
        <v>101</v>
      </c>
      <c r="N1189" s="1" t="s">
        <v>118</v>
      </c>
      <c r="R1189" s="19"/>
    </row>
    <row r="1190" spans="1:18" ht="14.25" customHeight="1" x14ac:dyDescent="0.3">
      <c r="A1190" s="1" t="s">
        <v>68</v>
      </c>
      <c r="B1190" s="1">
        <v>7</v>
      </c>
      <c r="C1190" s="1">
        <v>25</v>
      </c>
      <c r="D1190" s="1" t="str">
        <f t="shared" si="18"/>
        <v>Yes</v>
      </c>
      <c r="E1190" s="1">
        <v>7.5</v>
      </c>
      <c r="F1190" s="1">
        <v>258</v>
      </c>
      <c r="G1190" s="1" t="s">
        <v>106</v>
      </c>
      <c r="H1190" s="1" t="s">
        <v>94</v>
      </c>
      <c r="I1190" s="1">
        <v>118.4</v>
      </c>
      <c r="J1190" s="1" t="s">
        <v>95</v>
      </c>
      <c r="K1190" s="1">
        <v>0</v>
      </c>
      <c r="L1190" s="1">
        <v>0</v>
      </c>
      <c r="M1190" s="1" t="s">
        <v>102</v>
      </c>
      <c r="N1190" s="1" t="s">
        <v>206</v>
      </c>
    </row>
    <row r="1191" spans="1:18" ht="14.25" customHeight="1" x14ac:dyDescent="0.3">
      <c r="A1191" s="1" t="s">
        <v>68</v>
      </c>
      <c r="B1191" s="1">
        <v>7</v>
      </c>
      <c r="C1191" s="1">
        <v>5</v>
      </c>
      <c r="D1191" s="1" t="str">
        <f t="shared" si="18"/>
        <v>Yes</v>
      </c>
      <c r="E1191" s="1">
        <v>7.5</v>
      </c>
      <c r="F1191" s="1">
        <v>130</v>
      </c>
      <c r="G1191" s="1" t="s">
        <v>106</v>
      </c>
      <c r="H1191" s="1" t="s">
        <v>94</v>
      </c>
      <c r="I1191" s="1">
        <v>22.9</v>
      </c>
      <c r="J1191" s="1" t="s">
        <v>95</v>
      </c>
      <c r="K1191" s="1">
        <v>0</v>
      </c>
      <c r="L1191" s="1">
        <v>5</v>
      </c>
      <c r="M1191" s="1" t="s">
        <v>101</v>
      </c>
      <c r="N1191" s="1" t="s">
        <v>100</v>
      </c>
    </row>
    <row r="1192" spans="1:18" ht="14.25" customHeight="1" x14ac:dyDescent="0.3">
      <c r="A1192" s="1" t="s">
        <v>68</v>
      </c>
      <c r="B1192" s="1">
        <v>7</v>
      </c>
      <c r="C1192" s="1">
        <v>10</v>
      </c>
      <c r="D1192" s="1" t="str">
        <f t="shared" si="18"/>
        <v>Yes</v>
      </c>
      <c r="E1192" s="1">
        <v>11</v>
      </c>
      <c r="F1192" s="1">
        <v>156</v>
      </c>
      <c r="G1192" s="1" t="s">
        <v>106</v>
      </c>
      <c r="H1192" s="1" t="s">
        <v>94</v>
      </c>
      <c r="I1192" s="1">
        <v>12.5</v>
      </c>
      <c r="J1192" s="1" t="s">
        <v>95</v>
      </c>
      <c r="K1192" s="1">
        <v>0</v>
      </c>
      <c r="L1192" s="1">
        <v>5</v>
      </c>
      <c r="M1192" s="1" t="s">
        <v>101</v>
      </c>
      <c r="N1192" s="1" t="s">
        <v>100</v>
      </c>
      <c r="Q1192" s="19" t="s">
        <v>205</v>
      </c>
    </row>
    <row r="1193" spans="1:18" ht="14.25" customHeight="1" x14ac:dyDescent="0.3">
      <c r="A1193" s="1" t="s">
        <v>68</v>
      </c>
      <c r="B1193" s="1">
        <v>7</v>
      </c>
      <c r="C1193" s="1">
        <v>3</v>
      </c>
      <c r="D1193" s="1" t="str">
        <f t="shared" si="18"/>
        <v>Yes</v>
      </c>
      <c r="E1193" s="1">
        <v>10.199999999999999</v>
      </c>
      <c r="F1193" s="1">
        <v>116</v>
      </c>
      <c r="G1193" s="1" t="s">
        <v>93</v>
      </c>
      <c r="H1193" s="1" t="s">
        <v>94</v>
      </c>
      <c r="I1193" s="1">
        <v>34</v>
      </c>
      <c r="J1193" s="1" t="s">
        <v>95</v>
      </c>
      <c r="K1193" s="1">
        <v>0</v>
      </c>
      <c r="L1193" s="1">
        <v>55</v>
      </c>
      <c r="M1193" s="1" t="s">
        <v>102</v>
      </c>
    </row>
    <row r="1194" spans="1:18" ht="14.25" customHeight="1" x14ac:dyDescent="0.3">
      <c r="A1194" s="1" t="s">
        <v>68</v>
      </c>
      <c r="B1194" s="1">
        <v>7</v>
      </c>
      <c r="C1194" s="1">
        <v>29</v>
      </c>
      <c r="D1194" s="1" t="str">
        <f t="shared" si="18"/>
        <v>Yes</v>
      </c>
      <c r="E1194" s="1">
        <v>12</v>
      </c>
      <c r="F1194" s="1">
        <v>294</v>
      </c>
      <c r="G1194" s="1" t="s">
        <v>93</v>
      </c>
      <c r="H1194" s="1" t="s">
        <v>94</v>
      </c>
      <c r="I1194" s="1">
        <v>32.700000000000003</v>
      </c>
      <c r="J1194" s="1" t="s">
        <v>95</v>
      </c>
      <c r="K1194" s="1">
        <v>0</v>
      </c>
      <c r="L1194" s="1">
        <v>0</v>
      </c>
      <c r="M1194" s="1" t="s">
        <v>102</v>
      </c>
      <c r="N1194" s="1" t="s">
        <v>100</v>
      </c>
      <c r="R1194" s="1"/>
    </row>
    <row r="1195" spans="1:18" ht="14.25" customHeight="1" x14ac:dyDescent="0.3">
      <c r="A1195" s="1" t="s">
        <v>68</v>
      </c>
      <c r="B1195" s="1">
        <v>7</v>
      </c>
      <c r="C1195" s="1">
        <v>21</v>
      </c>
      <c r="D1195" s="1" t="str">
        <f t="shared" si="18"/>
        <v>Yes</v>
      </c>
      <c r="E1195" s="1">
        <v>7.5</v>
      </c>
      <c r="F1195" s="1">
        <v>245</v>
      </c>
      <c r="G1195" s="1" t="s">
        <v>93</v>
      </c>
      <c r="H1195" s="1" t="s">
        <v>94</v>
      </c>
      <c r="I1195" s="1">
        <v>31.3</v>
      </c>
      <c r="J1195" s="1" t="s">
        <v>95</v>
      </c>
      <c r="K1195" s="1">
        <v>0</v>
      </c>
      <c r="L1195" s="1">
        <v>1</v>
      </c>
      <c r="M1195" s="1" t="s">
        <v>101</v>
      </c>
      <c r="N1195" s="1" t="s">
        <v>206</v>
      </c>
    </row>
    <row r="1196" spans="1:18" ht="14.25" customHeight="1" x14ac:dyDescent="0.3">
      <c r="A1196" s="1" t="s">
        <v>68</v>
      </c>
      <c r="B1196" s="1">
        <v>7</v>
      </c>
      <c r="C1196" s="1">
        <v>28</v>
      </c>
      <c r="D1196" s="1" t="str">
        <f t="shared" si="18"/>
        <v>Yes</v>
      </c>
      <c r="E1196" s="1">
        <v>3.2</v>
      </c>
      <c r="F1196" s="1">
        <v>333</v>
      </c>
      <c r="G1196" s="1" t="s">
        <v>93</v>
      </c>
      <c r="H1196" s="1" t="s">
        <v>94</v>
      </c>
      <c r="I1196" s="1">
        <v>30.9</v>
      </c>
      <c r="J1196" s="1" t="s">
        <v>95</v>
      </c>
      <c r="K1196" s="1">
        <v>0</v>
      </c>
      <c r="L1196" s="1">
        <v>1</v>
      </c>
      <c r="M1196" s="1" t="s">
        <v>102</v>
      </c>
      <c r="N1196" s="1" t="s">
        <v>206</v>
      </c>
      <c r="P1196" s="1">
        <v>672</v>
      </c>
    </row>
    <row r="1197" spans="1:18" ht="14.25" customHeight="1" x14ac:dyDescent="0.3">
      <c r="A1197" s="1" t="s">
        <v>68</v>
      </c>
      <c r="B1197" s="1">
        <v>7</v>
      </c>
      <c r="C1197" s="1">
        <v>24</v>
      </c>
      <c r="D1197" s="1" t="str">
        <f t="shared" si="18"/>
        <v>Yes</v>
      </c>
      <c r="E1197" s="1">
        <v>11.4</v>
      </c>
      <c r="F1197" s="1">
        <v>261</v>
      </c>
      <c r="G1197" s="1" t="s">
        <v>93</v>
      </c>
      <c r="H1197" s="1" t="s">
        <v>94</v>
      </c>
      <c r="I1197" s="1">
        <v>27.4</v>
      </c>
      <c r="J1197" s="1" t="s">
        <v>95</v>
      </c>
      <c r="K1197" s="1">
        <v>0</v>
      </c>
      <c r="L1197" s="1">
        <v>10</v>
      </c>
      <c r="M1197" s="1" t="s">
        <v>101</v>
      </c>
      <c r="N1197" s="1" t="s">
        <v>206</v>
      </c>
    </row>
    <row r="1198" spans="1:18" ht="14.25" customHeight="1" x14ac:dyDescent="0.3">
      <c r="A1198" s="1" t="s">
        <v>68</v>
      </c>
      <c r="B1198" s="1">
        <v>7</v>
      </c>
      <c r="C1198" s="1">
        <v>13</v>
      </c>
      <c r="D1198" s="1" t="str">
        <f t="shared" si="18"/>
        <v>Yes</v>
      </c>
      <c r="E1198" s="1">
        <v>8.1</v>
      </c>
      <c r="F1198" s="1">
        <v>197</v>
      </c>
      <c r="G1198" s="1" t="s">
        <v>93</v>
      </c>
      <c r="H1198" s="1" t="s">
        <v>94</v>
      </c>
      <c r="I1198" s="1">
        <v>18.5</v>
      </c>
      <c r="J1198" s="1" t="s">
        <v>95</v>
      </c>
      <c r="K1198" s="1">
        <v>0</v>
      </c>
      <c r="L1198" s="1">
        <v>0</v>
      </c>
      <c r="M1198" s="1" t="s">
        <v>101</v>
      </c>
      <c r="N1198" s="1" t="s">
        <v>100</v>
      </c>
    </row>
    <row r="1199" spans="1:18" ht="14.25" customHeight="1" x14ac:dyDescent="0.3">
      <c r="A1199" s="1" t="s">
        <v>68</v>
      </c>
      <c r="B1199" s="1">
        <v>7</v>
      </c>
      <c r="C1199" s="1">
        <v>20</v>
      </c>
      <c r="D1199" s="1" t="str">
        <f t="shared" si="18"/>
        <v>Yes</v>
      </c>
      <c r="E1199" s="1">
        <v>6.8</v>
      </c>
      <c r="F1199" s="1">
        <v>235</v>
      </c>
      <c r="G1199" s="1" t="s">
        <v>93</v>
      </c>
      <c r="H1199" s="1" t="s">
        <v>94</v>
      </c>
      <c r="I1199" s="1">
        <v>18.5</v>
      </c>
      <c r="J1199" s="1" t="s">
        <v>95</v>
      </c>
      <c r="K1199" s="1">
        <v>0</v>
      </c>
      <c r="L1199" s="1">
        <v>5</v>
      </c>
      <c r="M1199" s="1" t="s">
        <v>101</v>
      </c>
      <c r="N1199" s="1" t="s">
        <v>206</v>
      </c>
    </row>
    <row r="1200" spans="1:18" ht="14.25" customHeight="1" x14ac:dyDescent="0.3">
      <c r="A1200" s="1" t="s">
        <v>68</v>
      </c>
      <c r="B1200" s="1">
        <v>7</v>
      </c>
      <c r="C1200" s="1">
        <v>7</v>
      </c>
      <c r="D1200" s="1" t="str">
        <f t="shared" si="18"/>
        <v>Yes</v>
      </c>
      <c r="E1200" s="1">
        <v>2.5</v>
      </c>
      <c r="F1200" s="1">
        <v>134</v>
      </c>
      <c r="G1200" s="1" t="s">
        <v>93</v>
      </c>
      <c r="H1200" s="1" t="s">
        <v>94</v>
      </c>
      <c r="I1200" s="1">
        <v>17</v>
      </c>
      <c r="J1200" s="1" t="s">
        <v>95</v>
      </c>
      <c r="K1200" s="1">
        <v>0</v>
      </c>
      <c r="L1200" s="1">
        <v>1</v>
      </c>
      <c r="M1200" s="1" t="s">
        <v>101</v>
      </c>
      <c r="N1200" s="1" t="s">
        <v>100</v>
      </c>
    </row>
    <row r="1201" spans="1:18" ht="14.25" customHeight="1" x14ac:dyDescent="0.3">
      <c r="A1201" s="1" t="s">
        <v>68</v>
      </c>
      <c r="B1201" s="1">
        <v>7</v>
      </c>
      <c r="C1201" s="1">
        <v>9</v>
      </c>
      <c r="D1201" s="1" t="str">
        <f t="shared" si="18"/>
        <v>Yes</v>
      </c>
      <c r="E1201" s="1">
        <v>1.6</v>
      </c>
      <c r="F1201" s="1">
        <v>146</v>
      </c>
      <c r="G1201" s="1" t="s">
        <v>93</v>
      </c>
      <c r="H1201" s="1" t="s">
        <v>94</v>
      </c>
      <c r="I1201" s="1">
        <v>15.5</v>
      </c>
      <c r="J1201" s="1" t="s">
        <v>95</v>
      </c>
      <c r="K1201" s="1">
        <v>0</v>
      </c>
      <c r="L1201" s="1">
        <v>0</v>
      </c>
      <c r="M1201" s="1" t="s">
        <v>101</v>
      </c>
      <c r="Q1201" s="19" t="s">
        <v>204</v>
      </c>
    </row>
    <row r="1202" spans="1:18" ht="14.25" customHeight="1" x14ac:dyDescent="0.3">
      <c r="A1202" s="1" t="s">
        <v>68</v>
      </c>
      <c r="B1202" s="1">
        <v>7</v>
      </c>
      <c r="C1202" s="1">
        <v>15</v>
      </c>
      <c r="D1202" s="1" t="str">
        <f t="shared" si="18"/>
        <v>Yes</v>
      </c>
      <c r="E1202" s="1">
        <v>3.2</v>
      </c>
      <c r="F1202" s="1">
        <v>204</v>
      </c>
      <c r="G1202" s="1" t="s">
        <v>93</v>
      </c>
      <c r="H1202" s="1" t="s">
        <v>94</v>
      </c>
      <c r="I1202" s="1">
        <v>15.5</v>
      </c>
      <c r="J1202" s="1" t="s">
        <v>95</v>
      </c>
      <c r="K1202" s="1">
        <v>0</v>
      </c>
      <c r="L1202" s="1">
        <v>1</v>
      </c>
      <c r="M1202" s="1" t="s">
        <v>101</v>
      </c>
      <c r="N1202" s="1" t="s">
        <v>100</v>
      </c>
    </row>
    <row r="1203" spans="1:18" ht="14.25" customHeight="1" x14ac:dyDescent="0.3">
      <c r="A1203" s="1" t="s">
        <v>68</v>
      </c>
      <c r="B1203" s="1">
        <v>7</v>
      </c>
      <c r="C1203" s="1">
        <v>8</v>
      </c>
      <c r="D1203" s="1" t="str">
        <f t="shared" si="18"/>
        <v>Yes</v>
      </c>
      <c r="E1203" s="1">
        <v>2.2999999999999998</v>
      </c>
      <c r="F1203" s="1">
        <v>138</v>
      </c>
      <c r="G1203" s="1" t="s">
        <v>93</v>
      </c>
      <c r="H1203" s="1" t="s">
        <v>94</v>
      </c>
      <c r="I1203" s="1">
        <v>10.9</v>
      </c>
      <c r="J1203" s="1" t="s">
        <v>95</v>
      </c>
      <c r="K1203" s="1">
        <v>0</v>
      </c>
      <c r="L1203" s="1">
        <v>85</v>
      </c>
      <c r="M1203" s="1" t="s">
        <v>101</v>
      </c>
      <c r="N1203" s="1" t="s">
        <v>100</v>
      </c>
    </row>
    <row r="1204" spans="1:18" ht="14.25" customHeight="1" x14ac:dyDescent="0.3">
      <c r="A1204" s="1" t="s">
        <v>68</v>
      </c>
      <c r="B1204" s="1">
        <v>7</v>
      </c>
      <c r="C1204" s="1">
        <v>2</v>
      </c>
      <c r="D1204" s="1" t="str">
        <f t="shared" si="18"/>
        <v>Yes</v>
      </c>
      <c r="E1204" s="1">
        <v>7.9</v>
      </c>
      <c r="F1204" s="1">
        <v>41</v>
      </c>
      <c r="G1204" s="1" t="s">
        <v>93</v>
      </c>
      <c r="H1204" s="1" t="s">
        <v>94</v>
      </c>
      <c r="I1204" s="1">
        <v>9.3000000000000007</v>
      </c>
      <c r="J1204" s="1" t="s">
        <v>95</v>
      </c>
      <c r="K1204" s="1">
        <v>0</v>
      </c>
      <c r="L1204" s="1">
        <v>20</v>
      </c>
      <c r="M1204" s="1" t="s">
        <v>102</v>
      </c>
      <c r="N1204" s="1" t="s">
        <v>100</v>
      </c>
      <c r="R1204" s="19"/>
    </row>
    <row r="1205" spans="1:18" ht="14.25" customHeight="1" x14ac:dyDescent="0.3">
      <c r="A1205" s="1" t="s">
        <v>68</v>
      </c>
      <c r="B1205" s="1">
        <v>7</v>
      </c>
      <c r="C1205" s="1">
        <v>4</v>
      </c>
      <c r="D1205" s="1" t="str">
        <f t="shared" si="18"/>
        <v>Yes</v>
      </c>
      <c r="E1205" s="1">
        <v>6.7</v>
      </c>
      <c r="F1205" s="1">
        <v>44</v>
      </c>
      <c r="G1205" s="1" t="s">
        <v>93</v>
      </c>
      <c r="H1205" s="1" t="s">
        <v>94</v>
      </c>
      <c r="I1205" s="1">
        <v>9.3000000000000007</v>
      </c>
      <c r="J1205" s="1" t="s">
        <v>95</v>
      </c>
      <c r="K1205" s="1">
        <v>0</v>
      </c>
      <c r="L1205" s="1">
        <v>1</v>
      </c>
      <c r="M1205" s="1" t="s">
        <v>102</v>
      </c>
    </row>
    <row r="1206" spans="1:18" ht="14.25" customHeight="1" x14ac:dyDescent="0.3">
      <c r="A1206" s="1" t="s">
        <v>68</v>
      </c>
      <c r="B1206" s="1">
        <v>8</v>
      </c>
      <c r="C1206" s="1">
        <v>26</v>
      </c>
      <c r="D1206" s="1" t="str">
        <f t="shared" si="18"/>
        <v>No</v>
      </c>
      <c r="E1206" s="1">
        <v>12.6</v>
      </c>
      <c r="F1206" s="1">
        <v>320</v>
      </c>
      <c r="G1206" s="1" t="s">
        <v>93</v>
      </c>
      <c r="H1206" s="1" t="s">
        <v>95</v>
      </c>
      <c r="I1206" s="1">
        <v>68.5</v>
      </c>
      <c r="J1206" s="1" t="s">
        <v>95</v>
      </c>
      <c r="M1206" s="1" t="s">
        <v>102</v>
      </c>
      <c r="O1206" s="1">
        <v>1</v>
      </c>
    </row>
    <row r="1207" spans="1:18" ht="14.25" customHeight="1" x14ac:dyDescent="0.3">
      <c r="A1207" s="1" t="s">
        <v>68</v>
      </c>
      <c r="B1207" s="1">
        <v>8</v>
      </c>
      <c r="C1207" s="1">
        <v>21</v>
      </c>
      <c r="D1207" s="1" t="str">
        <f t="shared" si="18"/>
        <v>Yes</v>
      </c>
      <c r="E1207" s="1">
        <v>6.8</v>
      </c>
      <c r="F1207" s="1">
        <v>285</v>
      </c>
      <c r="G1207" s="1" t="s">
        <v>93</v>
      </c>
      <c r="H1207" s="1" t="s">
        <v>95</v>
      </c>
      <c r="I1207" s="1">
        <v>100</v>
      </c>
      <c r="J1207" s="1" t="s">
        <v>101</v>
      </c>
      <c r="M1207" s="1" t="s">
        <v>102</v>
      </c>
      <c r="O1207" s="1">
        <v>5</v>
      </c>
      <c r="Q1207" s="17" t="s">
        <v>162</v>
      </c>
      <c r="R1207" s="20"/>
    </row>
    <row r="1208" spans="1:18" ht="14.25" customHeight="1" x14ac:dyDescent="0.3">
      <c r="A1208" s="1" t="s">
        <v>68</v>
      </c>
      <c r="B1208" s="1">
        <v>8</v>
      </c>
      <c r="C1208" s="1">
        <v>17</v>
      </c>
      <c r="D1208" s="1" t="str">
        <f t="shared" si="18"/>
        <v>Yes</v>
      </c>
      <c r="E1208" s="1">
        <v>9.5</v>
      </c>
      <c r="F1208" s="1">
        <v>232</v>
      </c>
      <c r="G1208" s="1" t="s">
        <v>93</v>
      </c>
      <c r="H1208" s="1" t="s">
        <v>95</v>
      </c>
      <c r="I1208" s="1">
        <v>95.2</v>
      </c>
      <c r="J1208" s="1" t="s">
        <v>95</v>
      </c>
      <c r="M1208" s="1" t="s">
        <v>102</v>
      </c>
      <c r="O1208" s="1">
        <v>1</v>
      </c>
      <c r="Q1208" s="20"/>
      <c r="R1208" s="20"/>
    </row>
    <row r="1209" spans="1:18" ht="14.25" customHeight="1" x14ac:dyDescent="0.3">
      <c r="A1209" s="1" t="s">
        <v>68</v>
      </c>
      <c r="B1209" s="1">
        <v>8</v>
      </c>
      <c r="C1209" s="1">
        <v>20</v>
      </c>
      <c r="D1209" s="1" t="str">
        <f t="shared" si="18"/>
        <v>Yes</v>
      </c>
      <c r="E1209" s="1">
        <v>8.6999999999999993</v>
      </c>
      <c r="F1209" s="1">
        <v>267</v>
      </c>
      <c r="G1209" s="1" t="s">
        <v>93</v>
      </c>
      <c r="H1209" s="1" t="s">
        <v>95</v>
      </c>
      <c r="I1209" s="1">
        <v>81.5</v>
      </c>
      <c r="J1209" s="1" t="s">
        <v>95</v>
      </c>
      <c r="M1209" s="1" t="s">
        <v>102</v>
      </c>
      <c r="O1209" s="1">
        <v>1</v>
      </c>
      <c r="Q1209" s="17" t="s">
        <v>208</v>
      </c>
      <c r="R1209" s="20"/>
    </row>
    <row r="1210" spans="1:18" ht="14.25" customHeight="1" x14ac:dyDescent="0.3">
      <c r="A1210" s="1" t="s">
        <v>68</v>
      </c>
      <c r="B1210" s="1">
        <v>8</v>
      </c>
      <c r="C1210" s="1">
        <v>18</v>
      </c>
      <c r="D1210" s="1" t="str">
        <f t="shared" si="18"/>
        <v>Yes</v>
      </c>
      <c r="E1210" s="1">
        <v>10.8</v>
      </c>
      <c r="F1210" s="1">
        <v>234</v>
      </c>
      <c r="G1210" s="1" t="s">
        <v>93</v>
      </c>
      <c r="H1210" s="1" t="s">
        <v>95</v>
      </c>
      <c r="I1210" s="1">
        <v>51.9</v>
      </c>
      <c r="J1210" s="1" t="s">
        <v>95</v>
      </c>
      <c r="M1210" s="1" t="s">
        <v>101</v>
      </c>
      <c r="O1210" s="1">
        <v>1</v>
      </c>
      <c r="Q1210" s="20"/>
      <c r="R1210" s="20"/>
    </row>
    <row r="1211" spans="1:18" ht="14.25" customHeight="1" x14ac:dyDescent="0.3">
      <c r="A1211" s="1" t="s">
        <v>68</v>
      </c>
      <c r="B1211" s="1">
        <v>8</v>
      </c>
      <c r="C1211" s="1">
        <v>3</v>
      </c>
      <c r="D1211" s="1" t="str">
        <f t="shared" si="18"/>
        <v>Yes</v>
      </c>
      <c r="E1211" s="1">
        <v>7.1</v>
      </c>
      <c r="F1211" s="1">
        <v>43</v>
      </c>
      <c r="G1211" s="1" t="s">
        <v>93</v>
      </c>
      <c r="H1211" s="1" t="s">
        <v>95</v>
      </c>
      <c r="I1211" s="1">
        <v>17.600000000000001</v>
      </c>
      <c r="J1211" s="1" t="s">
        <v>95</v>
      </c>
      <c r="M1211" s="1" t="s">
        <v>101</v>
      </c>
      <c r="O1211" s="1">
        <v>1</v>
      </c>
    </row>
    <row r="1212" spans="1:18" ht="14.25" customHeight="1" x14ac:dyDescent="0.3">
      <c r="A1212" s="1" t="s">
        <v>68</v>
      </c>
      <c r="B1212" s="1">
        <v>8</v>
      </c>
      <c r="C1212" s="1">
        <v>4</v>
      </c>
      <c r="D1212" s="1" t="str">
        <f t="shared" si="18"/>
        <v>Yes</v>
      </c>
      <c r="E1212" s="1">
        <v>5.8</v>
      </c>
      <c r="F1212" s="1">
        <v>46</v>
      </c>
      <c r="G1212" s="1" t="s">
        <v>93</v>
      </c>
      <c r="H1212" s="1" t="s">
        <v>95</v>
      </c>
      <c r="I1212" s="1">
        <v>15.9</v>
      </c>
      <c r="J1212" s="1" t="s">
        <v>95</v>
      </c>
      <c r="M1212" s="1" t="s">
        <v>101</v>
      </c>
      <c r="O1212" s="1">
        <v>1</v>
      </c>
      <c r="Q1212" s="1" t="s">
        <v>134</v>
      </c>
      <c r="R1212" s="1"/>
    </row>
    <row r="1213" spans="1:18" ht="14.25" customHeight="1" x14ac:dyDescent="0.3">
      <c r="A1213" s="1" t="s">
        <v>68</v>
      </c>
      <c r="B1213" s="1">
        <v>8</v>
      </c>
      <c r="C1213" s="1">
        <v>15</v>
      </c>
      <c r="D1213" s="1" t="str">
        <f t="shared" si="18"/>
        <v>Yes</v>
      </c>
      <c r="E1213" s="1">
        <v>8</v>
      </c>
      <c r="F1213" s="1">
        <v>206</v>
      </c>
      <c r="G1213" s="1" t="s">
        <v>93</v>
      </c>
      <c r="H1213" s="1" t="s">
        <v>95</v>
      </c>
      <c r="I1213" s="1">
        <v>14.2</v>
      </c>
      <c r="J1213" s="1" t="s">
        <v>95</v>
      </c>
      <c r="M1213" s="1" t="s">
        <v>101</v>
      </c>
      <c r="O1213" s="1">
        <v>1</v>
      </c>
    </row>
    <row r="1214" spans="1:18" ht="14.25" customHeight="1" x14ac:dyDescent="0.3">
      <c r="A1214" s="1" t="s">
        <v>68</v>
      </c>
      <c r="B1214" s="1">
        <v>8</v>
      </c>
      <c r="C1214" s="1">
        <v>9</v>
      </c>
      <c r="D1214" s="1" t="str">
        <f t="shared" si="18"/>
        <v>Yes</v>
      </c>
      <c r="E1214" s="1">
        <v>6.1</v>
      </c>
      <c r="F1214" s="1">
        <v>117</v>
      </c>
      <c r="G1214" s="1" t="s">
        <v>93</v>
      </c>
      <c r="H1214" s="1" t="s">
        <v>95</v>
      </c>
      <c r="I1214" s="1">
        <v>11.2</v>
      </c>
      <c r="J1214" s="1" t="s">
        <v>95</v>
      </c>
      <c r="M1214" s="1" t="s">
        <v>101</v>
      </c>
      <c r="O1214" s="1">
        <v>1</v>
      </c>
    </row>
    <row r="1215" spans="1:18" ht="14.25" customHeight="1" x14ac:dyDescent="0.3">
      <c r="A1215" s="1" t="s">
        <v>68</v>
      </c>
      <c r="B1215" s="1">
        <v>8</v>
      </c>
      <c r="C1215" s="1">
        <v>16</v>
      </c>
      <c r="D1215" s="1" t="str">
        <f t="shared" si="18"/>
        <v>Yes</v>
      </c>
      <c r="E1215" s="1">
        <v>9.6</v>
      </c>
      <c r="F1215" s="1">
        <v>210</v>
      </c>
      <c r="G1215" s="1" t="s">
        <v>93</v>
      </c>
      <c r="H1215" s="1" t="s">
        <v>95</v>
      </c>
      <c r="I1215" s="1">
        <v>11.1</v>
      </c>
      <c r="J1215" s="1" t="s">
        <v>95</v>
      </c>
      <c r="M1215" s="1" t="s">
        <v>101</v>
      </c>
      <c r="O1215" s="1">
        <v>1</v>
      </c>
      <c r="R1215" s="1"/>
    </row>
    <row r="1216" spans="1:18" ht="14.25" customHeight="1" x14ac:dyDescent="0.3">
      <c r="A1216" s="1" t="s">
        <v>68</v>
      </c>
      <c r="B1216" s="1">
        <v>8</v>
      </c>
      <c r="C1216" s="1">
        <v>7</v>
      </c>
      <c r="D1216" s="1" t="str">
        <f t="shared" si="18"/>
        <v>Yes</v>
      </c>
      <c r="E1216" s="1">
        <v>11</v>
      </c>
      <c r="F1216" s="1">
        <v>2</v>
      </c>
      <c r="G1216" s="1" t="s">
        <v>93</v>
      </c>
      <c r="H1216" s="1" t="s">
        <v>95</v>
      </c>
      <c r="I1216" s="1">
        <v>9</v>
      </c>
      <c r="J1216" s="1" t="s">
        <v>95</v>
      </c>
      <c r="M1216" s="1" t="s">
        <v>101</v>
      </c>
      <c r="O1216" s="1">
        <v>1</v>
      </c>
    </row>
    <row r="1217" spans="1:18" ht="14.25" customHeight="1" x14ac:dyDescent="0.3">
      <c r="A1217" s="1" t="s">
        <v>68</v>
      </c>
      <c r="B1217" s="1">
        <v>8</v>
      </c>
      <c r="C1217" s="1">
        <v>24</v>
      </c>
      <c r="D1217" s="1" t="str">
        <f t="shared" si="18"/>
        <v>Yes</v>
      </c>
      <c r="E1217" s="1">
        <v>7.2</v>
      </c>
      <c r="F1217" s="1">
        <v>346</v>
      </c>
      <c r="G1217" s="1" t="s">
        <v>93</v>
      </c>
      <c r="H1217" s="1" t="s">
        <v>95</v>
      </c>
      <c r="I1217" s="1">
        <v>7.7</v>
      </c>
      <c r="J1217" s="1" t="s">
        <v>95</v>
      </c>
      <c r="M1217" s="1" t="s">
        <v>101</v>
      </c>
      <c r="O1217" s="1">
        <v>1</v>
      </c>
      <c r="R1217" s="1"/>
    </row>
    <row r="1218" spans="1:18" ht="14.25" customHeight="1" x14ac:dyDescent="0.3">
      <c r="A1218" s="1" t="s">
        <v>68</v>
      </c>
      <c r="B1218" s="1">
        <v>8</v>
      </c>
      <c r="C1218" s="1">
        <v>25</v>
      </c>
      <c r="D1218" s="1" t="str">
        <f t="shared" ref="D1218:D1281" si="19">IF(E1218&gt;12.5, "No", "Yes")</f>
        <v>Yes</v>
      </c>
      <c r="E1218" s="1">
        <v>6.9</v>
      </c>
      <c r="F1218" s="1">
        <v>355</v>
      </c>
      <c r="G1218" s="1" t="s">
        <v>109</v>
      </c>
      <c r="H1218" s="1" t="s">
        <v>94</v>
      </c>
      <c r="I1218" s="1">
        <v>105.7</v>
      </c>
      <c r="J1218" s="1" t="s">
        <v>95</v>
      </c>
      <c r="K1218" s="1">
        <v>0</v>
      </c>
      <c r="L1218" s="1">
        <v>5</v>
      </c>
      <c r="M1218" s="1" t="s">
        <v>102</v>
      </c>
      <c r="P1218" s="1">
        <v>684</v>
      </c>
    </row>
    <row r="1219" spans="1:18" ht="14.25" customHeight="1" x14ac:dyDescent="0.3">
      <c r="A1219" s="1" t="s">
        <v>68</v>
      </c>
      <c r="B1219" s="1">
        <v>8</v>
      </c>
      <c r="C1219" s="1">
        <v>23</v>
      </c>
      <c r="D1219" s="1" t="str">
        <f t="shared" si="19"/>
        <v>Yes</v>
      </c>
      <c r="E1219" s="1">
        <v>6</v>
      </c>
      <c r="F1219" s="1">
        <v>315</v>
      </c>
      <c r="G1219" s="1" t="s">
        <v>109</v>
      </c>
      <c r="H1219" s="1" t="s">
        <v>94</v>
      </c>
      <c r="I1219" s="1">
        <v>17</v>
      </c>
      <c r="J1219" s="1" t="s">
        <v>95</v>
      </c>
      <c r="K1219" s="1">
        <v>0</v>
      </c>
      <c r="L1219" s="1">
        <v>80</v>
      </c>
      <c r="M1219" s="1" t="s">
        <v>101</v>
      </c>
    </row>
    <row r="1220" spans="1:18" ht="14.25" customHeight="1" x14ac:dyDescent="0.3">
      <c r="A1220" s="1" t="s">
        <v>68</v>
      </c>
      <c r="B1220" s="1">
        <v>8</v>
      </c>
      <c r="C1220" s="1">
        <v>22</v>
      </c>
      <c r="D1220" s="1" t="str">
        <f t="shared" si="19"/>
        <v>Yes</v>
      </c>
      <c r="E1220" s="1">
        <v>7.3</v>
      </c>
      <c r="F1220" s="1">
        <v>302</v>
      </c>
      <c r="G1220" s="1" t="s">
        <v>109</v>
      </c>
      <c r="H1220" s="1" t="s">
        <v>94</v>
      </c>
      <c r="I1220" s="1">
        <v>11.6</v>
      </c>
      <c r="J1220" s="1" t="s">
        <v>95</v>
      </c>
      <c r="K1220" s="1">
        <v>0</v>
      </c>
      <c r="L1220" s="1">
        <v>99</v>
      </c>
      <c r="M1220" s="1" t="s">
        <v>101</v>
      </c>
      <c r="P1220" s="1">
        <v>683</v>
      </c>
    </row>
    <row r="1221" spans="1:18" ht="14.25" customHeight="1" x14ac:dyDescent="0.3">
      <c r="A1221" s="1" t="s">
        <v>68</v>
      </c>
      <c r="B1221" s="1">
        <v>8</v>
      </c>
      <c r="C1221" s="1">
        <v>19</v>
      </c>
      <c r="D1221" s="1" t="str">
        <f t="shared" si="19"/>
        <v>Yes</v>
      </c>
      <c r="E1221" s="1">
        <v>5.9</v>
      </c>
      <c r="F1221" s="1">
        <v>267</v>
      </c>
      <c r="G1221" s="1" t="s">
        <v>93</v>
      </c>
      <c r="H1221" s="1" t="s">
        <v>94</v>
      </c>
      <c r="I1221" s="1">
        <v>68.900000000000006</v>
      </c>
      <c r="J1221" s="1" t="s">
        <v>95</v>
      </c>
      <c r="K1221" s="1">
        <v>0</v>
      </c>
      <c r="L1221" s="1">
        <v>5</v>
      </c>
      <c r="M1221" s="1" t="s">
        <v>102</v>
      </c>
      <c r="P1221" s="1">
        <v>685</v>
      </c>
    </row>
    <row r="1222" spans="1:18" ht="14.25" customHeight="1" x14ac:dyDescent="0.3">
      <c r="A1222" s="1" t="s">
        <v>68</v>
      </c>
      <c r="B1222" s="1">
        <v>8</v>
      </c>
      <c r="C1222" s="1">
        <v>10</v>
      </c>
      <c r="D1222" s="1" t="str">
        <f t="shared" si="19"/>
        <v>Yes</v>
      </c>
      <c r="E1222" s="1">
        <v>6.8</v>
      </c>
      <c r="F1222" s="1">
        <v>134</v>
      </c>
      <c r="G1222" s="1" t="s">
        <v>93</v>
      </c>
      <c r="H1222" s="1" t="s">
        <v>94</v>
      </c>
      <c r="I1222" s="1">
        <v>53.4</v>
      </c>
      <c r="J1222" s="1" t="s">
        <v>95</v>
      </c>
      <c r="K1222" s="1">
        <v>0</v>
      </c>
      <c r="L1222" s="1">
        <v>30</v>
      </c>
      <c r="M1222" s="1" t="s">
        <v>101</v>
      </c>
      <c r="N1222" s="1" t="s">
        <v>206</v>
      </c>
    </row>
    <row r="1223" spans="1:18" ht="14.25" customHeight="1" x14ac:dyDescent="0.3">
      <c r="A1223" s="1" t="s">
        <v>68</v>
      </c>
      <c r="B1223" s="1">
        <v>8</v>
      </c>
      <c r="C1223" s="1">
        <v>1</v>
      </c>
      <c r="D1223" s="1" t="str">
        <f t="shared" si="19"/>
        <v>Yes</v>
      </c>
      <c r="E1223" s="1">
        <v>11.8</v>
      </c>
      <c r="F1223" s="1">
        <v>22</v>
      </c>
      <c r="G1223" s="1" t="s">
        <v>93</v>
      </c>
      <c r="H1223" s="1" t="s">
        <v>94</v>
      </c>
      <c r="I1223" s="1">
        <v>23.4</v>
      </c>
      <c r="J1223" s="1" t="s">
        <v>95</v>
      </c>
      <c r="K1223" s="1">
        <v>0</v>
      </c>
      <c r="L1223" s="1">
        <v>50</v>
      </c>
      <c r="M1223" s="1" t="s">
        <v>101</v>
      </c>
      <c r="N1223" s="1" t="s">
        <v>100</v>
      </c>
    </row>
    <row r="1224" spans="1:18" ht="14.25" customHeight="1" x14ac:dyDescent="0.3">
      <c r="A1224" s="1" t="s">
        <v>68</v>
      </c>
      <c r="B1224" s="1">
        <v>8</v>
      </c>
      <c r="C1224" s="1">
        <v>6</v>
      </c>
      <c r="D1224" s="1" t="str">
        <f t="shared" si="19"/>
        <v>Yes</v>
      </c>
      <c r="E1224" s="1">
        <v>7.8</v>
      </c>
      <c r="F1224" s="1">
        <v>89</v>
      </c>
      <c r="G1224" s="1" t="s">
        <v>93</v>
      </c>
      <c r="H1224" s="1" t="s">
        <v>94</v>
      </c>
      <c r="I1224" s="1">
        <v>18</v>
      </c>
      <c r="J1224" s="1" t="s">
        <v>95</v>
      </c>
      <c r="K1224" s="1">
        <v>0</v>
      </c>
      <c r="L1224" s="1">
        <v>1</v>
      </c>
      <c r="M1224" s="1" t="s">
        <v>101</v>
      </c>
      <c r="N1224" s="1" t="s">
        <v>100</v>
      </c>
    </row>
    <row r="1225" spans="1:18" ht="14.25" customHeight="1" x14ac:dyDescent="0.3">
      <c r="A1225" s="1" t="s">
        <v>68</v>
      </c>
      <c r="B1225" s="1">
        <v>8</v>
      </c>
      <c r="C1225" s="1">
        <v>11</v>
      </c>
      <c r="D1225" s="1" t="str">
        <f t="shared" si="19"/>
        <v>Yes</v>
      </c>
      <c r="E1225" s="1">
        <v>10.8</v>
      </c>
      <c r="F1225" s="1">
        <v>151</v>
      </c>
      <c r="G1225" s="1" t="s">
        <v>93</v>
      </c>
      <c r="H1225" s="1" t="s">
        <v>94</v>
      </c>
      <c r="I1225" s="1">
        <v>15.3</v>
      </c>
      <c r="J1225" s="1" t="s">
        <v>95</v>
      </c>
      <c r="K1225" s="1">
        <v>0</v>
      </c>
      <c r="L1225" s="1">
        <v>85</v>
      </c>
      <c r="M1225" s="1" t="s">
        <v>101</v>
      </c>
      <c r="N1225" s="1" t="s">
        <v>100</v>
      </c>
    </row>
    <row r="1226" spans="1:18" ht="14.25" customHeight="1" x14ac:dyDescent="0.3">
      <c r="A1226" s="1" t="s">
        <v>68</v>
      </c>
      <c r="B1226" s="1">
        <v>8</v>
      </c>
      <c r="C1226" s="1">
        <v>2</v>
      </c>
      <c r="D1226" s="1" t="str">
        <f t="shared" si="19"/>
        <v>Yes</v>
      </c>
      <c r="E1226" s="1">
        <v>9.9</v>
      </c>
      <c r="F1226" s="1">
        <v>36</v>
      </c>
      <c r="G1226" s="1" t="s">
        <v>93</v>
      </c>
      <c r="H1226" s="1" t="s">
        <v>94</v>
      </c>
      <c r="I1226" s="1">
        <v>13.4</v>
      </c>
      <c r="J1226" s="1" t="s">
        <v>95</v>
      </c>
      <c r="K1226" s="1">
        <v>5</v>
      </c>
      <c r="L1226" s="1">
        <v>90</v>
      </c>
      <c r="M1226" s="1" t="s">
        <v>101</v>
      </c>
      <c r="N1226" s="1" t="s">
        <v>100</v>
      </c>
    </row>
    <row r="1227" spans="1:18" ht="14.25" customHeight="1" x14ac:dyDescent="0.3">
      <c r="A1227" s="1" t="s">
        <v>68</v>
      </c>
      <c r="B1227" s="1">
        <v>8</v>
      </c>
      <c r="C1227" s="1">
        <v>8</v>
      </c>
      <c r="D1227" s="1" t="str">
        <f t="shared" si="19"/>
        <v>Yes</v>
      </c>
      <c r="E1227" s="1">
        <v>7.2</v>
      </c>
      <c r="F1227" s="1">
        <v>4</v>
      </c>
      <c r="G1227" s="1" t="s">
        <v>93</v>
      </c>
      <c r="H1227" s="1" t="s">
        <v>94</v>
      </c>
      <c r="I1227" s="1">
        <v>11.2</v>
      </c>
      <c r="J1227" s="1" t="s">
        <v>95</v>
      </c>
      <c r="K1227" s="1">
        <v>0</v>
      </c>
      <c r="L1227" s="1">
        <v>95</v>
      </c>
      <c r="M1227" s="1" t="s">
        <v>101</v>
      </c>
      <c r="N1227" s="1" t="s">
        <v>206</v>
      </c>
    </row>
    <row r="1228" spans="1:18" ht="14.25" customHeight="1" x14ac:dyDescent="0.3">
      <c r="A1228" s="1" t="s">
        <v>68</v>
      </c>
      <c r="B1228" s="1">
        <v>8</v>
      </c>
      <c r="C1228" s="1">
        <v>12</v>
      </c>
      <c r="D1228" s="1" t="str">
        <f t="shared" si="19"/>
        <v>Yes</v>
      </c>
      <c r="E1228" s="1">
        <v>10.9</v>
      </c>
      <c r="F1228" s="1">
        <v>160</v>
      </c>
      <c r="G1228" s="1" t="s">
        <v>93</v>
      </c>
      <c r="H1228" s="1" t="s">
        <v>94</v>
      </c>
      <c r="I1228" s="1">
        <v>9.6999999999999993</v>
      </c>
      <c r="J1228" s="1" t="s">
        <v>95</v>
      </c>
      <c r="K1228" s="1">
        <v>0</v>
      </c>
      <c r="L1228" s="1">
        <v>85</v>
      </c>
      <c r="M1228" s="1" t="s">
        <v>101</v>
      </c>
      <c r="N1228" s="1" t="s">
        <v>100</v>
      </c>
    </row>
    <row r="1229" spans="1:18" ht="14.25" customHeight="1" x14ac:dyDescent="0.3">
      <c r="A1229" s="1" t="s">
        <v>68</v>
      </c>
      <c r="B1229" s="1">
        <v>8</v>
      </c>
      <c r="C1229" s="1">
        <v>5</v>
      </c>
      <c r="D1229" s="1" t="str">
        <f t="shared" si="19"/>
        <v>Yes</v>
      </c>
      <c r="E1229" s="1">
        <v>12.2</v>
      </c>
      <c r="F1229" s="1">
        <v>63</v>
      </c>
      <c r="G1229" s="1" t="s">
        <v>93</v>
      </c>
      <c r="H1229" s="1" t="s">
        <v>94</v>
      </c>
      <c r="I1229" s="1">
        <v>9.6</v>
      </c>
      <c r="J1229" s="1" t="s">
        <v>95</v>
      </c>
      <c r="K1229" s="1">
        <v>0</v>
      </c>
      <c r="L1229" s="1">
        <v>1</v>
      </c>
      <c r="M1229" s="1" t="s">
        <v>101</v>
      </c>
      <c r="N1229" s="1" t="s">
        <v>206</v>
      </c>
    </row>
    <row r="1230" spans="1:18" ht="14.25" customHeight="1" x14ac:dyDescent="0.3">
      <c r="A1230" s="1" t="s">
        <v>68</v>
      </c>
      <c r="B1230" s="1">
        <v>8</v>
      </c>
      <c r="C1230" s="1">
        <v>14</v>
      </c>
      <c r="D1230" s="1" t="str">
        <f t="shared" si="19"/>
        <v>Yes</v>
      </c>
      <c r="E1230" s="1">
        <v>5.3</v>
      </c>
      <c r="F1230" s="1">
        <v>185</v>
      </c>
      <c r="G1230" s="1" t="s">
        <v>93</v>
      </c>
      <c r="H1230" s="1" t="s">
        <v>94</v>
      </c>
      <c r="I1230" s="1">
        <v>8.6999999999999993</v>
      </c>
      <c r="J1230" s="1" t="s">
        <v>95</v>
      </c>
      <c r="K1230" s="1">
        <v>0</v>
      </c>
      <c r="L1230" s="1">
        <v>95</v>
      </c>
      <c r="M1230" s="1" t="s">
        <v>101</v>
      </c>
      <c r="N1230" s="1" t="s">
        <v>100</v>
      </c>
    </row>
    <row r="1231" spans="1:18" ht="14.25" customHeight="1" x14ac:dyDescent="0.3">
      <c r="A1231" s="1" t="s">
        <v>68</v>
      </c>
      <c r="B1231" s="1">
        <v>8</v>
      </c>
      <c r="C1231" s="1">
        <v>13</v>
      </c>
      <c r="D1231" s="1" t="str">
        <f t="shared" si="19"/>
        <v>Yes</v>
      </c>
      <c r="E1231" s="1">
        <v>2.2999999999999998</v>
      </c>
      <c r="F1231" s="1">
        <v>178</v>
      </c>
      <c r="G1231" s="1" t="s">
        <v>93</v>
      </c>
      <c r="H1231" s="1" t="s">
        <v>94</v>
      </c>
      <c r="I1231" s="1">
        <v>8</v>
      </c>
      <c r="J1231" s="1" t="s">
        <v>95</v>
      </c>
      <c r="K1231" s="1">
        <v>0</v>
      </c>
      <c r="L1231" s="1">
        <v>90</v>
      </c>
      <c r="M1231" s="1" t="s">
        <v>101</v>
      </c>
      <c r="N1231" s="1" t="s">
        <v>100</v>
      </c>
    </row>
    <row r="1232" spans="1:18" ht="14.25" customHeight="1" x14ac:dyDescent="0.3">
      <c r="A1232" s="1" t="s">
        <v>68</v>
      </c>
      <c r="B1232" s="1">
        <v>9</v>
      </c>
      <c r="D1232" s="1" t="str">
        <f t="shared" si="19"/>
        <v>No</v>
      </c>
      <c r="E1232" s="1">
        <v>16.3</v>
      </c>
      <c r="F1232" s="1">
        <v>290</v>
      </c>
      <c r="G1232" s="1" t="s">
        <v>96</v>
      </c>
      <c r="H1232" s="1" t="s">
        <v>95</v>
      </c>
      <c r="I1232" s="1">
        <v>11.3</v>
      </c>
      <c r="J1232" s="1" t="s">
        <v>95</v>
      </c>
      <c r="M1232" s="1" t="s">
        <v>97</v>
      </c>
      <c r="N1232" s="1" t="s">
        <v>128</v>
      </c>
      <c r="O1232" s="1">
        <v>1</v>
      </c>
      <c r="P1232" s="1">
        <v>634</v>
      </c>
      <c r="Q1232" s="1" t="s">
        <v>209</v>
      </c>
      <c r="R1232" s="1"/>
    </row>
    <row r="1233" spans="1:16" ht="14.25" customHeight="1" x14ac:dyDescent="0.3">
      <c r="A1233" s="1" t="s">
        <v>68</v>
      </c>
      <c r="B1233" s="1">
        <v>9</v>
      </c>
      <c r="D1233" s="1" t="str">
        <f t="shared" si="19"/>
        <v>No</v>
      </c>
      <c r="E1233" s="1">
        <v>13.8</v>
      </c>
      <c r="F1233" s="1">
        <v>88</v>
      </c>
      <c r="G1233" s="1" t="s">
        <v>93</v>
      </c>
      <c r="H1233" s="1" t="s">
        <v>95</v>
      </c>
      <c r="I1233" s="1">
        <v>43.6</v>
      </c>
      <c r="J1233" s="1" t="s">
        <v>95</v>
      </c>
      <c r="M1233" s="1" t="s">
        <v>102</v>
      </c>
      <c r="O1233" s="1">
        <v>1</v>
      </c>
      <c r="P1233" s="1">
        <v>668</v>
      </c>
    </row>
    <row r="1234" spans="1:16" ht="14.25" customHeight="1" x14ac:dyDescent="0.3">
      <c r="A1234" s="1" t="s">
        <v>68</v>
      </c>
      <c r="B1234" s="1">
        <v>9</v>
      </c>
      <c r="C1234" s="1">
        <v>9</v>
      </c>
      <c r="D1234" s="1" t="str">
        <f t="shared" si="19"/>
        <v>Yes</v>
      </c>
      <c r="E1234" s="1">
        <v>5.9</v>
      </c>
      <c r="F1234" s="1">
        <v>111</v>
      </c>
      <c r="G1234" s="1" t="s">
        <v>109</v>
      </c>
      <c r="H1234" s="1" t="s">
        <v>95</v>
      </c>
      <c r="I1234" s="1">
        <v>24</v>
      </c>
      <c r="J1234" s="1" t="s">
        <v>95</v>
      </c>
      <c r="M1234" s="1" t="s">
        <v>102</v>
      </c>
      <c r="O1234" s="1">
        <v>5</v>
      </c>
    </row>
    <row r="1235" spans="1:16" ht="14.25" customHeight="1" x14ac:dyDescent="0.3">
      <c r="A1235" s="1" t="s">
        <v>68</v>
      </c>
      <c r="B1235" s="1">
        <v>9</v>
      </c>
      <c r="C1235" s="1">
        <v>6</v>
      </c>
      <c r="D1235" s="1" t="str">
        <f t="shared" si="19"/>
        <v>Yes</v>
      </c>
      <c r="E1235" s="1">
        <v>11.8</v>
      </c>
      <c r="F1235" s="1">
        <v>56</v>
      </c>
      <c r="G1235" s="1" t="s">
        <v>93</v>
      </c>
      <c r="H1235" s="1" t="s">
        <v>95</v>
      </c>
      <c r="I1235" s="1">
        <v>205</v>
      </c>
      <c r="J1235" s="1" t="s">
        <v>95</v>
      </c>
      <c r="M1235" s="1" t="s">
        <v>101</v>
      </c>
      <c r="O1235" s="1">
        <v>1</v>
      </c>
    </row>
    <row r="1236" spans="1:16" ht="14.25" customHeight="1" x14ac:dyDescent="0.3">
      <c r="A1236" s="1" t="s">
        <v>68</v>
      </c>
      <c r="B1236" s="1">
        <v>9</v>
      </c>
      <c r="C1236" s="1">
        <v>11</v>
      </c>
      <c r="D1236" s="1" t="str">
        <f t="shared" si="19"/>
        <v>Yes</v>
      </c>
      <c r="E1236" s="1">
        <v>2.9</v>
      </c>
      <c r="F1236" s="1">
        <v>224</v>
      </c>
      <c r="G1236" s="1" t="s">
        <v>93</v>
      </c>
      <c r="H1236" s="1" t="s">
        <v>95</v>
      </c>
      <c r="I1236" s="1">
        <v>112.3</v>
      </c>
      <c r="J1236" s="1" t="s">
        <v>95</v>
      </c>
      <c r="M1236" s="1" t="s">
        <v>97</v>
      </c>
      <c r="O1236" s="1">
        <v>5</v>
      </c>
    </row>
    <row r="1237" spans="1:16" ht="14.25" customHeight="1" x14ac:dyDescent="0.3">
      <c r="A1237" s="1" t="s">
        <v>68</v>
      </c>
      <c r="B1237" s="1">
        <v>9</v>
      </c>
      <c r="C1237" s="1">
        <v>4</v>
      </c>
      <c r="D1237" s="1" t="str">
        <f t="shared" si="19"/>
        <v>Yes</v>
      </c>
      <c r="E1237" s="1">
        <v>3.3</v>
      </c>
      <c r="F1237" s="1">
        <v>19</v>
      </c>
      <c r="G1237" s="1" t="s">
        <v>93</v>
      </c>
      <c r="H1237" s="1" t="s">
        <v>95</v>
      </c>
      <c r="I1237" s="1">
        <v>99.8</v>
      </c>
      <c r="J1237" s="1" t="s">
        <v>95</v>
      </c>
      <c r="M1237" s="1" t="s">
        <v>97</v>
      </c>
      <c r="O1237" s="1">
        <v>1</v>
      </c>
      <c r="P1237" s="1">
        <v>633</v>
      </c>
    </row>
    <row r="1238" spans="1:16" ht="14.25" customHeight="1" x14ac:dyDescent="0.3">
      <c r="A1238" s="1" t="s">
        <v>68</v>
      </c>
      <c r="B1238" s="1">
        <v>9</v>
      </c>
      <c r="C1238" s="1">
        <v>12</v>
      </c>
      <c r="D1238" s="1" t="str">
        <f t="shared" si="19"/>
        <v>Yes</v>
      </c>
      <c r="E1238" s="1">
        <v>6.5</v>
      </c>
      <c r="F1238" s="1">
        <v>258</v>
      </c>
      <c r="G1238" s="1" t="s">
        <v>93</v>
      </c>
      <c r="H1238" s="1" t="s">
        <v>95</v>
      </c>
      <c r="I1238" s="1">
        <v>98.5</v>
      </c>
      <c r="J1238" s="1" t="s">
        <v>95</v>
      </c>
      <c r="M1238" s="1" t="s">
        <v>102</v>
      </c>
      <c r="O1238" s="1">
        <v>5</v>
      </c>
    </row>
    <row r="1239" spans="1:16" ht="14.25" customHeight="1" x14ac:dyDescent="0.3">
      <c r="A1239" s="1" t="s">
        <v>68</v>
      </c>
      <c r="B1239" s="1">
        <v>9</v>
      </c>
      <c r="C1239" s="1">
        <v>10</v>
      </c>
      <c r="D1239" s="1" t="str">
        <f t="shared" si="19"/>
        <v>Yes</v>
      </c>
      <c r="E1239" s="1">
        <v>11.8</v>
      </c>
      <c r="F1239" s="1">
        <v>161</v>
      </c>
      <c r="G1239" s="1" t="s">
        <v>93</v>
      </c>
      <c r="H1239" s="1" t="s">
        <v>95</v>
      </c>
      <c r="I1239" s="1">
        <v>82</v>
      </c>
      <c r="J1239" s="1" t="s">
        <v>95</v>
      </c>
      <c r="M1239" s="1" t="s">
        <v>97</v>
      </c>
      <c r="O1239" s="1">
        <v>5</v>
      </c>
    </row>
    <row r="1240" spans="1:16" ht="14.25" customHeight="1" x14ac:dyDescent="0.3">
      <c r="A1240" s="1" t="s">
        <v>68</v>
      </c>
      <c r="B1240" s="1">
        <v>9</v>
      </c>
      <c r="C1240" s="1">
        <v>5</v>
      </c>
      <c r="D1240" s="1" t="str">
        <f t="shared" si="19"/>
        <v>Yes</v>
      </c>
      <c r="E1240" s="1">
        <v>10</v>
      </c>
      <c r="F1240" s="1">
        <v>22</v>
      </c>
      <c r="G1240" s="1" t="s">
        <v>93</v>
      </c>
      <c r="H1240" s="1" t="s">
        <v>95</v>
      </c>
      <c r="I1240" s="1">
        <v>45.7</v>
      </c>
      <c r="J1240" s="1" t="s">
        <v>95</v>
      </c>
      <c r="M1240" s="1" t="s">
        <v>101</v>
      </c>
      <c r="O1240" s="1">
        <v>1</v>
      </c>
    </row>
    <row r="1241" spans="1:16" ht="14.25" customHeight="1" x14ac:dyDescent="0.3">
      <c r="A1241" s="1" t="s">
        <v>68</v>
      </c>
      <c r="B1241" s="1">
        <v>9</v>
      </c>
      <c r="C1241" s="1">
        <v>3</v>
      </c>
      <c r="D1241" s="1" t="str">
        <f t="shared" si="19"/>
        <v>Yes</v>
      </c>
      <c r="E1241" s="1">
        <v>12.2</v>
      </c>
      <c r="F1241" s="1">
        <v>2</v>
      </c>
      <c r="G1241" s="1" t="s">
        <v>93</v>
      </c>
      <c r="H1241" s="1" t="s">
        <v>95</v>
      </c>
      <c r="I1241" s="1">
        <v>25.2</v>
      </c>
      <c r="J1241" s="1" t="s">
        <v>95</v>
      </c>
      <c r="M1241" s="1" t="s">
        <v>101</v>
      </c>
      <c r="O1241" s="1">
        <v>1</v>
      </c>
    </row>
    <row r="1242" spans="1:16" ht="14.25" customHeight="1" x14ac:dyDescent="0.3">
      <c r="A1242" s="1" t="s">
        <v>68</v>
      </c>
      <c r="B1242" s="1">
        <v>9</v>
      </c>
      <c r="C1242" s="1">
        <v>8</v>
      </c>
      <c r="D1242" s="1" t="str">
        <f t="shared" si="19"/>
        <v>Yes</v>
      </c>
      <c r="E1242" s="1">
        <v>9.8000000000000007</v>
      </c>
      <c r="F1242" s="1">
        <v>111</v>
      </c>
      <c r="G1242" s="1" t="s">
        <v>93</v>
      </c>
      <c r="H1242" s="1" t="s">
        <v>95</v>
      </c>
      <c r="I1242" s="1">
        <v>25</v>
      </c>
      <c r="J1242" s="1" t="s">
        <v>95</v>
      </c>
      <c r="M1242" s="1" t="s">
        <v>102</v>
      </c>
      <c r="O1242" s="1">
        <v>5</v>
      </c>
    </row>
    <row r="1243" spans="1:16" ht="14.25" customHeight="1" x14ac:dyDescent="0.3">
      <c r="A1243" s="1" t="s">
        <v>68</v>
      </c>
      <c r="B1243" s="1">
        <v>9</v>
      </c>
      <c r="C1243" s="1">
        <v>2</v>
      </c>
      <c r="D1243" s="1" t="str">
        <f t="shared" si="19"/>
        <v>Yes</v>
      </c>
      <c r="E1243" s="1">
        <v>10.6</v>
      </c>
      <c r="F1243" s="1">
        <v>342</v>
      </c>
      <c r="G1243" s="1" t="s">
        <v>93</v>
      </c>
      <c r="H1243" s="1" t="s">
        <v>95</v>
      </c>
      <c r="I1243" s="1">
        <v>17</v>
      </c>
      <c r="J1243" s="1" t="s">
        <v>95</v>
      </c>
      <c r="M1243" s="1" t="s">
        <v>101</v>
      </c>
      <c r="O1243" s="1">
        <v>1</v>
      </c>
    </row>
    <row r="1244" spans="1:16" ht="14.25" customHeight="1" x14ac:dyDescent="0.3">
      <c r="A1244" s="1" t="s">
        <v>68</v>
      </c>
      <c r="B1244" s="1">
        <v>9</v>
      </c>
      <c r="C1244" s="1">
        <v>7</v>
      </c>
      <c r="D1244" s="1" t="str">
        <f t="shared" si="19"/>
        <v>Yes</v>
      </c>
      <c r="E1244" s="1">
        <v>10.199999999999999</v>
      </c>
      <c r="F1244" s="1">
        <v>100</v>
      </c>
      <c r="G1244" s="1" t="s">
        <v>93</v>
      </c>
      <c r="H1244" s="1" t="s">
        <v>95</v>
      </c>
      <c r="I1244" s="1">
        <v>16.600000000000001</v>
      </c>
      <c r="J1244" s="1" t="s">
        <v>95</v>
      </c>
      <c r="M1244" s="1" t="s">
        <v>101</v>
      </c>
      <c r="O1244" s="1">
        <v>1</v>
      </c>
    </row>
    <row r="1245" spans="1:16" ht="14.25" customHeight="1" x14ac:dyDescent="0.3">
      <c r="A1245" s="1" t="s">
        <v>68</v>
      </c>
      <c r="B1245" s="1">
        <v>9</v>
      </c>
      <c r="C1245" s="1">
        <v>1</v>
      </c>
      <c r="D1245" s="1" t="str">
        <f t="shared" si="19"/>
        <v>Yes</v>
      </c>
      <c r="E1245" s="1">
        <v>11.2</v>
      </c>
      <c r="F1245" s="1">
        <v>334</v>
      </c>
      <c r="G1245" s="1" t="s">
        <v>93</v>
      </c>
      <c r="H1245" s="1" t="s">
        <v>95</v>
      </c>
      <c r="I1245" s="1">
        <v>9.6</v>
      </c>
      <c r="J1245" s="1" t="s">
        <v>95</v>
      </c>
      <c r="M1245" s="1" t="s">
        <v>101</v>
      </c>
      <c r="O1245" s="1">
        <v>1</v>
      </c>
    </row>
    <row r="1246" spans="1:16" ht="14.25" customHeight="1" x14ac:dyDescent="0.3">
      <c r="A1246" s="1" t="s">
        <v>68</v>
      </c>
      <c r="B1246" s="1">
        <v>10</v>
      </c>
      <c r="C1246" s="1">
        <v>7</v>
      </c>
      <c r="D1246" s="1" t="str">
        <f t="shared" si="19"/>
        <v>Yes</v>
      </c>
      <c r="E1246" s="1">
        <v>5.5</v>
      </c>
      <c r="F1246" s="1">
        <v>140</v>
      </c>
      <c r="G1246" s="1" t="s">
        <v>98</v>
      </c>
      <c r="H1246" s="1" t="s">
        <v>95</v>
      </c>
      <c r="I1246" s="1">
        <v>22.9</v>
      </c>
      <c r="J1246" s="1" t="s">
        <v>95</v>
      </c>
      <c r="M1246" s="1" t="s">
        <v>102</v>
      </c>
      <c r="O1246" s="1">
        <v>1</v>
      </c>
    </row>
    <row r="1247" spans="1:16" ht="14.25" customHeight="1" x14ac:dyDescent="0.3">
      <c r="A1247" s="1" t="s">
        <v>68</v>
      </c>
      <c r="B1247" s="1">
        <v>10</v>
      </c>
      <c r="C1247" s="1">
        <v>8</v>
      </c>
      <c r="D1247" s="1" t="str">
        <f t="shared" si="19"/>
        <v>Yes</v>
      </c>
      <c r="E1247" s="1">
        <v>8.8000000000000007</v>
      </c>
      <c r="F1247" s="1">
        <v>194</v>
      </c>
      <c r="G1247" s="1" t="s">
        <v>98</v>
      </c>
      <c r="H1247" s="1" t="s">
        <v>95</v>
      </c>
      <c r="I1247" s="1">
        <v>9.1999999999999993</v>
      </c>
      <c r="J1247" s="1" t="s">
        <v>95</v>
      </c>
      <c r="M1247" s="1" t="s">
        <v>102</v>
      </c>
      <c r="O1247" s="1">
        <v>1</v>
      </c>
    </row>
    <row r="1248" spans="1:16" ht="14.25" customHeight="1" x14ac:dyDescent="0.3">
      <c r="A1248" s="1" t="s">
        <v>68</v>
      </c>
      <c r="B1248" s="1">
        <v>10</v>
      </c>
      <c r="C1248" s="1">
        <v>11</v>
      </c>
      <c r="D1248" s="1" t="str">
        <f t="shared" si="19"/>
        <v>Yes</v>
      </c>
      <c r="E1248" s="1">
        <v>7.2</v>
      </c>
      <c r="F1248" s="1">
        <v>259</v>
      </c>
      <c r="G1248" s="1" t="s">
        <v>93</v>
      </c>
      <c r="H1248" s="1" t="s">
        <v>95</v>
      </c>
      <c r="I1248" s="1">
        <v>100.5</v>
      </c>
      <c r="J1248" s="1" t="s">
        <v>95</v>
      </c>
      <c r="M1248" s="1" t="s">
        <v>102</v>
      </c>
      <c r="O1248" s="1">
        <v>1</v>
      </c>
    </row>
    <row r="1249" spans="1:16" ht="14.25" customHeight="1" x14ac:dyDescent="0.3">
      <c r="A1249" s="1" t="s">
        <v>68</v>
      </c>
      <c r="B1249" s="1">
        <v>10</v>
      </c>
      <c r="C1249" s="1">
        <v>12</v>
      </c>
      <c r="D1249" s="1" t="str">
        <f t="shared" si="19"/>
        <v>Yes</v>
      </c>
      <c r="E1249" s="1">
        <v>6</v>
      </c>
      <c r="F1249" s="1">
        <v>266</v>
      </c>
      <c r="G1249" s="1" t="s">
        <v>93</v>
      </c>
      <c r="H1249" s="1" t="s">
        <v>95</v>
      </c>
      <c r="I1249" s="1">
        <v>95</v>
      </c>
      <c r="J1249" s="1" t="s">
        <v>95</v>
      </c>
      <c r="M1249" s="1" t="s">
        <v>102</v>
      </c>
    </row>
    <row r="1250" spans="1:16" ht="14.25" customHeight="1" x14ac:dyDescent="0.3">
      <c r="A1250" s="1" t="s">
        <v>68</v>
      </c>
      <c r="B1250" s="1">
        <v>10</v>
      </c>
      <c r="C1250" s="1">
        <v>5</v>
      </c>
      <c r="D1250" s="1" t="str">
        <f t="shared" si="19"/>
        <v>Yes</v>
      </c>
      <c r="E1250" s="1">
        <v>10.9</v>
      </c>
      <c r="F1250" s="1">
        <v>110</v>
      </c>
      <c r="G1250" s="1" t="s">
        <v>93</v>
      </c>
      <c r="H1250" s="1" t="s">
        <v>95</v>
      </c>
      <c r="I1250" s="1">
        <v>57.8</v>
      </c>
      <c r="J1250" s="1" t="s">
        <v>95</v>
      </c>
      <c r="M1250" s="1" t="s">
        <v>102</v>
      </c>
      <c r="O1250" s="1">
        <v>5</v>
      </c>
    </row>
    <row r="1251" spans="1:16" ht="14.25" customHeight="1" x14ac:dyDescent="0.3">
      <c r="A1251" s="1" t="s">
        <v>68</v>
      </c>
      <c r="B1251" s="1">
        <v>10</v>
      </c>
      <c r="C1251" s="1">
        <v>3</v>
      </c>
      <c r="D1251" s="1" t="str">
        <f t="shared" si="19"/>
        <v>Yes</v>
      </c>
      <c r="E1251" s="1">
        <v>9.1999999999999993</v>
      </c>
      <c r="F1251" s="1">
        <v>32</v>
      </c>
      <c r="G1251" s="1" t="s">
        <v>93</v>
      </c>
      <c r="H1251" s="1" t="s">
        <v>95</v>
      </c>
      <c r="I1251" s="1">
        <v>53.5</v>
      </c>
      <c r="J1251" s="1" t="s">
        <v>95</v>
      </c>
      <c r="M1251" s="1" t="s">
        <v>102</v>
      </c>
      <c r="O1251" s="1">
        <v>1</v>
      </c>
      <c r="P1251" s="1">
        <v>678</v>
      </c>
    </row>
    <row r="1252" spans="1:16" ht="14.25" customHeight="1" x14ac:dyDescent="0.3">
      <c r="A1252" s="1" t="s">
        <v>68</v>
      </c>
      <c r="B1252" s="1">
        <v>10</v>
      </c>
      <c r="C1252" s="1">
        <v>2</v>
      </c>
      <c r="D1252" s="1" t="str">
        <f t="shared" si="19"/>
        <v>Yes</v>
      </c>
      <c r="E1252" s="1">
        <v>10.9</v>
      </c>
      <c r="F1252" s="1">
        <v>7</v>
      </c>
      <c r="G1252" s="1" t="s">
        <v>93</v>
      </c>
      <c r="H1252" s="1" t="s">
        <v>95</v>
      </c>
      <c r="I1252" s="1">
        <v>37.6</v>
      </c>
      <c r="J1252" s="1" t="s">
        <v>95</v>
      </c>
      <c r="M1252" s="1" t="s">
        <v>102</v>
      </c>
      <c r="O1252" s="1">
        <v>1</v>
      </c>
      <c r="P1252" s="1">
        <v>677</v>
      </c>
    </row>
    <row r="1253" spans="1:16" ht="14.25" customHeight="1" x14ac:dyDescent="0.3">
      <c r="A1253" s="1" t="s">
        <v>68</v>
      </c>
      <c r="B1253" s="1">
        <v>10</v>
      </c>
      <c r="C1253" s="1">
        <v>10</v>
      </c>
      <c r="D1253" s="1" t="str">
        <f t="shared" si="19"/>
        <v>Yes</v>
      </c>
      <c r="E1253" s="1">
        <v>7.9</v>
      </c>
      <c r="F1253" s="1">
        <v>249</v>
      </c>
      <c r="G1253" s="1" t="s">
        <v>93</v>
      </c>
      <c r="H1253" s="1" t="s">
        <v>95</v>
      </c>
      <c r="I1253" s="1">
        <v>36.299999999999997</v>
      </c>
      <c r="J1253" s="1" t="s">
        <v>95</v>
      </c>
      <c r="M1253" s="1" t="s">
        <v>101</v>
      </c>
      <c r="O1253" s="1">
        <v>1</v>
      </c>
    </row>
    <row r="1254" spans="1:16" ht="14.25" customHeight="1" x14ac:dyDescent="0.3">
      <c r="A1254" s="1" t="s">
        <v>68</v>
      </c>
      <c r="B1254" s="1">
        <v>10</v>
      </c>
      <c r="C1254" s="1">
        <v>1</v>
      </c>
      <c r="D1254" s="1" t="str">
        <f t="shared" si="19"/>
        <v>Yes</v>
      </c>
      <c r="E1254" s="1">
        <v>10.199999999999999</v>
      </c>
      <c r="F1254" s="1">
        <v>2</v>
      </c>
      <c r="G1254" s="1" t="s">
        <v>93</v>
      </c>
      <c r="H1254" s="1" t="s">
        <v>95</v>
      </c>
      <c r="I1254" s="1">
        <v>32</v>
      </c>
      <c r="J1254" s="1" t="s">
        <v>95</v>
      </c>
      <c r="M1254" s="1" t="s">
        <v>102</v>
      </c>
      <c r="O1254" s="1">
        <v>1</v>
      </c>
    </row>
    <row r="1255" spans="1:16" ht="14.25" customHeight="1" x14ac:dyDescent="0.3">
      <c r="A1255" s="1" t="s">
        <v>68</v>
      </c>
      <c r="B1255" s="1">
        <v>10</v>
      </c>
      <c r="C1255" s="1">
        <v>4</v>
      </c>
      <c r="D1255" s="1" t="str">
        <f t="shared" si="19"/>
        <v>Yes</v>
      </c>
      <c r="E1255" s="1">
        <v>11</v>
      </c>
      <c r="F1255" s="1">
        <v>104</v>
      </c>
      <c r="G1255" s="1" t="s">
        <v>93</v>
      </c>
      <c r="H1255" s="1" t="s">
        <v>95</v>
      </c>
      <c r="I1255" s="1">
        <v>26.7</v>
      </c>
      <c r="J1255" s="1" t="s">
        <v>95</v>
      </c>
      <c r="M1255" s="1" t="s">
        <v>102</v>
      </c>
      <c r="O1255" s="1">
        <v>1</v>
      </c>
    </row>
    <row r="1256" spans="1:16" ht="14.25" customHeight="1" x14ac:dyDescent="0.3">
      <c r="A1256" s="1" t="s">
        <v>68</v>
      </c>
      <c r="B1256" s="1">
        <v>10</v>
      </c>
      <c r="C1256" s="1">
        <v>9</v>
      </c>
      <c r="D1256" s="1" t="str">
        <f t="shared" si="19"/>
        <v>Yes</v>
      </c>
      <c r="E1256" s="1">
        <v>5.5</v>
      </c>
      <c r="F1256" s="1">
        <v>214</v>
      </c>
      <c r="G1256" s="1" t="s">
        <v>93</v>
      </c>
      <c r="H1256" s="1" t="s">
        <v>95</v>
      </c>
      <c r="I1256" s="1">
        <v>22.5</v>
      </c>
      <c r="J1256" s="1" t="s">
        <v>95</v>
      </c>
      <c r="M1256" s="1" t="s">
        <v>102</v>
      </c>
      <c r="O1256" s="1">
        <v>1</v>
      </c>
    </row>
    <row r="1257" spans="1:16" ht="14.25" customHeight="1" x14ac:dyDescent="0.3">
      <c r="A1257" s="1" t="s">
        <v>68</v>
      </c>
      <c r="B1257" s="1">
        <v>10</v>
      </c>
      <c r="C1257" s="1">
        <v>6</v>
      </c>
      <c r="D1257" s="1" t="str">
        <f t="shared" si="19"/>
        <v>Yes</v>
      </c>
      <c r="E1257" s="1">
        <v>2.7</v>
      </c>
      <c r="F1257" s="1">
        <v>115</v>
      </c>
      <c r="G1257" s="1" t="s">
        <v>93</v>
      </c>
      <c r="H1257" s="1" t="s">
        <v>95</v>
      </c>
      <c r="I1257" s="1">
        <v>19.100000000000001</v>
      </c>
      <c r="J1257" s="1" t="s">
        <v>95</v>
      </c>
      <c r="M1257" s="1" t="s">
        <v>102</v>
      </c>
      <c r="O1257" s="1">
        <v>1</v>
      </c>
    </row>
    <row r="1258" spans="1:16" ht="14.25" customHeight="1" x14ac:dyDescent="0.3">
      <c r="A1258" s="1" t="s">
        <v>68</v>
      </c>
      <c r="B1258" s="1">
        <v>11</v>
      </c>
      <c r="C1258" s="1">
        <v>2</v>
      </c>
      <c r="D1258" s="1" t="str">
        <f t="shared" si="19"/>
        <v>Yes</v>
      </c>
      <c r="E1258" s="1">
        <v>10.9</v>
      </c>
      <c r="F1258" s="1">
        <v>38</v>
      </c>
      <c r="G1258" s="1" t="s">
        <v>93</v>
      </c>
      <c r="H1258" s="1" t="s">
        <v>95</v>
      </c>
      <c r="I1258" s="1">
        <v>25.6</v>
      </c>
      <c r="J1258" s="1" t="s">
        <v>95</v>
      </c>
      <c r="M1258" s="1" t="s">
        <v>101</v>
      </c>
      <c r="O1258" s="1">
        <v>1</v>
      </c>
    </row>
    <row r="1259" spans="1:16" ht="14.25" customHeight="1" x14ac:dyDescent="0.3">
      <c r="A1259" s="1" t="s">
        <v>68</v>
      </c>
      <c r="B1259" s="1">
        <v>11</v>
      </c>
      <c r="C1259" s="1">
        <v>12</v>
      </c>
      <c r="D1259" s="1" t="str">
        <f t="shared" si="19"/>
        <v>Yes</v>
      </c>
      <c r="E1259" s="1">
        <v>11.1</v>
      </c>
      <c r="F1259" s="1">
        <v>241</v>
      </c>
      <c r="G1259" s="1" t="s">
        <v>93</v>
      </c>
      <c r="H1259" s="1" t="s">
        <v>95</v>
      </c>
      <c r="I1259" s="1">
        <v>18.7</v>
      </c>
      <c r="J1259" s="1" t="s">
        <v>95</v>
      </c>
      <c r="M1259" s="1" t="s">
        <v>101</v>
      </c>
      <c r="O1259" s="1">
        <v>1</v>
      </c>
    </row>
    <row r="1260" spans="1:16" ht="14.25" customHeight="1" x14ac:dyDescent="0.3">
      <c r="A1260" s="1" t="s">
        <v>68</v>
      </c>
      <c r="B1260" s="1">
        <v>11</v>
      </c>
      <c r="C1260" s="1">
        <v>5</v>
      </c>
      <c r="D1260" s="1" t="str">
        <f t="shared" si="19"/>
        <v>Yes</v>
      </c>
      <c r="E1260" s="1">
        <v>7.3</v>
      </c>
      <c r="F1260" s="1">
        <v>118</v>
      </c>
      <c r="G1260" s="1" t="s">
        <v>93</v>
      </c>
      <c r="H1260" s="1" t="s">
        <v>95</v>
      </c>
      <c r="I1260" s="1">
        <v>13.5</v>
      </c>
      <c r="J1260" s="1" t="s">
        <v>95</v>
      </c>
      <c r="M1260" s="1" t="s">
        <v>101</v>
      </c>
      <c r="O1260" s="1">
        <v>1</v>
      </c>
    </row>
    <row r="1261" spans="1:16" ht="14.25" customHeight="1" x14ac:dyDescent="0.3">
      <c r="A1261" s="1" t="s">
        <v>68</v>
      </c>
      <c r="B1261" s="1">
        <v>11</v>
      </c>
      <c r="C1261" s="1">
        <v>6</v>
      </c>
      <c r="D1261" s="1" t="str">
        <f t="shared" si="19"/>
        <v>Yes</v>
      </c>
      <c r="E1261" s="1">
        <v>9.3000000000000007</v>
      </c>
      <c r="F1261" s="1">
        <v>125</v>
      </c>
      <c r="G1261" s="1" t="s">
        <v>93</v>
      </c>
      <c r="H1261" s="1" t="s">
        <v>95</v>
      </c>
      <c r="I1261" s="1">
        <v>13.5</v>
      </c>
      <c r="J1261" s="1" t="s">
        <v>95</v>
      </c>
      <c r="M1261" s="1" t="s">
        <v>101</v>
      </c>
      <c r="O1261" s="1">
        <v>1</v>
      </c>
    </row>
    <row r="1262" spans="1:16" ht="14.25" customHeight="1" x14ac:dyDescent="0.3">
      <c r="A1262" s="1" t="s">
        <v>68</v>
      </c>
      <c r="B1262" s="1">
        <v>11</v>
      </c>
      <c r="C1262" s="1">
        <v>3</v>
      </c>
      <c r="D1262" s="1" t="str">
        <f t="shared" si="19"/>
        <v>Yes</v>
      </c>
      <c r="E1262" s="1">
        <v>10.9</v>
      </c>
      <c r="F1262" s="1">
        <v>38</v>
      </c>
      <c r="G1262" s="1" t="s">
        <v>93</v>
      </c>
      <c r="H1262" s="1" t="s">
        <v>95</v>
      </c>
      <c r="I1262" s="1">
        <v>12.5</v>
      </c>
      <c r="J1262" s="1" t="s">
        <v>95</v>
      </c>
      <c r="M1262" s="1" t="s">
        <v>101</v>
      </c>
      <c r="O1262" s="1">
        <v>1</v>
      </c>
    </row>
    <row r="1263" spans="1:16" ht="14.25" customHeight="1" x14ac:dyDescent="0.3">
      <c r="A1263" s="1" t="s">
        <v>68</v>
      </c>
      <c r="B1263" s="1">
        <v>11</v>
      </c>
      <c r="C1263" s="1">
        <v>15</v>
      </c>
      <c r="D1263" s="1" t="str">
        <f t="shared" si="19"/>
        <v>Yes</v>
      </c>
      <c r="E1263" s="1">
        <v>7.4</v>
      </c>
      <c r="F1263" s="1">
        <v>325</v>
      </c>
      <c r="G1263" s="1" t="s">
        <v>93</v>
      </c>
      <c r="H1263" s="1" t="s">
        <v>95</v>
      </c>
      <c r="I1263" s="1">
        <v>12.5</v>
      </c>
      <c r="J1263" s="1" t="s">
        <v>95</v>
      </c>
      <c r="M1263" s="1" t="s">
        <v>101</v>
      </c>
      <c r="O1263" s="1">
        <v>1</v>
      </c>
    </row>
    <row r="1264" spans="1:16" ht="14.25" customHeight="1" x14ac:dyDescent="0.3">
      <c r="A1264" s="1" t="s">
        <v>68</v>
      </c>
      <c r="B1264" s="1">
        <v>11</v>
      </c>
      <c r="C1264" s="1">
        <v>16</v>
      </c>
      <c r="D1264" s="1" t="str">
        <f t="shared" si="19"/>
        <v>Yes</v>
      </c>
      <c r="E1264" s="1">
        <v>8.6999999999999993</v>
      </c>
      <c r="F1264" s="1">
        <v>367</v>
      </c>
      <c r="G1264" s="1" t="s">
        <v>93</v>
      </c>
      <c r="H1264" s="1" t="s">
        <v>95</v>
      </c>
      <c r="I1264" s="1">
        <v>9.4</v>
      </c>
      <c r="J1264" s="1" t="s">
        <v>95</v>
      </c>
      <c r="M1264" s="1" t="s">
        <v>101</v>
      </c>
      <c r="O1264" s="1">
        <v>1</v>
      </c>
    </row>
    <row r="1265" spans="1:18" ht="14.25" customHeight="1" x14ac:dyDescent="0.3">
      <c r="A1265" s="1" t="s">
        <v>68</v>
      </c>
      <c r="B1265" s="1">
        <v>11</v>
      </c>
      <c r="C1265" s="1">
        <v>1</v>
      </c>
      <c r="D1265" s="1" t="str">
        <f t="shared" si="19"/>
        <v>Yes</v>
      </c>
      <c r="E1265" s="1">
        <v>9.1</v>
      </c>
      <c r="F1265" s="1">
        <v>12</v>
      </c>
      <c r="G1265" s="1" t="s">
        <v>109</v>
      </c>
      <c r="H1265" s="1" t="s">
        <v>94</v>
      </c>
      <c r="I1265" s="1">
        <v>49.3</v>
      </c>
      <c r="J1265" s="1" t="s">
        <v>95</v>
      </c>
      <c r="K1265" s="1">
        <v>0</v>
      </c>
      <c r="L1265" s="1">
        <v>25</v>
      </c>
      <c r="M1265" s="1" t="s">
        <v>97</v>
      </c>
      <c r="P1265" s="1">
        <v>687</v>
      </c>
    </row>
    <row r="1266" spans="1:18" ht="14.25" customHeight="1" x14ac:dyDescent="0.3">
      <c r="A1266" s="1" t="s">
        <v>68</v>
      </c>
      <c r="B1266" s="1">
        <v>11</v>
      </c>
      <c r="C1266" s="1">
        <v>13</v>
      </c>
      <c r="D1266" s="1" t="str">
        <f t="shared" si="19"/>
        <v>Yes</v>
      </c>
      <c r="E1266" s="1">
        <v>9.1</v>
      </c>
      <c r="F1266" s="1">
        <v>248</v>
      </c>
      <c r="G1266" s="1" t="s">
        <v>93</v>
      </c>
      <c r="H1266" s="1" t="s">
        <v>94</v>
      </c>
      <c r="I1266" s="1">
        <v>40</v>
      </c>
      <c r="J1266" s="1" t="s">
        <v>95</v>
      </c>
      <c r="K1266" s="1">
        <v>0</v>
      </c>
      <c r="L1266" s="1">
        <v>0</v>
      </c>
      <c r="M1266" s="1" t="s">
        <v>102</v>
      </c>
      <c r="N1266" s="1" t="s">
        <v>153</v>
      </c>
      <c r="Q1266" s="1" t="s">
        <v>199</v>
      </c>
    </row>
    <row r="1267" spans="1:18" ht="14.25" customHeight="1" x14ac:dyDescent="0.3">
      <c r="A1267" s="1" t="s">
        <v>68</v>
      </c>
      <c r="B1267" s="1">
        <v>11</v>
      </c>
      <c r="C1267" s="1">
        <v>14</v>
      </c>
      <c r="D1267" s="1" t="str">
        <f t="shared" si="19"/>
        <v>Yes</v>
      </c>
      <c r="E1267" s="1">
        <v>6.7</v>
      </c>
      <c r="F1267" s="1">
        <v>260</v>
      </c>
      <c r="G1267" s="1" t="s">
        <v>93</v>
      </c>
      <c r="H1267" s="1" t="s">
        <v>94</v>
      </c>
      <c r="I1267" s="1">
        <v>36</v>
      </c>
      <c r="J1267" s="1" t="s">
        <v>95</v>
      </c>
      <c r="K1267" s="1">
        <v>0</v>
      </c>
      <c r="L1267" s="1">
        <v>0</v>
      </c>
      <c r="M1267" s="1" t="s">
        <v>102</v>
      </c>
      <c r="N1267" s="1" t="s">
        <v>153</v>
      </c>
      <c r="P1267" s="1">
        <v>688</v>
      </c>
      <c r="R1267" s="1"/>
    </row>
    <row r="1268" spans="1:18" ht="14.25" customHeight="1" x14ac:dyDescent="0.3">
      <c r="A1268" s="1" t="s">
        <v>68</v>
      </c>
      <c r="B1268" s="1">
        <v>11</v>
      </c>
      <c r="C1268" s="1">
        <v>11</v>
      </c>
      <c r="D1268" s="1" t="str">
        <f t="shared" si="19"/>
        <v>Yes</v>
      </c>
      <c r="E1268" s="1">
        <v>8.1999999999999993</v>
      </c>
      <c r="F1268" s="1">
        <v>197</v>
      </c>
      <c r="G1268" s="1" t="s">
        <v>93</v>
      </c>
      <c r="H1268" s="1" t="s">
        <v>94</v>
      </c>
      <c r="I1268" s="1">
        <v>32.4</v>
      </c>
      <c r="J1268" s="1" t="s">
        <v>95</v>
      </c>
      <c r="K1268" s="1">
        <v>0</v>
      </c>
      <c r="L1268" s="1">
        <v>1</v>
      </c>
      <c r="M1268" s="1" t="s">
        <v>102</v>
      </c>
      <c r="N1268" s="1" t="s">
        <v>197</v>
      </c>
      <c r="R1268" s="1"/>
    </row>
    <row r="1269" spans="1:18" ht="14.25" customHeight="1" x14ac:dyDescent="0.3">
      <c r="A1269" s="1" t="s">
        <v>68</v>
      </c>
      <c r="B1269" s="1">
        <v>11</v>
      </c>
      <c r="C1269" s="1">
        <v>10</v>
      </c>
      <c r="D1269" s="1" t="str">
        <f t="shared" si="19"/>
        <v>Yes</v>
      </c>
      <c r="E1269" s="1">
        <v>4.9000000000000004</v>
      </c>
      <c r="F1269" s="1">
        <v>199</v>
      </c>
      <c r="G1269" s="1" t="s">
        <v>93</v>
      </c>
      <c r="H1269" s="1" t="s">
        <v>94</v>
      </c>
      <c r="I1269" s="1">
        <v>27.8</v>
      </c>
      <c r="J1269" s="1" t="s">
        <v>95</v>
      </c>
      <c r="K1269" s="1">
        <v>0</v>
      </c>
      <c r="L1269" s="1">
        <v>0</v>
      </c>
      <c r="M1269" s="1" t="s">
        <v>102</v>
      </c>
      <c r="N1269" s="1" t="s">
        <v>200</v>
      </c>
      <c r="Q1269" s="1" t="s">
        <v>201</v>
      </c>
      <c r="R1269" s="1"/>
    </row>
    <row r="1270" spans="1:18" ht="14.25" customHeight="1" x14ac:dyDescent="0.3">
      <c r="A1270" s="1" t="s">
        <v>68</v>
      </c>
      <c r="B1270" s="1">
        <v>11</v>
      </c>
      <c r="C1270" s="1">
        <v>8</v>
      </c>
      <c r="D1270" s="1" t="str">
        <f t="shared" si="19"/>
        <v>Yes</v>
      </c>
      <c r="E1270" s="1">
        <v>2.7</v>
      </c>
      <c r="F1270" s="1">
        <v>147</v>
      </c>
      <c r="G1270" s="1" t="s">
        <v>93</v>
      </c>
      <c r="H1270" s="1" t="s">
        <v>94</v>
      </c>
      <c r="I1270" s="1">
        <v>19.2</v>
      </c>
      <c r="J1270" s="1" t="s">
        <v>95</v>
      </c>
      <c r="K1270" s="1">
        <v>0</v>
      </c>
      <c r="L1270" s="1">
        <v>5</v>
      </c>
      <c r="M1270" s="1" t="s">
        <v>101</v>
      </c>
      <c r="N1270" s="1" t="s">
        <v>197</v>
      </c>
      <c r="P1270" s="1">
        <v>686</v>
      </c>
      <c r="Q1270" s="1" t="s">
        <v>198</v>
      </c>
    </row>
    <row r="1271" spans="1:18" ht="14.25" customHeight="1" x14ac:dyDescent="0.3">
      <c r="A1271" s="1" t="s">
        <v>68</v>
      </c>
      <c r="B1271" s="1">
        <v>11</v>
      </c>
      <c r="C1271" s="1">
        <v>9</v>
      </c>
      <c r="D1271" s="1" t="str">
        <f t="shared" si="19"/>
        <v>Yes</v>
      </c>
      <c r="E1271" s="1">
        <v>10.6</v>
      </c>
      <c r="F1271" s="1">
        <v>165</v>
      </c>
      <c r="G1271" s="1" t="s">
        <v>93</v>
      </c>
      <c r="H1271" s="1" t="s">
        <v>94</v>
      </c>
      <c r="I1271" s="1">
        <v>16.5</v>
      </c>
      <c r="J1271" s="1" t="s">
        <v>95</v>
      </c>
      <c r="K1271" s="1">
        <v>0</v>
      </c>
      <c r="L1271" s="1">
        <v>15</v>
      </c>
      <c r="M1271" s="1" t="s">
        <v>101</v>
      </c>
      <c r="N1271" s="1" t="s">
        <v>197</v>
      </c>
      <c r="Q1271" s="1" t="s">
        <v>199</v>
      </c>
    </row>
    <row r="1272" spans="1:18" ht="14.25" customHeight="1" x14ac:dyDescent="0.3">
      <c r="A1272" s="1" t="s">
        <v>68</v>
      </c>
      <c r="B1272" s="1">
        <v>11</v>
      </c>
      <c r="C1272" s="1">
        <v>4</v>
      </c>
      <c r="D1272" s="1" t="str">
        <f t="shared" si="19"/>
        <v>Yes</v>
      </c>
      <c r="E1272" s="1">
        <v>4.2</v>
      </c>
      <c r="F1272" s="1">
        <v>87</v>
      </c>
      <c r="G1272" s="1" t="s">
        <v>93</v>
      </c>
      <c r="H1272" s="1" t="s">
        <v>94</v>
      </c>
      <c r="I1272" s="1">
        <v>14.8</v>
      </c>
      <c r="J1272" s="1" t="s">
        <v>95</v>
      </c>
      <c r="K1272" s="1">
        <v>1</v>
      </c>
      <c r="L1272" s="1">
        <v>10</v>
      </c>
      <c r="M1272" s="1" t="s">
        <v>101</v>
      </c>
      <c r="N1272" s="1" t="s">
        <v>197</v>
      </c>
      <c r="R1272" s="1"/>
    </row>
    <row r="1273" spans="1:18" ht="14.25" customHeight="1" x14ac:dyDescent="0.3">
      <c r="A1273" s="1" t="s">
        <v>68</v>
      </c>
      <c r="B1273" s="1">
        <v>11</v>
      </c>
      <c r="C1273" s="1">
        <v>7</v>
      </c>
      <c r="D1273" s="1" t="str">
        <f t="shared" si="19"/>
        <v>Yes</v>
      </c>
      <c r="E1273" s="1">
        <v>7.3</v>
      </c>
      <c r="F1273" s="1">
        <v>131</v>
      </c>
      <c r="G1273" s="1" t="s">
        <v>93</v>
      </c>
      <c r="H1273" s="1" t="s">
        <v>94</v>
      </c>
      <c r="I1273" s="1">
        <v>13</v>
      </c>
      <c r="J1273" s="1" t="s">
        <v>95</v>
      </c>
      <c r="K1273" s="1">
        <v>0</v>
      </c>
      <c r="L1273" s="1">
        <v>1</v>
      </c>
      <c r="M1273" s="1" t="s">
        <v>101</v>
      </c>
      <c r="N1273" s="1" t="s">
        <v>100</v>
      </c>
    </row>
    <row r="1274" spans="1:18" ht="14.25" customHeight="1" x14ac:dyDescent="0.3">
      <c r="A1274" s="1" t="s">
        <v>68</v>
      </c>
      <c r="B1274" s="1">
        <v>12</v>
      </c>
      <c r="D1274" s="1" t="str">
        <f t="shared" si="19"/>
        <v>No</v>
      </c>
      <c r="E1274" s="1">
        <v>15</v>
      </c>
      <c r="F1274" s="1">
        <v>266</v>
      </c>
      <c r="G1274" s="1" t="s">
        <v>106</v>
      </c>
      <c r="H1274" s="1" t="s">
        <v>95</v>
      </c>
      <c r="I1274" s="1">
        <v>110.3</v>
      </c>
      <c r="J1274" s="1" t="s">
        <v>95</v>
      </c>
      <c r="M1274" s="1" t="s">
        <v>102</v>
      </c>
      <c r="O1274" s="1">
        <v>1</v>
      </c>
      <c r="P1274" s="1">
        <v>669</v>
      </c>
    </row>
    <row r="1275" spans="1:18" ht="14.25" customHeight="1" x14ac:dyDescent="0.3">
      <c r="A1275" s="1" t="s">
        <v>68</v>
      </c>
      <c r="B1275" s="1">
        <v>12</v>
      </c>
      <c r="C1275" s="1">
        <v>1</v>
      </c>
      <c r="D1275" s="1" t="str">
        <f t="shared" si="19"/>
        <v>No</v>
      </c>
      <c r="E1275" s="1">
        <v>12.6</v>
      </c>
      <c r="F1275" s="1">
        <v>66</v>
      </c>
      <c r="G1275" s="1" t="s">
        <v>93</v>
      </c>
      <c r="H1275" s="1" t="s">
        <v>95</v>
      </c>
      <c r="I1275" s="1">
        <v>86.2</v>
      </c>
      <c r="J1275" s="1" t="s">
        <v>95</v>
      </c>
      <c r="M1275" s="1" t="s">
        <v>102</v>
      </c>
      <c r="O1275" s="1">
        <v>5</v>
      </c>
    </row>
    <row r="1276" spans="1:18" ht="14.25" customHeight="1" x14ac:dyDescent="0.3">
      <c r="A1276" s="1" t="s">
        <v>68</v>
      </c>
      <c r="B1276" s="1">
        <v>12</v>
      </c>
      <c r="D1276" s="1" t="str">
        <f t="shared" si="19"/>
        <v>No</v>
      </c>
      <c r="E1276" s="1">
        <v>16.5</v>
      </c>
      <c r="F1276" s="1">
        <v>151</v>
      </c>
      <c r="G1276" s="1" t="s">
        <v>96</v>
      </c>
      <c r="H1276" s="1" t="s">
        <v>94</v>
      </c>
      <c r="I1276" s="1">
        <v>8.6999999999999993</v>
      </c>
      <c r="J1276" s="1" t="s">
        <v>95</v>
      </c>
      <c r="K1276" s="1">
        <v>35</v>
      </c>
      <c r="L1276" s="1">
        <v>25</v>
      </c>
      <c r="M1276" s="1" t="s">
        <v>95</v>
      </c>
      <c r="N1276" s="1" t="s">
        <v>186</v>
      </c>
      <c r="P1276" s="1">
        <v>646</v>
      </c>
      <c r="Q1276" s="1" t="s">
        <v>175</v>
      </c>
      <c r="R1276" s="1"/>
    </row>
    <row r="1277" spans="1:18" ht="14.25" customHeight="1" x14ac:dyDescent="0.3">
      <c r="A1277" s="1" t="s">
        <v>68</v>
      </c>
      <c r="B1277" s="1">
        <v>12</v>
      </c>
      <c r="C1277" s="1">
        <v>19</v>
      </c>
      <c r="D1277" s="1" t="str">
        <f t="shared" si="19"/>
        <v>Yes</v>
      </c>
      <c r="E1277" s="1">
        <v>9</v>
      </c>
      <c r="F1277" s="1">
        <v>318</v>
      </c>
      <c r="G1277" s="1" t="s">
        <v>98</v>
      </c>
      <c r="H1277" s="1" t="s">
        <v>95</v>
      </c>
      <c r="I1277" s="1">
        <v>35.1</v>
      </c>
      <c r="J1277" s="1" t="s">
        <v>95</v>
      </c>
      <c r="M1277" s="1" t="s">
        <v>101</v>
      </c>
      <c r="O1277" s="1">
        <v>1</v>
      </c>
      <c r="Q1277" s="1" t="s">
        <v>174</v>
      </c>
    </row>
    <row r="1278" spans="1:18" ht="14.25" customHeight="1" x14ac:dyDescent="0.3">
      <c r="A1278" s="1" t="s">
        <v>68</v>
      </c>
      <c r="B1278" s="1">
        <v>12</v>
      </c>
      <c r="C1278" s="1">
        <v>10</v>
      </c>
      <c r="D1278" s="1" t="str">
        <f t="shared" si="19"/>
        <v>Yes</v>
      </c>
      <c r="E1278" s="1">
        <v>7.6</v>
      </c>
      <c r="F1278" s="1">
        <v>163</v>
      </c>
      <c r="G1278" s="1" t="s">
        <v>109</v>
      </c>
      <c r="H1278" s="1" t="s">
        <v>95</v>
      </c>
      <c r="I1278" s="1">
        <v>80</v>
      </c>
      <c r="J1278" s="1" t="s">
        <v>101</v>
      </c>
      <c r="M1278" s="1" t="s">
        <v>102</v>
      </c>
      <c r="O1278" s="1">
        <v>5</v>
      </c>
      <c r="Q1278" s="1" t="s">
        <v>176</v>
      </c>
    </row>
    <row r="1279" spans="1:18" ht="14.25" customHeight="1" x14ac:dyDescent="0.3">
      <c r="A1279" s="1" t="s">
        <v>68</v>
      </c>
      <c r="B1279" s="1">
        <v>12</v>
      </c>
      <c r="C1279" s="1">
        <v>9</v>
      </c>
      <c r="D1279" s="1" t="str">
        <f t="shared" si="19"/>
        <v>Yes</v>
      </c>
      <c r="E1279" s="1">
        <v>8.5</v>
      </c>
      <c r="F1279" s="1">
        <v>160</v>
      </c>
      <c r="G1279" s="1" t="s">
        <v>109</v>
      </c>
      <c r="H1279" s="1" t="s">
        <v>95</v>
      </c>
      <c r="I1279" s="1">
        <v>73</v>
      </c>
      <c r="J1279" s="1" t="s">
        <v>101</v>
      </c>
      <c r="M1279" s="1" t="s">
        <v>102</v>
      </c>
      <c r="O1279" s="1">
        <v>5</v>
      </c>
      <c r="Q1279" s="1" t="s">
        <v>176</v>
      </c>
      <c r="R1279" s="1"/>
    </row>
    <row r="1280" spans="1:18" ht="14.25" customHeight="1" x14ac:dyDescent="0.3">
      <c r="A1280" s="1" t="s">
        <v>68</v>
      </c>
      <c r="B1280" s="1">
        <v>12</v>
      </c>
      <c r="C1280" s="1">
        <v>11</v>
      </c>
      <c r="D1280" s="1" t="str">
        <f t="shared" si="19"/>
        <v>Yes</v>
      </c>
      <c r="E1280" s="1">
        <v>3.2</v>
      </c>
      <c r="F1280" s="1">
        <v>216</v>
      </c>
      <c r="G1280" s="1" t="s">
        <v>109</v>
      </c>
      <c r="H1280" s="1" t="s">
        <v>95</v>
      </c>
      <c r="I1280" s="1">
        <v>70</v>
      </c>
      <c r="J1280" s="1" t="s">
        <v>101</v>
      </c>
      <c r="M1280" s="1" t="s">
        <v>102</v>
      </c>
      <c r="O1280" s="1">
        <v>5</v>
      </c>
    </row>
    <row r="1281" spans="1:18" ht="14.25" customHeight="1" x14ac:dyDescent="0.3">
      <c r="A1281" s="1" t="s">
        <v>68</v>
      </c>
      <c r="B1281" s="1">
        <v>12</v>
      </c>
      <c r="C1281" s="1">
        <v>17</v>
      </c>
      <c r="D1281" s="1" t="str">
        <f t="shared" si="19"/>
        <v>Yes</v>
      </c>
      <c r="E1281" s="1">
        <v>6.9</v>
      </c>
      <c r="F1281" s="1">
        <v>302</v>
      </c>
      <c r="G1281" s="1" t="s">
        <v>109</v>
      </c>
      <c r="H1281" s="1" t="s">
        <v>95</v>
      </c>
      <c r="I1281" s="1">
        <v>27</v>
      </c>
      <c r="J1281" s="1" t="s">
        <v>101</v>
      </c>
      <c r="M1281" s="1" t="s">
        <v>101</v>
      </c>
      <c r="O1281" s="1">
        <v>5</v>
      </c>
      <c r="Q1281" s="1" t="s">
        <v>176</v>
      </c>
    </row>
    <row r="1282" spans="1:18" ht="14.25" customHeight="1" x14ac:dyDescent="0.3">
      <c r="A1282" s="1" t="s">
        <v>68</v>
      </c>
      <c r="B1282" s="1">
        <v>12</v>
      </c>
      <c r="C1282" s="1">
        <v>12</v>
      </c>
      <c r="D1282" s="1" t="str">
        <f t="shared" ref="D1282:D1345" si="20">IF(E1282&gt;12.5, "No", "Yes")</f>
        <v>Yes</v>
      </c>
      <c r="E1282" s="1">
        <v>9</v>
      </c>
      <c r="F1282" s="1">
        <v>232</v>
      </c>
      <c r="G1282" s="1" t="s">
        <v>109</v>
      </c>
      <c r="H1282" s="1" t="s">
        <v>95</v>
      </c>
      <c r="I1282" s="1">
        <v>12.1</v>
      </c>
      <c r="J1282" s="1" t="s">
        <v>95</v>
      </c>
      <c r="M1282" s="1" t="s">
        <v>101</v>
      </c>
      <c r="O1282" s="1">
        <v>1</v>
      </c>
    </row>
    <row r="1283" spans="1:18" ht="14.25" customHeight="1" x14ac:dyDescent="0.3">
      <c r="A1283" s="1" t="s">
        <v>68</v>
      </c>
      <c r="B1283" s="1">
        <v>12</v>
      </c>
      <c r="C1283" s="1">
        <v>13</v>
      </c>
      <c r="D1283" s="1" t="str">
        <f t="shared" si="20"/>
        <v>Yes</v>
      </c>
      <c r="E1283" s="1">
        <v>8.6999999999999993</v>
      </c>
      <c r="F1283" s="1">
        <v>235</v>
      </c>
      <c r="G1283" s="1" t="s">
        <v>109</v>
      </c>
      <c r="H1283" s="1" t="s">
        <v>95</v>
      </c>
      <c r="I1283" s="1">
        <v>12</v>
      </c>
      <c r="J1283" s="1" t="s">
        <v>101</v>
      </c>
      <c r="M1283" s="1" t="s">
        <v>101</v>
      </c>
      <c r="O1283" s="1">
        <v>5</v>
      </c>
      <c r="Q1283" s="1" t="s">
        <v>176</v>
      </c>
    </row>
    <row r="1284" spans="1:18" ht="14.25" customHeight="1" x14ac:dyDescent="0.3">
      <c r="A1284" s="1" t="s">
        <v>68</v>
      </c>
      <c r="B1284" s="1">
        <v>12</v>
      </c>
      <c r="C1284" s="1">
        <v>2</v>
      </c>
      <c r="D1284" s="1" t="str">
        <f t="shared" si="20"/>
        <v>Yes</v>
      </c>
      <c r="E1284" s="1">
        <v>12.5</v>
      </c>
      <c r="F1284" s="1">
        <v>70</v>
      </c>
      <c r="G1284" s="1" t="s">
        <v>93</v>
      </c>
      <c r="H1284" s="1" t="s">
        <v>95</v>
      </c>
      <c r="I1284" s="1">
        <v>84.9</v>
      </c>
      <c r="J1284" s="1" t="s">
        <v>95</v>
      </c>
      <c r="M1284" s="1" t="s">
        <v>102</v>
      </c>
      <c r="O1284" s="1">
        <v>5</v>
      </c>
      <c r="Q1284" s="1" t="s">
        <v>176</v>
      </c>
      <c r="R1284" s="1"/>
    </row>
    <row r="1285" spans="1:18" ht="14.25" customHeight="1" x14ac:dyDescent="0.3">
      <c r="A1285" s="1" t="s">
        <v>68</v>
      </c>
      <c r="B1285" s="1">
        <v>12</v>
      </c>
      <c r="C1285" s="1">
        <v>22</v>
      </c>
      <c r="D1285" s="1" t="str">
        <f t="shared" si="20"/>
        <v>Yes</v>
      </c>
      <c r="E1285" s="1">
        <v>11.1</v>
      </c>
      <c r="F1285" s="1">
        <v>349</v>
      </c>
      <c r="G1285" s="1" t="s">
        <v>93</v>
      </c>
      <c r="H1285" s="1" t="s">
        <v>95</v>
      </c>
      <c r="I1285" s="1">
        <v>60.3</v>
      </c>
      <c r="J1285" s="1" t="s">
        <v>95</v>
      </c>
      <c r="M1285" s="1" t="s">
        <v>102</v>
      </c>
      <c r="O1285" s="1">
        <v>1</v>
      </c>
      <c r="P1285" s="1">
        <v>670</v>
      </c>
    </row>
    <row r="1286" spans="1:18" ht="14.25" customHeight="1" x14ac:dyDescent="0.3">
      <c r="A1286" s="1" t="s">
        <v>68</v>
      </c>
      <c r="B1286" s="1">
        <v>12</v>
      </c>
      <c r="C1286" s="1">
        <v>3</v>
      </c>
      <c r="D1286" s="1" t="str">
        <f t="shared" si="20"/>
        <v>Yes</v>
      </c>
      <c r="E1286" s="1">
        <v>10.5</v>
      </c>
      <c r="F1286" s="1">
        <v>73</v>
      </c>
      <c r="G1286" s="1" t="s">
        <v>93</v>
      </c>
      <c r="H1286" s="1" t="s">
        <v>95</v>
      </c>
      <c r="I1286" s="1">
        <v>49.8</v>
      </c>
      <c r="J1286" s="1" t="s">
        <v>95</v>
      </c>
      <c r="M1286" s="1" t="s">
        <v>102</v>
      </c>
      <c r="O1286" s="1">
        <v>5</v>
      </c>
    </row>
    <row r="1287" spans="1:18" ht="14.25" customHeight="1" x14ac:dyDescent="0.3">
      <c r="A1287" s="1" t="s">
        <v>68</v>
      </c>
      <c r="B1287" s="1">
        <v>12</v>
      </c>
      <c r="C1287" s="1">
        <v>5</v>
      </c>
      <c r="D1287" s="1" t="str">
        <f t="shared" si="20"/>
        <v>Yes</v>
      </c>
      <c r="E1287" s="1">
        <v>6.4</v>
      </c>
      <c r="F1287" s="1">
        <v>144</v>
      </c>
      <c r="G1287" s="1" t="s">
        <v>93</v>
      </c>
      <c r="H1287" s="1" t="s">
        <v>95</v>
      </c>
      <c r="I1287" s="1">
        <v>48.8</v>
      </c>
      <c r="J1287" s="1" t="s">
        <v>95</v>
      </c>
      <c r="M1287" s="1" t="s">
        <v>102</v>
      </c>
      <c r="O1287" s="1">
        <v>5</v>
      </c>
    </row>
    <row r="1288" spans="1:18" ht="14.25" customHeight="1" x14ac:dyDescent="0.3">
      <c r="A1288" s="1" t="s">
        <v>68</v>
      </c>
      <c r="B1288" s="1">
        <v>12</v>
      </c>
      <c r="C1288" s="1">
        <v>6</v>
      </c>
      <c r="D1288" s="1" t="str">
        <f t="shared" si="20"/>
        <v>Yes</v>
      </c>
      <c r="E1288" s="1">
        <v>5.2</v>
      </c>
      <c r="F1288" s="1">
        <v>148</v>
      </c>
      <c r="G1288" s="1" t="s">
        <v>93</v>
      </c>
      <c r="H1288" s="1" t="s">
        <v>95</v>
      </c>
      <c r="I1288" s="1">
        <v>43.2</v>
      </c>
      <c r="J1288" s="1" t="s">
        <v>95</v>
      </c>
      <c r="M1288" s="1" t="s">
        <v>102</v>
      </c>
      <c r="O1288" s="1">
        <v>1</v>
      </c>
      <c r="R1288" s="1"/>
    </row>
    <row r="1289" spans="1:18" ht="14.25" customHeight="1" x14ac:dyDescent="0.3">
      <c r="A1289" s="1" t="s">
        <v>68</v>
      </c>
      <c r="B1289" s="1">
        <v>12</v>
      </c>
      <c r="C1289" s="1">
        <v>4</v>
      </c>
      <c r="D1289" s="1" t="str">
        <f t="shared" si="20"/>
        <v>Yes</v>
      </c>
      <c r="E1289" s="1">
        <v>8.6999999999999993</v>
      </c>
      <c r="F1289" s="1">
        <v>118</v>
      </c>
      <c r="G1289" s="1" t="s">
        <v>93</v>
      </c>
      <c r="H1289" s="1" t="s">
        <v>95</v>
      </c>
      <c r="I1289" s="1">
        <v>40.1</v>
      </c>
      <c r="J1289" s="1" t="s">
        <v>95</v>
      </c>
      <c r="M1289" s="1" t="s">
        <v>102</v>
      </c>
      <c r="O1289" s="1">
        <v>1</v>
      </c>
      <c r="R1289" s="1"/>
    </row>
    <row r="1290" spans="1:18" ht="14.25" customHeight="1" x14ac:dyDescent="0.3">
      <c r="A1290" s="1" t="s">
        <v>68</v>
      </c>
      <c r="B1290" s="1">
        <v>12</v>
      </c>
      <c r="C1290" s="1">
        <v>20</v>
      </c>
      <c r="D1290" s="1" t="str">
        <f t="shared" si="20"/>
        <v>Yes</v>
      </c>
      <c r="E1290" s="1">
        <v>10.3</v>
      </c>
      <c r="F1290" s="1">
        <v>318</v>
      </c>
      <c r="G1290" s="1" t="s">
        <v>93</v>
      </c>
      <c r="H1290" s="1" t="s">
        <v>95</v>
      </c>
      <c r="I1290" s="1">
        <v>26.1</v>
      </c>
      <c r="J1290" s="1" t="s">
        <v>95</v>
      </c>
      <c r="M1290" s="1" t="s">
        <v>101</v>
      </c>
      <c r="O1290" s="1">
        <v>1</v>
      </c>
    </row>
    <row r="1291" spans="1:18" ht="14.25" customHeight="1" x14ac:dyDescent="0.3">
      <c r="A1291" s="1" t="s">
        <v>68</v>
      </c>
      <c r="B1291" s="1">
        <v>12</v>
      </c>
      <c r="C1291" s="1">
        <v>21</v>
      </c>
      <c r="D1291" s="1" t="str">
        <f t="shared" si="20"/>
        <v>Yes</v>
      </c>
      <c r="E1291" s="1">
        <v>9.1</v>
      </c>
      <c r="F1291" s="1">
        <v>327</v>
      </c>
      <c r="G1291" s="1" t="s">
        <v>93</v>
      </c>
      <c r="H1291" s="1" t="s">
        <v>95</v>
      </c>
      <c r="I1291" s="1">
        <v>23</v>
      </c>
      <c r="J1291" s="1" t="s">
        <v>95</v>
      </c>
      <c r="M1291" s="1" t="s">
        <v>101</v>
      </c>
      <c r="O1291" s="1">
        <v>1</v>
      </c>
    </row>
    <row r="1292" spans="1:18" ht="14.25" customHeight="1" x14ac:dyDescent="0.3">
      <c r="A1292" s="1" t="s">
        <v>68</v>
      </c>
      <c r="B1292" s="1">
        <v>12</v>
      </c>
      <c r="C1292" s="1">
        <v>14</v>
      </c>
      <c r="D1292" s="1" t="str">
        <f t="shared" si="20"/>
        <v>Yes</v>
      </c>
      <c r="E1292" s="1">
        <v>7.3</v>
      </c>
      <c r="F1292" s="1">
        <v>239</v>
      </c>
      <c r="G1292" s="1" t="s">
        <v>93</v>
      </c>
      <c r="H1292" s="1" t="s">
        <v>95</v>
      </c>
      <c r="I1292" s="1">
        <v>20.8</v>
      </c>
      <c r="J1292" s="1" t="s">
        <v>95</v>
      </c>
      <c r="M1292" s="1" t="s">
        <v>101</v>
      </c>
      <c r="O1292" s="1">
        <v>1</v>
      </c>
    </row>
    <row r="1293" spans="1:18" ht="14.25" customHeight="1" x14ac:dyDescent="0.3">
      <c r="A1293" s="1" t="s">
        <v>68</v>
      </c>
      <c r="B1293" s="1">
        <v>12</v>
      </c>
      <c r="C1293" s="1">
        <v>8</v>
      </c>
      <c r="D1293" s="1" t="str">
        <f t="shared" si="20"/>
        <v>Yes</v>
      </c>
      <c r="E1293" s="1">
        <v>6.6</v>
      </c>
      <c r="F1293" s="1">
        <v>119</v>
      </c>
      <c r="G1293" s="1" t="s">
        <v>93</v>
      </c>
      <c r="H1293" s="1" t="s">
        <v>95</v>
      </c>
      <c r="I1293" s="1">
        <v>20</v>
      </c>
      <c r="J1293" s="1" t="s">
        <v>101</v>
      </c>
      <c r="M1293" s="1" t="s">
        <v>101</v>
      </c>
      <c r="O1293" s="1">
        <v>5</v>
      </c>
      <c r="Q1293" s="1" t="s">
        <v>176</v>
      </c>
    </row>
    <row r="1294" spans="1:18" ht="14.25" customHeight="1" x14ac:dyDescent="0.3">
      <c r="A1294" s="1" t="s">
        <v>68</v>
      </c>
      <c r="B1294" s="1">
        <v>12</v>
      </c>
      <c r="C1294" s="1">
        <v>15</v>
      </c>
      <c r="D1294" s="1" t="str">
        <f t="shared" si="20"/>
        <v>Yes</v>
      </c>
      <c r="E1294" s="1">
        <v>8.4</v>
      </c>
      <c r="F1294" s="1">
        <v>240</v>
      </c>
      <c r="G1294" s="1" t="s">
        <v>93</v>
      </c>
      <c r="H1294" s="1" t="s">
        <v>95</v>
      </c>
      <c r="I1294" s="1">
        <v>14</v>
      </c>
      <c r="J1294" s="1" t="s">
        <v>101</v>
      </c>
      <c r="M1294" s="1" t="s">
        <v>101</v>
      </c>
      <c r="O1294" s="1">
        <v>5</v>
      </c>
    </row>
    <row r="1295" spans="1:18" ht="14.25" customHeight="1" x14ac:dyDescent="0.3">
      <c r="A1295" s="1" t="s">
        <v>68</v>
      </c>
      <c r="B1295" s="1">
        <v>12</v>
      </c>
      <c r="C1295" s="1">
        <v>16</v>
      </c>
      <c r="D1295" s="1" t="str">
        <f t="shared" si="20"/>
        <v>Yes</v>
      </c>
      <c r="E1295" s="1">
        <v>7.7</v>
      </c>
      <c r="F1295" s="1">
        <v>245</v>
      </c>
      <c r="G1295" s="1" t="s">
        <v>93</v>
      </c>
      <c r="H1295" s="1" t="s">
        <v>95</v>
      </c>
      <c r="I1295" s="1">
        <v>13.4</v>
      </c>
      <c r="J1295" s="1" t="s">
        <v>95</v>
      </c>
      <c r="M1295" s="1" t="s">
        <v>101</v>
      </c>
      <c r="O1295" s="1">
        <v>1</v>
      </c>
    </row>
    <row r="1296" spans="1:18" ht="14.25" customHeight="1" x14ac:dyDescent="0.3">
      <c r="A1296" s="1" t="s">
        <v>68</v>
      </c>
      <c r="B1296" s="1">
        <v>12</v>
      </c>
      <c r="C1296" s="1">
        <v>18</v>
      </c>
      <c r="D1296" s="1" t="str">
        <f t="shared" si="20"/>
        <v>Yes</v>
      </c>
      <c r="E1296" s="1">
        <v>10</v>
      </c>
      <c r="F1296" s="1">
        <v>315</v>
      </c>
      <c r="G1296" s="1" t="s">
        <v>93</v>
      </c>
      <c r="H1296" s="1" t="s">
        <v>95</v>
      </c>
      <c r="I1296" s="1">
        <v>13.1</v>
      </c>
      <c r="J1296" s="1" t="s">
        <v>95</v>
      </c>
      <c r="M1296" s="1" t="s">
        <v>101</v>
      </c>
      <c r="O1296" s="1">
        <v>1</v>
      </c>
      <c r="R1296" s="1"/>
    </row>
    <row r="1297" spans="1:18" ht="14.25" customHeight="1" x14ac:dyDescent="0.3">
      <c r="A1297" s="1" t="s">
        <v>68</v>
      </c>
      <c r="B1297" s="1">
        <v>12</v>
      </c>
      <c r="C1297" s="1">
        <v>7</v>
      </c>
      <c r="D1297" s="1" t="str">
        <f t="shared" si="20"/>
        <v>Yes</v>
      </c>
      <c r="E1297" s="1">
        <v>4.2</v>
      </c>
      <c r="F1297" s="1">
        <v>148</v>
      </c>
      <c r="G1297" s="1" t="s">
        <v>93</v>
      </c>
      <c r="H1297" s="1" t="s">
        <v>95</v>
      </c>
      <c r="I1297" s="1">
        <v>11</v>
      </c>
      <c r="J1297" s="1" t="s">
        <v>95</v>
      </c>
      <c r="M1297" s="1" t="s">
        <v>101</v>
      </c>
      <c r="O1297" s="1">
        <v>1</v>
      </c>
      <c r="R1297" s="1"/>
    </row>
    <row r="1298" spans="1:18" ht="14.25" customHeight="1" x14ac:dyDescent="0.3">
      <c r="A1298" s="1" t="s">
        <v>68</v>
      </c>
      <c r="B1298" s="1">
        <v>12</v>
      </c>
      <c r="C1298" s="1">
        <v>23</v>
      </c>
      <c r="D1298" s="1" t="str">
        <f t="shared" si="20"/>
        <v>Yes</v>
      </c>
      <c r="E1298" s="1">
        <v>11.9</v>
      </c>
      <c r="F1298" s="1">
        <v>349</v>
      </c>
      <c r="G1298" s="1" t="s">
        <v>93</v>
      </c>
      <c r="H1298" s="1" t="s">
        <v>95</v>
      </c>
      <c r="I1298" s="1">
        <v>11</v>
      </c>
      <c r="J1298" s="1" t="s">
        <v>95</v>
      </c>
      <c r="M1298" s="1" t="s">
        <v>101</v>
      </c>
      <c r="O1298" s="1">
        <v>1</v>
      </c>
      <c r="R1298" s="1"/>
    </row>
    <row r="1299" spans="1:18" ht="14.25" customHeight="1" x14ac:dyDescent="0.3">
      <c r="A1299" s="1" t="s">
        <v>68</v>
      </c>
      <c r="B1299" s="1">
        <v>13</v>
      </c>
      <c r="C1299" s="1">
        <v>10</v>
      </c>
      <c r="D1299" s="1" t="str">
        <f t="shared" si="20"/>
        <v>No</v>
      </c>
      <c r="E1299" s="1">
        <v>12.9</v>
      </c>
      <c r="F1299" s="1">
        <v>159</v>
      </c>
      <c r="G1299" s="1" t="s">
        <v>109</v>
      </c>
      <c r="H1299" s="1" t="s">
        <v>95</v>
      </c>
      <c r="I1299" s="1">
        <v>81.5</v>
      </c>
      <c r="J1299" s="1" t="s">
        <v>95</v>
      </c>
      <c r="M1299" s="1" t="s">
        <v>102</v>
      </c>
      <c r="O1299" s="1">
        <v>1</v>
      </c>
    </row>
    <row r="1300" spans="1:18" ht="14.25" customHeight="1" x14ac:dyDescent="0.3">
      <c r="A1300" s="1" t="s">
        <v>68</v>
      </c>
      <c r="B1300" s="1">
        <v>13</v>
      </c>
      <c r="C1300" s="1">
        <v>7</v>
      </c>
      <c r="D1300" s="1" t="str">
        <f t="shared" si="20"/>
        <v>Yes</v>
      </c>
      <c r="E1300" s="1">
        <v>12.5</v>
      </c>
      <c r="F1300" s="1">
        <v>102</v>
      </c>
      <c r="G1300" s="1" t="s">
        <v>109</v>
      </c>
      <c r="H1300" s="1" t="s">
        <v>95</v>
      </c>
      <c r="I1300" s="1">
        <v>39.299999999999997</v>
      </c>
      <c r="J1300" s="1" t="s">
        <v>95</v>
      </c>
      <c r="M1300" s="1" t="s">
        <v>102</v>
      </c>
      <c r="O1300" s="1">
        <v>5</v>
      </c>
    </row>
    <row r="1301" spans="1:18" ht="14.25" customHeight="1" x14ac:dyDescent="0.3">
      <c r="A1301" s="1" t="s">
        <v>68</v>
      </c>
      <c r="B1301" s="1">
        <v>13</v>
      </c>
      <c r="C1301" s="1">
        <v>15</v>
      </c>
      <c r="D1301" s="1" t="str">
        <f t="shared" si="20"/>
        <v>Yes</v>
      </c>
      <c r="E1301" s="1">
        <v>9</v>
      </c>
      <c r="F1301" s="1">
        <v>197</v>
      </c>
      <c r="G1301" s="1" t="s">
        <v>106</v>
      </c>
      <c r="H1301" s="1" t="s">
        <v>95</v>
      </c>
      <c r="I1301" s="1">
        <v>17</v>
      </c>
      <c r="J1301" s="1" t="s">
        <v>95</v>
      </c>
      <c r="M1301" s="1" t="s">
        <v>101</v>
      </c>
      <c r="O1301" s="1">
        <v>1</v>
      </c>
    </row>
    <row r="1302" spans="1:18" ht="14.25" customHeight="1" x14ac:dyDescent="0.3">
      <c r="A1302" s="1" t="s">
        <v>68</v>
      </c>
      <c r="B1302" s="1">
        <v>13</v>
      </c>
      <c r="C1302" s="1">
        <v>24</v>
      </c>
      <c r="D1302" s="1" t="str">
        <f t="shared" si="20"/>
        <v>Yes</v>
      </c>
      <c r="E1302" s="1">
        <v>8.1</v>
      </c>
      <c r="F1302" s="1">
        <v>320</v>
      </c>
      <c r="G1302" s="1" t="s">
        <v>106</v>
      </c>
      <c r="H1302" s="1" t="s">
        <v>95</v>
      </c>
      <c r="I1302" s="1">
        <v>15.7</v>
      </c>
      <c r="J1302" s="1" t="s">
        <v>95</v>
      </c>
      <c r="M1302" s="1" t="s">
        <v>101</v>
      </c>
      <c r="O1302" s="1">
        <v>1</v>
      </c>
    </row>
    <row r="1303" spans="1:18" ht="14.25" customHeight="1" x14ac:dyDescent="0.3">
      <c r="A1303" s="1" t="s">
        <v>68</v>
      </c>
      <c r="B1303" s="1">
        <v>13</v>
      </c>
      <c r="C1303" s="1">
        <v>19</v>
      </c>
      <c r="D1303" s="1" t="str">
        <f t="shared" si="20"/>
        <v>Yes</v>
      </c>
      <c r="E1303" s="1">
        <v>5.3</v>
      </c>
      <c r="F1303" s="1">
        <v>216</v>
      </c>
      <c r="G1303" s="1" t="s">
        <v>106</v>
      </c>
      <c r="H1303" s="1" t="s">
        <v>95</v>
      </c>
      <c r="I1303" s="1">
        <v>14.7</v>
      </c>
      <c r="J1303" s="1" t="s">
        <v>95</v>
      </c>
      <c r="M1303" s="1" t="s">
        <v>101</v>
      </c>
      <c r="O1303" s="1">
        <v>1</v>
      </c>
    </row>
    <row r="1304" spans="1:18" ht="14.25" customHeight="1" x14ac:dyDescent="0.3">
      <c r="A1304" s="1" t="s">
        <v>68</v>
      </c>
      <c r="B1304" s="1">
        <v>13</v>
      </c>
      <c r="C1304" s="1">
        <v>11</v>
      </c>
      <c r="D1304" s="1" t="str">
        <f t="shared" si="20"/>
        <v>Yes</v>
      </c>
      <c r="E1304" s="1">
        <v>8</v>
      </c>
      <c r="F1304" s="1">
        <v>182</v>
      </c>
      <c r="G1304" s="1" t="s">
        <v>106</v>
      </c>
      <c r="H1304" s="1" t="s">
        <v>95</v>
      </c>
      <c r="I1304" s="1">
        <v>12.3</v>
      </c>
      <c r="J1304" s="1" t="s">
        <v>95</v>
      </c>
      <c r="M1304" s="1" t="s">
        <v>101</v>
      </c>
      <c r="O1304" s="1">
        <v>1</v>
      </c>
    </row>
    <row r="1305" spans="1:18" ht="14.25" customHeight="1" x14ac:dyDescent="0.3">
      <c r="A1305" s="1" t="s">
        <v>68</v>
      </c>
      <c r="B1305" s="1">
        <v>13</v>
      </c>
      <c r="C1305" s="1">
        <v>14</v>
      </c>
      <c r="D1305" s="1" t="str">
        <f t="shared" si="20"/>
        <v>Yes</v>
      </c>
      <c r="E1305" s="1">
        <v>8.5</v>
      </c>
      <c r="F1305" s="1">
        <v>192</v>
      </c>
      <c r="G1305" s="1" t="s">
        <v>106</v>
      </c>
      <c r="H1305" s="1" t="s">
        <v>95</v>
      </c>
      <c r="I1305" s="1">
        <v>11</v>
      </c>
      <c r="J1305" s="1" t="s">
        <v>95</v>
      </c>
      <c r="M1305" s="1" t="s">
        <v>101</v>
      </c>
      <c r="O1305" s="1">
        <v>1</v>
      </c>
    </row>
    <row r="1306" spans="1:18" ht="14.25" customHeight="1" x14ac:dyDescent="0.3">
      <c r="A1306" s="1" t="s">
        <v>68</v>
      </c>
      <c r="B1306" s="1">
        <v>13</v>
      </c>
      <c r="C1306" s="1">
        <v>17</v>
      </c>
      <c r="D1306" s="1" t="str">
        <f t="shared" si="20"/>
        <v>Yes</v>
      </c>
      <c r="E1306" s="1">
        <v>8.4</v>
      </c>
      <c r="F1306" s="1">
        <v>206</v>
      </c>
      <c r="G1306" s="1" t="s">
        <v>106</v>
      </c>
      <c r="H1306" s="1" t="s">
        <v>95</v>
      </c>
      <c r="I1306" s="1">
        <v>10.1</v>
      </c>
      <c r="J1306" s="1" t="s">
        <v>95</v>
      </c>
      <c r="M1306" s="1" t="s">
        <v>101</v>
      </c>
      <c r="O1306" s="1">
        <v>1</v>
      </c>
    </row>
    <row r="1307" spans="1:18" ht="14.25" customHeight="1" x14ac:dyDescent="0.3">
      <c r="A1307" s="1" t="s">
        <v>68</v>
      </c>
      <c r="B1307" s="1">
        <v>13</v>
      </c>
      <c r="C1307" s="1">
        <v>3</v>
      </c>
      <c r="D1307" s="1" t="str">
        <f t="shared" si="20"/>
        <v>Yes</v>
      </c>
      <c r="E1307" s="1">
        <v>6.3</v>
      </c>
      <c r="F1307" s="1">
        <v>26</v>
      </c>
      <c r="G1307" s="1" t="s">
        <v>93</v>
      </c>
      <c r="H1307" s="1" t="s">
        <v>95</v>
      </c>
      <c r="I1307" s="1">
        <v>80.2</v>
      </c>
      <c r="J1307" s="1" t="s">
        <v>95</v>
      </c>
      <c r="M1307" s="1" t="s">
        <v>102</v>
      </c>
      <c r="O1307" s="1">
        <v>1</v>
      </c>
    </row>
    <row r="1308" spans="1:18" ht="14.25" customHeight="1" x14ac:dyDescent="0.3">
      <c r="A1308" s="1" t="s">
        <v>68</v>
      </c>
      <c r="B1308" s="1">
        <v>13</v>
      </c>
      <c r="C1308" s="1">
        <v>2</v>
      </c>
      <c r="D1308" s="1" t="str">
        <f t="shared" si="20"/>
        <v>Yes</v>
      </c>
      <c r="E1308" s="1">
        <v>8.9</v>
      </c>
      <c r="F1308" s="1">
        <v>3</v>
      </c>
      <c r="G1308" s="1" t="s">
        <v>93</v>
      </c>
      <c r="H1308" s="1" t="s">
        <v>95</v>
      </c>
      <c r="I1308" s="1">
        <v>75.8</v>
      </c>
      <c r="J1308" s="1" t="s">
        <v>95</v>
      </c>
      <c r="M1308" s="1" t="s">
        <v>102</v>
      </c>
      <c r="O1308" s="1">
        <v>1</v>
      </c>
    </row>
    <row r="1309" spans="1:18" ht="14.25" customHeight="1" x14ac:dyDescent="0.3">
      <c r="A1309" s="1" t="s">
        <v>68</v>
      </c>
      <c r="B1309" s="1">
        <v>13</v>
      </c>
      <c r="C1309" s="1">
        <v>9</v>
      </c>
      <c r="D1309" s="1" t="str">
        <f t="shared" si="20"/>
        <v>Yes</v>
      </c>
      <c r="E1309" s="1">
        <v>11.8</v>
      </c>
      <c r="F1309" s="1">
        <v>149</v>
      </c>
      <c r="G1309" s="1" t="s">
        <v>93</v>
      </c>
      <c r="H1309" s="1" t="s">
        <v>95</v>
      </c>
      <c r="I1309" s="1">
        <v>74.900000000000006</v>
      </c>
      <c r="J1309" s="1" t="s">
        <v>95</v>
      </c>
      <c r="M1309" s="1" t="s">
        <v>102</v>
      </c>
      <c r="O1309" s="1">
        <v>1</v>
      </c>
    </row>
    <row r="1310" spans="1:18" ht="14.25" customHeight="1" x14ac:dyDescent="0.3">
      <c r="A1310" s="1" t="s">
        <v>68</v>
      </c>
      <c r="B1310" s="1">
        <v>13</v>
      </c>
      <c r="C1310" s="1">
        <v>12</v>
      </c>
      <c r="D1310" s="1" t="str">
        <f t="shared" si="20"/>
        <v>Yes</v>
      </c>
      <c r="E1310" s="1">
        <v>7.8</v>
      </c>
      <c r="F1310" s="1">
        <v>193</v>
      </c>
      <c r="G1310" s="1" t="s">
        <v>93</v>
      </c>
      <c r="H1310" s="1" t="s">
        <v>95</v>
      </c>
      <c r="I1310" s="1">
        <v>66.7</v>
      </c>
      <c r="J1310" s="1" t="s">
        <v>95</v>
      </c>
      <c r="M1310" s="1" t="s">
        <v>102</v>
      </c>
      <c r="O1310" s="1">
        <v>1</v>
      </c>
    </row>
    <row r="1311" spans="1:18" ht="14.25" customHeight="1" x14ac:dyDescent="0.3">
      <c r="A1311" s="1" t="s">
        <v>68</v>
      </c>
      <c r="B1311" s="1">
        <v>13</v>
      </c>
      <c r="C1311" s="1">
        <v>1</v>
      </c>
      <c r="D1311" s="1" t="str">
        <f t="shared" si="20"/>
        <v>Yes</v>
      </c>
      <c r="E1311" s="1">
        <v>2.2000000000000002</v>
      </c>
      <c r="F1311" s="1">
        <v>15</v>
      </c>
      <c r="G1311" s="1" t="s">
        <v>93</v>
      </c>
      <c r="H1311" s="1" t="s">
        <v>95</v>
      </c>
      <c r="I1311" s="1">
        <v>60.2</v>
      </c>
      <c r="J1311" s="1" t="s">
        <v>95</v>
      </c>
      <c r="M1311" s="1" t="s">
        <v>102</v>
      </c>
      <c r="O1311" s="1">
        <v>1</v>
      </c>
    </row>
    <row r="1312" spans="1:18" ht="14.25" customHeight="1" x14ac:dyDescent="0.3">
      <c r="A1312" s="1" t="s">
        <v>68</v>
      </c>
      <c r="B1312" s="1">
        <v>13</v>
      </c>
      <c r="C1312" s="1">
        <v>22</v>
      </c>
      <c r="D1312" s="1" t="str">
        <f t="shared" si="20"/>
        <v>Yes</v>
      </c>
      <c r="E1312" s="1">
        <v>11.2</v>
      </c>
      <c r="F1312" s="1">
        <v>298</v>
      </c>
      <c r="G1312" s="1" t="s">
        <v>93</v>
      </c>
      <c r="H1312" s="1" t="s">
        <v>95</v>
      </c>
      <c r="I1312" s="1">
        <v>58</v>
      </c>
      <c r="J1312" s="1" t="s">
        <v>95</v>
      </c>
      <c r="M1312" s="1" t="s">
        <v>102</v>
      </c>
      <c r="O1312" s="1">
        <v>5</v>
      </c>
    </row>
    <row r="1313" spans="1:16" ht="14.25" customHeight="1" x14ac:dyDescent="0.3">
      <c r="A1313" s="1" t="s">
        <v>68</v>
      </c>
      <c r="B1313" s="1">
        <v>13</v>
      </c>
      <c r="C1313" s="1">
        <v>21</v>
      </c>
      <c r="D1313" s="1" t="str">
        <f t="shared" si="20"/>
        <v>Yes</v>
      </c>
      <c r="E1313" s="1">
        <v>9.8000000000000007</v>
      </c>
      <c r="F1313" s="1">
        <v>295</v>
      </c>
      <c r="G1313" s="1" t="s">
        <v>93</v>
      </c>
      <c r="H1313" s="1" t="s">
        <v>95</v>
      </c>
      <c r="I1313" s="1">
        <v>54.9</v>
      </c>
      <c r="J1313" s="1" t="s">
        <v>95</v>
      </c>
      <c r="M1313" s="1" t="s">
        <v>102</v>
      </c>
      <c r="O1313" s="1">
        <v>5</v>
      </c>
    </row>
    <row r="1314" spans="1:16" ht="14.25" customHeight="1" x14ac:dyDescent="0.3">
      <c r="A1314" s="1" t="s">
        <v>68</v>
      </c>
      <c r="B1314" s="1">
        <v>13</v>
      </c>
      <c r="C1314" s="1">
        <v>18</v>
      </c>
      <c r="D1314" s="1" t="str">
        <f t="shared" si="20"/>
        <v>Yes</v>
      </c>
      <c r="E1314" s="1">
        <v>8.6999999999999993</v>
      </c>
      <c r="F1314" s="1">
        <v>224</v>
      </c>
      <c r="G1314" s="1" t="s">
        <v>93</v>
      </c>
      <c r="H1314" s="1" t="s">
        <v>95</v>
      </c>
      <c r="I1314" s="1">
        <v>17.2</v>
      </c>
      <c r="J1314" s="1" t="s">
        <v>95</v>
      </c>
      <c r="M1314" s="1" t="s">
        <v>101</v>
      </c>
      <c r="O1314" s="1">
        <v>1</v>
      </c>
    </row>
    <row r="1315" spans="1:16" ht="14.25" customHeight="1" x14ac:dyDescent="0.3">
      <c r="A1315" s="1" t="s">
        <v>68</v>
      </c>
      <c r="B1315" s="1">
        <v>13</v>
      </c>
      <c r="C1315" s="1">
        <v>16</v>
      </c>
      <c r="D1315" s="1" t="str">
        <f t="shared" si="20"/>
        <v>Yes</v>
      </c>
      <c r="E1315" s="1">
        <v>8.1</v>
      </c>
      <c r="F1315" s="1">
        <v>201</v>
      </c>
      <c r="G1315" s="1" t="s">
        <v>93</v>
      </c>
      <c r="H1315" s="1" t="s">
        <v>95</v>
      </c>
      <c r="I1315" s="1">
        <v>17</v>
      </c>
      <c r="J1315" s="1" t="s">
        <v>95</v>
      </c>
      <c r="M1315" s="1" t="s">
        <v>101</v>
      </c>
      <c r="O1315" s="1">
        <v>1</v>
      </c>
    </row>
    <row r="1316" spans="1:16" ht="14.25" customHeight="1" x14ac:dyDescent="0.3">
      <c r="A1316" s="1" t="s">
        <v>68</v>
      </c>
      <c r="B1316" s="1">
        <v>13</v>
      </c>
      <c r="C1316" s="1">
        <v>23</v>
      </c>
      <c r="D1316" s="1" t="str">
        <f t="shared" si="20"/>
        <v>Yes</v>
      </c>
      <c r="E1316" s="1">
        <v>7.9</v>
      </c>
      <c r="F1316" s="1">
        <v>314</v>
      </c>
      <c r="G1316" s="1" t="s">
        <v>93</v>
      </c>
      <c r="H1316" s="1" t="s">
        <v>95</v>
      </c>
      <c r="I1316" s="1">
        <v>16</v>
      </c>
      <c r="J1316" s="1" t="s">
        <v>95</v>
      </c>
      <c r="M1316" s="1" t="s">
        <v>101</v>
      </c>
      <c r="O1316" s="1">
        <v>1</v>
      </c>
    </row>
    <row r="1317" spans="1:16" ht="14.25" customHeight="1" x14ac:dyDescent="0.3">
      <c r="A1317" s="1" t="s">
        <v>68</v>
      </c>
      <c r="B1317" s="1">
        <v>13</v>
      </c>
      <c r="C1317" s="1">
        <v>25</v>
      </c>
      <c r="D1317" s="1" t="str">
        <f t="shared" si="20"/>
        <v>Yes</v>
      </c>
      <c r="E1317" s="1">
        <v>2.2000000000000002</v>
      </c>
      <c r="F1317" s="1">
        <v>355</v>
      </c>
      <c r="G1317" s="1" t="s">
        <v>106</v>
      </c>
      <c r="H1317" s="1" t="s">
        <v>94</v>
      </c>
      <c r="I1317" s="1">
        <v>40.799999999999997</v>
      </c>
      <c r="J1317" s="1" t="s">
        <v>95</v>
      </c>
      <c r="K1317" s="1">
        <v>1</v>
      </c>
      <c r="L1317" s="1">
        <v>40</v>
      </c>
      <c r="M1317" s="1" t="s">
        <v>102</v>
      </c>
      <c r="P1317" s="1">
        <v>653</v>
      </c>
    </row>
    <row r="1318" spans="1:16" ht="14.25" customHeight="1" x14ac:dyDescent="0.3">
      <c r="A1318" s="1" t="s">
        <v>68</v>
      </c>
      <c r="B1318" s="1">
        <v>13</v>
      </c>
      <c r="C1318" s="1">
        <v>8</v>
      </c>
      <c r="D1318" s="1" t="str">
        <f t="shared" si="20"/>
        <v>Yes</v>
      </c>
      <c r="E1318" s="1">
        <v>12</v>
      </c>
      <c r="F1318" s="1">
        <v>115</v>
      </c>
      <c r="G1318" s="1" t="s">
        <v>93</v>
      </c>
      <c r="H1318" s="1" t="s">
        <v>94</v>
      </c>
      <c r="I1318" s="1">
        <v>114.8</v>
      </c>
      <c r="J1318" s="1" t="s">
        <v>95</v>
      </c>
      <c r="K1318" s="1">
        <v>5</v>
      </c>
      <c r="L1318" s="1">
        <v>25</v>
      </c>
      <c r="M1318" s="1" t="s">
        <v>102</v>
      </c>
      <c r="N1318" s="1" t="s">
        <v>100</v>
      </c>
      <c r="P1318" s="1">
        <v>654</v>
      </c>
    </row>
    <row r="1319" spans="1:16" ht="14.25" customHeight="1" x14ac:dyDescent="0.3">
      <c r="A1319" s="1" t="s">
        <v>68</v>
      </c>
      <c r="B1319" s="1">
        <v>13</v>
      </c>
      <c r="C1319" s="1">
        <v>20</v>
      </c>
      <c r="D1319" s="1" t="str">
        <f t="shared" si="20"/>
        <v>Yes</v>
      </c>
      <c r="E1319" s="1">
        <v>4.3</v>
      </c>
      <c r="F1319" s="1">
        <v>302</v>
      </c>
      <c r="G1319" s="1" t="s">
        <v>93</v>
      </c>
      <c r="H1319" s="1" t="s">
        <v>94</v>
      </c>
      <c r="I1319" s="1">
        <v>48.6</v>
      </c>
      <c r="J1319" s="1" t="s">
        <v>95</v>
      </c>
      <c r="K1319" s="1">
        <v>0</v>
      </c>
      <c r="L1319" s="1">
        <v>15</v>
      </c>
      <c r="M1319" s="1" t="s">
        <v>102</v>
      </c>
      <c r="N1319" s="1" t="s">
        <v>100</v>
      </c>
    </row>
    <row r="1320" spans="1:16" ht="14.25" customHeight="1" x14ac:dyDescent="0.3">
      <c r="A1320" s="1" t="s">
        <v>68</v>
      </c>
      <c r="B1320" s="1">
        <v>13</v>
      </c>
      <c r="C1320" s="1">
        <v>13</v>
      </c>
      <c r="D1320" s="1" t="str">
        <f t="shared" si="20"/>
        <v>Yes</v>
      </c>
      <c r="E1320" s="1">
        <v>7.3</v>
      </c>
      <c r="F1320" s="1">
        <v>190</v>
      </c>
      <c r="G1320" s="1" t="s">
        <v>93</v>
      </c>
      <c r="H1320" s="1" t="s">
        <v>94</v>
      </c>
      <c r="I1320" s="1">
        <v>44.7</v>
      </c>
      <c r="J1320" s="1" t="s">
        <v>95</v>
      </c>
      <c r="K1320" s="1">
        <v>1</v>
      </c>
      <c r="L1320" s="1">
        <v>50</v>
      </c>
      <c r="M1320" s="1" t="s">
        <v>102</v>
      </c>
      <c r="N1320" s="1" t="s">
        <v>100</v>
      </c>
      <c r="P1320" s="1">
        <v>655</v>
      </c>
    </row>
    <row r="1321" spans="1:16" ht="14.25" customHeight="1" x14ac:dyDescent="0.3">
      <c r="A1321" s="1" t="s">
        <v>68</v>
      </c>
      <c r="B1321" s="1">
        <v>13</v>
      </c>
      <c r="C1321" s="1">
        <v>4</v>
      </c>
      <c r="D1321" s="1" t="str">
        <f t="shared" si="20"/>
        <v>Yes</v>
      </c>
      <c r="E1321" s="1">
        <v>9.8000000000000007</v>
      </c>
      <c r="F1321" s="1">
        <v>53</v>
      </c>
      <c r="G1321" s="1" t="s">
        <v>93</v>
      </c>
      <c r="H1321" s="1" t="s">
        <v>94</v>
      </c>
      <c r="I1321" s="1">
        <v>34.799999999999997</v>
      </c>
      <c r="J1321" s="1" t="s">
        <v>95</v>
      </c>
      <c r="K1321" s="1">
        <v>0</v>
      </c>
      <c r="L1321" s="1">
        <v>15</v>
      </c>
      <c r="M1321" s="1" t="s">
        <v>101</v>
      </c>
    </row>
    <row r="1322" spans="1:16" ht="14.25" customHeight="1" x14ac:dyDescent="0.3">
      <c r="A1322" s="1" t="s">
        <v>68</v>
      </c>
      <c r="B1322" s="1">
        <v>13</v>
      </c>
      <c r="C1322" s="1">
        <v>5</v>
      </c>
      <c r="D1322" s="1" t="str">
        <f t="shared" si="20"/>
        <v>Yes</v>
      </c>
      <c r="E1322" s="1">
        <v>12.3</v>
      </c>
      <c r="F1322" s="1">
        <v>55</v>
      </c>
      <c r="G1322" s="1" t="s">
        <v>93</v>
      </c>
      <c r="H1322" s="1" t="s">
        <v>94</v>
      </c>
      <c r="I1322" s="1">
        <v>23.4</v>
      </c>
      <c r="J1322" s="1" t="s">
        <v>95</v>
      </c>
      <c r="K1322" s="1">
        <v>0</v>
      </c>
      <c r="L1322" s="1">
        <v>60</v>
      </c>
      <c r="M1322" s="1" t="s">
        <v>101</v>
      </c>
    </row>
    <row r="1323" spans="1:16" ht="14.25" customHeight="1" x14ac:dyDescent="0.3">
      <c r="A1323" s="1" t="s">
        <v>68</v>
      </c>
      <c r="B1323" s="1">
        <v>13</v>
      </c>
      <c r="C1323" s="1">
        <v>6</v>
      </c>
      <c r="D1323" s="1" t="str">
        <f t="shared" si="20"/>
        <v>Yes</v>
      </c>
      <c r="E1323" s="1">
        <v>12.1</v>
      </c>
      <c r="F1323" s="1">
        <v>54</v>
      </c>
      <c r="G1323" s="1" t="s">
        <v>93</v>
      </c>
      <c r="H1323" s="1" t="s">
        <v>94</v>
      </c>
      <c r="I1323" s="1">
        <v>19.899999999999999</v>
      </c>
      <c r="J1323" s="1" t="s">
        <v>95</v>
      </c>
      <c r="K1323" s="1">
        <v>0</v>
      </c>
      <c r="L1323" s="1">
        <v>60</v>
      </c>
      <c r="M1323" s="1" t="s">
        <v>101</v>
      </c>
    </row>
    <row r="1324" spans="1:16" ht="14.25" customHeight="1" x14ac:dyDescent="0.3">
      <c r="A1324" s="1" t="s">
        <v>68</v>
      </c>
      <c r="B1324" s="1">
        <v>14</v>
      </c>
      <c r="C1324" s="1">
        <v>3</v>
      </c>
      <c r="D1324" s="1" t="str">
        <f t="shared" si="20"/>
        <v>Yes</v>
      </c>
      <c r="E1324" s="1">
        <v>8.6999999999999993</v>
      </c>
      <c r="F1324" s="1">
        <v>65</v>
      </c>
      <c r="G1324" s="1" t="s">
        <v>106</v>
      </c>
      <c r="H1324" s="1" t="s">
        <v>95</v>
      </c>
      <c r="I1324" s="1">
        <v>39.1</v>
      </c>
      <c r="J1324" s="1" t="s">
        <v>95</v>
      </c>
      <c r="M1324" s="1" t="s">
        <v>102</v>
      </c>
      <c r="O1324" s="1">
        <v>1</v>
      </c>
    </row>
    <row r="1325" spans="1:16" ht="14.25" customHeight="1" x14ac:dyDescent="0.3">
      <c r="A1325" s="1" t="s">
        <v>68</v>
      </c>
      <c r="B1325" s="1">
        <v>14</v>
      </c>
      <c r="C1325" s="1">
        <v>10</v>
      </c>
      <c r="D1325" s="1" t="str">
        <f t="shared" si="20"/>
        <v>Yes</v>
      </c>
      <c r="E1325" s="1">
        <v>8.1</v>
      </c>
      <c r="F1325" s="1">
        <v>174</v>
      </c>
      <c r="G1325" s="1" t="s">
        <v>106</v>
      </c>
      <c r="H1325" s="1" t="s">
        <v>95</v>
      </c>
      <c r="I1325" s="1">
        <v>12.9</v>
      </c>
      <c r="J1325" s="1" t="s">
        <v>95</v>
      </c>
      <c r="M1325" s="1" t="s">
        <v>101</v>
      </c>
      <c r="O1325" s="1">
        <v>1</v>
      </c>
    </row>
    <row r="1326" spans="1:16" ht="14.25" customHeight="1" x14ac:dyDescent="0.3">
      <c r="A1326" s="1" t="s">
        <v>68</v>
      </c>
      <c r="B1326" s="1">
        <v>14</v>
      </c>
      <c r="C1326" s="1">
        <v>9</v>
      </c>
      <c r="D1326" s="1" t="str">
        <f t="shared" si="20"/>
        <v>Yes</v>
      </c>
      <c r="E1326" s="1">
        <v>5.7</v>
      </c>
      <c r="F1326" s="1">
        <v>182</v>
      </c>
      <c r="G1326" s="1" t="s">
        <v>106</v>
      </c>
      <c r="H1326" s="1" t="s">
        <v>95</v>
      </c>
      <c r="I1326" s="1">
        <v>11.5</v>
      </c>
      <c r="J1326" s="1" t="s">
        <v>95</v>
      </c>
      <c r="M1326" s="1" t="s">
        <v>101</v>
      </c>
      <c r="O1326" s="1">
        <v>1</v>
      </c>
    </row>
    <row r="1327" spans="1:16" ht="14.25" customHeight="1" x14ac:dyDescent="0.3">
      <c r="A1327" s="1" t="s">
        <v>68</v>
      </c>
      <c r="B1327" s="1">
        <v>14</v>
      </c>
      <c r="C1327" s="1">
        <v>13</v>
      </c>
      <c r="D1327" s="1" t="str">
        <f t="shared" si="20"/>
        <v>Yes</v>
      </c>
      <c r="E1327" s="1">
        <v>12.2</v>
      </c>
      <c r="F1327" s="1">
        <v>247</v>
      </c>
      <c r="G1327" s="1" t="s">
        <v>93</v>
      </c>
      <c r="H1327" s="1" t="s">
        <v>95</v>
      </c>
      <c r="I1327" s="1">
        <v>109.6</v>
      </c>
      <c r="J1327" s="1" t="s">
        <v>95</v>
      </c>
      <c r="M1327" s="1" t="s">
        <v>102</v>
      </c>
      <c r="O1327" s="1">
        <v>1</v>
      </c>
    </row>
    <row r="1328" spans="1:16" ht="14.25" customHeight="1" x14ac:dyDescent="0.3">
      <c r="A1328" s="1" t="s">
        <v>68</v>
      </c>
      <c r="B1328" s="1">
        <v>14</v>
      </c>
      <c r="C1328" s="1">
        <v>20</v>
      </c>
      <c r="D1328" s="1" t="str">
        <f t="shared" si="20"/>
        <v>Yes</v>
      </c>
      <c r="E1328" s="1">
        <v>5.2</v>
      </c>
      <c r="F1328" s="1">
        <v>359</v>
      </c>
      <c r="G1328" s="1" t="s">
        <v>93</v>
      </c>
      <c r="H1328" s="1" t="s">
        <v>95</v>
      </c>
      <c r="I1328" s="1">
        <v>41.3</v>
      </c>
      <c r="J1328" s="1" t="s">
        <v>95</v>
      </c>
      <c r="M1328" s="1" t="s">
        <v>102</v>
      </c>
      <c r="O1328" s="1">
        <v>1</v>
      </c>
    </row>
    <row r="1329" spans="1:16" ht="14.25" customHeight="1" x14ac:dyDescent="0.3">
      <c r="A1329" s="1" t="s">
        <v>68</v>
      </c>
      <c r="B1329" s="1">
        <v>14</v>
      </c>
      <c r="C1329" s="1">
        <v>2</v>
      </c>
      <c r="D1329" s="1" t="str">
        <f t="shared" si="20"/>
        <v>Yes</v>
      </c>
      <c r="E1329" s="1">
        <v>4.4000000000000004</v>
      </c>
      <c r="F1329" s="1">
        <v>77</v>
      </c>
      <c r="G1329" s="1" t="s">
        <v>93</v>
      </c>
      <c r="H1329" s="1" t="s">
        <v>95</v>
      </c>
      <c r="I1329" s="1">
        <v>22.9</v>
      </c>
      <c r="J1329" s="1" t="s">
        <v>95</v>
      </c>
      <c r="M1329" s="1" t="s">
        <v>102</v>
      </c>
      <c r="O1329" s="1">
        <v>1</v>
      </c>
      <c r="P1329" s="1">
        <v>681</v>
      </c>
    </row>
    <row r="1330" spans="1:16" ht="14.25" customHeight="1" x14ac:dyDescent="0.3">
      <c r="A1330" s="1" t="s">
        <v>68</v>
      </c>
      <c r="B1330" s="1">
        <v>14</v>
      </c>
      <c r="C1330" s="1">
        <v>7</v>
      </c>
      <c r="D1330" s="1" t="str">
        <f t="shared" si="20"/>
        <v>Yes</v>
      </c>
      <c r="E1330" s="1">
        <v>5.0999999999999996</v>
      </c>
      <c r="F1330" s="1">
        <v>123</v>
      </c>
      <c r="G1330" s="1" t="s">
        <v>93</v>
      </c>
      <c r="H1330" s="1" t="s">
        <v>95</v>
      </c>
      <c r="I1330" s="1">
        <v>21.4</v>
      </c>
      <c r="J1330" s="1" t="s">
        <v>95</v>
      </c>
      <c r="M1330" s="1" t="s">
        <v>101</v>
      </c>
      <c r="O1330" s="1">
        <v>1</v>
      </c>
    </row>
    <row r="1331" spans="1:16" ht="14.25" customHeight="1" x14ac:dyDescent="0.3">
      <c r="A1331" s="1" t="s">
        <v>68</v>
      </c>
      <c r="B1331" s="1">
        <v>14</v>
      </c>
      <c r="C1331" s="1">
        <v>17</v>
      </c>
      <c r="D1331" s="1" t="str">
        <f t="shared" si="20"/>
        <v>Yes</v>
      </c>
      <c r="E1331" s="1">
        <v>0.9</v>
      </c>
      <c r="F1331" s="1">
        <v>246</v>
      </c>
      <c r="G1331" s="1" t="s">
        <v>93</v>
      </c>
      <c r="H1331" s="1" t="s">
        <v>95</v>
      </c>
      <c r="I1331" s="1">
        <v>15.9</v>
      </c>
      <c r="J1331" s="1" t="s">
        <v>95</v>
      </c>
      <c r="M1331" s="1" t="s">
        <v>101</v>
      </c>
      <c r="O1331" s="1">
        <v>1</v>
      </c>
    </row>
    <row r="1332" spans="1:16" ht="14.25" customHeight="1" x14ac:dyDescent="0.3">
      <c r="A1332" s="1" t="s">
        <v>68</v>
      </c>
      <c r="B1332" s="1">
        <v>14</v>
      </c>
      <c r="C1332" s="1">
        <v>11</v>
      </c>
      <c r="D1332" s="1" t="str">
        <f t="shared" si="20"/>
        <v>Yes</v>
      </c>
      <c r="E1332" s="1">
        <v>12</v>
      </c>
      <c r="F1332" s="1">
        <v>172</v>
      </c>
      <c r="G1332" s="1" t="s">
        <v>93</v>
      </c>
      <c r="H1332" s="1" t="s">
        <v>95</v>
      </c>
      <c r="I1332" s="1">
        <v>14</v>
      </c>
      <c r="J1332" s="1" t="s">
        <v>95</v>
      </c>
      <c r="M1332" s="1" t="s">
        <v>101</v>
      </c>
      <c r="O1332" s="1">
        <v>1</v>
      </c>
    </row>
    <row r="1333" spans="1:16" ht="14.25" customHeight="1" x14ac:dyDescent="0.3">
      <c r="A1333" s="1" t="s">
        <v>68</v>
      </c>
      <c r="B1333" s="1">
        <v>14</v>
      </c>
      <c r="C1333" s="1">
        <v>1</v>
      </c>
      <c r="D1333" s="1" t="str">
        <f t="shared" si="20"/>
        <v>Yes</v>
      </c>
      <c r="E1333" s="1">
        <v>3</v>
      </c>
      <c r="F1333" s="1">
        <v>55</v>
      </c>
      <c r="G1333" s="1" t="s">
        <v>93</v>
      </c>
      <c r="H1333" s="1" t="s">
        <v>95</v>
      </c>
      <c r="I1333" s="1">
        <v>11.7</v>
      </c>
      <c r="J1333" s="1" t="s">
        <v>95</v>
      </c>
      <c r="M1333" s="1" t="s">
        <v>101</v>
      </c>
      <c r="O1333" s="1">
        <v>1</v>
      </c>
    </row>
    <row r="1334" spans="1:16" ht="14.25" customHeight="1" x14ac:dyDescent="0.3">
      <c r="A1334" s="1" t="s">
        <v>68</v>
      </c>
      <c r="B1334" s="1">
        <v>14</v>
      </c>
      <c r="C1334" s="1">
        <v>5</v>
      </c>
      <c r="D1334" s="1" t="str">
        <f t="shared" si="20"/>
        <v>Yes</v>
      </c>
      <c r="E1334" s="1">
        <v>11.6</v>
      </c>
      <c r="F1334" s="1">
        <v>71</v>
      </c>
      <c r="G1334" s="1" t="s">
        <v>106</v>
      </c>
      <c r="H1334" s="1" t="s">
        <v>94</v>
      </c>
      <c r="I1334" s="1">
        <v>66.3</v>
      </c>
      <c r="J1334" s="1" t="s">
        <v>95</v>
      </c>
      <c r="K1334" s="1">
        <v>1</v>
      </c>
      <c r="L1334" s="1">
        <v>35</v>
      </c>
      <c r="M1334" s="1" t="s">
        <v>102</v>
      </c>
    </row>
    <row r="1335" spans="1:16" ht="14.25" customHeight="1" x14ac:dyDescent="0.3">
      <c r="A1335" s="1" t="s">
        <v>68</v>
      </c>
      <c r="B1335" s="1">
        <v>14</v>
      </c>
      <c r="C1335" s="1">
        <v>4</v>
      </c>
      <c r="D1335" s="1" t="str">
        <f t="shared" si="20"/>
        <v>Yes</v>
      </c>
      <c r="E1335" s="1">
        <v>9.1999999999999993</v>
      </c>
      <c r="F1335" s="1">
        <v>72</v>
      </c>
      <c r="G1335" s="1" t="s">
        <v>106</v>
      </c>
      <c r="H1335" s="1" t="s">
        <v>94</v>
      </c>
      <c r="I1335" s="1">
        <v>51.5</v>
      </c>
      <c r="J1335" s="1" t="s">
        <v>95</v>
      </c>
      <c r="K1335" s="1">
        <v>0</v>
      </c>
      <c r="L1335" s="1">
        <v>65</v>
      </c>
      <c r="M1335" s="1" t="s">
        <v>102</v>
      </c>
    </row>
    <row r="1336" spans="1:16" ht="14.25" customHeight="1" x14ac:dyDescent="0.3">
      <c r="A1336" s="1" t="s">
        <v>68</v>
      </c>
      <c r="B1336" s="1">
        <v>14</v>
      </c>
      <c r="C1336" s="1">
        <v>16</v>
      </c>
      <c r="D1336" s="1" t="str">
        <f t="shared" si="20"/>
        <v>Yes</v>
      </c>
      <c r="E1336" s="1">
        <v>10.7</v>
      </c>
      <c r="F1336" s="1">
        <v>255</v>
      </c>
      <c r="G1336" s="1" t="s">
        <v>106</v>
      </c>
      <c r="H1336" s="1" t="s">
        <v>94</v>
      </c>
      <c r="I1336" s="1">
        <v>46.1</v>
      </c>
      <c r="J1336" s="1" t="s">
        <v>95</v>
      </c>
      <c r="K1336" s="1">
        <v>0</v>
      </c>
      <c r="L1336" s="1">
        <v>25</v>
      </c>
      <c r="M1336" s="1" t="s">
        <v>101</v>
      </c>
      <c r="N1336" s="1" t="s">
        <v>100</v>
      </c>
    </row>
    <row r="1337" spans="1:16" ht="14.25" customHeight="1" x14ac:dyDescent="0.3">
      <c r="A1337" s="1" t="s">
        <v>68</v>
      </c>
      <c r="B1337" s="1">
        <v>14</v>
      </c>
      <c r="C1337" s="1">
        <v>8</v>
      </c>
      <c r="D1337" s="1" t="str">
        <f t="shared" si="20"/>
        <v>Yes</v>
      </c>
      <c r="E1337" s="1">
        <v>11.1</v>
      </c>
      <c r="F1337" s="1">
        <v>162</v>
      </c>
      <c r="G1337" s="1" t="s">
        <v>106</v>
      </c>
      <c r="H1337" s="1" t="s">
        <v>94</v>
      </c>
      <c r="I1337" s="1">
        <v>32.1</v>
      </c>
      <c r="J1337" s="1" t="s">
        <v>95</v>
      </c>
      <c r="K1337" s="1">
        <v>0</v>
      </c>
      <c r="L1337" s="1">
        <v>80</v>
      </c>
      <c r="M1337" s="1" t="s">
        <v>101</v>
      </c>
    </row>
    <row r="1338" spans="1:16" ht="14.25" customHeight="1" x14ac:dyDescent="0.3">
      <c r="A1338" s="1" t="s">
        <v>68</v>
      </c>
      <c r="B1338" s="1">
        <v>14</v>
      </c>
      <c r="C1338" s="1">
        <v>12</v>
      </c>
      <c r="D1338" s="1" t="str">
        <f t="shared" si="20"/>
        <v>Yes</v>
      </c>
      <c r="E1338" s="1">
        <v>2.4</v>
      </c>
      <c r="F1338" s="1">
        <v>198</v>
      </c>
      <c r="G1338" s="1" t="s">
        <v>106</v>
      </c>
      <c r="H1338" s="1" t="s">
        <v>94</v>
      </c>
      <c r="I1338" s="1">
        <v>16.600000000000001</v>
      </c>
      <c r="J1338" s="1" t="s">
        <v>95</v>
      </c>
      <c r="K1338" s="1">
        <v>1</v>
      </c>
      <c r="L1338" s="1">
        <v>90</v>
      </c>
      <c r="M1338" s="1" t="s">
        <v>101</v>
      </c>
      <c r="P1338" s="1">
        <v>682</v>
      </c>
    </row>
    <row r="1339" spans="1:16" ht="14.25" customHeight="1" x14ac:dyDescent="0.3">
      <c r="A1339" s="1" t="s">
        <v>68</v>
      </c>
      <c r="B1339" s="1">
        <v>14</v>
      </c>
      <c r="C1339" s="1">
        <v>14</v>
      </c>
      <c r="D1339" s="1" t="str">
        <f t="shared" si="20"/>
        <v>Yes</v>
      </c>
      <c r="E1339" s="1">
        <v>11.4</v>
      </c>
      <c r="F1339" s="1">
        <v>253</v>
      </c>
      <c r="G1339" s="1" t="s">
        <v>93</v>
      </c>
      <c r="H1339" s="1" t="s">
        <v>94</v>
      </c>
      <c r="I1339" s="1">
        <v>80</v>
      </c>
      <c r="J1339" s="1" t="s">
        <v>95</v>
      </c>
      <c r="K1339" s="1">
        <v>0</v>
      </c>
      <c r="L1339" s="1">
        <v>15</v>
      </c>
      <c r="M1339" s="1" t="s">
        <v>102</v>
      </c>
      <c r="N1339" s="1" t="s">
        <v>100</v>
      </c>
    </row>
    <row r="1340" spans="1:16" ht="14.25" customHeight="1" x14ac:dyDescent="0.3">
      <c r="A1340" s="1" t="s">
        <v>68</v>
      </c>
      <c r="B1340" s="1">
        <v>14</v>
      </c>
      <c r="C1340" s="1">
        <v>18</v>
      </c>
      <c r="D1340" s="1" t="str">
        <f t="shared" si="20"/>
        <v>Yes</v>
      </c>
      <c r="E1340" s="1">
        <v>10.5</v>
      </c>
      <c r="F1340" s="1">
        <v>301</v>
      </c>
      <c r="G1340" s="1" t="s">
        <v>93</v>
      </c>
      <c r="H1340" s="1" t="s">
        <v>94</v>
      </c>
      <c r="I1340" s="1">
        <v>58</v>
      </c>
      <c r="J1340" s="1" t="s">
        <v>95</v>
      </c>
      <c r="K1340" s="1">
        <v>1</v>
      </c>
      <c r="L1340" s="1">
        <v>25</v>
      </c>
      <c r="M1340" s="1" t="s">
        <v>102</v>
      </c>
      <c r="N1340" s="1" t="s">
        <v>100</v>
      </c>
    </row>
    <row r="1341" spans="1:16" ht="14.25" customHeight="1" x14ac:dyDescent="0.3">
      <c r="A1341" s="1" t="s">
        <v>68</v>
      </c>
      <c r="B1341" s="1">
        <v>14</v>
      </c>
      <c r="C1341" s="1">
        <v>21</v>
      </c>
      <c r="D1341" s="1" t="str">
        <f t="shared" si="20"/>
        <v>Yes</v>
      </c>
      <c r="E1341" s="1">
        <v>12.3</v>
      </c>
      <c r="F1341" s="1">
        <v>359</v>
      </c>
      <c r="G1341" s="1" t="s">
        <v>93</v>
      </c>
      <c r="H1341" s="1" t="s">
        <v>94</v>
      </c>
      <c r="I1341" s="1">
        <v>57.3</v>
      </c>
      <c r="J1341" s="1" t="s">
        <v>95</v>
      </c>
      <c r="K1341" s="1">
        <v>0</v>
      </c>
      <c r="L1341" s="1">
        <v>70</v>
      </c>
      <c r="M1341" s="1" t="s">
        <v>102</v>
      </c>
    </row>
    <row r="1342" spans="1:16" ht="14.25" customHeight="1" x14ac:dyDescent="0.3">
      <c r="A1342" s="1" t="s">
        <v>68</v>
      </c>
      <c r="B1342" s="1">
        <v>14</v>
      </c>
      <c r="C1342" s="1">
        <v>15</v>
      </c>
      <c r="D1342" s="1" t="str">
        <f t="shared" si="20"/>
        <v>Yes</v>
      </c>
      <c r="E1342" s="1">
        <v>10.199999999999999</v>
      </c>
      <c r="F1342" s="1">
        <v>251</v>
      </c>
      <c r="G1342" s="1" t="s">
        <v>93</v>
      </c>
      <c r="H1342" s="1" t="s">
        <v>94</v>
      </c>
      <c r="I1342" s="1">
        <v>29.1</v>
      </c>
      <c r="J1342" s="1" t="s">
        <v>95</v>
      </c>
      <c r="K1342" s="1">
        <v>1</v>
      </c>
      <c r="L1342" s="1">
        <v>80</v>
      </c>
      <c r="M1342" s="1" t="s">
        <v>101</v>
      </c>
      <c r="N1342" s="1" t="s">
        <v>100</v>
      </c>
    </row>
    <row r="1343" spans="1:16" ht="14.25" customHeight="1" x14ac:dyDescent="0.3">
      <c r="A1343" s="1" t="s">
        <v>68</v>
      </c>
      <c r="B1343" s="1">
        <v>14</v>
      </c>
      <c r="C1343" s="1">
        <v>6</v>
      </c>
      <c r="D1343" s="1" t="str">
        <f t="shared" si="20"/>
        <v>Yes</v>
      </c>
      <c r="E1343" s="1">
        <v>4.2</v>
      </c>
      <c r="F1343" s="1">
        <v>114</v>
      </c>
      <c r="G1343" s="1" t="s">
        <v>93</v>
      </c>
      <c r="H1343" s="1" t="s">
        <v>94</v>
      </c>
      <c r="I1343" s="1">
        <v>26.2</v>
      </c>
      <c r="J1343" s="1" t="s">
        <v>95</v>
      </c>
      <c r="K1343" s="1">
        <v>40</v>
      </c>
      <c r="L1343" s="1">
        <v>45</v>
      </c>
      <c r="M1343" s="1" t="s">
        <v>102</v>
      </c>
    </row>
    <row r="1344" spans="1:16" ht="14.25" customHeight="1" x14ac:dyDescent="0.3">
      <c r="A1344" s="1" t="s">
        <v>68</v>
      </c>
      <c r="B1344" s="1">
        <v>14</v>
      </c>
      <c r="C1344" s="1">
        <v>19</v>
      </c>
      <c r="D1344" s="1" t="str">
        <f t="shared" si="20"/>
        <v>Yes</v>
      </c>
      <c r="E1344" s="1">
        <v>1.3</v>
      </c>
      <c r="F1344" s="1">
        <v>329</v>
      </c>
      <c r="G1344" s="1" t="s">
        <v>93</v>
      </c>
      <c r="H1344" s="1" t="s">
        <v>94</v>
      </c>
      <c r="I1344" s="1">
        <v>24.4</v>
      </c>
      <c r="J1344" s="1" t="s">
        <v>95</v>
      </c>
      <c r="K1344" s="1">
        <v>0</v>
      </c>
      <c r="L1344" s="1">
        <v>95</v>
      </c>
      <c r="M1344" s="1" t="s">
        <v>101</v>
      </c>
      <c r="P1344" s="1">
        <v>680</v>
      </c>
    </row>
    <row r="1345" spans="1:18" ht="14.25" customHeight="1" x14ac:dyDescent="0.3">
      <c r="A1345" s="1" t="s">
        <v>68</v>
      </c>
      <c r="B1345" s="1">
        <v>15</v>
      </c>
      <c r="C1345" s="1">
        <v>20</v>
      </c>
      <c r="D1345" s="1" t="str">
        <f t="shared" si="20"/>
        <v>No</v>
      </c>
      <c r="E1345" s="1">
        <v>73</v>
      </c>
      <c r="F1345" s="1">
        <v>349</v>
      </c>
      <c r="G1345" s="1" t="s">
        <v>93</v>
      </c>
      <c r="H1345" s="1" t="s">
        <v>95</v>
      </c>
      <c r="I1345" s="1">
        <v>13.4</v>
      </c>
      <c r="J1345" s="1" t="s">
        <v>95</v>
      </c>
      <c r="M1345" s="1" t="s">
        <v>101</v>
      </c>
      <c r="O1345" s="1">
        <v>1</v>
      </c>
    </row>
    <row r="1346" spans="1:18" ht="14.25" customHeight="1" x14ac:dyDescent="0.3">
      <c r="A1346" s="1" t="s">
        <v>68</v>
      </c>
      <c r="B1346" s="1">
        <v>15</v>
      </c>
      <c r="C1346" s="1">
        <v>11</v>
      </c>
      <c r="D1346" s="1" t="str">
        <f t="shared" ref="D1346:D1366" si="21">IF(E1346&gt;12.5, "No", "Yes")</f>
        <v>No</v>
      </c>
      <c r="E1346" s="1">
        <v>81</v>
      </c>
      <c r="F1346" s="1">
        <v>269</v>
      </c>
      <c r="G1346" s="1" t="s">
        <v>93</v>
      </c>
      <c r="H1346" s="1" t="s">
        <v>95</v>
      </c>
      <c r="I1346" s="1">
        <v>8.8000000000000007</v>
      </c>
      <c r="J1346" s="1" t="s">
        <v>95</v>
      </c>
      <c r="M1346" s="1" t="s">
        <v>101</v>
      </c>
      <c r="O1346" s="1">
        <v>1</v>
      </c>
    </row>
    <row r="1347" spans="1:18" ht="14.25" customHeight="1" x14ac:dyDescent="0.3">
      <c r="A1347" s="1" t="s">
        <v>68</v>
      </c>
      <c r="B1347" s="1">
        <v>15</v>
      </c>
      <c r="C1347" s="1">
        <v>5</v>
      </c>
      <c r="D1347" s="1" t="str">
        <f t="shared" si="21"/>
        <v>Yes</v>
      </c>
      <c r="E1347" s="1">
        <v>11</v>
      </c>
      <c r="F1347" s="1">
        <v>109</v>
      </c>
      <c r="G1347" s="1" t="s">
        <v>98</v>
      </c>
      <c r="H1347" s="1" t="s">
        <v>95</v>
      </c>
      <c r="I1347" s="1">
        <v>37.299999999999997</v>
      </c>
      <c r="J1347" s="1" t="s">
        <v>95</v>
      </c>
      <c r="M1347" s="1" t="s">
        <v>102</v>
      </c>
      <c r="O1347" s="1">
        <v>1</v>
      </c>
      <c r="Q1347" s="1" t="s">
        <v>210</v>
      </c>
    </row>
    <row r="1348" spans="1:18" ht="14.25" customHeight="1" x14ac:dyDescent="0.3">
      <c r="A1348" s="1" t="s">
        <v>68</v>
      </c>
      <c r="B1348" s="1">
        <v>15</v>
      </c>
      <c r="C1348" s="1">
        <v>7</v>
      </c>
      <c r="D1348" s="1" t="str">
        <f t="shared" si="21"/>
        <v>Yes</v>
      </c>
      <c r="E1348" s="1">
        <v>8.8000000000000007</v>
      </c>
      <c r="F1348" s="1">
        <v>129</v>
      </c>
      <c r="G1348" s="1" t="s">
        <v>98</v>
      </c>
      <c r="H1348" s="1" t="s">
        <v>95</v>
      </c>
      <c r="I1348" s="1">
        <v>22</v>
      </c>
      <c r="J1348" s="1" t="s">
        <v>95</v>
      </c>
      <c r="M1348" s="1" t="s">
        <v>102</v>
      </c>
      <c r="O1348" s="1">
        <v>1</v>
      </c>
    </row>
    <row r="1349" spans="1:18" ht="14.25" customHeight="1" x14ac:dyDescent="0.3">
      <c r="A1349" s="1" t="s">
        <v>68</v>
      </c>
      <c r="B1349" s="1">
        <v>15</v>
      </c>
      <c r="C1349" s="1">
        <v>10</v>
      </c>
      <c r="D1349" s="1" t="str">
        <f t="shared" si="21"/>
        <v>Yes</v>
      </c>
      <c r="E1349" s="1">
        <v>8.1999999999999993</v>
      </c>
      <c r="F1349" s="1">
        <v>265</v>
      </c>
      <c r="G1349" s="1" t="s">
        <v>109</v>
      </c>
      <c r="H1349" s="1" t="s">
        <v>95</v>
      </c>
      <c r="I1349" s="1">
        <v>94.5</v>
      </c>
      <c r="J1349" s="1" t="s">
        <v>95</v>
      </c>
      <c r="M1349" s="1" t="s">
        <v>97</v>
      </c>
      <c r="O1349" s="1">
        <v>1</v>
      </c>
      <c r="Q1349" s="1">
        <v>649</v>
      </c>
    </row>
    <row r="1350" spans="1:18" ht="14.25" customHeight="1" x14ac:dyDescent="0.3">
      <c r="A1350" s="1" t="s">
        <v>68</v>
      </c>
      <c r="B1350" s="1">
        <v>15</v>
      </c>
      <c r="C1350" s="1">
        <v>3</v>
      </c>
      <c r="D1350" s="1" t="str">
        <f t="shared" si="21"/>
        <v>Yes</v>
      </c>
      <c r="E1350" s="1">
        <v>9.1</v>
      </c>
      <c r="F1350" s="1">
        <v>45</v>
      </c>
      <c r="G1350" s="1" t="s">
        <v>173</v>
      </c>
      <c r="H1350" s="1" t="s">
        <v>95</v>
      </c>
      <c r="I1350" s="1">
        <v>17.5</v>
      </c>
      <c r="J1350" s="1" t="s">
        <v>101</v>
      </c>
      <c r="M1350" s="1" t="s">
        <v>101</v>
      </c>
      <c r="O1350" s="1">
        <v>5</v>
      </c>
      <c r="Q1350" s="1" t="s">
        <v>210</v>
      </c>
    </row>
    <row r="1351" spans="1:18" ht="14.25" customHeight="1" x14ac:dyDescent="0.3">
      <c r="A1351" s="1" t="s">
        <v>68</v>
      </c>
      <c r="B1351" s="1">
        <v>15</v>
      </c>
      <c r="C1351" s="1">
        <v>4</v>
      </c>
      <c r="D1351" s="1" t="str">
        <f t="shared" si="21"/>
        <v>Yes</v>
      </c>
      <c r="E1351" s="1">
        <v>9.1</v>
      </c>
      <c r="F1351" s="1">
        <v>45</v>
      </c>
      <c r="G1351" s="1" t="s">
        <v>173</v>
      </c>
      <c r="H1351" s="1" t="s">
        <v>95</v>
      </c>
      <c r="I1351" s="1">
        <v>13.1</v>
      </c>
      <c r="J1351" s="1" t="s">
        <v>95</v>
      </c>
      <c r="M1351" s="1" t="s">
        <v>101</v>
      </c>
      <c r="O1351" s="1">
        <v>1</v>
      </c>
      <c r="Q1351" s="1" t="s">
        <v>210</v>
      </c>
    </row>
    <row r="1352" spans="1:18" ht="14.25" customHeight="1" x14ac:dyDescent="0.3">
      <c r="A1352" s="1" t="s">
        <v>68</v>
      </c>
      <c r="B1352" s="1">
        <v>15</v>
      </c>
      <c r="C1352" s="1">
        <v>2</v>
      </c>
      <c r="D1352" s="1" t="str">
        <f t="shared" si="21"/>
        <v>Yes</v>
      </c>
      <c r="E1352" s="1">
        <v>5.6</v>
      </c>
      <c r="F1352" s="1">
        <v>32</v>
      </c>
      <c r="G1352" s="1" t="s">
        <v>106</v>
      </c>
      <c r="H1352" s="1" t="s">
        <v>95</v>
      </c>
      <c r="I1352" s="1">
        <v>78.900000000000006</v>
      </c>
      <c r="J1352" s="1" t="s">
        <v>95</v>
      </c>
      <c r="M1352" s="1" t="s">
        <v>102</v>
      </c>
      <c r="O1352" s="1">
        <v>5</v>
      </c>
      <c r="P1352" s="1">
        <v>648</v>
      </c>
      <c r="R1352" s="1"/>
    </row>
    <row r="1353" spans="1:18" ht="14.25" customHeight="1" x14ac:dyDescent="0.3">
      <c r="A1353" s="1" t="s">
        <v>68</v>
      </c>
      <c r="B1353" s="1">
        <v>15</v>
      </c>
      <c r="C1353" s="1">
        <v>8</v>
      </c>
      <c r="D1353" s="1" t="str">
        <f t="shared" si="21"/>
        <v>Yes</v>
      </c>
      <c r="E1353" s="1">
        <v>6</v>
      </c>
      <c r="F1353" s="1">
        <v>161</v>
      </c>
      <c r="G1353" s="1" t="s">
        <v>106</v>
      </c>
      <c r="H1353" s="1" t="s">
        <v>95</v>
      </c>
      <c r="I1353" s="1">
        <v>9.1</v>
      </c>
      <c r="J1353" s="1" t="s">
        <v>95</v>
      </c>
      <c r="M1353" s="1" t="s">
        <v>101</v>
      </c>
      <c r="O1353" s="1">
        <v>1</v>
      </c>
    </row>
    <row r="1354" spans="1:18" ht="14.25" customHeight="1" x14ac:dyDescent="0.3">
      <c r="A1354" s="1" t="s">
        <v>68</v>
      </c>
      <c r="B1354" s="1">
        <v>15</v>
      </c>
      <c r="C1354" s="1">
        <v>18</v>
      </c>
      <c r="D1354" s="1" t="str">
        <f t="shared" si="21"/>
        <v>Yes</v>
      </c>
      <c r="E1354" s="1">
        <v>2.2000000000000002</v>
      </c>
      <c r="F1354" s="1">
        <v>346</v>
      </c>
      <c r="G1354" s="1" t="s">
        <v>93</v>
      </c>
      <c r="H1354" s="1" t="s">
        <v>95</v>
      </c>
      <c r="I1354" s="1">
        <v>58.4</v>
      </c>
      <c r="J1354" s="1" t="s">
        <v>95</v>
      </c>
      <c r="M1354" s="1" t="s">
        <v>102</v>
      </c>
      <c r="O1354" s="1">
        <v>1</v>
      </c>
      <c r="P1354" s="1">
        <v>647</v>
      </c>
    </row>
    <row r="1355" spans="1:18" ht="14.25" customHeight="1" x14ac:dyDescent="0.3">
      <c r="A1355" s="1" t="s">
        <v>68</v>
      </c>
      <c r="B1355" s="1">
        <v>15</v>
      </c>
      <c r="C1355" s="1">
        <v>1</v>
      </c>
      <c r="D1355" s="1" t="str">
        <f t="shared" si="21"/>
        <v>Yes</v>
      </c>
      <c r="E1355" s="1">
        <v>11.4</v>
      </c>
      <c r="F1355" s="1">
        <v>11</v>
      </c>
      <c r="G1355" s="1" t="s">
        <v>93</v>
      </c>
      <c r="H1355" s="1" t="s">
        <v>95</v>
      </c>
      <c r="I1355" s="1">
        <v>43</v>
      </c>
      <c r="J1355" s="1" t="s">
        <v>95</v>
      </c>
      <c r="M1355" s="1" t="s">
        <v>101</v>
      </c>
      <c r="O1355" s="1">
        <v>1</v>
      </c>
      <c r="R1355" s="1"/>
    </row>
    <row r="1356" spans="1:18" ht="14.25" customHeight="1" x14ac:dyDescent="0.3">
      <c r="A1356" s="1" t="s">
        <v>68</v>
      </c>
      <c r="B1356" s="1">
        <v>15</v>
      </c>
      <c r="C1356" s="1">
        <v>14</v>
      </c>
      <c r="D1356" s="1" t="str">
        <f t="shared" si="21"/>
        <v>Yes</v>
      </c>
      <c r="E1356" s="1">
        <v>6.7</v>
      </c>
      <c r="F1356" s="1">
        <v>314</v>
      </c>
      <c r="G1356" s="1" t="s">
        <v>93</v>
      </c>
      <c r="H1356" s="1" t="s">
        <v>95</v>
      </c>
      <c r="I1356" s="1">
        <v>30.5</v>
      </c>
      <c r="J1356" s="1" t="s">
        <v>95</v>
      </c>
      <c r="M1356" s="1" t="s">
        <v>101</v>
      </c>
      <c r="O1356" s="1">
        <v>5</v>
      </c>
    </row>
    <row r="1357" spans="1:18" ht="14.25" customHeight="1" x14ac:dyDescent="0.3">
      <c r="A1357" s="1" t="s">
        <v>68</v>
      </c>
      <c r="B1357" s="1">
        <v>15</v>
      </c>
      <c r="C1357" s="1">
        <v>6</v>
      </c>
      <c r="D1357" s="1" t="str">
        <f t="shared" si="21"/>
        <v>Yes</v>
      </c>
      <c r="E1357" s="1">
        <v>8.1999999999999993</v>
      </c>
      <c r="F1357" s="1">
        <v>116</v>
      </c>
      <c r="G1357" s="1" t="s">
        <v>93</v>
      </c>
      <c r="H1357" s="1" t="s">
        <v>95</v>
      </c>
      <c r="I1357" s="1">
        <v>25.5</v>
      </c>
      <c r="J1357" s="1" t="s">
        <v>95</v>
      </c>
      <c r="M1357" s="1" t="s">
        <v>101</v>
      </c>
      <c r="O1357" s="1">
        <v>1</v>
      </c>
    </row>
    <row r="1358" spans="1:18" ht="14.25" customHeight="1" x14ac:dyDescent="0.3">
      <c r="A1358" s="1" t="s">
        <v>68</v>
      </c>
      <c r="B1358" s="1">
        <v>15</v>
      </c>
      <c r="C1358" s="1">
        <v>13</v>
      </c>
      <c r="D1358" s="1" t="str">
        <f t="shared" si="21"/>
        <v>Yes</v>
      </c>
      <c r="E1358" s="1">
        <v>5.4</v>
      </c>
      <c r="F1358" s="1">
        <v>299</v>
      </c>
      <c r="G1358" s="1" t="s">
        <v>93</v>
      </c>
      <c r="H1358" s="1" t="s">
        <v>95</v>
      </c>
      <c r="I1358" s="1">
        <v>20</v>
      </c>
      <c r="J1358" s="1" t="s">
        <v>95</v>
      </c>
      <c r="M1358" s="1" t="s">
        <v>101</v>
      </c>
      <c r="O1358" s="1">
        <v>1</v>
      </c>
    </row>
    <row r="1359" spans="1:18" ht="14.25" customHeight="1" x14ac:dyDescent="0.3">
      <c r="A1359" s="1" t="s">
        <v>68</v>
      </c>
      <c r="B1359" s="1">
        <v>15</v>
      </c>
      <c r="C1359" s="1">
        <v>15</v>
      </c>
      <c r="D1359" s="1" t="str">
        <f t="shared" si="21"/>
        <v>Yes</v>
      </c>
      <c r="E1359" s="1">
        <v>9</v>
      </c>
      <c r="F1359" s="1">
        <v>329</v>
      </c>
      <c r="G1359" s="1" t="s">
        <v>93</v>
      </c>
      <c r="H1359" s="1" t="s">
        <v>95</v>
      </c>
      <c r="I1359" s="1">
        <v>18.8</v>
      </c>
      <c r="J1359" s="1" t="s">
        <v>95</v>
      </c>
      <c r="M1359" s="1" t="s">
        <v>101</v>
      </c>
      <c r="O1359" s="1">
        <v>1</v>
      </c>
    </row>
    <row r="1360" spans="1:18" ht="14.25" customHeight="1" x14ac:dyDescent="0.3">
      <c r="A1360" s="1" t="s">
        <v>68</v>
      </c>
      <c r="B1360" s="1">
        <v>15</v>
      </c>
      <c r="C1360" s="1">
        <v>16</v>
      </c>
      <c r="D1360" s="1" t="str">
        <f t="shared" si="21"/>
        <v>Yes</v>
      </c>
      <c r="E1360" s="1">
        <v>11.2</v>
      </c>
      <c r="F1360" s="1">
        <v>338</v>
      </c>
      <c r="G1360" s="1" t="s">
        <v>93</v>
      </c>
      <c r="H1360" s="1" t="s">
        <v>95</v>
      </c>
      <c r="I1360" s="1">
        <v>15.5</v>
      </c>
      <c r="J1360" s="1" t="s">
        <v>95</v>
      </c>
      <c r="M1360" s="1" t="s">
        <v>101</v>
      </c>
      <c r="O1360" s="1">
        <v>5</v>
      </c>
    </row>
    <row r="1361" spans="1:18" ht="14.25" customHeight="1" x14ac:dyDescent="0.3">
      <c r="A1361" s="1" t="s">
        <v>68</v>
      </c>
      <c r="B1361" s="1">
        <v>15</v>
      </c>
      <c r="C1361" s="1">
        <v>21</v>
      </c>
      <c r="D1361" s="1" t="str">
        <f t="shared" si="21"/>
        <v>Yes</v>
      </c>
      <c r="E1361" s="1">
        <v>12</v>
      </c>
      <c r="F1361" s="1">
        <v>357</v>
      </c>
      <c r="G1361" s="1" t="s">
        <v>93</v>
      </c>
      <c r="H1361" s="1" t="s">
        <v>95</v>
      </c>
      <c r="I1361" s="1">
        <v>13.4</v>
      </c>
      <c r="J1361" s="1" t="s">
        <v>95</v>
      </c>
      <c r="M1361" s="1" t="s">
        <v>101</v>
      </c>
      <c r="O1361" s="1">
        <v>1</v>
      </c>
      <c r="R1361" s="1"/>
    </row>
    <row r="1362" spans="1:18" ht="14.25" customHeight="1" x14ac:dyDescent="0.3">
      <c r="A1362" s="1" t="s">
        <v>68</v>
      </c>
      <c r="B1362" s="1">
        <v>15</v>
      </c>
      <c r="C1362" s="1">
        <v>19</v>
      </c>
      <c r="D1362" s="1" t="str">
        <f t="shared" si="21"/>
        <v>Yes</v>
      </c>
      <c r="E1362" s="1">
        <v>10.199999999999999</v>
      </c>
      <c r="F1362" s="1">
        <v>349</v>
      </c>
      <c r="G1362" s="1" t="s">
        <v>93</v>
      </c>
      <c r="H1362" s="1" t="s">
        <v>95</v>
      </c>
      <c r="I1362" s="1">
        <v>11.9</v>
      </c>
      <c r="J1362" s="1" t="s">
        <v>95</v>
      </c>
      <c r="M1362" s="1" t="s">
        <v>101</v>
      </c>
      <c r="O1362" s="1">
        <v>1</v>
      </c>
    </row>
    <row r="1363" spans="1:18" ht="14.25" customHeight="1" x14ac:dyDescent="0.3">
      <c r="A1363" s="1" t="s">
        <v>68</v>
      </c>
      <c r="B1363" s="1">
        <v>15</v>
      </c>
      <c r="C1363" s="1">
        <v>12</v>
      </c>
      <c r="D1363" s="1" t="str">
        <f t="shared" si="21"/>
        <v>Yes</v>
      </c>
      <c r="E1363" s="1">
        <v>5.4</v>
      </c>
      <c r="F1363" s="1">
        <v>298</v>
      </c>
      <c r="G1363" s="1" t="s">
        <v>93</v>
      </c>
      <c r="H1363" s="1" t="s">
        <v>95</v>
      </c>
      <c r="I1363" s="1">
        <v>11.5</v>
      </c>
      <c r="J1363" s="1" t="s">
        <v>95</v>
      </c>
      <c r="M1363" s="1" t="s">
        <v>101</v>
      </c>
      <c r="O1363" s="1">
        <v>1</v>
      </c>
    </row>
    <row r="1364" spans="1:18" ht="14.25" customHeight="1" x14ac:dyDescent="0.3">
      <c r="A1364" s="1" t="s">
        <v>68</v>
      </c>
      <c r="B1364" s="1">
        <v>15</v>
      </c>
      <c r="C1364" s="1">
        <v>17</v>
      </c>
      <c r="D1364" s="1" t="str">
        <f t="shared" si="21"/>
        <v>Yes</v>
      </c>
      <c r="E1364" s="1">
        <v>10</v>
      </c>
      <c r="F1364" s="1">
        <v>346</v>
      </c>
      <c r="G1364" s="1" t="s">
        <v>93</v>
      </c>
      <c r="H1364" s="1" t="s">
        <v>95</v>
      </c>
      <c r="I1364" s="1">
        <v>10.8</v>
      </c>
      <c r="J1364" s="1" t="s">
        <v>95</v>
      </c>
      <c r="M1364" s="1" t="s">
        <v>101</v>
      </c>
      <c r="O1364" s="1">
        <v>1</v>
      </c>
    </row>
    <row r="1365" spans="1:18" ht="14.25" customHeight="1" x14ac:dyDescent="0.3">
      <c r="A1365" s="1" t="s">
        <v>68</v>
      </c>
      <c r="B1365" s="1">
        <v>15</v>
      </c>
      <c r="C1365" s="1">
        <v>9</v>
      </c>
      <c r="D1365" s="1" t="str">
        <f t="shared" si="21"/>
        <v>Yes</v>
      </c>
      <c r="E1365" s="1">
        <v>12.2</v>
      </c>
      <c r="F1365" s="1">
        <v>213</v>
      </c>
      <c r="G1365" s="1" t="s">
        <v>93</v>
      </c>
      <c r="H1365" s="1" t="s">
        <v>95</v>
      </c>
      <c r="I1365" s="1">
        <v>10.5</v>
      </c>
      <c r="J1365" s="1" t="s">
        <v>95</v>
      </c>
      <c r="M1365" s="1" t="s">
        <v>101</v>
      </c>
      <c r="O1365" s="1">
        <v>1</v>
      </c>
      <c r="R1365" s="1"/>
    </row>
    <row r="1366" spans="1:18" ht="14.25" customHeight="1" x14ac:dyDescent="0.3">
      <c r="A1366" s="1" t="s">
        <v>68</v>
      </c>
      <c r="B1366" s="1">
        <v>16</v>
      </c>
      <c r="D1366" s="1" t="str">
        <f t="shared" si="21"/>
        <v>No</v>
      </c>
      <c r="E1366" s="1">
        <v>23.6</v>
      </c>
      <c r="F1366" s="1">
        <v>346</v>
      </c>
      <c r="G1366" s="1" t="s">
        <v>96</v>
      </c>
      <c r="H1366" s="1" t="s">
        <v>94</v>
      </c>
      <c r="J1366" s="1" t="s">
        <v>95</v>
      </c>
      <c r="K1366" s="1">
        <v>10</v>
      </c>
      <c r="L1366" s="1">
        <v>5</v>
      </c>
      <c r="M1366" s="1" t="s">
        <v>97</v>
      </c>
      <c r="N1366" s="1" t="s">
        <v>186</v>
      </c>
      <c r="P1366" s="1">
        <v>650</v>
      </c>
      <c r="Q1366" s="1" t="s">
        <v>187</v>
      </c>
      <c r="R1366" s="1"/>
    </row>
    <row r="1367" spans="1:18" ht="14.25" customHeight="1" x14ac:dyDescent="0.3">
      <c r="A1367" s="1" t="s">
        <v>68</v>
      </c>
      <c r="B1367" s="1">
        <v>16</v>
      </c>
      <c r="C1367" s="1">
        <v>1</v>
      </c>
      <c r="D1367" s="1" t="str">
        <f>IF(E1367&gt;12.6, "No", "Yes")</f>
        <v>Yes</v>
      </c>
      <c r="E1367" s="1">
        <v>12.6</v>
      </c>
      <c r="F1367" s="1">
        <v>138</v>
      </c>
      <c r="G1367" s="1" t="s">
        <v>93</v>
      </c>
      <c r="H1367" s="1" t="s">
        <v>95</v>
      </c>
      <c r="I1367" s="1">
        <v>63.3</v>
      </c>
      <c r="J1367" s="1" t="s">
        <v>95</v>
      </c>
      <c r="M1367" s="1" t="s">
        <v>102</v>
      </c>
      <c r="O1367" s="1">
        <v>1</v>
      </c>
      <c r="P1367" s="1">
        <v>651</v>
      </c>
      <c r="R1367" s="1"/>
    </row>
    <row r="1368" spans="1:18" ht="14.25" customHeight="1" x14ac:dyDescent="0.3">
      <c r="A1368" s="1" t="s">
        <v>68</v>
      </c>
      <c r="B1368" s="1">
        <v>16</v>
      </c>
      <c r="C1368" s="1">
        <v>2</v>
      </c>
      <c r="D1368" s="1" t="str">
        <f t="shared" ref="D1368:D1431" si="22">IF(E1368&gt;12.5, "No", "Yes")</f>
        <v>Yes</v>
      </c>
      <c r="E1368" s="1">
        <v>11.8</v>
      </c>
      <c r="F1368" s="1">
        <v>151</v>
      </c>
      <c r="G1368" s="1" t="s">
        <v>93</v>
      </c>
      <c r="H1368" s="1" t="s">
        <v>95</v>
      </c>
      <c r="I1368" s="1">
        <v>52.9</v>
      </c>
      <c r="J1368" s="1" t="s">
        <v>95</v>
      </c>
      <c r="M1368" s="1" t="s">
        <v>102</v>
      </c>
      <c r="O1368" s="1">
        <v>1</v>
      </c>
      <c r="R1368" s="1"/>
    </row>
    <row r="1369" spans="1:18" ht="14.25" customHeight="1" x14ac:dyDescent="0.3">
      <c r="A1369" s="1" t="s">
        <v>68</v>
      </c>
      <c r="B1369" s="1">
        <v>16</v>
      </c>
      <c r="C1369" s="1">
        <v>5</v>
      </c>
      <c r="D1369" s="1" t="str">
        <f t="shared" si="22"/>
        <v>Yes</v>
      </c>
      <c r="E1369" s="1">
        <v>8.8000000000000007</v>
      </c>
      <c r="F1369" s="1">
        <v>199</v>
      </c>
      <c r="G1369" s="1" t="s">
        <v>93</v>
      </c>
      <c r="H1369" s="1" t="s">
        <v>95</v>
      </c>
      <c r="I1369" s="1">
        <v>52.9</v>
      </c>
      <c r="J1369" s="1" t="s">
        <v>95</v>
      </c>
      <c r="M1369" s="1" t="s">
        <v>102</v>
      </c>
      <c r="O1369" s="1">
        <v>5</v>
      </c>
    </row>
    <row r="1370" spans="1:18" ht="14.25" customHeight="1" x14ac:dyDescent="0.3">
      <c r="A1370" s="1" t="s">
        <v>68</v>
      </c>
      <c r="B1370" s="1">
        <v>16</v>
      </c>
      <c r="C1370" s="1">
        <v>6</v>
      </c>
      <c r="D1370" s="1" t="str">
        <f t="shared" si="22"/>
        <v>Yes</v>
      </c>
      <c r="E1370" s="1">
        <v>9.1999999999999993</v>
      </c>
      <c r="F1370" s="1">
        <v>208</v>
      </c>
      <c r="G1370" s="1" t="s">
        <v>93</v>
      </c>
      <c r="H1370" s="1" t="s">
        <v>95</v>
      </c>
      <c r="I1370" s="1">
        <v>52.5</v>
      </c>
      <c r="J1370" s="1" t="s">
        <v>95</v>
      </c>
      <c r="M1370" s="1" t="s">
        <v>102</v>
      </c>
      <c r="O1370" s="1">
        <v>5</v>
      </c>
      <c r="R1370" s="1"/>
    </row>
    <row r="1371" spans="1:18" ht="14.25" customHeight="1" x14ac:dyDescent="0.3">
      <c r="A1371" s="1" t="s">
        <v>68</v>
      </c>
      <c r="B1371" s="1">
        <v>16</v>
      </c>
      <c r="C1371" s="1">
        <v>4</v>
      </c>
      <c r="D1371" s="1" t="str">
        <f t="shared" si="22"/>
        <v>Yes</v>
      </c>
      <c r="E1371" s="1">
        <v>5.8</v>
      </c>
      <c r="F1371" s="1">
        <v>154</v>
      </c>
      <c r="G1371" s="1" t="s">
        <v>93</v>
      </c>
      <c r="H1371" s="1" t="s">
        <v>95</v>
      </c>
      <c r="I1371" s="1">
        <v>23</v>
      </c>
      <c r="J1371" s="1" t="s">
        <v>101</v>
      </c>
      <c r="M1371" s="1" t="s">
        <v>101</v>
      </c>
      <c r="O1371" s="1">
        <v>5</v>
      </c>
      <c r="Q1371" s="1" t="s">
        <v>176</v>
      </c>
    </row>
    <row r="1372" spans="1:18" ht="14.25" customHeight="1" x14ac:dyDescent="0.3">
      <c r="A1372" s="1" t="s">
        <v>68</v>
      </c>
      <c r="B1372" s="1">
        <v>16</v>
      </c>
      <c r="C1372" s="1">
        <v>8</v>
      </c>
      <c r="D1372" s="1" t="str">
        <f t="shared" si="22"/>
        <v>Yes</v>
      </c>
      <c r="E1372" s="1">
        <v>8.6999999999999993</v>
      </c>
      <c r="F1372" s="1">
        <v>262</v>
      </c>
      <c r="G1372" s="1" t="s">
        <v>93</v>
      </c>
      <c r="H1372" s="1" t="s">
        <v>95</v>
      </c>
      <c r="I1372" s="1">
        <v>22.4</v>
      </c>
      <c r="J1372" s="1" t="s">
        <v>95</v>
      </c>
      <c r="M1372" s="1" t="s">
        <v>101</v>
      </c>
      <c r="O1372" s="1">
        <v>5</v>
      </c>
    </row>
    <row r="1373" spans="1:18" ht="14.25" customHeight="1" x14ac:dyDescent="0.3">
      <c r="A1373" s="1" t="s">
        <v>68</v>
      </c>
      <c r="B1373" s="1">
        <v>16</v>
      </c>
      <c r="C1373" s="1">
        <v>7</v>
      </c>
      <c r="D1373" s="1" t="str">
        <f t="shared" si="22"/>
        <v>Yes</v>
      </c>
      <c r="E1373" s="1">
        <v>10</v>
      </c>
      <c r="F1373" s="1">
        <v>217</v>
      </c>
      <c r="G1373" s="1" t="s">
        <v>93</v>
      </c>
      <c r="H1373" s="1" t="s">
        <v>95</v>
      </c>
      <c r="I1373" s="1">
        <v>20</v>
      </c>
      <c r="J1373" s="1" t="s">
        <v>101</v>
      </c>
      <c r="M1373" s="1" t="s">
        <v>101</v>
      </c>
      <c r="O1373" s="1">
        <v>5</v>
      </c>
      <c r="Q1373" s="1" t="s">
        <v>176</v>
      </c>
    </row>
    <row r="1374" spans="1:18" ht="14.25" customHeight="1" x14ac:dyDescent="0.3">
      <c r="A1374" s="1" t="s">
        <v>68</v>
      </c>
      <c r="B1374" s="1">
        <v>16</v>
      </c>
      <c r="C1374" s="1">
        <v>3</v>
      </c>
      <c r="D1374" s="1" t="str">
        <f t="shared" si="22"/>
        <v>Yes</v>
      </c>
      <c r="E1374" s="1">
        <v>11.2</v>
      </c>
      <c r="F1374" s="1">
        <v>164</v>
      </c>
      <c r="G1374" s="1" t="s">
        <v>93</v>
      </c>
      <c r="H1374" s="1" t="s">
        <v>95</v>
      </c>
      <c r="I1374" s="1">
        <v>19.2</v>
      </c>
      <c r="J1374" s="1" t="s">
        <v>101</v>
      </c>
      <c r="M1374" s="1" t="s">
        <v>101</v>
      </c>
      <c r="O1374" s="1">
        <v>5</v>
      </c>
      <c r="Q1374" s="1" t="s">
        <v>176</v>
      </c>
    </row>
    <row r="1375" spans="1:18" ht="14.25" customHeight="1" x14ac:dyDescent="0.3">
      <c r="A1375" s="1" t="s">
        <v>68</v>
      </c>
      <c r="B1375" s="1">
        <v>16</v>
      </c>
      <c r="C1375" s="1">
        <v>9</v>
      </c>
      <c r="D1375" s="1" t="str">
        <f t="shared" si="22"/>
        <v>Yes</v>
      </c>
      <c r="E1375" s="1">
        <v>5.6</v>
      </c>
      <c r="F1375" s="1">
        <v>267</v>
      </c>
      <c r="G1375" s="1" t="s">
        <v>109</v>
      </c>
      <c r="H1375" s="1" t="s">
        <v>94</v>
      </c>
      <c r="I1375" s="1">
        <v>78.5</v>
      </c>
      <c r="J1375" s="1" t="s">
        <v>95</v>
      </c>
      <c r="K1375" s="1">
        <v>10</v>
      </c>
      <c r="L1375" s="1">
        <v>70</v>
      </c>
      <c r="M1375" s="1" t="s">
        <v>102</v>
      </c>
      <c r="N1375" s="1" t="s">
        <v>100</v>
      </c>
      <c r="P1375" s="1">
        <v>652</v>
      </c>
    </row>
    <row r="1376" spans="1:18" ht="14.25" customHeight="1" x14ac:dyDescent="0.3">
      <c r="A1376" s="1" t="s">
        <v>68</v>
      </c>
      <c r="B1376" s="1">
        <v>17</v>
      </c>
      <c r="C1376" s="1">
        <v>22</v>
      </c>
      <c r="D1376" s="1" t="str">
        <f t="shared" si="22"/>
        <v>No</v>
      </c>
      <c r="E1376" s="1">
        <v>12.6</v>
      </c>
      <c r="F1376" s="1">
        <v>223</v>
      </c>
      <c r="G1376" s="1" t="s">
        <v>98</v>
      </c>
      <c r="H1376" s="1" t="s">
        <v>95</v>
      </c>
      <c r="I1376" s="1">
        <v>30.4</v>
      </c>
      <c r="J1376" s="1" t="s">
        <v>95</v>
      </c>
      <c r="M1376" s="1" t="s">
        <v>101</v>
      </c>
      <c r="O1376" s="1">
        <v>1</v>
      </c>
    </row>
    <row r="1377" spans="1:18" ht="14.25" customHeight="1" x14ac:dyDescent="0.3">
      <c r="A1377" s="1" t="s">
        <v>68</v>
      </c>
      <c r="B1377" s="1">
        <v>17</v>
      </c>
      <c r="C1377" s="1">
        <v>16</v>
      </c>
      <c r="D1377" s="1" t="str">
        <f t="shared" si="22"/>
        <v>Yes</v>
      </c>
      <c r="E1377" s="1">
        <v>7.1</v>
      </c>
      <c r="F1377" s="1">
        <v>198</v>
      </c>
      <c r="G1377" s="1" t="s">
        <v>98</v>
      </c>
      <c r="H1377" s="1" t="s">
        <v>95</v>
      </c>
      <c r="I1377" s="1">
        <v>34</v>
      </c>
      <c r="J1377" s="1" t="s">
        <v>95</v>
      </c>
      <c r="M1377" s="1" t="s">
        <v>101</v>
      </c>
      <c r="O1377" s="1">
        <v>1</v>
      </c>
    </row>
    <row r="1378" spans="1:18" ht="14.25" customHeight="1" x14ac:dyDescent="0.3">
      <c r="A1378" s="1" t="s">
        <v>68</v>
      </c>
      <c r="B1378" s="1">
        <v>17</v>
      </c>
      <c r="C1378" s="1">
        <v>13</v>
      </c>
      <c r="D1378" s="1" t="str">
        <f t="shared" si="22"/>
        <v>Yes</v>
      </c>
      <c r="E1378" s="1">
        <v>5.6</v>
      </c>
      <c r="F1378" s="1">
        <v>108</v>
      </c>
      <c r="G1378" s="1" t="s">
        <v>98</v>
      </c>
      <c r="H1378" s="1" t="s">
        <v>95</v>
      </c>
      <c r="I1378" s="1">
        <v>33.9</v>
      </c>
      <c r="J1378" s="1" t="s">
        <v>95</v>
      </c>
      <c r="M1378" s="1" t="s">
        <v>101</v>
      </c>
      <c r="O1378" s="1">
        <v>1</v>
      </c>
    </row>
    <row r="1379" spans="1:18" ht="14.25" customHeight="1" x14ac:dyDescent="0.3">
      <c r="A1379" s="1" t="s">
        <v>68</v>
      </c>
      <c r="B1379" s="1">
        <v>17</v>
      </c>
      <c r="C1379" s="1">
        <v>21</v>
      </c>
      <c r="D1379" s="1" t="str">
        <f t="shared" si="22"/>
        <v>Yes</v>
      </c>
      <c r="E1379" s="1">
        <v>11.7</v>
      </c>
      <c r="F1379" s="1">
        <v>238</v>
      </c>
      <c r="G1379" s="1" t="s">
        <v>98</v>
      </c>
      <c r="H1379" s="1" t="s">
        <v>95</v>
      </c>
      <c r="I1379" s="1">
        <v>32.200000000000003</v>
      </c>
      <c r="J1379" s="1" t="s">
        <v>95</v>
      </c>
      <c r="M1379" s="1" t="s">
        <v>101</v>
      </c>
      <c r="O1379" s="1">
        <v>1</v>
      </c>
      <c r="Q1379" s="1" t="s">
        <v>191</v>
      </c>
    </row>
    <row r="1380" spans="1:18" ht="14.25" customHeight="1" x14ac:dyDescent="0.3">
      <c r="A1380" s="1" t="s">
        <v>68</v>
      </c>
      <c r="B1380" s="1">
        <v>17</v>
      </c>
      <c r="C1380" s="1">
        <v>20</v>
      </c>
      <c r="D1380" s="1" t="str">
        <f t="shared" si="22"/>
        <v>Yes</v>
      </c>
      <c r="E1380" s="1">
        <v>11.7</v>
      </c>
      <c r="F1380" s="1">
        <v>238</v>
      </c>
      <c r="G1380" s="1" t="s">
        <v>98</v>
      </c>
      <c r="H1380" s="1" t="s">
        <v>95</v>
      </c>
      <c r="I1380" s="1">
        <v>31.2</v>
      </c>
      <c r="J1380" s="1" t="s">
        <v>95</v>
      </c>
      <c r="M1380" s="1" t="s">
        <v>101</v>
      </c>
      <c r="O1380" s="1">
        <v>1</v>
      </c>
      <c r="Q1380" s="1" t="s">
        <v>191</v>
      </c>
    </row>
    <row r="1381" spans="1:18" ht="14.25" customHeight="1" x14ac:dyDescent="0.3">
      <c r="A1381" s="1" t="s">
        <v>68</v>
      </c>
      <c r="B1381" s="1">
        <v>17</v>
      </c>
      <c r="C1381" s="1">
        <v>15</v>
      </c>
      <c r="D1381" s="1" t="str">
        <f t="shared" si="22"/>
        <v>Yes</v>
      </c>
      <c r="E1381" s="1">
        <v>10</v>
      </c>
      <c r="F1381" s="1">
        <v>165</v>
      </c>
      <c r="G1381" s="1" t="s">
        <v>98</v>
      </c>
      <c r="H1381" s="1" t="s">
        <v>95</v>
      </c>
      <c r="I1381" s="1">
        <v>28.5</v>
      </c>
      <c r="J1381" s="1" t="s">
        <v>95</v>
      </c>
      <c r="M1381" s="1" t="s">
        <v>101</v>
      </c>
      <c r="O1381" s="1">
        <v>1</v>
      </c>
      <c r="Q1381" s="1" t="s">
        <v>191</v>
      </c>
    </row>
    <row r="1382" spans="1:18" ht="14.25" customHeight="1" x14ac:dyDescent="0.3">
      <c r="A1382" s="1" t="s">
        <v>68</v>
      </c>
      <c r="B1382" s="1">
        <v>17</v>
      </c>
      <c r="C1382" s="1">
        <v>25</v>
      </c>
      <c r="D1382" s="1" t="str">
        <f t="shared" si="22"/>
        <v>Yes</v>
      </c>
      <c r="E1382" s="1">
        <v>10.199999999999999</v>
      </c>
      <c r="F1382" s="1">
        <v>302</v>
      </c>
      <c r="G1382" s="1" t="s">
        <v>109</v>
      </c>
      <c r="H1382" s="1" t="s">
        <v>95</v>
      </c>
      <c r="I1382" s="1">
        <v>34.6</v>
      </c>
      <c r="J1382" s="1" t="s">
        <v>95</v>
      </c>
      <c r="M1382" s="1" t="s">
        <v>102</v>
      </c>
      <c r="O1382" s="1">
        <v>1</v>
      </c>
    </row>
    <row r="1383" spans="1:18" ht="14.25" customHeight="1" x14ac:dyDescent="0.3">
      <c r="A1383" s="1" t="s">
        <v>68</v>
      </c>
      <c r="B1383" s="1">
        <v>17</v>
      </c>
      <c r="C1383" s="1">
        <v>24</v>
      </c>
      <c r="D1383" s="1" t="str">
        <f t="shared" si="22"/>
        <v>Yes</v>
      </c>
      <c r="E1383" s="1">
        <v>7.8</v>
      </c>
      <c r="F1383" s="1">
        <v>278</v>
      </c>
      <c r="G1383" s="1" t="s">
        <v>106</v>
      </c>
      <c r="H1383" s="1" t="s">
        <v>95</v>
      </c>
      <c r="I1383" s="1">
        <v>14.5</v>
      </c>
      <c r="J1383" s="1" t="s">
        <v>95</v>
      </c>
      <c r="M1383" s="1" t="s">
        <v>101</v>
      </c>
      <c r="O1383" s="1">
        <v>1</v>
      </c>
    </row>
    <row r="1384" spans="1:18" ht="14.25" customHeight="1" x14ac:dyDescent="0.3">
      <c r="A1384" s="1" t="s">
        <v>68</v>
      </c>
      <c r="B1384" s="1">
        <v>17</v>
      </c>
      <c r="C1384" s="1">
        <v>19</v>
      </c>
      <c r="D1384" s="1" t="str">
        <f t="shared" si="22"/>
        <v>Yes</v>
      </c>
      <c r="E1384" s="1">
        <v>2.2999999999999998</v>
      </c>
      <c r="F1384" s="1">
        <v>216</v>
      </c>
      <c r="G1384" s="1" t="s">
        <v>93</v>
      </c>
      <c r="H1384" s="1" t="s">
        <v>95</v>
      </c>
      <c r="I1384" s="1">
        <v>59.6</v>
      </c>
      <c r="J1384" s="1" t="s">
        <v>95</v>
      </c>
      <c r="M1384" s="1" t="s">
        <v>102</v>
      </c>
      <c r="O1384" s="1">
        <v>5</v>
      </c>
    </row>
    <row r="1385" spans="1:18" ht="14.25" customHeight="1" x14ac:dyDescent="0.3">
      <c r="A1385" s="1" t="s">
        <v>68</v>
      </c>
      <c r="B1385" s="1">
        <v>17</v>
      </c>
      <c r="C1385" s="1">
        <v>6</v>
      </c>
      <c r="D1385" s="1" t="str">
        <f t="shared" si="22"/>
        <v>Yes</v>
      </c>
      <c r="E1385" s="1">
        <v>8.9</v>
      </c>
      <c r="F1385" s="1">
        <v>55</v>
      </c>
      <c r="G1385" s="1" t="s">
        <v>93</v>
      </c>
      <c r="H1385" s="1" t="s">
        <v>95</v>
      </c>
      <c r="I1385" s="1">
        <v>54.3</v>
      </c>
      <c r="J1385" s="1" t="s">
        <v>95</v>
      </c>
      <c r="M1385" s="1" t="s">
        <v>102</v>
      </c>
      <c r="O1385" s="1">
        <v>5</v>
      </c>
    </row>
    <row r="1386" spans="1:18" ht="14.25" customHeight="1" x14ac:dyDescent="0.3">
      <c r="A1386" s="1" t="s">
        <v>68</v>
      </c>
      <c r="B1386" s="1">
        <v>17</v>
      </c>
      <c r="C1386" s="1">
        <v>18</v>
      </c>
      <c r="D1386" s="1" t="str">
        <f t="shared" si="22"/>
        <v>Yes</v>
      </c>
      <c r="E1386" s="1">
        <v>1.5</v>
      </c>
      <c r="F1386" s="1">
        <v>198</v>
      </c>
      <c r="G1386" s="1" t="s">
        <v>93</v>
      </c>
      <c r="H1386" s="1" t="s">
        <v>95</v>
      </c>
      <c r="I1386" s="1">
        <v>46.7</v>
      </c>
      <c r="J1386" s="1" t="s">
        <v>95</v>
      </c>
      <c r="M1386" s="1" t="s">
        <v>102</v>
      </c>
      <c r="O1386" s="1">
        <v>5</v>
      </c>
      <c r="R1386" s="1"/>
    </row>
    <row r="1387" spans="1:18" ht="14.25" customHeight="1" x14ac:dyDescent="0.3">
      <c r="A1387" s="1" t="s">
        <v>68</v>
      </c>
      <c r="B1387" s="1">
        <v>17</v>
      </c>
      <c r="C1387" s="1">
        <v>1</v>
      </c>
      <c r="D1387" s="1" t="str">
        <f t="shared" si="22"/>
        <v>Yes</v>
      </c>
      <c r="E1387" s="1">
        <v>9.9</v>
      </c>
      <c r="F1387" s="1">
        <v>16</v>
      </c>
      <c r="G1387" s="1" t="s">
        <v>93</v>
      </c>
      <c r="H1387" s="1" t="s">
        <v>95</v>
      </c>
      <c r="I1387" s="1">
        <v>45.8</v>
      </c>
      <c r="J1387" s="1" t="s">
        <v>95</v>
      </c>
      <c r="M1387" s="1" t="s">
        <v>102</v>
      </c>
      <c r="O1387" s="1">
        <v>1</v>
      </c>
      <c r="R1387" s="1"/>
    </row>
    <row r="1388" spans="1:18" ht="14.25" customHeight="1" x14ac:dyDescent="0.3">
      <c r="A1388" s="1" t="s">
        <v>68</v>
      </c>
      <c r="B1388" s="1">
        <v>17</v>
      </c>
      <c r="C1388" s="1">
        <v>23</v>
      </c>
      <c r="D1388" s="1" t="str">
        <f t="shared" si="22"/>
        <v>Yes</v>
      </c>
      <c r="E1388" s="1">
        <v>7.8</v>
      </c>
      <c r="F1388" s="1">
        <v>268</v>
      </c>
      <c r="G1388" s="1" t="s">
        <v>93</v>
      </c>
      <c r="H1388" s="1" t="s">
        <v>95</v>
      </c>
      <c r="I1388" s="1">
        <v>44.6</v>
      </c>
      <c r="J1388" s="1" t="s">
        <v>95</v>
      </c>
      <c r="M1388" s="1" t="s">
        <v>102</v>
      </c>
      <c r="O1388" s="1">
        <v>1</v>
      </c>
      <c r="R1388" s="1"/>
    </row>
    <row r="1389" spans="1:18" ht="14.25" customHeight="1" x14ac:dyDescent="0.3">
      <c r="A1389" s="1" t="s">
        <v>68</v>
      </c>
      <c r="B1389" s="1">
        <v>17</v>
      </c>
      <c r="C1389" s="1">
        <v>12</v>
      </c>
      <c r="D1389" s="1" t="str">
        <f t="shared" si="22"/>
        <v>Yes</v>
      </c>
      <c r="E1389" s="1">
        <v>9.1999999999999993</v>
      </c>
      <c r="F1389" s="1">
        <v>74</v>
      </c>
      <c r="G1389" s="1" t="s">
        <v>93</v>
      </c>
      <c r="H1389" s="1" t="s">
        <v>95</v>
      </c>
      <c r="I1389" s="1">
        <v>42.7</v>
      </c>
      <c r="J1389" s="1" t="s">
        <v>95</v>
      </c>
      <c r="M1389" s="1" t="s">
        <v>102</v>
      </c>
      <c r="O1389" s="1">
        <v>1</v>
      </c>
      <c r="P1389" s="1">
        <v>656</v>
      </c>
    </row>
    <row r="1390" spans="1:18" ht="14.25" customHeight="1" x14ac:dyDescent="0.3">
      <c r="A1390" s="1" t="s">
        <v>68</v>
      </c>
      <c r="B1390" s="1">
        <v>17</v>
      </c>
      <c r="C1390" s="1">
        <v>4</v>
      </c>
      <c r="D1390" s="1" t="str">
        <f t="shared" si="22"/>
        <v>Yes</v>
      </c>
      <c r="E1390" s="1">
        <v>6.5</v>
      </c>
      <c r="F1390" s="1">
        <v>48</v>
      </c>
      <c r="G1390" s="1" t="s">
        <v>93</v>
      </c>
      <c r="H1390" s="1" t="s">
        <v>95</v>
      </c>
      <c r="I1390" s="1">
        <v>41.9</v>
      </c>
      <c r="J1390" s="1" t="s">
        <v>95</v>
      </c>
      <c r="M1390" s="1" t="s">
        <v>102</v>
      </c>
      <c r="O1390" s="1">
        <v>1</v>
      </c>
    </row>
    <row r="1391" spans="1:18" ht="14.25" customHeight="1" x14ac:dyDescent="0.3">
      <c r="A1391" s="1" t="s">
        <v>68</v>
      </c>
      <c r="B1391" s="1">
        <v>17</v>
      </c>
      <c r="C1391" s="1">
        <v>17</v>
      </c>
      <c r="D1391" s="1" t="str">
        <f t="shared" si="22"/>
        <v>Yes</v>
      </c>
      <c r="E1391" s="1">
        <v>6.3</v>
      </c>
      <c r="F1391" s="1">
        <v>200</v>
      </c>
      <c r="G1391" s="1" t="s">
        <v>93</v>
      </c>
      <c r="H1391" s="1" t="s">
        <v>95</v>
      </c>
      <c r="I1391" s="1">
        <v>35.9</v>
      </c>
      <c r="J1391" s="1" t="s">
        <v>95</v>
      </c>
      <c r="M1391" s="1" t="s">
        <v>102</v>
      </c>
      <c r="O1391" s="1">
        <v>1</v>
      </c>
      <c r="P1391" s="1">
        <v>657</v>
      </c>
    </row>
    <row r="1392" spans="1:18" ht="14.25" customHeight="1" x14ac:dyDescent="0.3">
      <c r="A1392" s="1" t="s">
        <v>68</v>
      </c>
      <c r="B1392" s="1">
        <v>17</v>
      </c>
      <c r="C1392" s="1">
        <v>9</v>
      </c>
      <c r="D1392" s="1" t="str">
        <f t="shared" si="22"/>
        <v>Yes</v>
      </c>
      <c r="E1392" s="1">
        <v>11.7</v>
      </c>
      <c r="F1392" s="1">
        <v>67</v>
      </c>
      <c r="G1392" s="1" t="s">
        <v>93</v>
      </c>
      <c r="H1392" s="1" t="s">
        <v>95</v>
      </c>
      <c r="I1392" s="1">
        <v>35</v>
      </c>
      <c r="J1392" s="1" t="s">
        <v>101</v>
      </c>
      <c r="M1392" s="1" t="s">
        <v>102</v>
      </c>
      <c r="O1392" s="1">
        <v>5</v>
      </c>
    </row>
    <row r="1393" spans="1:16" ht="14.25" customHeight="1" x14ac:dyDescent="0.3">
      <c r="A1393" s="1" t="s">
        <v>68</v>
      </c>
      <c r="B1393" s="1">
        <v>17</v>
      </c>
      <c r="C1393" s="1">
        <v>3</v>
      </c>
      <c r="D1393" s="1" t="str">
        <f t="shared" si="22"/>
        <v>Yes</v>
      </c>
      <c r="E1393" s="1">
        <v>7.3</v>
      </c>
      <c r="F1393" s="1">
        <v>27</v>
      </c>
      <c r="G1393" s="1" t="s">
        <v>93</v>
      </c>
      <c r="H1393" s="1" t="s">
        <v>95</v>
      </c>
      <c r="I1393" s="1">
        <v>23.3</v>
      </c>
      <c r="J1393" s="1" t="s">
        <v>95</v>
      </c>
      <c r="M1393" s="1" t="s">
        <v>101</v>
      </c>
      <c r="O1393" s="1">
        <v>1</v>
      </c>
    </row>
    <row r="1394" spans="1:16" ht="14.25" customHeight="1" x14ac:dyDescent="0.3">
      <c r="A1394" s="1" t="s">
        <v>68</v>
      </c>
      <c r="B1394" s="1">
        <v>17</v>
      </c>
      <c r="C1394" s="1">
        <v>8</v>
      </c>
      <c r="D1394" s="1" t="str">
        <f t="shared" si="22"/>
        <v>Yes</v>
      </c>
      <c r="E1394" s="1">
        <v>10.199999999999999</v>
      </c>
      <c r="F1394" s="1">
        <v>56</v>
      </c>
      <c r="G1394" s="1" t="s">
        <v>93</v>
      </c>
      <c r="H1394" s="1" t="s">
        <v>95</v>
      </c>
      <c r="I1394" s="1">
        <v>22</v>
      </c>
      <c r="J1394" s="1" t="s">
        <v>101</v>
      </c>
      <c r="M1394" s="1" t="s">
        <v>101</v>
      </c>
      <c r="O1394" s="1">
        <v>5</v>
      </c>
    </row>
    <row r="1395" spans="1:16" ht="14.25" customHeight="1" x14ac:dyDescent="0.3">
      <c r="A1395" s="1" t="s">
        <v>68</v>
      </c>
      <c r="B1395" s="1">
        <v>17</v>
      </c>
      <c r="C1395" s="1">
        <v>10</v>
      </c>
      <c r="D1395" s="1" t="str">
        <f t="shared" si="22"/>
        <v>Yes</v>
      </c>
      <c r="E1395" s="1">
        <v>9.6</v>
      </c>
      <c r="F1395" s="1">
        <v>71</v>
      </c>
      <c r="G1395" s="1" t="s">
        <v>93</v>
      </c>
      <c r="H1395" s="1" t="s">
        <v>95</v>
      </c>
      <c r="I1395" s="1">
        <v>20.8</v>
      </c>
      <c r="J1395" s="1" t="s">
        <v>95</v>
      </c>
      <c r="M1395" s="1" t="s">
        <v>101</v>
      </c>
      <c r="O1395" s="1">
        <v>5</v>
      </c>
    </row>
    <row r="1396" spans="1:16" ht="14.25" customHeight="1" x14ac:dyDescent="0.3">
      <c r="A1396" s="1" t="s">
        <v>68</v>
      </c>
      <c r="B1396" s="1">
        <v>17</v>
      </c>
      <c r="C1396" s="1">
        <v>11</v>
      </c>
      <c r="D1396" s="1" t="str">
        <f t="shared" si="22"/>
        <v>Yes</v>
      </c>
      <c r="E1396" s="1">
        <v>8.5</v>
      </c>
      <c r="F1396" s="1">
        <v>73</v>
      </c>
      <c r="G1396" s="1" t="s">
        <v>93</v>
      </c>
      <c r="H1396" s="1" t="s">
        <v>95</v>
      </c>
      <c r="I1396" s="1">
        <v>18.7</v>
      </c>
      <c r="J1396" s="1" t="s">
        <v>95</v>
      </c>
      <c r="M1396" s="1" t="s">
        <v>101</v>
      </c>
      <c r="O1396" s="1">
        <v>5</v>
      </c>
    </row>
    <row r="1397" spans="1:16" ht="14.25" customHeight="1" x14ac:dyDescent="0.3">
      <c r="A1397" s="1" t="s">
        <v>68</v>
      </c>
      <c r="B1397" s="1">
        <v>17</v>
      </c>
      <c r="C1397" s="1">
        <v>14</v>
      </c>
      <c r="D1397" s="1" t="str">
        <f t="shared" si="22"/>
        <v>Yes</v>
      </c>
      <c r="E1397" s="1">
        <v>11.8</v>
      </c>
      <c r="F1397" s="1">
        <v>125</v>
      </c>
      <c r="G1397" s="1" t="s">
        <v>93</v>
      </c>
      <c r="H1397" s="1" t="s">
        <v>95</v>
      </c>
      <c r="I1397" s="1">
        <v>15</v>
      </c>
      <c r="J1397" s="1" t="s">
        <v>95</v>
      </c>
      <c r="M1397" s="1" t="s">
        <v>101</v>
      </c>
      <c r="O1397" s="1">
        <v>1</v>
      </c>
    </row>
    <row r="1398" spans="1:16" ht="14.25" customHeight="1" x14ac:dyDescent="0.3">
      <c r="A1398" s="1" t="s">
        <v>68</v>
      </c>
      <c r="B1398" s="1">
        <v>17</v>
      </c>
      <c r="C1398" s="1">
        <v>7</v>
      </c>
      <c r="D1398" s="1" t="str">
        <f t="shared" si="22"/>
        <v>Yes</v>
      </c>
      <c r="E1398" s="1">
        <v>8.4</v>
      </c>
      <c r="F1398" s="1">
        <v>66</v>
      </c>
      <c r="G1398" s="1" t="s">
        <v>93</v>
      </c>
      <c r="H1398" s="1" t="s">
        <v>95</v>
      </c>
      <c r="I1398" s="1">
        <v>13</v>
      </c>
      <c r="J1398" s="1" t="s">
        <v>95</v>
      </c>
      <c r="M1398" s="1" t="s">
        <v>101</v>
      </c>
      <c r="O1398" s="1">
        <v>1</v>
      </c>
    </row>
    <row r="1399" spans="1:16" ht="14.25" customHeight="1" x14ac:dyDescent="0.3">
      <c r="A1399" s="1" t="s">
        <v>68</v>
      </c>
      <c r="B1399" s="1">
        <v>17</v>
      </c>
      <c r="C1399" s="1">
        <v>26</v>
      </c>
      <c r="D1399" s="1" t="str">
        <f t="shared" si="22"/>
        <v>Yes</v>
      </c>
      <c r="E1399" s="1">
        <v>8.3000000000000007</v>
      </c>
      <c r="F1399" s="1">
        <v>356</v>
      </c>
      <c r="G1399" s="1" t="s">
        <v>93</v>
      </c>
      <c r="H1399" s="1" t="s">
        <v>95</v>
      </c>
      <c r="I1399" s="1">
        <v>12.7</v>
      </c>
      <c r="J1399" s="1" t="s">
        <v>95</v>
      </c>
      <c r="M1399" s="1" t="s">
        <v>101</v>
      </c>
      <c r="O1399" s="1">
        <v>1</v>
      </c>
    </row>
    <row r="1400" spans="1:16" ht="14.25" customHeight="1" x14ac:dyDescent="0.3">
      <c r="A1400" s="1" t="s">
        <v>68</v>
      </c>
      <c r="B1400" s="1">
        <v>17</v>
      </c>
      <c r="C1400" s="1">
        <v>5</v>
      </c>
      <c r="D1400" s="1" t="str">
        <f t="shared" si="22"/>
        <v>Yes</v>
      </c>
      <c r="E1400" s="1">
        <v>5.8</v>
      </c>
      <c r="F1400" s="1">
        <v>76</v>
      </c>
      <c r="G1400" s="1" t="s">
        <v>93</v>
      </c>
      <c r="H1400" s="1" t="s">
        <v>95</v>
      </c>
      <c r="I1400" s="1">
        <v>9</v>
      </c>
      <c r="J1400" s="1" t="s">
        <v>95</v>
      </c>
      <c r="M1400" s="1" t="s">
        <v>101</v>
      </c>
      <c r="O1400" s="1">
        <v>1</v>
      </c>
    </row>
    <row r="1401" spans="1:16" ht="14.25" customHeight="1" x14ac:dyDescent="0.3">
      <c r="A1401" s="1" t="s">
        <v>68</v>
      </c>
      <c r="B1401" s="1">
        <v>17</v>
      </c>
      <c r="C1401" s="1">
        <v>2</v>
      </c>
      <c r="D1401" s="1" t="str">
        <f t="shared" si="22"/>
        <v>Yes</v>
      </c>
      <c r="E1401" s="1">
        <v>9.9</v>
      </c>
      <c r="F1401" s="1">
        <v>21</v>
      </c>
      <c r="G1401" s="1" t="s">
        <v>106</v>
      </c>
      <c r="H1401" s="1" t="s">
        <v>94</v>
      </c>
      <c r="I1401" s="1">
        <v>45.6</v>
      </c>
      <c r="J1401" s="1" t="s">
        <v>95</v>
      </c>
      <c r="K1401" s="1">
        <v>0</v>
      </c>
      <c r="L1401" s="1">
        <v>99</v>
      </c>
      <c r="M1401" s="1" t="s">
        <v>102</v>
      </c>
      <c r="N1401" s="1" t="s">
        <v>100</v>
      </c>
      <c r="P1401" s="1">
        <v>658</v>
      </c>
    </row>
    <row r="1402" spans="1:16" ht="14.25" customHeight="1" x14ac:dyDescent="0.3">
      <c r="A1402" s="1" t="s">
        <v>70</v>
      </c>
      <c r="B1402" s="1">
        <v>12</v>
      </c>
      <c r="C1402" s="1">
        <v>5</v>
      </c>
      <c r="D1402" s="1" t="str">
        <f t="shared" si="22"/>
        <v>No</v>
      </c>
      <c r="E1402" s="1">
        <v>12.6</v>
      </c>
      <c r="F1402" s="1">
        <v>52</v>
      </c>
      <c r="G1402" s="1" t="s">
        <v>111</v>
      </c>
      <c r="H1402" s="1" t="s">
        <v>95</v>
      </c>
      <c r="I1402" s="1">
        <v>31.8</v>
      </c>
      <c r="J1402" s="1" t="s">
        <v>95</v>
      </c>
      <c r="M1402" s="1" t="s">
        <v>101</v>
      </c>
      <c r="O1402" s="1">
        <v>1</v>
      </c>
    </row>
    <row r="1403" spans="1:16" ht="14.25" customHeight="1" x14ac:dyDescent="0.3">
      <c r="A1403" s="1" t="s">
        <v>70</v>
      </c>
      <c r="B1403" s="1">
        <v>12</v>
      </c>
      <c r="C1403" s="1">
        <v>9</v>
      </c>
      <c r="D1403" s="1" t="str">
        <f t="shared" si="22"/>
        <v>Yes</v>
      </c>
      <c r="E1403" s="1">
        <v>9.4</v>
      </c>
      <c r="F1403" s="1">
        <v>155</v>
      </c>
      <c r="G1403" s="1" t="s">
        <v>98</v>
      </c>
      <c r="H1403" s="1" t="s">
        <v>95</v>
      </c>
      <c r="I1403" s="1">
        <v>12.7</v>
      </c>
      <c r="J1403" s="1" t="s">
        <v>95</v>
      </c>
      <c r="M1403" s="1" t="s">
        <v>101</v>
      </c>
      <c r="O1403" s="1">
        <v>1</v>
      </c>
    </row>
    <row r="1404" spans="1:16" ht="14.25" customHeight="1" x14ac:dyDescent="0.3">
      <c r="A1404" s="1" t="s">
        <v>70</v>
      </c>
      <c r="B1404" s="1">
        <v>12</v>
      </c>
      <c r="C1404" s="1">
        <v>10</v>
      </c>
      <c r="D1404" s="1" t="str">
        <f t="shared" si="22"/>
        <v>Yes</v>
      </c>
      <c r="E1404" s="1">
        <v>10</v>
      </c>
      <c r="F1404" s="1">
        <v>153</v>
      </c>
      <c r="G1404" s="1" t="s">
        <v>98</v>
      </c>
      <c r="H1404" s="1" t="s">
        <v>95</v>
      </c>
      <c r="I1404" s="1">
        <v>12.1</v>
      </c>
      <c r="J1404" s="1" t="s">
        <v>95</v>
      </c>
      <c r="M1404" s="1" t="s">
        <v>101</v>
      </c>
      <c r="O1404" s="1">
        <v>1</v>
      </c>
    </row>
    <row r="1405" spans="1:16" ht="14.25" customHeight="1" x14ac:dyDescent="0.3">
      <c r="A1405" s="1" t="s">
        <v>70</v>
      </c>
      <c r="B1405" s="1">
        <v>12</v>
      </c>
      <c r="C1405" s="1">
        <v>16</v>
      </c>
      <c r="D1405" s="1" t="str">
        <f t="shared" si="22"/>
        <v>Yes</v>
      </c>
      <c r="E1405" s="1">
        <v>11.4</v>
      </c>
      <c r="F1405" s="1">
        <v>242</v>
      </c>
      <c r="G1405" s="1" t="s">
        <v>98</v>
      </c>
      <c r="H1405" s="1" t="s">
        <v>95</v>
      </c>
      <c r="I1405" s="1">
        <v>10.1</v>
      </c>
      <c r="J1405" s="1" t="s">
        <v>95</v>
      </c>
      <c r="M1405" s="1" t="s">
        <v>101</v>
      </c>
      <c r="O1405" s="1">
        <v>1</v>
      </c>
    </row>
    <row r="1406" spans="1:16" ht="14.25" customHeight="1" x14ac:dyDescent="0.3">
      <c r="A1406" s="1" t="s">
        <v>70</v>
      </c>
      <c r="B1406" s="1">
        <v>12</v>
      </c>
      <c r="C1406" s="1">
        <v>12</v>
      </c>
      <c r="D1406" s="1" t="str">
        <f t="shared" si="22"/>
        <v>Yes</v>
      </c>
      <c r="E1406" s="1">
        <v>11.2</v>
      </c>
      <c r="F1406" s="1">
        <v>177</v>
      </c>
      <c r="G1406" s="1" t="s">
        <v>219</v>
      </c>
      <c r="H1406" s="1" t="s">
        <v>95</v>
      </c>
      <c r="I1406" s="1">
        <v>7.7</v>
      </c>
      <c r="J1406" s="1" t="s">
        <v>95</v>
      </c>
      <c r="M1406" s="1" t="s">
        <v>101</v>
      </c>
      <c r="O1406" s="1">
        <v>1</v>
      </c>
    </row>
    <row r="1407" spans="1:16" ht="14.25" customHeight="1" x14ac:dyDescent="0.3">
      <c r="A1407" s="1" t="s">
        <v>70</v>
      </c>
      <c r="B1407" s="1">
        <v>12</v>
      </c>
      <c r="C1407" s="1">
        <v>15</v>
      </c>
      <c r="D1407" s="1" t="str">
        <f t="shared" si="22"/>
        <v>Yes</v>
      </c>
      <c r="E1407" s="1">
        <v>6.1</v>
      </c>
      <c r="F1407" s="1">
        <v>243</v>
      </c>
      <c r="G1407" s="1" t="s">
        <v>111</v>
      </c>
      <c r="H1407" s="1" t="s">
        <v>95</v>
      </c>
      <c r="I1407" s="1">
        <v>31.2</v>
      </c>
      <c r="J1407" s="1" t="s">
        <v>95</v>
      </c>
      <c r="M1407" s="1" t="s">
        <v>102</v>
      </c>
      <c r="O1407" s="1">
        <v>1</v>
      </c>
      <c r="P1407" s="1">
        <v>613</v>
      </c>
    </row>
    <row r="1408" spans="1:16" ht="14.25" customHeight="1" x14ac:dyDescent="0.3">
      <c r="A1408" s="1" t="s">
        <v>70</v>
      </c>
      <c r="B1408" s="1">
        <v>12</v>
      </c>
      <c r="C1408" s="1">
        <v>21</v>
      </c>
      <c r="D1408" s="1" t="str">
        <f t="shared" si="22"/>
        <v>Yes</v>
      </c>
      <c r="E1408" s="1">
        <v>8.1999999999999993</v>
      </c>
      <c r="F1408" s="1">
        <v>341</v>
      </c>
      <c r="G1408" s="1" t="s">
        <v>111</v>
      </c>
      <c r="H1408" s="1" t="s">
        <v>95</v>
      </c>
      <c r="I1408" s="1">
        <v>30.9</v>
      </c>
      <c r="J1408" s="1" t="s">
        <v>95</v>
      </c>
      <c r="M1408" s="1" t="s">
        <v>102</v>
      </c>
      <c r="O1408" s="1">
        <v>1</v>
      </c>
      <c r="P1408" s="1">
        <v>701</v>
      </c>
    </row>
    <row r="1409" spans="1:18" ht="14.25" customHeight="1" x14ac:dyDescent="0.3">
      <c r="A1409" s="1" t="s">
        <v>70</v>
      </c>
      <c r="B1409" s="1">
        <v>12</v>
      </c>
      <c r="C1409" s="1">
        <v>3</v>
      </c>
      <c r="D1409" s="1" t="str">
        <f t="shared" si="22"/>
        <v>Yes</v>
      </c>
      <c r="E1409" s="1">
        <v>6.2</v>
      </c>
      <c r="F1409" s="1">
        <v>50</v>
      </c>
      <c r="G1409" s="1" t="s">
        <v>111</v>
      </c>
      <c r="H1409" s="1" t="s">
        <v>95</v>
      </c>
      <c r="I1409" s="1">
        <v>30</v>
      </c>
      <c r="J1409" s="1" t="s">
        <v>95</v>
      </c>
      <c r="M1409" s="1" t="s">
        <v>101</v>
      </c>
      <c r="O1409" s="1">
        <v>1</v>
      </c>
    </row>
    <row r="1410" spans="1:18" ht="14.25" customHeight="1" x14ac:dyDescent="0.3">
      <c r="A1410" s="1" t="s">
        <v>70</v>
      </c>
      <c r="B1410" s="1">
        <v>12</v>
      </c>
      <c r="C1410" s="1">
        <v>2</v>
      </c>
      <c r="D1410" s="1" t="str">
        <f t="shared" si="22"/>
        <v>Yes</v>
      </c>
      <c r="E1410" s="1">
        <v>8.1999999999999993</v>
      </c>
      <c r="F1410" s="1">
        <v>36</v>
      </c>
      <c r="G1410" s="1" t="s">
        <v>111</v>
      </c>
      <c r="H1410" s="1" t="s">
        <v>95</v>
      </c>
      <c r="I1410" s="1">
        <v>26.8</v>
      </c>
      <c r="J1410" s="1" t="s">
        <v>95</v>
      </c>
      <c r="M1410" s="1" t="s">
        <v>101</v>
      </c>
      <c r="O1410" s="1">
        <v>1</v>
      </c>
      <c r="R1410" s="1"/>
    </row>
    <row r="1411" spans="1:18" ht="14.25" customHeight="1" x14ac:dyDescent="0.3">
      <c r="A1411" s="1" t="s">
        <v>70</v>
      </c>
      <c r="B1411" s="1">
        <v>12</v>
      </c>
      <c r="C1411" s="1">
        <v>19</v>
      </c>
      <c r="D1411" s="1" t="str">
        <f t="shared" si="22"/>
        <v>Yes</v>
      </c>
      <c r="E1411" s="1">
        <v>11.5</v>
      </c>
      <c r="F1411" s="1">
        <v>286</v>
      </c>
      <c r="G1411" s="1" t="s">
        <v>111</v>
      </c>
      <c r="H1411" s="1" t="s">
        <v>95</v>
      </c>
      <c r="I1411" s="1">
        <v>23.6</v>
      </c>
      <c r="J1411" s="1" t="s">
        <v>95</v>
      </c>
      <c r="M1411" s="1" t="s">
        <v>101</v>
      </c>
      <c r="O1411" s="1">
        <v>1</v>
      </c>
    </row>
    <row r="1412" spans="1:18" ht="14.25" customHeight="1" x14ac:dyDescent="0.3">
      <c r="A1412" s="1" t="s">
        <v>70</v>
      </c>
      <c r="B1412" s="1">
        <v>12</v>
      </c>
      <c r="C1412" s="1">
        <v>6</v>
      </c>
      <c r="D1412" s="1" t="str">
        <f t="shared" si="22"/>
        <v>Yes</v>
      </c>
      <c r="E1412" s="1">
        <v>6.9</v>
      </c>
      <c r="F1412" s="1">
        <v>97</v>
      </c>
      <c r="G1412" s="1" t="s">
        <v>111</v>
      </c>
      <c r="H1412" s="1" t="s">
        <v>95</v>
      </c>
      <c r="I1412" s="1">
        <v>23.4</v>
      </c>
      <c r="J1412" s="1" t="s">
        <v>95</v>
      </c>
      <c r="M1412" s="1" t="s">
        <v>101</v>
      </c>
      <c r="O1412" s="1">
        <v>1</v>
      </c>
      <c r="P1412" s="1">
        <v>702</v>
      </c>
    </row>
    <row r="1413" spans="1:18" ht="14.25" customHeight="1" x14ac:dyDescent="0.3">
      <c r="A1413" s="1" t="s">
        <v>70</v>
      </c>
      <c r="B1413" s="1">
        <v>12</v>
      </c>
      <c r="C1413" s="1">
        <v>4</v>
      </c>
      <c r="D1413" s="1" t="str">
        <f t="shared" si="22"/>
        <v>Yes</v>
      </c>
      <c r="E1413" s="1">
        <v>10.9</v>
      </c>
      <c r="F1413" s="1">
        <v>40</v>
      </c>
      <c r="G1413" s="1" t="s">
        <v>111</v>
      </c>
      <c r="H1413" s="1" t="s">
        <v>95</v>
      </c>
      <c r="I1413" s="1">
        <v>21.4</v>
      </c>
      <c r="J1413" s="1" t="s">
        <v>95</v>
      </c>
      <c r="M1413" s="1" t="s">
        <v>101</v>
      </c>
      <c r="O1413" s="1">
        <v>1</v>
      </c>
    </row>
    <row r="1414" spans="1:18" ht="14.25" customHeight="1" x14ac:dyDescent="0.3">
      <c r="A1414" s="1" t="s">
        <v>70</v>
      </c>
      <c r="B1414" s="1">
        <v>12</v>
      </c>
      <c r="C1414" s="1">
        <v>1</v>
      </c>
      <c r="D1414" s="1" t="str">
        <f t="shared" si="22"/>
        <v>Yes</v>
      </c>
      <c r="E1414" s="1">
        <v>11.5</v>
      </c>
      <c r="F1414" s="1">
        <v>32</v>
      </c>
      <c r="G1414" s="1" t="s">
        <v>111</v>
      </c>
      <c r="H1414" s="1" t="s">
        <v>95</v>
      </c>
      <c r="I1414" s="1">
        <v>21.1</v>
      </c>
      <c r="J1414" s="1" t="s">
        <v>95</v>
      </c>
      <c r="M1414" s="1" t="s">
        <v>101</v>
      </c>
      <c r="O1414" s="1">
        <v>1</v>
      </c>
    </row>
    <row r="1415" spans="1:18" ht="14.25" customHeight="1" x14ac:dyDescent="0.3">
      <c r="A1415" s="1" t="s">
        <v>70</v>
      </c>
      <c r="B1415" s="1">
        <v>12</v>
      </c>
      <c r="C1415" s="1">
        <v>13</v>
      </c>
      <c r="D1415" s="1" t="str">
        <f t="shared" si="22"/>
        <v>Yes</v>
      </c>
      <c r="E1415" s="1">
        <v>7.6</v>
      </c>
      <c r="F1415" s="1">
        <v>216</v>
      </c>
      <c r="G1415" s="1" t="s">
        <v>111</v>
      </c>
      <c r="H1415" s="1" t="s">
        <v>95</v>
      </c>
      <c r="I1415" s="1">
        <v>20.100000000000001</v>
      </c>
      <c r="J1415" s="1" t="s">
        <v>95</v>
      </c>
      <c r="M1415" s="1" t="s">
        <v>101</v>
      </c>
      <c r="O1415" s="1">
        <v>1</v>
      </c>
    </row>
    <row r="1416" spans="1:18" ht="14.25" customHeight="1" x14ac:dyDescent="0.3">
      <c r="A1416" s="1" t="s">
        <v>70</v>
      </c>
      <c r="B1416" s="1">
        <v>12</v>
      </c>
      <c r="C1416" s="1">
        <v>7</v>
      </c>
      <c r="D1416" s="1" t="str">
        <f t="shared" si="22"/>
        <v>Yes</v>
      </c>
      <c r="E1416" s="1">
        <v>11.3</v>
      </c>
      <c r="F1416" s="1">
        <v>117</v>
      </c>
      <c r="G1416" s="1" t="s">
        <v>111</v>
      </c>
      <c r="H1416" s="1" t="s">
        <v>95</v>
      </c>
      <c r="I1416" s="1">
        <v>19.2</v>
      </c>
      <c r="J1416" s="1" t="s">
        <v>95</v>
      </c>
      <c r="M1416" s="1" t="s">
        <v>101</v>
      </c>
      <c r="O1416" s="1">
        <v>1</v>
      </c>
    </row>
    <row r="1417" spans="1:18" ht="14.25" customHeight="1" x14ac:dyDescent="0.3">
      <c r="A1417" s="1" t="s">
        <v>70</v>
      </c>
      <c r="B1417" s="1">
        <v>12</v>
      </c>
      <c r="C1417" s="1">
        <v>11</v>
      </c>
      <c r="D1417" s="1" t="str">
        <f t="shared" si="22"/>
        <v>Yes</v>
      </c>
      <c r="E1417" s="1">
        <v>9.1</v>
      </c>
      <c r="F1417" s="1">
        <v>201</v>
      </c>
      <c r="G1417" s="1" t="s">
        <v>111</v>
      </c>
      <c r="H1417" s="1" t="s">
        <v>95</v>
      </c>
      <c r="I1417" s="1">
        <v>16.3</v>
      </c>
      <c r="J1417" s="1" t="s">
        <v>95</v>
      </c>
      <c r="M1417" s="1" t="s">
        <v>101</v>
      </c>
      <c r="O1417" s="1">
        <v>1</v>
      </c>
    </row>
    <row r="1418" spans="1:18" ht="14.25" customHeight="1" x14ac:dyDescent="0.3">
      <c r="A1418" s="1" t="s">
        <v>70</v>
      </c>
      <c r="B1418" s="1">
        <v>12</v>
      </c>
      <c r="C1418" s="1">
        <v>20</v>
      </c>
      <c r="D1418" s="1" t="str">
        <f t="shared" si="22"/>
        <v>Yes</v>
      </c>
      <c r="E1418" s="1">
        <v>7.3</v>
      </c>
      <c r="F1418" s="1">
        <v>302</v>
      </c>
      <c r="G1418" s="1" t="s">
        <v>106</v>
      </c>
      <c r="H1418" s="1" t="s">
        <v>95</v>
      </c>
      <c r="I1418" s="1">
        <v>140</v>
      </c>
      <c r="J1418" s="1" t="s">
        <v>97</v>
      </c>
      <c r="M1418" s="1" t="s">
        <v>97</v>
      </c>
      <c r="O1418" s="1">
        <v>5</v>
      </c>
      <c r="Q1418" s="1" t="s">
        <v>162</v>
      </c>
    </row>
    <row r="1419" spans="1:18" ht="14.25" customHeight="1" x14ac:dyDescent="0.3">
      <c r="A1419" s="1" t="s">
        <v>70</v>
      </c>
      <c r="B1419" s="1">
        <v>12</v>
      </c>
      <c r="C1419" s="1">
        <v>8</v>
      </c>
      <c r="D1419" s="1" t="str">
        <f t="shared" si="22"/>
        <v>Yes</v>
      </c>
      <c r="E1419" s="1">
        <v>8</v>
      </c>
      <c r="F1419" s="1">
        <v>126</v>
      </c>
      <c r="G1419" s="1" t="s">
        <v>106</v>
      </c>
      <c r="H1419" s="1" t="s">
        <v>95</v>
      </c>
      <c r="I1419" s="1">
        <v>95</v>
      </c>
      <c r="J1419" s="1" t="s">
        <v>97</v>
      </c>
      <c r="M1419" s="1" t="s">
        <v>102</v>
      </c>
      <c r="O1419" s="1">
        <v>1</v>
      </c>
      <c r="Q1419" s="1" t="s">
        <v>162</v>
      </c>
    </row>
    <row r="1420" spans="1:18" ht="14.25" customHeight="1" x14ac:dyDescent="0.3">
      <c r="A1420" s="1" t="s">
        <v>70</v>
      </c>
      <c r="B1420" s="1">
        <v>12</v>
      </c>
      <c r="C1420" s="1">
        <v>18</v>
      </c>
      <c r="D1420" s="1" t="str">
        <f t="shared" si="22"/>
        <v>Yes</v>
      </c>
      <c r="E1420" s="1">
        <v>8.6</v>
      </c>
      <c r="F1420" s="1">
        <v>267</v>
      </c>
      <c r="G1420" s="1" t="s">
        <v>93</v>
      </c>
      <c r="H1420" s="1" t="s">
        <v>95</v>
      </c>
      <c r="I1420" s="1">
        <v>17</v>
      </c>
      <c r="J1420" s="1" t="s">
        <v>101</v>
      </c>
      <c r="M1420" s="1" t="s">
        <v>101</v>
      </c>
      <c r="O1420" s="1">
        <v>5</v>
      </c>
      <c r="Q1420" s="1" t="s">
        <v>162</v>
      </c>
    </row>
    <row r="1421" spans="1:18" ht="14.25" customHeight="1" x14ac:dyDescent="0.3">
      <c r="A1421" s="1" t="s">
        <v>70</v>
      </c>
      <c r="B1421" s="1">
        <v>12</v>
      </c>
      <c r="C1421" s="1">
        <v>14</v>
      </c>
      <c r="D1421" s="1" t="str">
        <f t="shared" si="22"/>
        <v>Yes</v>
      </c>
      <c r="E1421" s="1">
        <v>4</v>
      </c>
      <c r="F1421" s="1">
        <v>227</v>
      </c>
      <c r="G1421" s="1" t="s">
        <v>93</v>
      </c>
      <c r="H1421" s="1" t="s">
        <v>95</v>
      </c>
      <c r="I1421" s="1">
        <v>8.4</v>
      </c>
      <c r="J1421" s="1" t="s">
        <v>95</v>
      </c>
      <c r="M1421" s="1" t="s">
        <v>101</v>
      </c>
      <c r="O1421" s="1">
        <v>1</v>
      </c>
      <c r="R1421" s="1"/>
    </row>
    <row r="1422" spans="1:18" ht="14.25" customHeight="1" x14ac:dyDescent="0.3">
      <c r="A1422" s="1" t="s">
        <v>70</v>
      </c>
      <c r="B1422" s="1">
        <v>13</v>
      </c>
      <c r="C1422" s="1">
        <v>1</v>
      </c>
      <c r="D1422" s="1" t="str">
        <f t="shared" si="22"/>
        <v>Yes</v>
      </c>
      <c r="E1422" s="1">
        <v>7.3</v>
      </c>
      <c r="F1422" s="1">
        <v>12</v>
      </c>
      <c r="G1422" s="66" t="s">
        <v>111</v>
      </c>
      <c r="H1422" s="1" t="s">
        <v>95</v>
      </c>
      <c r="I1422" s="1">
        <v>55.1</v>
      </c>
      <c r="J1422" s="1" t="s">
        <v>95</v>
      </c>
      <c r="M1422" s="1" t="s">
        <v>102</v>
      </c>
      <c r="O1422" s="1">
        <v>1</v>
      </c>
    </row>
    <row r="1423" spans="1:18" ht="14.25" customHeight="1" x14ac:dyDescent="0.3">
      <c r="A1423" s="1" t="s">
        <v>70</v>
      </c>
      <c r="B1423" s="1">
        <v>13</v>
      </c>
      <c r="C1423" s="1">
        <v>4</v>
      </c>
      <c r="D1423" s="1" t="str">
        <f t="shared" si="22"/>
        <v>Yes</v>
      </c>
      <c r="E1423" s="1">
        <v>9.6999999999999993</v>
      </c>
      <c r="F1423" s="1">
        <v>202</v>
      </c>
      <c r="G1423" s="1" t="s">
        <v>106</v>
      </c>
      <c r="H1423" s="1" t="s">
        <v>95</v>
      </c>
      <c r="I1423" s="1">
        <v>48.5</v>
      </c>
      <c r="J1423" s="1" t="s">
        <v>95</v>
      </c>
      <c r="M1423" s="1" t="s">
        <v>102</v>
      </c>
      <c r="O1423" s="1">
        <v>1</v>
      </c>
    </row>
    <row r="1424" spans="1:18" ht="14.25" customHeight="1" x14ac:dyDescent="0.3">
      <c r="A1424" s="1" t="s">
        <v>70</v>
      </c>
      <c r="B1424" s="1">
        <v>13</v>
      </c>
      <c r="C1424" s="1">
        <v>3</v>
      </c>
      <c r="D1424" s="1" t="str">
        <f t="shared" si="22"/>
        <v>Yes</v>
      </c>
      <c r="E1424" s="1">
        <v>11.1</v>
      </c>
      <c r="F1424" s="1">
        <v>173</v>
      </c>
      <c r="G1424" s="1" t="s">
        <v>93</v>
      </c>
      <c r="H1424" s="1" t="s">
        <v>95</v>
      </c>
      <c r="I1424" s="1">
        <v>37.799999999999997</v>
      </c>
      <c r="J1424" s="1" t="s">
        <v>95</v>
      </c>
      <c r="M1424" s="1" t="s">
        <v>102</v>
      </c>
      <c r="O1424" s="1">
        <v>1</v>
      </c>
      <c r="P1424" s="1">
        <v>742</v>
      </c>
    </row>
    <row r="1425" spans="1:18" ht="14.25" customHeight="1" x14ac:dyDescent="0.3">
      <c r="A1425" s="1" t="s">
        <v>70</v>
      </c>
      <c r="B1425" s="1">
        <v>13</v>
      </c>
      <c r="C1425" s="1">
        <v>2</v>
      </c>
      <c r="D1425" s="1" t="str">
        <f t="shared" si="22"/>
        <v>Yes</v>
      </c>
      <c r="E1425" s="1">
        <v>11.4</v>
      </c>
      <c r="F1425" s="1">
        <v>18</v>
      </c>
      <c r="G1425" s="1" t="s">
        <v>93</v>
      </c>
      <c r="H1425" s="1" t="s">
        <v>95</v>
      </c>
      <c r="I1425" s="1">
        <v>35.1</v>
      </c>
      <c r="J1425" s="1" t="s">
        <v>95</v>
      </c>
      <c r="M1425" s="1" t="s">
        <v>102</v>
      </c>
      <c r="O1425" s="1">
        <v>1</v>
      </c>
    </row>
    <row r="1426" spans="1:18" ht="14.25" customHeight="1" x14ac:dyDescent="0.3">
      <c r="A1426" s="1" t="s">
        <v>70</v>
      </c>
      <c r="B1426" s="1">
        <v>13</v>
      </c>
      <c r="C1426" s="1">
        <v>5</v>
      </c>
      <c r="D1426" s="1" t="str">
        <f t="shared" si="22"/>
        <v>Yes</v>
      </c>
      <c r="E1426" s="1">
        <v>11.6</v>
      </c>
      <c r="F1426" s="1">
        <v>223</v>
      </c>
      <c r="G1426" s="1" t="s">
        <v>93</v>
      </c>
      <c r="H1426" s="1" t="s">
        <v>95</v>
      </c>
      <c r="I1426" s="1">
        <v>34.200000000000003</v>
      </c>
      <c r="J1426" s="1" t="s">
        <v>95</v>
      </c>
      <c r="M1426" s="1" t="s">
        <v>102</v>
      </c>
      <c r="O1426" s="1">
        <v>1</v>
      </c>
      <c r="P1426" s="1">
        <v>243</v>
      </c>
    </row>
    <row r="1427" spans="1:18" ht="14.25" customHeight="1" x14ac:dyDescent="0.3">
      <c r="A1427" s="1" t="s">
        <v>70</v>
      </c>
      <c r="B1427" s="1">
        <v>13</v>
      </c>
      <c r="C1427" s="1">
        <v>7</v>
      </c>
      <c r="D1427" s="1" t="str">
        <f t="shared" si="22"/>
        <v>Yes</v>
      </c>
      <c r="E1427" s="1">
        <v>8.4</v>
      </c>
      <c r="F1427" s="1">
        <v>102</v>
      </c>
      <c r="G1427" s="1" t="s">
        <v>96</v>
      </c>
      <c r="H1427" s="1" t="s">
        <v>94</v>
      </c>
      <c r="I1427" s="21">
        <f>1679/3.1412</f>
        <v>534.50910480071309</v>
      </c>
      <c r="J1427" s="1" t="s">
        <v>95</v>
      </c>
      <c r="K1427" s="1">
        <v>5</v>
      </c>
      <c r="L1427" s="1">
        <v>90</v>
      </c>
      <c r="M1427" s="1" t="s">
        <v>97</v>
      </c>
      <c r="Q1427" t="s">
        <v>827</v>
      </c>
    </row>
    <row r="1428" spans="1:18" ht="14.25" customHeight="1" x14ac:dyDescent="0.3">
      <c r="A1428" s="1" t="s">
        <v>70</v>
      </c>
      <c r="B1428" s="1">
        <v>13</v>
      </c>
      <c r="C1428" s="1">
        <v>6</v>
      </c>
      <c r="D1428" s="1" t="str">
        <f t="shared" si="22"/>
        <v>Yes</v>
      </c>
      <c r="E1428" s="1">
        <v>9.8000000000000007</v>
      </c>
      <c r="F1428" s="1">
        <v>293</v>
      </c>
      <c r="G1428" s="1" t="s">
        <v>96</v>
      </c>
      <c r="H1428" s="1" t="s">
        <v>94</v>
      </c>
      <c r="I1428" s="21">
        <f>739/3.1416</f>
        <v>235.23045581869113</v>
      </c>
      <c r="J1428" s="1" t="s">
        <v>95</v>
      </c>
      <c r="K1428" s="1">
        <v>9</v>
      </c>
      <c r="L1428" s="1">
        <v>90</v>
      </c>
      <c r="M1428" s="1" t="s">
        <v>97</v>
      </c>
      <c r="P1428" s="1">
        <v>741</v>
      </c>
      <c r="Q1428" t="s">
        <v>828</v>
      </c>
    </row>
    <row r="1429" spans="1:18" ht="14.25" customHeight="1" x14ac:dyDescent="0.3">
      <c r="A1429" s="1" t="s">
        <v>70</v>
      </c>
      <c r="B1429" s="1">
        <v>16</v>
      </c>
      <c r="C1429" s="1">
        <v>1</v>
      </c>
      <c r="D1429" s="1" t="str">
        <f t="shared" si="22"/>
        <v>Yes</v>
      </c>
      <c r="E1429" s="1">
        <v>10.1</v>
      </c>
      <c r="F1429" s="1">
        <v>11</v>
      </c>
      <c r="G1429" s="1" t="s">
        <v>96</v>
      </c>
      <c r="H1429" s="1" t="s">
        <v>95</v>
      </c>
      <c r="I1429" s="1">
        <v>17</v>
      </c>
      <c r="J1429" s="1" t="s">
        <v>95</v>
      </c>
      <c r="M1429" s="1" t="s">
        <v>101</v>
      </c>
      <c r="O1429" s="1">
        <v>1</v>
      </c>
    </row>
    <row r="1430" spans="1:18" ht="14.25" customHeight="1" x14ac:dyDescent="0.3">
      <c r="A1430" s="1" t="s">
        <v>70</v>
      </c>
      <c r="B1430" s="1">
        <v>16</v>
      </c>
      <c r="C1430" s="1">
        <v>15</v>
      </c>
      <c r="D1430" s="1" t="str">
        <f t="shared" si="22"/>
        <v>Yes</v>
      </c>
      <c r="E1430" s="1">
        <v>7</v>
      </c>
      <c r="F1430" s="1">
        <v>272</v>
      </c>
      <c r="G1430" s="1" t="s">
        <v>106</v>
      </c>
      <c r="H1430" s="1" t="s">
        <v>95</v>
      </c>
      <c r="I1430" s="1">
        <v>38.200000000000003</v>
      </c>
      <c r="J1430" s="1" t="s">
        <v>95</v>
      </c>
      <c r="M1430" s="17" t="s">
        <v>102</v>
      </c>
      <c r="O1430" s="1">
        <v>4</v>
      </c>
    </row>
    <row r="1431" spans="1:18" ht="14.25" customHeight="1" x14ac:dyDescent="0.3">
      <c r="A1431" s="1" t="s">
        <v>70</v>
      </c>
      <c r="B1431" s="1">
        <v>16</v>
      </c>
      <c r="C1431" s="1">
        <v>9</v>
      </c>
      <c r="D1431" s="1" t="str">
        <f t="shared" si="22"/>
        <v>Yes</v>
      </c>
      <c r="E1431" s="1">
        <v>7.5</v>
      </c>
      <c r="F1431" s="1">
        <v>178</v>
      </c>
      <c r="G1431" s="1" t="s">
        <v>106</v>
      </c>
      <c r="H1431" s="1" t="s">
        <v>95</v>
      </c>
      <c r="I1431" s="1">
        <v>34.299999999999997</v>
      </c>
      <c r="J1431" s="1" t="s">
        <v>95</v>
      </c>
      <c r="M1431" s="17" t="s">
        <v>101</v>
      </c>
      <c r="O1431" s="1">
        <v>1</v>
      </c>
    </row>
    <row r="1432" spans="1:18" ht="14.25" customHeight="1" x14ac:dyDescent="0.3">
      <c r="A1432" s="1" t="s">
        <v>70</v>
      </c>
      <c r="B1432" s="1">
        <v>16</v>
      </c>
      <c r="C1432" s="1">
        <v>17</v>
      </c>
      <c r="D1432" s="1" t="str">
        <f t="shared" ref="D1432:D1495" si="23">IF(E1432&gt;12.5, "No", "Yes")</f>
        <v>Yes</v>
      </c>
      <c r="E1432" s="1">
        <v>5.6</v>
      </c>
      <c r="F1432" s="1">
        <v>331</v>
      </c>
      <c r="G1432" s="1" t="s">
        <v>106</v>
      </c>
      <c r="H1432" s="1" t="s">
        <v>95</v>
      </c>
      <c r="I1432" s="1">
        <v>29.6</v>
      </c>
      <c r="J1432" s="1" t="s">
        <v>95</v>
      </c>
      <c r="M1432" s="17" t="s">
        <v>101</v>
      </c>
      <c r="O1432" s="1">
        <v>1</v>
      </c>
    </row>
    <row r="1433" spans="1:18" ht="14.25" customHeight="1" x14ac:dyDescent="0.3">
      <c r="A1433" s="1" t="s">
        <v>70</v>
      </c>
      <c r="B1433" s="1">
        <v>16</v>
      </c>
      <c r="C1433" s="1">
        <v>16</v>
      </c>
      <c r="D1433" s="1" t="str">
        <f t="shared" si="23"/>
        <v>Yes</v>
      </c>
      <c r="E1433" s="1">
        <v>7</v>
      </c>
      <c r="F1433" s="1">
        <v>313</v>
      </c>
      <c r="G1433" s="1" t="s">
        <v>106</v>
      </c>
      <c r="H1433" s="1" t="s">
        <v>95</v>
      </c>
      <c r="I1433" s="1">
        <v>14</v>
      </c>
      <c r="J1433" s="1" t="s">
        <v>95</v>
      </c>
      <c r="M1433" s="17" t="s">
        <v>101</v>
      </c>
      <c r="O1433" s="1">
        <v>5</v>
      </c>
    </row>
    <row r="1434" spans="1:18" ht="14.25" customHeight="1" x14ac:dyDescent="0.3">
      <c r="A1434" s="1" t="s">
        <v>70</v>
      </c>
      <c r="B1434" s="1">
        <v>16</v>
      </c>
      <c r="C1434" s="1">
        <v>10</v>
      </c>
      <c r="D1434" s="1" t="str">
        <f t="shared" si="23"/>
        <v>Yes</v>
      </c>
      <c r="E1434" s="1">
        <v>12</v>
      </c>
      <c r="F1434" s="1">
        <v>184</v>
      </c>
      <c r="G1434" s="1" t="s">
        <v>106</v>
      </c>
      <c r="H1434" s="1" t="s">
        <v>95</v>
      </c>
      <c r="I1434" s="1">
        <v>10.3</v>
      </c>
      <c r="J1434" s="1" t="s">
        <v>95</v>
      </c>
      <c r="M1434" s="17" t="s">
        <v>101</v>
      </c>
      <c r="O1434" s="1">
        <v>5</v>
      </c>
    </row>
    <row r="1435" spans="1:18" ht="14.25" customHeight="1" x14ac:dyDescent="0.3">
      <c r="A1435" s="1" t="s">
        <v>70</v>
      </c>
      <c r="B1435" s="1">
        <v>16</v>
      </c>
      <c r="C1435" s="1">
        <v>13</v>
      </c>
      <c r="D1435" s="1" t="str">
        <f t="shared" si="23"/>
        <v>Yes</v>
      </c>
      <c r="E1435" s="1">
        <v>9</v>
      </c>
      <c r="F1435" s="1">
        <v>263</v>
      </c>
      <c r="G1435" s="1" t="s">
        <v>106</v>
      </c>
      <c r="H1435" s="1" t="s">
        <v>95</v>
      </c>
      <c r="I1435" s="1">
        <v>7.7</v>
      </c>
      <c r="J1435" s="1" t="s">
        <v>95</v>
      </c>
      <c r="M1435" s="17" t="s">
        <v>101</v>
      </c>
      <c r="O1435" s="1">
        <v>5</v>
      </c>
    </row>
    <row r="1436" spans="1:18" ht="14.25" customHeight="1" x14ac:dyDescent="0.3">
      <c r="A1436" s="1" t="s">
        <v>70</v>
      </c>
      <c r="B1436" s="1">
        <v>16</v>
      </c>
      <c r="C1436" s="1">
        <v>11</v>
      </c>
      <c r="D1436" s="1" t="str">
        <f t="shared" si="23"/>
        <v>Yes</v>
      </c>
      <c r="E1436" s="1">
        <v>2.1</v>
      </c>
      <c r="F1436" s="1">
        <v>219</v>
      </c>
      <c r="G1436" s="19" t="s">
        <v>93</v>
      </c>
      <c r="H1436" s="1" t="s">
        <v>95</v>
      </c>
      <c r="I1436" s="1">
        <v>50</v>
      </c>
      <c r="J1436" s="1" t="s">
        <v>95</v>
      </c>
      <c r="M1436" s="17" t="s">
        <v>102</v>
      </c>
      <c r="O1436" s="1">
        <v>5</v>
      </c>
      <c r="Q1436" s="17" t="s">
        <v>162</v>
      </c>
      <c r="R1436" s="20"/>
    </row>
    <row r="1437" spans="1:18" ht="14.25" customHeight="1" x14ac:dyDescent="0.3">
      <c r="A1437" s="1" t="s">
        <v>70</v>
      </c>
      <c r="B1437" s="1">
        <v>16</v>
      </c>
      <c r="C1437" s="1">
        <v>14</v>
      </c>
      <c r="D1437" s="1" t="str">
        <f t="shared" si="23"/>
        <v>Yes</v>
      </c>
      <c r="E1437" s="1">
        <v>9.3000000000000007</v>
      </c>
      <c r="F1437" s="1">
        <v>263</v>
      </c>
      <c r="G1437" s="19" t="s">
        <v>93</v>
      </c>
      <c r="H1437" s="1" t="s">
        <v>95</v>
      </c>
      <c r="I1437" s="1">
        <v>49</v>
      </c>
      <c r="J1437" s="1" t="s">
        <v>95</v>
      </c>
      <c r="M1437" s="17" t="s">
        <v>102</v>
      </c>
      <c r="Q1437" s="17" t="s">
        <v>218</v>
      </c>
      <c r="R1437" s="20"/>
    </row>
    <row r="1438" spans="1:18" ht="14.25" customHeight="1" x14ac:dyDescent="0.3">
      <c r="A1438" s="1" t="s">
        <v>70</v>
      </c>
      <c r="B1438" s="1">
        <v>16</v>
      </c>
      <c r="C1438" s="1">
        <v>4</v>
      </c>
      <c r="D1438" s="1" t="str">
        <f t="shared" si="23"/>
        <v>Yes</v>
      </c>
      <c r="E1438" s="1">
        <v>8</v>
      </c>
      <c r="F1438" s="1">
        <v>36</v>
      </c>
      <c r="G1438" s="19" t="s">
        <v>93</v>
      </c>
      <c r="H1438" s="1" t="s">
        <v>95</v>
      </c>
      <c r="I1438" s="1">
        <v>22.4</v>
      </c>
      <c r="J1438" s="1" t="s">
        <v>95</v>
      </c>
      <c r="M1438" s="17" t="s">
        <v>101</v>
      </c>
      <c r="O1438" s="1">
        <v>1</v>
      </c>
      <c r="R1438" s="1"/>
    </row>
    <row r="1439" spans="1:18" ht="14.25" customHeight="1" x14ac:dyDescent="0.3">
      <c r="A1439" s="1" t="s">
        <v>70</v>
      </c>
      <c r="B1439" s="1">
        <v>16</v>
      </c>
      <c r="C1439" s="1">
        <v>8</v>
      </c>
      <c r="D1439" s="1" t="str">
        <f t="shared" si="23"/>
        <v>Yes</v>
      </c>
      <c r="E1439" s="1">
        <v>10.5</v>
      </c>
      <c r="F1439" s="1">
        <v>76</v>
      </c>
      <c r="G1439" s="19" t="s">
        <v>93</v>
      </c>
      <c r="H1439" s="1" t="s">
        <v>95</v>
      </c>
      <c r="I1439" s="1">
        <v>11</v>
      </c>
      <c r="J1439" s="1" t="s">
        <v>101</v>
      </c>
      <c r="M1439" s="17" t="s">
        <v>101</v>
      </c>
      <c r="O1439" s="1">
        <v>3</v>
      </c>
      <c r="R1439" s="1"/>
    </row>
    <row r="1440" spans="1:18" ht="14.25" customHeight="1" x14ac:dyDescent="0.3">
      <c r="A1440" s="1" t="s">
        <v>70</v>
      </c>
      <c r="B1440" s="1">
        <v>16</v>
      </c>
      <c r="C1440" s="1">
        <v>5</v>
      </c>
      <c r="D1440" s="1" t="str">
        <f t="shared" si="23"/>
        <v>Yes</v>
      </c>
      <c r="E1440" s="1">
        <v>8.6</v>
      </c>
      <c r="F1440" s="1">
        <v>53</v>
      </c>
      <c r="G1440" s="1" t="s">
        <v>96</v>
      </c>
      <c r="H1440" s="1" t="s">
        <v>94</v>
      </c>
      <c r="I1440" s="1">
        <v>80.8</v>
      </c>
      <c r="J1440" s="1" t="s">
        <v>95</v>
      </c>
      <c r="K1440" s="1">
        <v>5</v>
      </c>
      <c r="L1440" s="1">
        <v>5</v>
      </c>
      <c r="M1440" s="1" t="s">
        <v>102</v>
      </c>
      <c r="N1440" s="1" t="s">
        <v>100</v>
      </c>
    </row>
    <row r="1441" spans="1:18" ht="14.25" customHeight="1" x14ac:dyDescent="0.3">
      <c r="A1441" s="1" t="s">
        <v>70</v>
      </c>
      <c r="B1441" s="1">
        <v>16</v>
      </c>
      <c r="C1441" s="1">
        <v>2</v>
      </c>
      <c r="D1441" s="1" t="str">
        <f t="shared" si="23"/>
        <v>Yes</v>
      </c>
      <c r="E1441" s="1">
        <v>9</v>
      </c>
      <c r="F1441" s="1">
        <v>12</v>
      </c>
      <c r="G1441" s="1" t="s">
        <v>96</v>
      </c>
      <c r="H1441" s="1" t="s">
        <v>94</v>
      </c>
      <c r="I1441" s="1">
        <v>75</v>
      </c>
      <c r="J1441" s="1" t="s">
        <v>95</v>
      </c>
      <c r="K1441" s="1">
        <v>0</v>
      </c>
      <c r="L1441" s="1">
        <v>20</v>
      </c>
      <c r="M1441" s="1" t="s">
        <v>102</v>
      </c>
      <c r="N1441" s="1" t="s">
        <v>100</v>
      </c>
      <c r="P1441" s="1">
        <v>713</v>
      </c>
    </row>
    <row r="1442" spans="1:18" ht="14.25" customHeight="1" x14ac:dyDescent="0.3">
      <c r="A1442" s="1" t="s">
        <v>70</v>
      </c>
      <c r="B1442" s="1">
        <v>16</v>
      </c>
      <c r="C1442" s="1">
        <v>3</v>
      </c>
      <c r="D1442" s="1" t="str">
        <f t="shared" si="23"/>
        <v>Yes</v>
      </c>
      <c r="E1442" s="1">
        <v>7.2</v>
      </c>
      <c r="F1442" s="1">
        <v>37</v>
      </c>
      <c r="G1442" s="1" t="s">
        <v>96</v>
      </c>
      <c r="H1442" s="1" t="s">
        <v>94</v>
      </c>
      <c r="I1442" s="1">
        <v>73.599999999999994</v>
      </c>
      <c r="J1442" s="1" t="s">
        <v>95</v>
      </c>
      <c r="K1442" s="1">
        <v>0</v>
      </c>
      <c r="L1442" s="1">
        <v>15</v>
      </c>
      <c r="M1442" s="1" t="s">
        <v>102</v>
      </c>
      <c r="P1442" s="1">
        <v>714</v>
      </c>
    </row>
    <row r="1443" spans="1:18" ht="14.25" customHeight="1" x14ac:dyDescent="0.3">
      <c r="A1443" s="1" t="s">
        <v>70</v>
      </c>
      <c r="B1443" s="1">
        <v>16</v>
      </c>
      <c r="C1443" s="1">
        <v>7</v>
      </c>
      <c r="D1443" s="1" t="str">
        <f t="shared" si="23"/>
        <v>Yes</v>
      </c>
      <c r="E1443" s="1">
        <v>11.7</v>
      </c>
      <c r="F1443" s="1">
        <v>73</v>
      </c>
      <c r="G1443" s="1" t="s">
        <v>96</v>
      </c>
      <c r="H1443" s="1" t="s">
        <v>94</v>
      </c>
      <c r="I1443" s="1">
        <v>54.6</v>
      </c>
      <c r="J1443" s="1" t="s">
        <v>95</v>
      </c>
      <c r="K1443" s="1">
        <v>1</v>
      </c>
      <c r="L1443" s="1">
        <v>5</v>
      </c>
      <c r="M1443" s="1" t="s">
        <v>102</v>
      </c>
    </row>
    <row r="1444" spans="1:18" ht="14.25" customHeight="1" x14ac:dyDescent="0.3">
      <c r="A1444" s="1" t="s">
        <v>70</v>
      </c>
      <c r="B1444" s="1">
        <v>16</v>
      </c>
      <c r="C1444" s="1">
        <v>6</v>
      </c>
      <c r="D1444" s="1" t="str">
        <f t="shared" si="23"/>
        <v>Yes</v>
      </c>
      <c r="E1444" s="1">
        <v>10.7</v>
      </c>
      <c r="F1444" s="1">
        <v>66</v>
      </c>
      <c r="G1444" s="1" t="s">
        <v>96</v>
      </c>
      <c r="H1444" s="1" t="s">
        <v>94</v>
      </c>
      <c r="I1444" s="1">
        <v>43.8</v>
      </c>
      <c r="J1444" s="1" t="s">
        <v>95</v>
      </c>
      <c r="K1444" s="1">
        <v>1</v>
      </c>
      <c r="L1444" s="1">
        <v>5</v>
      </c>
      <c r="M1444" s="1" t="s">
        <v>102</v>
      </c>
      <c r="N1444" s="1" t="s">
        <v>100</v>
      </c>
    </row>
    <row r="1445" spans="1:18" ht="14.25" customHeight="1" x14ac:dyDescent="0.3">
      <c r="A1445" s="1" t="s">
        <v>70</v>
      </c>
      <c r="B1445" s="1">
        <v>16</v>
      </c>
      <c r="C1445" s="1">
        <v>12</v>
      </c>
      <c r="D1445" s="1" t="str">
        <f t="shared" si="23"/>
        <v>Yes</v>
      </c>
      <c r="E1445" s="1">
        <v>6.6</v>
      </c>
      <c r="F1445" s="1">
        <v>213</v>
      </c>
      <c r="G1445" s="1" t="s">
        <v>106</v>
      </c>
      <c r="H1445" s="1" t="s">
        <v>94</v>
      </c>
      <c r="I1445" s="1">
        <v>51.5</v>
      </c>
      <c r="J1445" s="1" t="s">
        <v>95</v>
      </c>
      <c r="K1445" s="1">
        <v>10</v>
      </c>
      <c r="L1445" s="1">
        <v>50</v>
      </c>
      <c r="M1445" s="1" t="s">
        <v>102</v>
      </c>
      <c r="P1445" s="1">
        <v>215</v>
      </c>
    </row>
    <row r="1446" spans="1:18" ht="14.25" customHeight="1" x14ac:dyDescent="0.3">
      <c r="A1446" s="1" t="s">
        <v>70</v>
      </c>
      <c r="B1446" s="1">
        <v>17</v>
      </c>
      <c r="C1446" s="1">
        <v>4</v>
      </c>
      <c r="D1446" s="1" t="str">
        <f t="shared" si="23"/>
        <v>No</v>
      </c>
      <c r="E1446" s="1">
        <v>12.6</v>
      </c>
      <c r="F1446" s="1">
        <v>111</v>
      </c>
      <c r="G1446" s="1" t="s">
        <v>96</v>
      </c>
      <c r="H1446" s="1" t="s">
        <v>94</v>
      </c>
      <c r="I1446" s="1">
        <v>39.9</v>
      </c>
      <c r="J1446" s="1" t="s">
        <v>95</v>
      </c>
      <c r="K1446" s="1">
        <v>0</v>
      </c>
      <c r="L1446" s="1">
        <v>1</v>
      </c>
      <c r="M1446" s="1" t="s">
        <v>101</v>
      </c>
      <c r="Q1446" s="1" t="s">
        <v>199</v>
      </c>
      <c r="R1446" s="1"/>
    </row>
    <row r="1447" spans="1:18" ht="14.25" customHeight="1" x14ac:dyDescent="0.3">
      <c r="A1447" s="1" t="s">
        <v>70</v>
      </c>
      <c r="B1447" s="1">
        <v>17</v>
      </c>
      <c r="C1447" s="1">
        <v>28</v>
      </c>
      <c r="D1447" s="1" t="str">
        <f t="shared" si="23"/>
        <v>Yes</v>
      </c>
      <c r="E1447" s="1">
        <v>10.7</v>
      </c>
      <c r="F1447" s="1">
        <v>355</v>
      </c>
      <c r="G1447" s="1" t="s">
        <v>96</v>
      </c>
      <c r="H1447" s="1" t="s">
        <v>95</v>
      </c>
      <c r="I1447" s="1">
        <v>14.2</v>
      </c>
      <c r="J1447" s="1" t="s">
        <v>95</v>
      </c>
      <c r="M1447" s="1" t="s">
        <v>101</v>
      </c>
    </row>
    <row r="1448" spans="1:18" ht="14.25" customHeight="1" x14ac:dyDescent="0.3">
      <c r="A1448" s="1" t="s">
        <v>70</v>
      </c>
      <c r="B1448" s="1">
        <v>17</v>
      </c>
      <c r="C1448" s="1">
        <v>27</v>
      </c>
      <c r="D1448" s="1" t="str">
        <f t="shared" si="23"/>
        <v>Yes</v>
      </c>
      <c r="E1448" s="1">
        <v>9.1</v>
      </c>
      <c r="F1448" s="1">
        <v>350</v>
      </c>
      <c r="G1448" s="1" t="s">
        <v>96</v>
      </c>
      <c r="H1448" s="1" t="s">
        <v>95</v>
      </c>
      <c r="I1448" s="1">
        <v>9.5</v>
      </c>
      <c r="J1448" s="1" t="s">
        <v>95</v>
      </c>
      <c r="M1448" s="1" t="s">
        <v>101</v>
      </c>
      <c r="O1448" s="1">
        <v>1</v>
      </c>
      <c r="R1448" s="1"/>
    </row>
    <row r="1449" spans="1:18" ht="14.25" customHeight="1" x14ac:dyDescent="0.3">
      <c r="A1449" s="1" t="s">
        <v>70</v>
      </c>
      <c r="B1449" s="1">
        <v>17</v>
      </c>
      <c r="C1449" s="1">
        <v>5</v>
      </c>
      <c r="D1449" s="1" t="str">
        <f t="shared" si="23"/>
        <v>Yes</v>
      </c>
      <c r="E1449" s="1">
        <v>9.6</v>
      </c>
      <c r="F1449" s="1">
        <v>143</v>
      </c>
      <c r="G1449" s="1" t="s">
        <v>98</v>
      </c>
      <c r="H1449" s="1" t="s">
        <v>95</v>
      </c>
      <c r="I1449" s="1">
        <v>9.1</v>
      </c>
      <c r="J1449" s="1" t="s">
        <v>95</v>
      </c>
      <c r="M1449" s="1" t="s">
        <v>101</v>
      </c>
      <c r="O1449" s="1">
        <v>1</v>
      </c>
      <c r="Q1449" s="1" t="s">
        <v>188</v>
      </c>
      <c r="R1449" s="1"/>
    </row>
    <row r="1450" spans="1:18" ht="14.25" customHeight="1" x14ac:dyDescent="0.3">
      <c r="A1450" s="1" t="s">
        <v>70</v>
      </c>
      <c r="B1450" s="1">
        <v>17</v>
      </c>
      <c r="C1450" s="1">
        <v>6</v>
      </c>
      <c r="D1450" s="1" t="str">
        <f t="shared" si="23"/>
        <v>Yes</v>
      </c>
      <c r="E1450" s="1">
        <v>11.9</v>
      </c>
      <c r="F1450" s="1">
        <v>142</v>
      </c>
      <c r="G1450" s="1" t="s">
        <v>184</v>
      </c>
      <c r="H1450" s="1" t="s">
        <v>95</v>
      </c>
      <c r="I1450" s="1">
        <v>7.7</v>
      </c>
      <c r="J1450" s="1" t="s">
        <v>95</v>
      </c>
      <c r="M1450" s="1" t="s">
        <v>101</v>
      </c>
      <c r="O1450" s="1">
        <v>1</v>
      </c>
    </row>
    <row r="1451" spans="1:18" ht="14.25" customHeight="1" x14ac:dyDescent="0.3">
      <c r="A1451" s="1" t="s">
        <v>70</v>
      </c>
      <c r="B1451" s="1">
        <v>17</v>
      </c>
      <c r="C1451" s="1">
        <v>26</v>
      </c>
      <c r="D1451" s="1" t="str">
        <f t="shared" si="23"/>
        <v>Yes</v>
      </c>
      <c r="E1451" s="1">
        <v>9.1</v>
      </c>
      <c r="F1451" s="1">
        <v>324</v>
      </c>
      <c r="G1451" s="1" t="s">
        <v>111</v>
      </c>
      <c r="H1451" s="1" t="s">
        <v>95</v>
      </c>
      <c r="I1451" s="1">
        <v>39.700000000000003</v>
      </c>
      <c r="J1451" s="1" t="s">
        <v>95</v>
      </c>
      <c r="M1451" s="1" t="s">
        <v>101</v>
      </c>
      <c r="O1451" s="1">
        <v>1</v>
      </c>
      <c r="P1451" s="1">
        <v>708</v>
      </c>
      <c r="Q1451" s="1" t="s">
        <v>217</v>
      </c>
      <c r="R1451" s="1"/>
    </row>
    <row r="1452" spans="1:18" ht="14.25" customHeight="1" x14ac:dyDescent="0.3">
      <c r="A1452" s="1" t="s">
        <v>70</v>
      </c>
      <c r="B1452" s="1">
        <v>17</v>
      </c>
      <c r="C1452" s="1">
        <v>19</v>
      </c>
      <c r="D1452" s="1" t="str">
        <f t="shared" si="23"/>
        <v>Yes</v>
      </c>
      <c r="E1452" s="1">
        <v>10.4</v>
      </c>
      <c r="F1452" s="1">
        <v>215</v>
      </c>
      <c r="G1452" s="1" t="s">
        <v>111</v>
      </c>
      <c r="H1452" s="1" t="s">
        <v>95</v>
      </c>
      <c r="I1452" s="1">
        <v>26.3</v>
      </c>
      <c r="J1452" s="1" t="s">
        <v>95</v>
      </c>
      <c r="M1452" s="1" t="s">
        <v>101</v>
      </c>
      <c r="O1452" s="1">
        <v>1</v>
      </c>
      <c r="R1452" s="1"/>
    </row>
    <row r="1453" spans="1:18" ht="14.25" customHeight="1" x14ac:dyDescent="0.3">
      <c r="A1453" s="1" t="s">
        <v>70</v>
      </c>
      <c r="B1453" s="1">
        <v>17</v>
      </c>
      <c r="C1453" s="1">
        <v>14</v>
      </c>
      <c r="D1453" s="1" t="str">
        <f t="shared" si="23"/>
        <v>Yes</v>
      </c>
      <c r="E1453" s="1">
        <v>8.8000000000000007</v>
      </c>
      <c r="F1453" s="1">
        <v>216</v>
      </c>
      <c r="G1453" s="1" t="s">
        <v>173</v>
      </c>
      <c r="H1453" s="1" t="s">
        <v>95</v>
      </c>
      <c r="I1453" s="1">
        <v>8.4</v>
      </c>
      <c r="J1453" s="1" t="s">
        <v>95</v>
      </c>
      <c r="M1453" s="1" t="s">
        <v>101</v>
      </c>
      <c r="O1453" s="1">
        <v>1</v>
      </c>
      <c r="Q1453" s="1" t="s">
        <v>188</v>
      </c>
    </row>
    <row r="1454" spans="1:18" ht="14.25" customHeight="1" x14ac:dyDescent="0.3">
      <c r="A1454" s="1" t="s">
        <v>70</v>
      </c>
      <c r="B1454" s="1">
        <v>17</v>
      </c>
      <c r="C1454" s="1">
        <v>15</v>
      </c>
      <c r="D1454" s="1" t="str">
        <f t="shared" si="23"/>
        <v>Yes</v>
      </c>
      <c r="E1454" s="1">
        <v>11.8</v>
      </c>
      <c r="F1454" s="1">
        <v>195</v>
      </c>
      <c r="G1454" s="1" t="s">
        <v>173</v>
      </c>
      <c r="H1454" s="1" t="s">
        <v>95</v>
      </c>
      <c r="I1454" s="1">
        <v>8</v>
      </c>
      <c r="J1454" s="1" t="s">
        <v>95</v>
      </c>
      <c r="M1454" s="1" t="s">
        <v>101</v>
      </c>
      <c r="O1454" s="1">
        <v>1</v>
      </c>
      <c r="Q1454" s="1" t="s">
        <v>188</v>
      </c>
      <c r="R1454" s="1"/>
    </row>
    <row r="1455" spans="1:18" ht="14.25" customHeight="1" x14ac:dyDescent="0.3">
      <c r="A1455" s="1" t="s">
        <v>70</v>
      </c>
      <c r="B1455" s="1">
        <v>17</v>
      </c>
      <c r="C1455" s="1">
        <v>16</v>
      </c>
      <c r="D1455" s="1" t="str">
        <f t="shared" si="23"/>
        <v>Yes</v>
      </c>
      <c r="E1455" s="1">
        <v>11.8</v>
      </c>
      <c r="F1455" s="1">
        <v>195</v>
      </c>
      <c r="G1455" s="1" t="s">
        <v>173</v>
      </c>
      <c r="H1455" s="1" t="s">
        <v>95</v>
      </c>
      <c r="I1455" s="1">
        <v>7.7</v>
      </c>
      <c r="J1455" s="1" t="s">
        <v>95</v>
      </c>
      <c r="M1455" s="1" t="s">
        <v>101</v>
      </c>
      <c r="O1455" s="1">
        <v>1</v>
      </c>
      <c r="Q1455" s="1" t="s">
        <v>188</v>
      </c>
    </row>
    <row r="1456" spans="1:18" ht="14.25" customHeight="1" x14ac:dyDescent="0.3">
      <c r="A1456" s="1" t="s">
        <v>70</v>
      </c>
      <c r="B1456" s="1">
        <v>17</v>
      </c>
      <c r="C1456" s="1">
        <v>17</v>
      </c>
      <c r="D1456" s="1" t="str">
        <f t="shared" si="23"/>
        <v>Yes</v>
      </c>
      <c r="E1456" s="1">
        <v>11.8</v>
      </c>
      <c r="F1456" s="1">
        <v>195</v>
      </c>
      <c r="G1456" s="1" t="s">
        <v>173</v>
      </c>
      <c r="H1456" s="1" t="s">
        <v>95</v>
      </c>
      <c r="I1456" s="1">
        <v>7.7</v>
      </c>
      <c r="J1456" s="1" t="s">
        <v>95</v>
      </c>
      <c r="M1456" s="1" t="s">
        <v>101</v>
      </c>
      <c r="O1456" s="1">
        <v>1</v>
      </c>
      <c r="Q1456" s="1" t="s">
        <v>188</v>
      </c>
    </row>
    <row r="1457" spans="1:18" ht="14.25" customHeight="1" x14ac:dyDescent="0.3">
      <c r="A1457" s="1" t="s">
        <v>70</v>
      </c>
      <c r="B1457" s="1">
        <v>17</v>
      </c>
      <c r="C1457" s="1">
        <v>8</v>
      </c>
      <c r="D1457" s="1" t="str">
        <f t="shared" si="23"/>
        <v>Yes</v>
      </c>
      <c r="E1457" s="1">
        <v>8.8000000000000007</v>
      </c>
      <c r="F1457" s="1">
        <v>150</v>
      </c>
      <c r="G1457" s="1" t="s">
        <v>106</v>
      </c>
      <c r="H1457" s="1" t="s">
        <v>95</v>
      </c>
      <c r="I1457" s="1">
        <v>17</v>
      </c>
      <c r="J1457" s="1" t="s">
        <v>95</v>
      </c>
      <c r="M1457" s="1" t="s">
        <v>101</v>
      </c>
      <c r="O1457" s="1">
        <v>1</v>
      </c>
    </row>
    <row r="1458" spans="1:18" ht="14.25" customHeight="1" x14ac:dyDescent="0.3">
      <c r="A1458" s="1" t="s">
        <v>70</v>
      </c>
      <c r="B1458" s="1">
        <v>17</v>
      </c>
      <c r="C1458" s="1">
        <v>10</v>
      </c>
      <c r="D1458" s="1" t="str">
        <f t="shared" si="23"/>
        <v>Yes</v>
      </c>
      <c r="E1458" s="1">
        <v>11</v>
      </c>
      <c r="F1458" s="1">
        <v>189</v>
      </c>
      <c r="G1458" s="1" t="s">
        <v>93</v>
      </c>
      <c r="H1458" s="1" t="s">
        <v>95</v>
      </c>
      <c r="I1458" s="1">
        <v>18.7</v>
      </c>
      <c r="J1458" s="1" t="s">
        <v>95</v>
      </c>
      <c r="M1458" s="1" t="s">
        <v>101</v>
      </c>
      <c r="O1458" s="1">
        <v>1</v>
      </c>
    </row>
    <row r="1459" spans="1:18" ht="14.25" customHeight="1" x14ac:dyDescent="0.3">
      <c r="A1459" s="1" t="s">
        <v>70</v>
      </c>
      <c r="B1459" s="1">
        <v>17</v>
      </c>
      <c r="C1459" s="1">
        <v>13</v>
      </c>
      <c r="D1459" s="1" t="str">
        <f t="shared" si="23"/>
        <v>Yes</v>
      </c>
      <c r="E1459" s="1">
        <v>6.5</v>
      </c>
      <c r="F1459" s="1">
        <v>193</v>
      </c>
      <c r="G1459" s="1" t="s">
        <v>93</v>
      </c>
      <c r="H1459" s="1" t="s">
        <v>95</v>
      </c>
      <c r="I1459" s="1">
        <v>15</v>
      </c>
      <c r="J1459" s="1" t="s">
        <v>95</v>
      </c>
      <c r="M1459" s="1" t="s">
        <v>101</v>
      </c>
      <c r="O1459" s="1">
        <v>1</v>
      </c>
    </row>
    <row r="1460" spans="1:18" ht="14.25" customHeight="1" x14ac:dyDescent="0.3">
      <c r="A1460" s="1" t="s">
        <v>70</v>
      </c>
      <c r="B1460" s="1">
        <v>17</v>
      </c>
      <c r="C1460" s="1">
        <v>7</v>
      </c>
      <c r="D1460" s="1" t="str">
        <f t="shared" si="23"/>
        <v>Yes</v>
      </c>
      <c r="E1460" s="1">
        <v>9.9</v>
      </c>
      <c r="F1460" s="1">
        <v>173</v>
      </c>
      <c r="G1460" s="1" t="s">
        <v>93</v>
      </c>
      <c r="H1460" s="1" t="s">
        <v>95</v>
      </c>
      <c r="I1460" s="1">
        <v>12</v>
      </c>
      <c r="J1460" s="1" t="s">
        <v>95</v>
      </c>
      <c r="M1460" s="1" t="s">
        <v>101</v>
      </c>
      <c r="O1460" s="1">
        <v>1</v>
      </c>
    </row>
    <row r="1461" spans="1:18" ht="14.25" customHeight="1" x14ac:dyDescent="0.3">
      <c r="A1461" s="1" t="s">
        <v>70</v>
      </c>
      <c r="B1461" s="1">
        <v>17</v>
      </c>
      <c r="C1461" s="1">
        <v>11</v>
      </c>
      <c r="D1461" s="1" t="str">
        <f t="shared" si="23"/>
        <v>Yes</v>
      </c>
      <c r="E1461" s="1">
        <v>11</v>
      </c>
      <c r="F1461" s="1">
        <v>189</v>
      </c>
      <c r="G1461" s="1" t="s">
        <v>93</v>
      </c>
      <c r="H1461" s="1" t="s">
        <v>95</v>
      </c>
      <c r="I1461" s="1">
        <v>8.8000000000000007</v>
      </c>
      <c r="J1461" s="1" t="s">
        <v>95</v>
      </c>
      <c r="M1461" s="1" t="s">
        <v>101</v>
      </c>
      <c r="O1461" s="1">
        <v>1</v>
      </c>
    </row>
    <row r="1462" spans="1:18" ht="14.25" customHeight="1" x14ac:dyDescent="0.3">
      <c r="A1462" s="1" t="s">
        <v>70</v>
      </c>
      <c r="B1462" s="1">
        <v>17</v>
      </c>
      <c r="C1462" s="1">
        <v>18</v>
      </c>
      <c r="D1462" s="1" t="str">
        <f t="shared" si="23"/>
        <v>Yes</v>
      </c>
      <c r="E1462" s="1">
        <v>10.7</v>
      </c>
      <c r="F1462" s="1">
        <v>210</v>
      </c>
      <c r="G1462" s="1" t="s">
        <v>93</v>
      </c>
      <c r="H1462" s="1" t="s">
        <v>95</v>
      </c>
      <c r="I1462" s="45">
        <v>7</v>
      </c>
      <c r="J1462" s="1" t="s">
        <v>95</v>
      </c>
      <c r="M1462" s="1" t="s">
        <v>101</v>
      </c>
      <c r="O1462" s="1">
        <v>1</v>
      </c>
      <c r="R1462" s="1"/>
    </row>
    <row r="1463" spans="1:18" ht="14.25" customHeight="1" x14ac:dyDescent="0.3">
      <c r="A1463" s="1" t="s">
        <v>70</v>
      </c>
      <c r="B1463" s="1">
        <v>17</v>
      </c>
      <c r="C1463" s="1">
        <v>25</v>
      </c>
      <c r="D1463" s="1" t="str">
        <f t="shared" si="23"/>
        <v>Yes</v>
      </c>
      <c r="E1463" s="1">
        <v>7</v>
      </c>
      <c r="F1463" s="1">
        <v>311</v>
      </c>
      <c r="G1463" s="1" t="s">
        <v>96</v>
      </c>
      <c r="H1463" s="1" t="s">
        <v>94</v>
      </c>
      <c r="I1463" s="1">
        <v>43</v>
      </c>
      <c r="J1463" s="1" t="s">
        <v>95</v>
      </c>
      <c r="K1463" s="1">
        <v>0</v>
      </c>
      <c r="L1463" s="1">
        <v>85</v>
      </c>
      <c r="M1463" s="1" t="s">
        <v>101</v>
      </c>
      <c r="O1463" s="1">
        <v>1</v>
      </c>
    </row>
    <row r="1464" spans="1:18" ht="14.25" customHeight="1" x14ac:dyDescent="0.3">
      <c r="A1464" s="1" t="s">
        <v>70</v>
      </c>
      <c r="B1464" s="1">
        <v>17</v>
      </c>
      <c r="C1464" s="1">
        <v>12</v>
      </c>
      <c r="D1464" s="1" t="str">
        <f t="shared" si="23"/>
        <v>Yes</v>
      </c>
      <c r="E1464" s="1">
        <v>5.7</v>
      </c>
      <c r="F1464" s="1">
        <v>190</v>
      </c>
      <c r="G1464" s="1" t="s">
        <v>96</v>
      </c>
      <c r="H1464" s="1" t="s">
        <v>94</v>
      </c>
      <c r="I1464" s="1">
        <v>42.9</v>
      </c>
      <c r="J1464" s="1" t="s">
        <v>95</v>
      </c>
      <c r="K1464" s="1">
        <v>0</v>
      </c>
      <c r="L1464" s="1">
        <v>30</v>
      </c>
      <c r="M1464" s="1" t="s">
        <v>102</v>
      </c>
      <c r="P1464" s="1">
        <v>709</v>
      </c>
    </row>
    <row r="1465" spans="1:18" ht="14.25" customHeight="1" x14ac:dyDescent="0.3">
      <c r="A1465" s="1" t="s">
        <v>70</v>
      </c>
      <c r="B1465" s="1">
        <v>17</v>
      </c>
      <c r="C1465" s="1">
        <v>9</v>
      </c>
      <c r="D1465" s="1" t="str">
        <f t="shared" si="23"/>
        <v>Yes</v>
      </c>
      <c r="E1465" s="1">
        <v>7.8</v>
      </c>
      <c r="F1465" s="1">
        <v>176</v>
      </c>
      <c r="G1465" s="1" t="s">
        <v>96</v>
      </c>
      <c r="H1465" s="1" t="s">
        <v>94</v>
      </c>
      <c r="I1465" s="1">
        <v>40.6</v>
      </c>
      <c r="J1465" s="1" t="s">
        <v>95</v>
      </c>
      <c r="K1465" s="1">
        <v>1</v>
      </c>
      <c r="L1465" s="1">
        <v>55</v>
      </c>
      <c r="M1465" s="1" t="s">
        <v>101</v>
      </c>
    </row>
    <row r="1466" spans="1:18" ht="14.25" customHeight="1" x14ac:dyDescent="0.3">
      <c r="A1466" s="1" t="s">
        <v>70</v>
      </c>
      <c r="B1466" s="1">
        <v>17</v>
      </c>
      <c r="C1466" s="1">
        <v>24</v>
      </c>
      <c r="D1466" s="1" t="str">
        <f t="shared" si="23"/>
        <v>Yes</v>
      </c>
      <c r="E1466" s="1">
        <v>9.6</v>
      </c>
      <c r="F1466" s="1">
        <v>300</v>
      </c>
      <c r="G1466" s="1" t="s">
        <v>96</v>
      </c>
      <c r="H1466" s="1" t="s">
        <v>94</v>
      </c>
      <c r="I1466" s="1">
        <v>35.4</v>
      </c>
      <c r="J1466" s="1" t="s">
        <v>95</v>
      </c>
      <c r="K1466" s="1">
        <v>0</v>
      </c>
      <c r="L1466" s="1">
        <v>90</v>
      </c>
      <c r="M1466" s="1" t="s">
        <v>101</v>
      </c>
    </row>
    <row r="1467" spans="1:18" ht="14.25" customHeight="1" x14ac:dyDescent="0.3">
      <c r="A1467" s="1" t="s">
        <v>70</v>
      </c>
      <c r="B1467" s="1">
        <v>17</v>
      </c>
      <c r="C1467" s="1">
        <v>23</v>
      </c>
      <c r="D1467" s="1" t="str">
        <f t="shared" si="23"/>
        <v>Yes</v>
      </c>
      <c r="E1467" s="1">
        <v>6.6</v>
      </c>
      <c r="F1467" s="1">
        <v>275</v>
      </c>
      <c r="G1467" s="1" t="s">
        <v>96</v>
      </c>
      <c r="H1467" s="1" t="s">
        <v>94</v>
      </c>
      <c r="I1467" s="1">
        <v>33.799999999999997</v>
      </c>
      <c r="J1467" s="1" t="s">
        <v>95</v>
      </c>
      <c r="K1467" s="1">
        <v>0</v>
      </c>
      <c r="L1467" s="1">
        <v>60</v>
      </c>
      <c r="M1467" s="1" t="s">
        <v>101</v>
      </c>
      <c r="N1467" s="1" t="s">
        <v>100</v>
      </c>
    </row>
    <row r="1468" spans="1:18" ht="14.25" customHeight="1" x14ac:dyDescent="0.3">
      <c r="A1468" s="1" t="s">
        <v>70</v>
      </c>
      <c r="B1468" s="1">
        <v>17</v>
      </c>
      <c r="C1468" s="1">
        <v>2</v>
      </c>
      <c r="D1468" s="1" t="str">
        <f t="shared" si="23"/>
        <v>Yes</v>
      </c>
      <c r="E1468" s="1">
        <v>9.6</v>
      </c>
      <c r="F1468" s="1">
        <v>15</v>
      </c>
      <c r="G1468" s="1" t="s">
        <v>216</v>
      </c>
      <c r="H1468" s="1" t="s">
        <v>94</v>
      </c>
      <c r="I1468" s="1">
        <v>25.2</v>
      </c>
      <c r="J1468" s="1" t="s">
        <v>95</v>
      </c>
      <c r="K1468" s="1">
        <v>0</v>
      </c>
      <c r="L1468" s="1">
        <v>50</v>
      </c>
      <c r="M1468" s="1" t="s">
        <v>101</v>
      </c>
    </row>
    <row r="1469" spans="1:18" ht="14.25" customHeight="1" x14ac:dyDescent="0.3">
      <c r="A1469" s="1" t="s">
        <v>70</v>
      </c>
      <c r="B1469" s="1">
        <v>17</v>
      </c>
      <c r="C1469" s="1">
        <v>1</v>
      </c>
      <c r="D1469" s="1" t="str">
        <f t="shared" si="23"/>
        <v>Yes</v>
      </c>
      <c r="E1469" s="1">
        <v>9.6</v>
      </c>
      <c r="F1469" s="1">
        <v>15</v>
      </c>
      <c r="G1469" s="1" t="s">
        <v>216</v>
      </c>
      <c r="H1469" s="1" t="s">
        <v>94</v>
      </c>
      <c r="I1469" s="1">
        <v>18.3</v>
      </c>
      <c r="J1469" s="1" t="s">
        <v>95</v>
      </c>
      <c r="K1469" s="1">
        <v>0</v>
      </c>
      <c r="L1469" s="1">
        <v>95</v>
      </c>
      <c r="M1469" s="1" t="s">
        <v>101</v>
      </c>
    </row>
    <row r="1470" spans="1:18" ht="14.25" customHeight="1" x14ac:dyDescent="0.3">
      <c r="A1470" s="1" t="s">
        <v>70</v>
      </c>
      <c r="B1470" s="1">
        <v>17</v>
      </c>
      <c r="C1470" s="1">
        <v>3</v>
      </c>
      <c r="D1470" s="1" t="str">
        <f t="shared" si="23"/>
        <v>Yes</v>
      </c>
      <c r="E1470" s="1">
        <v>4.9000000000000004</v>
      </c>
      <c r="F1470" s="1">
        <v>107</v>
      </c>
      <c r="G1470" s="1" t="s">
        <v>111</v>
      </c>
      <c r="H1470" s="1" t="s">
        <v>94</v>
      </c>
      <c r="I1470" s="1">
        <v>53.1</v>
      </c>
      <c r="J1470" s="1" t="s">
        <v>95</v>
      </c>
      <c r="K1470" s="1">
        <v>0</v>
      </c>
      <c r="L1470" s="1">
        <v>1</v>
      </c>
      <c r="M1470" s="1" t="s">
        <v>102</v>
      </c>
      <c r="P1470" s="1">
        <v>703</v>
      </c>
    </row>
    <row r="1471" spans="1:18" ht="14.25" customHeight="1" x14ac:dyDescent="0.3">
      <c r="A1471" s="1" t="s">
        <v>70</v>
      </c>
      <c r="B1471" s="1">
        <v>17</v>
      </c>
      <c r="C1471" s="1">
        <v>20</v>
      </c>
      <c r="D1471" s="1" t="str">
        <f t="shared" si="23"/>
        <v>Yes</v>
      </c>
      <c r="E1471" s="1">
        <v>7.3</v>
      </c>
      <c r="F1471" s="1">
        <v>272</v>
      </c>
      <c r="G1471" s="1" t="s">
        <v>93</v>
      </c>
      <c r="H1471" s="1" t="s">
        <v>94</v>
      </c>
      <c r="I1471" s="1">
        <v>30.4</v>
      </c>
      <c r="J1471" s="1" t="s">
        <v>95</v>
      </c>
      <c r="K1471" s="1">
        <v>0</v>
      </c>
      <c r="L1471" s="1">
        <v>65</v>
      </c>
      <c r="M1471" s="1" t="s">
        <v>101</v>
      </c>
    </row>
    <row r="1472" spans="1:18" ht="14.25" customHeight="1" x14ac:dyDescent="0.3">
      <c r="A1472" s="1" t="s">
        <v>70</v>
      </c>
      <c r="B1472" s="1">
        <v>17</v>
      </c>
      <c r="C1472" s="1">
        <v>22</v>
      </c>
      <c r="D1472" s="1" t="str">
        <f t="shared" si="23"/>
        <v>Yes</v>
      </c>
      <c r="E1472" s="1">
        <v>4.4000000000000004</v>
      </c>
      <c r="F1472" s="1">
        <v>275</v>
      </c>
      <c r="G1472" s="1" t="s">
        <v>93</v>
      </c>
      <c r="H1472" s="1" t="s">
        <v>94</v>
      </c>
      <c r="I1472" s="1">
        <v>16.7</v>
      </c>
      <c r="J1472" s="1" t="s">
        <v>95</v>
      </c>
      <c r="K1472" s="1">
        <v>0</v>
      </c>
      <c r="L1472" s="1">
        <v>70</v>
      </c>
      <c r="M1472" s="1" t="s">
        <v>101</v>
      </c>
    </row>
    <row r="1473" spans="1:18" ht="14.25" customHeight="1" x14ac:dyDescent="0.3">
      <c r="A1473" s="1" t="s">
        <v>70</v>
      </c>
      <c r="B1473" s="1">
        <v>17</v>
      </c>
      <c r="C1473" s="1">
        <v>21</v>
      </c>
      <c r="D1473" s="1" t="str">
        <f t="shared" si="23"/>
        <v>Yes</v>
      </c>
      <c r="E1473" s="1">
        <v>3.7</v>
      </c>
      <c r="F1473" s="1">
        <v>277</v>
      </c>
      <c r="G1473" s="1" t="s">
        <v>93</v>
      </c>
      <c r="H1473" s="1" t="s">
        <v>94</v>
      </c>
      <c r="I1473" s="1">
        <v>11</v>
      </c>
      <c r="J1473" s="1" t="s">
        <v>95</v>
      </c>
      <c r="K1473" s="1">
        <v>0</v>
      </c>
      <c r="L1473" s="1">
        <v>99</v>
      </c>
      <c r="M1473" s="1" t="s">
        <v>101</v>
      </c>
    </row>
    <row r="1474" spans="1:18" ht="14.25" customHeight="1" x14ac:dyDescent="0.3">
      <c r="A1474" s="1" t="s">
        <v>70</v>
      </c>
      <c r="B1474" s="1">
        <v>18</v>
      </c>
      <c r="C1474" s="1">
        <v>11</v>
      </c>
      <c r="D1474" s="1" t="str">
        <f t="shared" si="23"/>
        <v>No</v>
      </c>
      <c r="E1474" s="1">
        <v>21.2</v>
      </c>
      <c r="F1474" s="1">
        <v>126</v>
      </c>
      <c r="G1474" s="1" t="s">
        <v>93</v>
      </c>
      <c r="H1474" s="1" t="s">
        <v>95</v>
      </c>
      <c r="I1474" s="1">
        <v>118.6</v>
      </c>
      <c r="J1474" s="1" t="s">
        <v>95</v>
      </c>
      <c r="M1474" s="1" t="s">
        <v>95</v>
      </c>
      <c r="O1474" s="1">
        <v>1</v>
      </c>
      <c r="Q1474" s="1">
        <v>738</v>
      </c>
      <c r="R1474" s="1"/>
    </row>
    <row r="1475" spans="1:18" ht="14.25" customHeight="1" x14ac:dyDescent="0.3">
      <c r="A1475" s="1" t="s">
        <v>70</v>
      </c>
      <c r="B1475" s="1">
        <v>18</v>
      </c>
      <c r="C1475" s="1">
        <v>10</v>
      </c>
      <c r="D1475" s="1" t="str">
        <f t="shared" si="23"/>
        <v>No</v>
      </c>
      <c r="E1475" s="1">
        <v>15.2</v>
      </c>
      <c r="F1475" s="1">
        <v>47</v>
      </c>
      <c r="G1475" s="1" t="s">
        <v>93</v>
      </c>
      <c r="H1475" s="1" t="s">
        <v>95</v>
      </c>
      <c r="I1475" s="1">
        <v>67.900000000000006</v>
      </c>
      <c r="J1475" s="1" t="s">
        <v>95</v>
      </c>
      <c r="M1475" s="1" t="s">
        <v>102</v>
      </c>
      <c r="O1475" s="1">
        <v>1</v>
      </c>
      <c r="Q1475" s="1">
        <v>737</v>
      </c>
      <c r="R1475" s="1"/>
    </row>
    <row r="1476" spans="1:18" ht="14.25" customHeight="1" x14ac:dyDescent="0.3">
      <c r="A1476" s="1" t="s">
        <v>70</v>
      </c>
      <c r="B1476" s="1">
        <v>18</v>
      </c>
      <c r="C1476" s="1">
        <v>9</v>
      </c>
      <c r="D1476" s="1" t="str">
        <f t="shared" si="23"/>
        <v>Yes</v>
      </c>
      <c r="E1476" s="1">
        <v>7.4</v>
      </c>
      <c r="F1476" s="1">
        <v>333</v>
      </c>
      <c r="G1476" s="66" t="s">
        <v>111</v>
      </c>
      <c r="H1476" s="1" t="s">
        <v>95</v>
      </c>
      <c r="I1476" s="1">
        <v>35.299999999999997</v>
      </c>
      <c r="J1476" s="1" t="s">
        <v>95</v>
      </c>
      <c r="M1476" s="1" t="s">
        <v>102</v>
      </c>
      <c r="O1476" s="1">
        <v>1</v>
      </c>
    </row>
    <row r="1477" spans="1:18" ht="14.25" customHeight="1" x14ac:dyDescent="0.3">
      <c r="A1477" s="1" t="s">
        <v>70</v>
      </c>
      <c r="B1477" s="1">
        <v>18</v>
      </c>
      <c r="C1477" s="1">
        <v>2</v>
      </c>
      <c r="D1477" s="1" t="str">
        <f t="shared" si="23"/>
        <v>Yes</v>
      </c>
      <c r="E1477" s="1">
        <v>11</v>
      </c>
      <c r="F1477" s="1">
        <v>94</v>
      </c>
      <c r="G1477" s="1" t="s">
        <v>93</v>
      </c>
      <c r="H1477" s="1" t="s">
        <v>95</v>
      </c>
      <c r="I1477" s="1">
        <v>80.400000000000006</v>
      </c>
      <c r="J1477" s="1" t="s">
        <v>95</v>
      </c>
      <c r="M1477" s="1" t="s">
        <v>101</v>
      </c>
      <c r="O1477" s="1">
        <v>5</v>
      </c>
    </row>
    <row r="1478" spans="1:18" ht="14.25" customHeight="1" x14ac:dyDescent="0.3">
      <c r="A1478" s="1" t="s">
        <v>70</v>
      </c>
      <c r="B1478" s="1">
        <v>18</v>
      </c>
      <c r="C1478" s="1">
        <v>1</v>
      </c>
      <c r="D1478" s="1" t="str">
        <f t="shared" si="23"/>
        <v>Yes</v>
      </c>
      <c r="E1478" s="1">
        <v>8.3000000000000007</v>
      </c>
      <c r="F1478" s="1">
        <v>53</v>
      </c>
      <c r="G1478" s="1" t="s">
        <v>93</v>
      </c>
      <c r="H1478" s="1" t="s">
        <v>95</v>
      </c>
      <c r="I1478" s="1">
        <v>28.1</v>
      </c>
      <c r="J1478" s="1" t="s">
        <v>95</v>
      </c>
      <c r="M1478" s="1" t="s">
        <v>101</v>
      </c>
      <c r="O1478" s="1">
        <v>1</v>
      </c>
    </row>
    <row r="1479" spans="1:18" ht="14.25" customHeight="1" x14ac:dyDescent="0.3">
      <c r="A1479" s="1" t="s">
        <v>70</v>
      </c>
      <c r="B1479" s="1">
        <v>18</v>
      </c>
      <c r="C1479" s="1">
        <v>4</v>
      </c>
      <c r="D1479" s="1" t="str">
        <f t="shared" si="23"/>
        <v>Yes</v>
      </c>
      <c r="E1479" s="1">
        <v>9.8000000000000007</v>
      </c>
      <c r="F1479" s="1">
        <v>225</v>
      </c>
      <c r="G1479" s="1" t="s">
        <v>93</v>
      </c>
      <c r="H1479" s="1" t="s">
        <v>95</v>
      </c>
      <c r="I1479" s="1">
        <v>25.3</v>
      </c>
      <c r="J1479" s="1" t="s">
        <v>95</v>
      </c>
      <c r="M1479" s="1" t="s">
        <v>101</v>
      </c>
      <c r="O1479" s="1">
        <v>1</v>
      </c>
    </row>
    <row r="1480" spans="1:18" ht="14.25" customHeight="1" x14ac:dyDescent="0.3">
      <c r="A1480" s="1" t="s">
        <v>70</v>
      </c>
      <c r="B1480" s="1">
        <v>18</v>
      </c>
      <c r="C1480" s="1">
        <v>5</v>
      </c>
      <c r="D1480" s="1" t="str">
        <f t="shared" si="23"/>
        <v>Yes</v>
      </c>
      <c r="E1480" s="1">
        <v>6.9</v>
      </c>
      <c r="F1480" s="1">
        <v>218</v>
      </c>
      <c r="G1480" s="1" t="s">
        <v>93</v>
      </c>
      <c r="H1480" s="1" t="s">
        <v>95</v>
      </c>
      <c r="I1480" s="1">
        <v>22.6</v>
      </c>
      <c r="J1480" s="1" t="s">
        <v>95</v>
      </c>
      <c r="M1480" s="1" t="s">
        <v>101</v>
      </c>
      <c r="O1480" s="1">
        <v>1</v>
      </c>
    </row>
    <row r="1481" spans="1:18" ht="14.25" customHeight="1" x14ac:dyDescent="0.3">
      <c r="A1481" s="1" t="s">
        <v>70</v>
      </c>
      <c r="B1481" s="1">
        <v>18</v>
      </c>
      <c r="C1481" s="1">
        <v>7</v>
      </c>
      <c r="D1481" s="1" t="str">
        <f t="shared" si="23"/>
        <v>Yes</v>
      </c>
      <c r="E1481" s="1">
        <v>10.199999999999999</v>
      </c>
      <c r="F1481" s="1">
        <v>262</v>
      </c>
      <c r="G1481" s="1" t="s">
        <v>93</v>
      </c>
      <c r="H1481" s="1" t="s">
        <v>95</v>
      </c>
      <c r="I1481" s="1">
        <v>15.4</v>
      </c>
      <c r="J1481" s="1" t="s">
        <v>95</v>
      </c>
      <c r="M1481" s="1" t="s">
        <v>101</v>
      </c>
      <c r="O1481" s="1">
        <v>1</v>
      </c>
    </row>
    <row r="1482" spans="1:18" ht="14.25" customHeight="1" x14ac:dyDescent="0.3">
      <c r="A1482" s="1" t="s">
        <v>70</v>
      </c>
      <c r="B1482" s="1">
        <v>18</v>
      </c>
      <c r="C1482" s="1">
        <v>6</v>
      </c>
      <c r="D1482" s="1" t="str">
        <f t="shared" si="23"/>
        <v>Yes</v>
      </c>
      <c r="E1482" s="1">
        <v>9</v>
      </c>
      <c r="F1482" s="1">
        <v>241</v>
      </c>
      <c r="G1482" s="1" t="s">
        <v>93</v>
      </c>
      <c r="H1482" s="1" t="s">
        <v>95</v>
      </c>
      <c r="I1482" s="1">
        <v>11.3</v>
      </c>
      <c r="J1482" s="1" t="s">
        <v>95</v>
      </c>
      <c r="M1482" s="1" t="s">
        <v>101</v>
      </c>
      <c r="O1482" s="1">
        <v>1</v>
      </c>
    </row>
    <row r="1483" spans="1:18" ht="14.25" customHeight="1" x14ac:dyDescent="0.3">
      <c r="A1483" s="1" t="s">
        <v>70</v>
      </c>
      <c r="B1483" s="1">
        <v>18</v>
      </c>
      <c r="C1483" s="1">
        <v>8</v>
      </c>
      <c r="D1483" s="1" t="str">
        <f t="shared" si="23"/>
        <v>Yes</v>
      </c>
      <c r="E1483" s="1">
        <v>11.4</v>
      </c>
      <c r="F1483" s="1">
        <v>262</v>
      </c>
      <c r="G1483" s="1" t="s">
        <v>93</v>
      </c>
      <c r="H1483" s="1" t="s">
        <v>95</v>
      </c>
      <c r="I1483" s="1">
        <v>10.3</v>
      </c>
      <c r="J1483" s="1" t="s">
        <v>95</v>
      </c>
      <c r="M1483" s="1" t="s">
        <v>101</v>
      </c>
      <c r="O1483" s="1">
        <v>1</v>
      </c>
    </row>
    <row r="1484" spans="1:18" ht="14.25" customHeight="1" x14ac:dyDescent="0.3">
      <c r="A1484" s="1" t="s">
        <v>70</v>
      </c>
      <c r="B1484" s="1">
        <v>18</v>
      </c>
      <c r="C1484" s="1">
        <v>3</v>
      </c>
      <c r="D1484" s="1" t="str">
        <f t="shared" si="23"/>
        <v>Yes</v>
      </c>
      <c r="E1484" s="1">
        <v>10.199999999999999</v>
      </c>
      <c r="F1484" s="1">
        <v>171</v>
      </c>
      <c r="G1484" s="1" t="s">
        <v>111</v>
      </c>
      <c r="H1484" s="1" t="s">
        <v>94</v>
      </c>
      <c r="I1484" s="1">
        <v>31.8</v>
      </c>
      <c r="J1484" s="1" t="s">
        <v>95</v>
      </c>
      <c r="K1484" s="1">
        <v>15</v>
      </c>
      <c r="L1484" s="1">
        <v>70</v>
      </c>
      <c r="M1484" s="1" t="s">
        <v>101</v>
      </c>
      <c r="N1484" s="1" t="s">
        <v>100</v>
      </c>
      <c r="Q1484" s="1">
        <v>739</v>
      </c>
      <c r="R1484" s="1"/>
    </row>
    <row r="1485" spans="1:18" ht="14.25" customHeight="1" x14ac:dyDescent="0.3">
      <c r="A1485" s="1" t="s">
        <v>70</v>
      </c>
      <c r="B1485" s="1">
        <v>19</v>
      </c>
      <c r="C1485" s="1">
        <v>24</v>
      </c>
      <c r="D1485" s="1" t="str">
        <f t="shared" si="23"/>
        <v>No</v>
      </c>
      <c r="E1485" s="1">
        <v>12.6</v>
      </c>
      <c r="F1485" s="1">
        <v>343</v>
      </c>
      <c r="G1485" s="1" t="s">
        <v>109</v>
      </c>
      <c r="H1485" s="1" t="s">
        <v>95</v>
      </c>
      <c r="I1485" s="1">
        <v>119.5</v>
      </c>
      <c r="J1485" s="1" t="s">
        <v>95</v>
      </c>
      <c r="M1485" s="1" t="s">
        <v>95</v>
      </c>
      <c r="O1485" s="1">
        <v>1</v>
      </c>
    </row>
    <row r="1486" spans="1:18" ht="14.25" customHeight="1" x14ac:dyDescent="0.3">
      <c r="A1486" s="1" t="s">
        <v>70</v>
      </c>
      <c r="B1486" s="1">
        <v>19</v>
      </c>
      <c r="C1486" s="1">
        <v>2</v>
      </c>
      <c r="D1486" s="1" t="str">
        <f t="shared" si="23"/>
        <v>Yes</v>
      </c>
      <c r="E1486" s="1">
        <v>5.9</v>
      </c>
      <c r="F1486" s="1">
        <v>37</v>
      </c>
      <c r="G1486" s="1" t="s">
        <v>96</v>
      </c>
      <c r="H1486" s="1" t="s">
        <v>95</v>
      </c>
      <c r="I1486" s="1">
        <v>41.9</v>
      </c>
      <c r="J1486" s="1" t="s">
        <v>95</v>
      </c>
      <c r="M1486" s="1" t="s">
        <v>102</v>
      </c>
      <c r="O1486" s="1">
        <v>1</v>
      </c>
      <c r="P1486" s="1">
        <v>716</v>
      </c>
    </row>
    <row r="1487" spans="1:18" ht="14.25" customHeight="1" x14ac:dyDescent="0.3">
      <c r="A1487" s="1" t="s">
        <v>70</v>
      </c>
      <c r="B1487" s="1">
        <v>19</v>
      </c>
      <c r="C1487" s="1">
        <v>9</v>
      </c>
      <c r="D1487" s="1" t="str">
        <f t="shared" si="23"/>
        <v>Yes</v>
      </c>
      <c r="E1487" s="1">
        <v>11.6</v>
      </c>
      <c r="F1487" s="1">
        <v>125</v>
      </c>
      <c r="G1487" s="1" t="s">
        <v>96</v>
      </c>
      <c r="H1487" s="1" t="s">
        <v>95</v>
      </c>
      <c r="I1487" s="1">
        <v>36.799999999999997</v>
      </c>
      <c r="J1487" s="1" t="s">
        <v>95</v>
      </c>
      <c r="M1487" s="1" t="s">
        <v>101</v>
      </c>
      <c r="O1487" s="1">
        <v>1</v>
      </c>
      <c r="R1487" s="1"/>
    </row>
    <row r="1488" spans="1:18" ht="14.25" customHeight="1" x14ac:dyDescent="0.3">
      <c r="A1488" s="1" t="s">
        <v>70</v>
      </c>
      <c r="B1488" s="1">
        <v>19</v>
      </c>
      <c r="C1488" s="1">
        <v>7</v>
      </c>
      <c r="D1488" s="1" t="str">
        <f t="shared" si="23"/>
        <v>Yes</v>
      </c>
      <c r="E1488" s="1">
        <v>11.5</v>
      </c>
      <c r="F1488" s="1">
        <v>75</v>
      </c>
      <c r="G1488" s="1" t="s">
        <v>96</v>
      </c>
      <c r="H1488" s="1" t="s">
        <v>95</v>
      </c>
      <c r="I1488" s="1">
        <v>25.9</v>
      </c>
      <c r="J1488" s="1" t="s">
        <v>95</v>
      </c>
      <c r="M1488" s="1" t="s">
        <v>101</v>
      </c>
      <c r="O1488" s="1">
        <v>1</v>
      </c>
    </row>
    <row r="1489" spans="1:18" ht="14.25" customHeight="1" x14ac:dyDescent="0.3">
      <c r="A1489" s="1" t="s">
        <v>70</v>
      </c>
      <c r="B1489" s="1">
        <v>19</v>
      </c>
      <c r="C1489" s="1">
        <v>4</v>
      </c>
      <c r="D1489" s="1" t="str">
        <f t="shared" si="23"/>
        <v>Yes</v>
      </c>
      <c r="E1489" s="1">
        <v>11.3</v>
      </c>
      <c r="F1489" s="1">
        <v>55</v>
      </c>
      <c r="G1489" s="1" t="s">
        <v>96</v>
      </c>
      <c r="H1489" s="1" t="s">
        <v>95</v>
      </c>
      <c r="I1489" s="1">
        <v>23.7</v>
      </c>
      <c r="J1489" s="1" t="s">
        <v>95</v>
      </c>
      <c r="M1489" s="1" t="s">
        <v>101</v>
      </c>
      <c r="O1489" s="1">
        <v>1</v>
      </c>
    </row>
    <row r="1490" spans="1:18" ht="14.25" customHeight="1" x14ac:dyDescent="0.3">
      <c r="A1490" s="1" t="s">
        <v>70</v>
      </c>
      <c r="B1490" s="1">
        <v>19</v>
      </c>
      <c r="C1490" s="1">
        <v>18</v>
      </c>
      <c r="D1490" s="1" t="str">
        <f t="shared" si="23"/>
        <v>Yes</v>
      </c>
      <c r="E1490" s="1">
        <v>11.8</v>
      </c>
      <c r="F1490" s="1">
        <v>248</v>
      </c>
      <c r="G1490" s="1" t="s">
        <v>96</v>
      </c>
      <c r="H1490" s="1" t="s">
        <v>95</v>
      </c>
      <c r="I1490" s="1">
        <v>16</v>
      </c>
      <c r="J1490" s="1" t="s">
        <v>95</v>
      </c>
      <c r="M1490" s="1" t="s">
        <v>101</v>
      </c>
      <c r="O1490" s="1">
        <v>1</v>
      </c>
    </row>
    <row r="1491" spans="1:18" ht="14.25" customHeight="1" x14ac:dyDescent="0.3">
      <c r="A1491" s="1" t="s">
        <v>70</v>
      </c>
      <c r="B1491" s="1">
        <v>19</v>
      </c>
      <c r="C1491" s="1">
        <v>27</v>
      </c>
      <c r="D1491" s="1" t="str">
        <f t="shared" si="23"/>
        <v>Yes</v>
      </c>
      <c r="E1491" s="1">
        <v>3.9</v>
      </c>
      <c r="F1491" s="1">
        <v>353</v>
      </c>
      <c r="G1491" s="1" t="s">
        <v>96</v>
      </c>
      <c r="H1491" s="1" t="s">
        <v>95</v>
      </c>
      <c r="I1491" s="1">
        <v>14.5</v>
      </c>
      <c r="J1491" s="1" t="s">
        <v>95</v>
      </c>
      <c r="M1491" s="1" t="s">
        <v>101</v>
      </c>
      <c r="O1491" s="1">
        <v>1</v>
      </c>
      <c r="R1491" s="1"/>
    </row>
    <row r="1492" spans="1:18" ht="14.25" customHeight="1" x14ac:dyDescent="0.3">
      <c r="A1492" s="1" t="s">
        <v>70</v>
      </c>
      <c r="B1492" s="1">
        <v>19</v>
      </c>
      <c r="C1492" s="1">
        <v>1</v>
      </c>
      <c r="D1492" s="1" t="str">
        <f t="shared" si="23"/>
        <v>Yes</v>
      </c>
      <c r="E1492" s="1">
        <v>1.5</v>
      </c>
      <c r="F1492" s="1">
        <v>10</v>
      </c>
      <c r="G1492" s="1" t="s">
        <v>96</v>
      </c>
      <c r="H1492" s="1" t="s">
        <v>95</v>
      </c>
      <c r="I1492" s="1">
        <v>11</v>
      </c>
      <c r="J1492" s="1" t="s">
        <v>95</v>
      </c>
      <c r="M1492" s="1" t="s">
        <v>101</v>
      </c>
      <c r="O1492" s="1">
        <v>1</v>
      </c>
      <c r="R1492" s="1"/>
    </row>
    <row r="1493" spans="1:18" ht="14.25" customHeight="1" x14ac:dyDescent="0.3">
      <c r="A1493" s="1" t="s">
        <v>70</v>
      </c>
      <c r="B1493" s="1">
        <v>19</v>
      </c>
      <c r="C1493" s="1">
        <v>16</v>
      </c>
      <c r="D1493" s="1" t="str">
        <f t="shared" si="23"/>
        <v>Yes</v>
      </c>
      <c r="E1493" s="1">
        <v>9.9</v>
      </c>
      <c r="F1493" s="1">
        <v>212</v>
      </c>
      <c r="G1493" s="1" t="s">
        <v>109</v>
      </c>
      <c r="H1493" s="1" t="s">
        <v>95</v>
      </c>
      <c r="I1493" s="1">
        <v>67.7</v>
      </c>
      <c r="J1493" s="1" t="s">
        <v>95</v>
      </c>
      <c r="M1493" s="1" t="s">
        <v>102</v>
      </c>
      <c r="O1493" s="1">
        <v>5</v>
      </c>
    </row>
    <row r="1494" spans="1:18" ht="14.25" customHeight="1" x14ac:dyDescent="0.3">
      <c r="A1494" s="1" t="s">
        <v>70</v>
      </c>
      <c r="B1494" s="1">
        <v>19</v>
      </c>
      <c r="C1494" s="1">
        <v>17</v>
      </c>
      <c r="D1494" s="1" t="str">
        <f t="shared" si="23"/>
        <v>Yes</v>
      </c>
      <c r="E1494" s="1">
        <v>10.9</v>
      </c>
      <c r="F1494" s="1">
        <v>212</v>
      </c>
      <c r="G1494" s="1" t="s">
        <v>106</v>
      </c>
      <c r="H1494" s="1" t="s">
        <v>95</v>
      </c>
      <c r="I1494" s="1">
        <v>87</v>
      </c>
      <c r="J1494" s="1" t="s">
        <v>95</v>
      </c>
      <c r="M1494" s="1" t="s">
        <v>97</v>
      </c>
      <c r="O1494" s="1">
        <v>1</v>
      </c>
    </row>
    <row r="1495" spans="1:18" ht="14.25" customHeight="1" x14ac:dyDescent="0.3">
      <c r="A1495" s="1" t="s">
        <v>70</v>
      </c>
      <c r="B1495" s="1">
        <v>19</v>
      </c>
      <c r="C1495" s="1">
        <v>25</v>
      </c>
      <c r="D1495" s="1" t="str">
        <f t="shared" si="23"/>
        <v>Yes</v>
      </c>
      <c r="E1495" s="1">
        <v>11.9</v>
      </c>
      <c r="F1495" s="1">
        <v>340</v>
      </c>
      <c r="G1495" s="1" t="s">
        <v>106</v>
      </c>
      <c r="H1495" s="1" t="s">
        <v>95</v>
      </c>
      <c r="I1495" s="1">
        <v>65.5</v>
      </c>
      <c r="J1495" s="1" t="s">
        <v>95</v>
      </c>
      <c r="M1495" s="1" t="s">
        <v>101</v>
      </c>
      <c r="O1495" s="1">
        <v>1</v>
      </c>
      <c r="R1495" s="1"/>
    </row>
    <row r="1496" spans="1:18" ht="14.25" customHeight="1" x14ac:dyDescent="0.3">
      <c r="A1496" s="1" t="s">
        <v>70</v>
      </c>
      <c r="B1496" s="1">
        <v>19</v>
      </c>
      <c r="C1496" s="1">
        <v>12</v>
      </c>
      <c r="D1496" s="1" t="str">
        <f t="shared" ref="D1496:D1559" si="24">IF(E1496&gt;12.5, "No", "Yes")</f>
        <v>Yes</v>
      </c>
      <c r="E1496" s="1">
        <v>4.0999999999999996</v>
      </c>
      <c r="F1496" s="1">
        <v>139</v>
      </c>
      <c r="G1496" s="1" t="s">
        <v>106</v>
      </c>
      <c r="H1496" s="1" t="s">
        <v>95</v>
      </c>
      <c r="I1496" s="1">
        <v>65</v>
      </c>
      <c r="J1496" s="1" t="s">
        <v>101</v>
      </c>
      <c r="M1496" s="1" t="s">
        <v>102</v>
      </c>
      <c r="O1496" s="1">
        <v>5</v>
      </c>
      <c r="Q1496" s="1" t="s">
        <v>162</v>
      </c>
    </row>
    <row r="1497" spans="1:18" ht="14.25" customHeight="1" x14ac:dyDescent="0.3">
      <c r="A1497" s="1" t="s">
        <v>70</v>
      </c>
      <c r="B1497" s="1">
        <v>19</v>
      </c>
      <c r="C1497" s="1">
        <v>11</v>
      </c>
      <c r="D1497" s="1" t="str">
        <f t="shared" si="24"/>
        <v>Yes</v>
      </c>
      <c r="E1497" s="1">
        <v>4.9000000000000004</v>
      </c>
      <c r="F1497" s="1">
        <v>137</v>
      </c>
      <c r="G1497" s="1" t="s">
        <v>106</v>
      </c>
      <c r="H1497" s="1" t="s">
        <v>95</v>
      </c>
      <c r="I1497" s="1">
        <v>54</v>
      </c>
      <c r="J1497" s="1" t="s">
        <v>95</v>
      </c>
      <c r="M1497" s="1" t="s">
        <v>102</v>
      </c>
      <c r="O1497" s="1">
        <v>1</v>
      </c>
      <c r="P1497" s="1">
        <v>717</v>
      </c>
    </row>
    <row r="1498" spans="1:18" ht="14.25" customHeight="1" x14ac:dyDescent="0.3">
      <c r="A1498" s="1" t="s">
        <v>70</v>
      </c>
      <c r="B1498" s="1">
        <v>19</v>
      </c>
      <c r="C1498" s="1">
        <v>8</v>
      </c>
      <c r="D1498" s="1" t="str">
        <f t="shared" si="24"/>
        <v>Yes</v>
      </c>
      <c r="E1498" s="1">
        <v>7</v>
      </c>
      <c r="F1498" s="1">
        <v>94</v>
      </c>
      <c r="G1498" s="1" t="s">
        <v>106</v>
      </c>
      <c r="H1498" s="1" t="s">
        <v>95</v>
      </c>
      <c r="I1498" s="19">
        <v>10</v>
      </c>
      <c r="J1498" s="1" t="s">
        <v>101</v>
      </c>
      <c r="M1498" s="1" t="s">
        <v>101</v>
      </c>
      <c r="O1498" s="1">
        <v>5</v>
      </c>
    </row>
    <row r="1499" spans="1:18" ht="14.25" customHeight="1" x14ac:dyDescent="0.3">
      <c r="A1499" s="1" t="s">
        <v>70</v>
      </c>
      <c r="B1499" s="1">
        <v>19</v>
      </c>
      <c r="C1499" s="1">
        <v>20</v>
      </c>
      <c r="D1499" s="1" t="str">
        <f t="shared" si="24"/>
        <v>Yes</v>
      </c>
      <c r="E1499" s="1">
        <v>6.8</v>
      </c>
      <c r="F1499" s="1">
        <v>282</v>
      </c>
      <c r="G1499" s="1" t="s">
        <v>106</v>
      </c>
      <c r="H1499" s="1" t="s">
        <v>95</v>
      </c>
      <c r="I1499" s="1">
        <v>10</v>
      </c>
      <c r="J1499" s="1" t="s">
        <v>101</v>
      </c>
      <c r="M1499" s="1" t="s">
        <v>101</v>
      </c>
      <c r="O1499" s="1">
        <v>5</v>
      </c>
      <c r="Q1499" s="1" t="s">
        <v>162</v>
      </c>
    </row>
    <row r="1500" spans="1:18" ht="14.25" customHeight="1" x14ac:dyDescent="0.3">
      <c r="A1500" s="1" t="s">
        <v>70</v>
      </c>
      <c r="B1500" s="1">
        <v>19</v>
      </c>
      <c r="C1500" s="1">
        <v>21</v>
      </c>
      <c r="D1500" s="1" t="str">
        <f t="shared" si="24"/>
        <v>Yes</v>
      </c>
      <c r="E1500" s="1">
        <v>12.4</v>
      </c>
      <c r="F1500" s="1">
        <v>298</v>
      </c>
      <c r="G1500" s="1" t="s">
        <v>93</v>
      </c>
      <c r="H1500" s="1" t="s">
        <v>95</v>
      </c>
      <c r="I1500" s="1">
        <v>64.7</v>
      </c>
      <c r="J1500" s="1" t="s">
        <v>95</v>
      </c>
      <c r="M1500" s="1" t="s">
        <v>102</v>
      </c>
      <c r="O1500" s="1">
        <v>1</v>
      </c>
      <c r="P1500" s="1">
        <v>718</v>
      </c>
      <c r="R1500" s="1"/>
    </row>
    <row r="1501" spans="1:18" ht="14.25" customHeight="1" x14ac:dyDescent="0.3">
      <c r="A1501" s="1" t="s">
        <v>70</v>
      </c>
      <c r="B1501" s="1">
        <v>19</v>
      </c>
      <c r="C1501" s="1">
        <v>19</v>
      </c>
      <c r="D1501" s="1" t="str">
        <f t="shared" si="24"/>
        <v>Yes</v>
      </c>
      <c r="E1501" s="1">
        <v>7.3</v>
      </c>
      <c r="F1501" s="1">
        <v>268</v>
      </c>
      <c r="G1501" s="1" t="s">
        <v>93</v>
      </c>
      <c r="H1501" s="1" t="s">
        <v>95</v>
      </c>
      <c r="I1501" s="1">
        <v>55</v>
      </c>
      <c r="J1501" s="1" t="s">
        <v>95</v>
      </c>
      <c r="M1501" s="1" t="s">
        <v>102</v>
      </c>
      <c r="O1501" s="1">
        <v>5</v>
      </c>
      <c r="R1501" s="1"/>
    </row>
    <row r="1502" spans="1:18" ht="14.25" customHeight="1" x14ac:dyDescent="0.3">
      <c r="A1502" s="1" t="s">
        <v>70</v>
      </c>
      <c r="B1502" s="1">
        <v>19</v>
      </c>
      <c r="C1502" s="1">
        <v>22</v>
      </c>
      <c r="D1502" s="1" t="str">
        <f t="shared" si="24"/>
        <v>Yes</v>
      </c>
      <c r="E1502" s="1">
        <v>10.9</v>
      </c>
      <c r="F1502" s="1">
        <v>304</v>
      </c>
      <c r="G1502" s="1" t="s">
        <v>93</v>
      </c>
      <c r="H1502" s="1" t="s">
        <v>95</v>
      </c>
      <c r="I1502" s="1">
        <v>45.7</v>
      </c>
      <c r="J1502" s="1" t="s">
        <v>95</v>
      </c>
      <c r="M1502" s="1" t="s">
        <v>101</v>
      </c>
      <c r="O1502" s="1">
        <v>5</v>
      </c>
    </row>
    <row r="1503" spans="1:18" ht="14.25" customHeight="1" x14ac:dyDescent="0.3">
      <c r="A1503" s="1" t="s">
        <v>70</v>
      </c>
      <c r="B1503" s="1">
        <v>19</v>
      </c>
      <c r="C1503" s="1">
        <v>26</v>
      </c>
      <c r="D1503" s="1" t="str">
        <f t="shared" si="24"/>
        <v>Yes</v>
      </c>
      <c r="E1503" s="1">
        <v>8.4</v>
      </c>
      <c r="F1503" s="1">
        <v>344</v>
      </c>
      <c r="G1503" s="1" t="s">
        <v>93</v>
      </c>
      <c r="H1503" s="1" t="s">
        <v>95</v>
      </c>
      <c r="I1503" s="1">
        <v>43</v>
      </c>
      <c r="J1503" s="1" t="s">
        <v>95</v>
      </c>
      <c r="M1503" s="1" t="s">
        <v>101</v>
      </c>
      <c r="O1503" s="1">
        <v>5</v>
      </c>
    </row>
    <row r="1504" spans="1:18" ht="14.25" customHeight="1" x14ac:dyDescent="0.3">
      <c r="A1504" s="1" t="s">
        <v>70</v>
      </c>
      <c r="B1504" s="1">
        <v>19</v>
      </c>
      <c r="C1504" s="1">
        <v>5</v>
      </c>
      <c r="D1504" s="1" t="str">
        <f t="shared" si="24"/>
        <v>Yes</v>
      </c>
      <c r="E1504" s="1">
        <v>12</v>
      </c>
      <c r="F1504" s="1">
        <v>65</v>
      </c>
      <c r="G1504" s="10" t="s">
        <v>93</v>
      </c>
      <c r="H1504" s="1" t="s">
        <v>95</v>
      </c>
      <c r="I1504" s="1">
        <v>39.5</v>
      </c>
      <c r="J1504" s="1" t="s">
        <v>95</v>
      </c>
      <c r="M1504" s="1" t="s">
        <v>102</v>
      </c>
      <c r="O1504" s="1">
        <v>1</v>
      </c>
    </row>
    <row r="1505" spans="1:18" ht="14.25" customHeight="1" x14ac:dyDescent="0.3">
      <c r="A1505" s="1" t="s">
        <v>70</v>
      </c>
      <c r="B1505" s="1">
        <v>19</v>
      </c>
      <c r="C1505" s="1">
        <v>3</v>
      </c>
      <c r="D1505" s="1" t="str">
        <f t="shared" si="24"/>
        <v>Yes</v>
      </c>
      <c r="E1505" s="1">
        <v>11.1</v>
      </c>
      <c r="F1505" s="1">
        <v>45</v>
      </c>
      <c r="G1505" s="1" t="s">
        <v>93</v>
      </c>
      <c r="H1505" s="1" t="s">
        <v>95</v>
      </c>
      <c r="I1505" s="1">
        <v>36.5</v>
      </c>
      <c r="J1505" s="1" t="s">
        <v>95</v>
      </c>
      <c r="M1505" s="1" t="s">
        <v>101</v>
      </c>
      <c r="O1505" s="1">
        <v>5</v>
      </c>
      <c r="Q1505" s="1" t="s">
        <v>162</v>
      </c>
    </row>
    <row r="1506" spans="1:18" ht="14.25" customHeight="1" x14ac:dyDescent="0.3">
      <c r="A1506" s="1" t="s">
        <v>70</v>
      </c>
      <c r="B1506" s="1">
        <v>19</v>
      </c>
      <c r="C1506" s="1">
        <v>23</v>
      </c>
      <c r="D1506" s="1" t="str">
        <f t="shared" si="24"/>
        <v>Yes</v>
      </c>
      <c r="E1506" s="1">
        <v>12.3</v>
      </c>
      <c r="F1506" s="1">
        <v>311</v>
      </c>
      <c r="G1506" s="1" t="s">
        <v>93</v>
      </c>
      <c r="H1506" s="1" t="s">
        <v>95</v>
      </c>
      <c r="I1506" s="1">
        <v>30</v>
      </c>
      <c r="J1506" s="1" t="s">
        <v>101</v>
      </c>
      <c r="M1506" s="1" t="s">
        <v>101</v>
      </c>
      <c r="O1506" s="1">
        <v>5</v>
      </c>
      <c r="Q1506" s="1" t="s">
        <v>162</v>
      </c>
    </row>
    <row r="1507" spans="1:18" ht="14.25" customHeight="1" x14ac:dyDescent="0.3">
      <c r="A1507" s="1" t="s">
        <v>70</v>
      </c>
      <c r="B1507" s="1">
        <v>19</v>
      </c>
      <c r="C1507" s="1">
        <v>10</v>
      </c>
      <c r="D1507" s="1" t="str">
        <f t="shared" si="24"/>
        <v>Yes</v>
      </c>
      <c r="E1507" s="1">
        <v>8.6999999999999993</v>
      </c>
      <c r="F1507" s="1">
        <v>137</v>
      </c>
      <c r="G1507" s="1" t="s">
        <v>93</v>
      </c>
      <c r="H1507" s="1" t="s">
        <v>95</v>
      </c>
      <c r="I1507" s="1">
        <v>28.8</v>
      </c>
      <c r="J1507" s="1" t="s">
        <v>95</v>
      </c>
      <c r="M1507" s="1" t="s">
        <v>101</v>
      </c>
      <c r="O1507" s="1">
        <v>1</v>
      </c>
    </row>
    <row r="1508" spans="1:18" ht="14.25" customHeight="1" x14ac:dyDescent="0.3">
      <c r="A1508" s="1" t="s">
        <v>70</v>
      </c>
      <c r="B1508" s="1">
        <v>19</v>
      </c>
      <c r="C1508" s="1">
        <v>6</v>
      </c>
      <c r="D1508" s="1" t="str">
        <f t="shared" si="24"/>
        <v>Yes</v>
      </c>
      <c r="E1508" s="1">
        <v>6.1</v>
      </c>
      <c r="F1508" s="1">
        <v>76</v>
      </c>
      <c r="G1508" s="1" t="s">
        <v>93</v>
      </c>
      <c r="H1508" s="1" t="s">
        <v>95</v>
      </c>
      <c r="I1508" s="1">
        <v>20</v>
      </c>
      <c r="J1508" s="1" t="s">
        <v>101</v>
      </c>
      <c r="M1508" s="1" t="s">
        <v>101</v>
      </c>
      <c r="O1508" s="1">
        <v>5</v>
      </c>
      <c r="Q1508" s="1" t="s">
        <v>162</v>
      </c>
    </row>
    <row r="1509" spans="1:18" ht="14.25" customHeight="1" x14ac:dyDescent="0.3">
      <c r="A1509" s="1" t="s">
        <v>70</v>
      </c>
      <c r="B1509" s="1">
        <v>19</v>
      </c>
      <c r="C1509" s="1">
        <v>15</v>
      </c>
      <c r="D1509" s="1" t="str">
        <f t="shared" si="24"/>
        <v>Yes</v>
      </c>
      <c r="E1509" s="1">
        <v>12</v>
      </c>
      <c r="F1509" s="1">
        <v>175</v>
      </c>
      <c r="G1509" s="1" t="s">
        <v>93</v>
      </c>
      <c r="H1509" s="1" t="s">
        <v>95</v>
      </c>
      <c r="I1509" s="1">
        <v>20</v>
      </c>
      <c r="J1509" s="1" t="s">
        <v>101</v>
      </c>
      <c r="M1509" s="1" t="s">
        <v>101</v>
      </c>
      <c r="O1509" s="1">
        <v>5</v>
      </c>
    </row>
    <row r="1510" spans="1:18" ht="14.25" customHeight="1" x14ac:dyDescent="0.3">
      <c r="A1510" s="1" t="s">
        <v>70</v>
      </c>
      <c r="B1510" s="1">
        <v>19</v>
      </c>
      <c r="C1510" s="1">
        <v>28</v>
      </c>
      <c r="D1510" s="1" t="str">
        <f t="shared" si="24"/>
        <v>Yes</v>
      </c>
      <c r="E1510" s="1">
        <v>1.8</v>
      </c>
      <c r="F1510" s="1">
        <v>331</v>
      </c>
      <c r="G1510" s="1" t="s">
        <v>93</v>
      </c>
      <c r="H1510" s="1" t="s">
        <v>95</v>
      </c>
      <c r="I1510" s="1">
        <v>17.3</v>
      </c>
      <c r="J1510" s="1" t="s">
        <v>95</v>
      </c>
      <c r="M1510" s="1" t="s">
        <v>101</v>
      </c>
      <c r="O1510" s="1">
        <v>1</v>
      </c>
      <c r="R1510" s="1"/>
    </row>
    <row r="1511" spans="1:18" ht="14.25" customHeight="1" x14ac:dyDescent="0.3">
      <c r="A1511" s="1" t="s">
        <v>70</v>
      </c>
      <c r="B1511" s="1">
        <v>19</v>
      </c>
      <c r="C1511" s="1">
        <v>13</v>
      </c>
      <c r="D1511" s="1" t="str">
        <f t="shared" si="24"/>
        <v>Yes</v>
      </c>
      <c r="E1511" s="1">
        <v>11.5</v>
      </c>
      <c r="F1511" s="1">
        <v>151</v>
      </c>
      <c r="G1511" s="1" t="s">
        <v>93</v>
      </c>
      <c r="H1511" s="1" t="s">
        <v>95</v>
      </c>
      <c r="I1511" s="1">
        <v>15</v>
      </c>
      <c r="J1511" s="1" t="s">
        <v>101</v>
      </c>
      <c r="M1511" s="1" t="s">
        <v>101</v>
      </c>
      <c r="O1511" s="1">
        <v>5</v>
      </c>
      <c r="Q1511" s="1" t="s">
        <v>162</v>
      </c>
    </row>
    <row r="1512" spans="1:18" ht="14.25" customHeight="1" x14ac:dyDescent="0.3">
      <c r="A1512" s="1" t="s">
        <v>70</v>
      </c>
      <c r="B1512" s="1">
        <v>19</v>
      </c>
      <c r="C1512" s="1">
        <v>14</v>
      </c>
      <c r="D1512" s="1" t="str">
        <f t="shared" si="24"/>
        <v>Yes</v>
      </c>
      <c r="E1512" s="1">
        <v>10.5</v>
      </c>
      <c r="F1512" s="1">
        <v>160</v>
      </c>
      <c r="G1512" s="1" t="s">
        <v>93</v>
      </c>
      <c r="H1512" s="1" t="s">
        <v>95</v>
      </c>
      <c r="I1512" s="1">
        <v>15</v>
      </c>
      <c r="J1512" s="1" t="s">
        <v>101</v>
      </c>
      <c r="M1512" s="1" t="s">
        <v>101</v>
      </c>
      <c r="O1512" s="1">
        <v>5</v>
      </c>
      <c r="Q1512" s="1" t="s">
        <v>162</v>
      </c>
    </row>
    <row r="1513" spans="1:18" ht="14.25" customHeight="1" x14ac:dyDescent="0.3">
      <c r="A1513" s="1" t="s">
        <v>70</v>
      </c>
      <c r="B1513" s="1">
        <v>19</v>
      </c>
      <c r="C1513" s="1">
        <v>29</v>
      </c>
      <c r="D1513" s="1" t="str">
        <f t="shared" si="24"/>
        <v>Yes</v>
      </c>
      <c r="E1513" s="1">
        <v>2.8</v>
      </c>
      <c r="F1513" s="1">
        <v>307</v>
      </c>
      <c r="G1513" s="1" t="s">
        <v>93</v>
      </c>
      <c r="H1513" s="1" t="s">
        <v>95</v>
      </c>
      <c r="I1513" s="1">
        <v>13.8</v>
      </c>
      <c r="J1513" s="1" t="s">
        <v>95</v>
      </c>
      <c r="M1513" s="1" t="s">
        <v>101</v>
      </c>
      <c r="O1513" s="1">
        <v>1</v>
      </c>
    </row>
    <row r="1514" spans="1:18" ht="14.25" customHeight="1" x14ac:dyDescent="0.3">
      <c r="A1514" s="1" t="s">
        <v>70</v>
      </c>
      <c r="B1514" s="1">
        <v>20</v>
      </c>
      <c r="C1514" s="1">
        <v>7</v>
      </c>
      <c r="D1514" s="1" t="str">
        <f t="shared" si="24"/>
        <v>Yes</v>
      </c>
      <c r="E1514" s="1">
        <v>10.8</v>
      </c>
      <c r="F1514" s="1">
        <v>105</v>
      </c>
      <c r="G1514" s="1" t="s">
        <v>98</v>
      </c>
      <c r="H1514" s="1" t="s">
        <v>95</v>
      </c>
      <c r="I1514" s="1">
        <v>25.9</v>
      </c>
      <c r="J1514" s="1" t="s">
        <v>95</v>
      </c>
      <c r="M1514" s="1" t="s">
        <v>102</v>
      </c>
      <c r="O1514" s="1">
        <v>5</v>
      </c>
      <c r="Q1514" s="1" t="s">
        <v>174</v>
      </c>
    </row>
    <row r="1515" spans="1:18" ht="14.25" customHeight="1" x14ac:dyDescent="0.3">
      <c r="A1515" s="1" t="s">
        <v>70</v>
      </c>
      <c r="B1515" s="1">
        <v>20</v>
      </c>
      <c r="C1515" s="1">
        <v>26</v>
      </c>
      <c r="D1515" s="1" t="str">
        <f t="shared" si="24"/>
        <v>Yes</v>
      </c>
      <c r="E1515" s="1">
        <v>7.4</v>
      </c>
      <c r="F1515" s="1">
        <v>320</v>
      </c>
      <c r="G1515" s="1" t="s">
        <v>109</v>
      </c>
      <c r="H1515" s="1" t="s">
        <v>95</v>
      </c>
      <c r="I1515" s="19">
        <v>88.2</v>
      </c>
      <c r="J1515" s="1" t="s">
        <v>95</v>
      </c>
      <c r="M1515" s="1" t="s">
        <v>97</v>
      </c>
      <c r="O1515" s="1">
        <v>5</v>
      </c>
    </row>
    <row r="1516" spans="1:18" ht="14.25" customHeight="1" x14ac:dyDescent="0.3">
      <c r="A1516" s="1" t="s">
        <v>70</v>
      </c>
      <c r="B1516" s="1">
        <v>20</v>
      </c>
      <c r="C1516" s="1">
        <v>30</v>
      </c>
      <c r="D1516" s="1" t="str">
        <f t="shared" si="24"/>
        <v>Yes</v>
      </c>
      <c r="E1516" s="1">
        <v>1.4</v>
      </c>
      <c r="F1516" s="1">
        <v>1</v>
      </c>
      <c r="G1516" s="1" t="s">
        <v>106</v>
      </c>
      <c r="H1516" s="1" t="s">
        <v>95</v>
      </c>
      <c r="I1516" s="1">
        <v>66.2</v>
      </c>
      <c r="J1516" s="1" t="s">
        <v>95</v>
      </c>
      <c r="M1516" s="1" t="s">
        <v>97</v>
      </c>
      <c r="O1516" s="1">
        <v>1</v>
      </c>
      <c r="P1516" s="1">
        <v>753</v>
      </c>
    </row>
    <row r="1517" spans="1:18" ht="14.25" customHeight="1" x14ac:dyDescent="0.3">
      <c r="A1517" s="1" t="s">
        <v>70</v>
      </c>
      <c r="B1517" s="1">
        <v>20</v>
      </c>
      <c r="C1517" s="1">
        <v>19</v>
      </c>
      <c r="D1517" s="1" t="str">
        <f t="shared" si="24"/>
        <v>Yes</v>
      </c>
      <c r="E1517" s="1">
        <v>5.9</v>
      </c>
      <c r="F1517" s="1">
        <v>236</v>
      </c>
      <c r="G1517" s="1" t="s">
        <v>106</v>
      </c>
      <c r="H1517" s="1" t="s">
        <v>95</v>
      </c>
      <c r="I1517" s="1">
        <v>37.9</v>
      </c>
      <c r="J1517" s="1" t="s">
        <v>95</v>
      </c>
      <c r="M1517" s="1" t="s">
        <v>102</v>
      </c>
      <c r="O1517" s="1">
        <v>1</v>
      </c>
    </row>
    <row r="1518" spans="1:18" ht="14.25" customHeight="1" x14ac:dyDescent="0.3">
      <c r="A1518" s="1" t="s">
        <v>70</v>
      </c>
      <c r="B1518" s="1">
        <v>20</v>
      </c>
      <c r="C1518" s="1">
        <v>15</v>
      </c>
      <c r="D1518" s="1" t="str">
        <f t="shared" si="24"/>
        <v>Yes</v>
      </c>
      <c r="E1518" s="1">
        <v>4.0999999999999996</v>
      </c>
      <c r="F1518" s="1">
        <v>183</v>
      </c>
      <c r="G1518" s="1" t="s">
        <v>106</v>
      </c>
      <c r="H1518" s="1" t="s">
        <v>95</v>
      </c>
      <c r="I1518" s="1">
        <v>31.6</v>
      </c>
      <c r="J1518" s="1" t="s">
        <v>95</v>
      </c>
      <c r="M1518" s="1" t="s">
        <v>101</v>
      </c>
      <c r="O1518" s="1">
        <v>1</v>
      </c>
      <c r="P1518" s="1">
        <v>755</v>
      </c>
    </row>
    <row r="1519" spans="1:18" ht="14.25" customHeight="1" x14ac:dyDescent="0.3">
      <c r="A1519" s="1" t="s">
        <v>70</v>
      </c>
      <c r="B1519" s="1">
        <v>20</v>
      </c>
      <c r="C1519" s="1">
        <v>12</v>
      </c>
      <c r="D1519" s="1" t="str">
        <f t="shared" si="24"/>
        <v>Yes</v>
      </c>
      <c r="E1519" s="1">
        <v>4.3</v>
      </c>
      <c r="F1519" s="1">
        <v>152</v>
      </c>
      <c r="G1519" s="1" t="s">
        <v>106</v>
      </c>
      <c r="H1519" s="1" t="s">
        <v>95</v>
      </c>
      <c r="I1519" s="1">
        <v>27.4</v>
      </c>
      <c r="J1519" s="1" t="s">
        <v>95</v>
      </c>
      <c r="M1519" s="1" t="s">
        <v>101</v>
      </c>
      <c r="O1519" s="1">
        <v>1</v>
      </c>
      <c r="R1519" s="1"/>
    </row>
    <row r="1520" spans="1:18" ht="14.25" customHeight="1" x14ac:dyDescent="0.3">
      <c r="A1520" s="1" t="s">
        <v>70</v>
      </c>
      <c r="B1520" s="1">
        <v>20</v>
      </c>
      <c r="C1520" s="1">
        <v>25</v>
      </c>
      <c r="D1520" s="1" t="str">
        <f t="shared" si="24"/>
        <v>Yes</v>
      </c>
      <c r="E1520" s="1">
        <v>3.3</v>
      </c>
      <c r="F1520" s="1">
        <v>326</v>
      </c>
      <c r="G1520" s="1" t="s">
        <v>93</v>
      </c>
      <c r="H1520" s="1" t="s">
        <v>95</v>
      </c>
      <c r="I1520" s="1">
        <v>46</v>
      </c>
      <c r="J1520" s="1" t="s">
        <v>101</v>
      </c>
      <c r="M1520" s="1" t="s">
        <v>102</v>
      </c>
      <c r="O1520" s="1">
        <v>5</v>
      </c>
      <c r="Q1520" s="1" t="s">
        <v>176</v>
      </c>
    </row>
    <row r="1521" spans="1:18" ht="14.25" customHeight="1" x14ac:dyDescent="0.3">
      <c r="A1521" s="1" t="s">
        <v>70</v>
      </c>
      <c r="B1521" s="1">
        <v>20</v>
      </c>
      <c r="C1521" s="1">
        <v>9</v>
      </c>
      <c r="D1521" s="1" t="str">
        <f t="shared" si="24"/>
        <v>Yes</v>
      </c>
      <c r="E1521" s="1">
        <v>6.7</v>
      </c>
      <c r="F1521" s="1">
        <v>117</v>
      </c>
      <c r="G1521" s="1" t="s">
        <v>93</v>
      </c>
      <c r="H1521" s="1" t="s">
        <v>95</v>
      </c>
      <c r="I1521" s="1">
        <v>40.4</v>
      </c>
      <c r="J1521" s="1" t="s">
        <v>95</v>
      </c>
      <c r="M1521" s="1" t="s">
        <v>102</v>
      </c>
      <c r="O1521" s="1">
        <v>1</v>
      </c>
      <c r="P1521" s="1">
        <v>754</v>
      </c>
    </row>
    <row r="1522" spans="1:18" ht="14.25" customHeight="1" x14ac:dyDescent="0.3">
      <c r="A1522" s="1" t="s">
        <v>70</v>
      </c>
      <c r="B1522" s="1">
        <v>20</v>
      </c>
      <c r="C1522" s="1">
        <v>31</v>
      </c>
      <c r="D1522" s="1" t="str">
        <f t="shared" si="24"/>
        <v>Yes</v>
      </c>
      <c r="E1522" s="1">
        <v>9.4</v>
      </c>
      <c r="F1522" s="1">
        <v>10</v>
      </c>
      <c r="G1522" s="1" t="s">
        <v>93</v>
      </c>
      <c r="H1522" s="1" t="s">
        <v>95</v>
      </c>
      <c r="I1522" s="1">
        <v>40</v>
      </c>
      <c r="J1522" s="1" t="s">
        <v>101</v>
      </c>
      <c r="M1522" s="1" t="s">
        <v>102</v>
      </c>
      <c r="O1522" s="1">
        <v>5</v>
      </c>
      <c r="Q1522" s="1" t="s">
        <v>176</v>
      </c>
    </row>
    <row r="1523" spans="1:18" ht="14.25" customHeight="1" x14ac:dyDescent="0.3">
      <c r="A1523" s="1" t="s">
        <v>70</v>
      </c>
      <c r="B1523" s="1">
        <v>20</v>
      </c>
      <c r="C1523" s="1">
        <v>21</v>
      </c>
      <c r="D1523" s="1" t="str">
        <f t="shared" si="24"/>
        <v>Yes</v>
      </c>
      <c r="E1523" s="1">
        <v>12.4</v>
      </c>
      <c r="F1523" s="1">
        <v>282</v>
      </c>
      <c r="G1523" s="1" t="s">
        <v>93</v>
      </c>
      <c r="H1523" s="1" t="s">
        <v>95</v>
      </c>
      <c r="I1523" s="1">
        <v>38.6</v>
      </c>
      <c r="J1523" s="1" t="s">
        <v>95</v>
      </c>
      <c r="M1523" s="1" t="s">
        <v>102</v>
      </c>
      <c r="O1523" s="1">
        <v>1</v>
      </c>
    </row>
    <row r="1524" spans="1:18" ht="14.25" customHeight="1" x14ac:dyDescent="0.3">
      <c r="A1524" s="1" t="s">
        <v>70</v>
      </c>
      <c r="B1524" s="1">
        <v>20</v>
      </c>
      <c r="C1524" s="1">
        <v>24</v>
      </c>
      <c r="D1524" s="1" t="str">
        <f t="shared" si="24"/>
        <v>Yes</v>
      </c>
      <c r="E1524" s="1">
        <v>4.9000000000000004</v>
      </c>
      <c r="F1524" s="1">
        <v>299</v>
      </c>
      <c r="G1524" s="1" t="s">
        <v>93</v>
      </c>
      <c r="H1524" s="1" t="s">
        <v>95</v>
      </c>
      <c r="I1524" s="1">
        <v>38.5</v>
      </c>
      <c r="J1524" s="1" t="s">
        <v>95</v>
      </c>
      <c r="M1524" s="1" t="s">
        <v>102</v>
      </c>
      <c r="O1524" s="1">
        <v>1</v>
      </c>
    </row>
    <row r="1525" spans="1:18" ht="14.25" customHeight="1" x14ac:dyDescent="0.3">
      <c r="A1525" s="1" t="s">
        <v>70</v>
      </c>
      <c r="B1525" s="1">
        <v>20</v>
      </c>
      <c r="C1525" s="1">
        <v>1</v>
      </c>
      <c r="D1525" s="1" t="str">
        <f t="shared" si="24"/>
        <v>Yes</v>
      </c>
      <c r="E1525" s="1">
        <v>7.6</v>
      </c>
      <c r="F1525" s="1">
        <v>34</v>
      </c>
      <c r="G1525" s="1" t="s">
        <v>93</v>
      </c>
      <c r="H1525" s="1" t="s">
        <v>95</v>
      </c>
      <c r="I1525" s="1">
        <v>38.1</v>
      </c>
      <c r="J1525" s="1" t="s">
        <v>95</v>
      </c>
      <c r="M1525" s="1" t="s">
        <v>102</v>
      </c>
      <c r="O1525" s="1">
        <v>5</v>
      </c>
    </row>
    <row r="1526" spans="1:18" ht="14.25" customHeight="1" x14ac:dyDescent="0.3">
      <c r="A1526" s="1" t="s">
        <v>70</v>
      </c>
      <c r="B1526" s="1">
        <v>20</v>
      </c>
      <c r="C1526" s="1">
        <v>23</v>
      </c>
      <c r="D1526" s="1" t="str">
        <f t="shared" si="24"/>
        <v>Yes</v>
      </c>
      <c r="E1526" s="1">
        <v>11.8</v>
      </c>
      <c r="F1526" s="1">
        <v>202</v>
      </c>
      <c r="G1526" s="1" t="s">
        <v>93</v>
      </c>
      <c r="H1526" s="1" t="s">
        <v>95</v>
      </c>
      <c r="I1526" s="1">
        <v>37.799999999999997</v>
      </c>
      <c r="J1526" s="1" t="s">
        <v>95</v>
      </c>
      <c r="M1526" s="1" t="s">
        <v>102</v>
      </c>
      <c r="O1526" s="1">
        <v>1</v>
      </c>
    </row>
    <row r="1527" spans="1:18" ht="14.25" customHeight="1" x14ac:dyDescent="0.3">
      <c r="A1527" s="1" t="s">
        <v>70</v>
      </c>
      <c r="B1527" s="1">
        <v>20</v>
      </c>
      <c r="C1527" s="1">
        <v>2</v>
      </c>
      <c r="D1527" s="1" t="str">
        <f t="shared" si="24"/>
        <v>Yes</v>
      </c>
      <c r="E1527" s="1">
        <v>9.6</v>
      </c>
      <c r="F1527" s="19">
        <v>39</v>
      </c>
      <c r="G1527" s="1" t="s">
        <v>93</v>
      </c>
      <c r="H1527" s="1" t="s">
        <v>95</v>
      </c>
      <c r="I1527" s="1">
        <v>37</v>
      </c>
      <c r="J1527" s="1" t="s">
        <v>95</v>
      </c>
      <c r="M1527" s="1" t="s">
        <v>102</v>
      </c>
      <c r="O1527" s="1">
        <v>1</v>
      </c>
      <c r="R1527" s="1"/>
    </row>
    <row r="1528" spans="1:18" ht="14.25" customHeight="1" x14ac:dyDescent="0.3">
      <c r="A1528" s="1" t="s">
        <v>70</v>
      </c>
      <c r="B1528" s="1">
        <v>20</v>
      </c>
      <c r="C1528" s="1">
        <v>29</v>
      </c>
      <c r="D1528" s="1" t="str">
        <f t="shared" si="24"/>
        <v>Yes</v>
      </c>
      <c r="E1528" s="1">
        <v>10.1</v>
      </c>
      <c r="F1528" s="1">
        <v>337</v>
      </c>
      <c r="G1528" s="1" t="s">
        <v>93</v>
      </c>
      <c r="H1528" s="1" t="s">
        <v>95</v>
      </c>
      <c r="I1528" s="1">
        <v>35.200000000000003</v>
      </c>
      <c r="J1528" s="1" t="s">
        <v>95</v>
      </c>
      <c r="M1528" s="1" t="s">
        <v>102</v>
      </c>
      <c r="O1528" s="19"/>
    </row>
    <row r="1529" spans="1:18" ht="14.25" customHeight="1" x14ac:dyDescent="0.3">
      <c r="A1529" s="1" t="s">
        <v>70</v>
      </c>
      <c r="B1529" s="1">
        <v>20</v>
      </c>
      <c r="C1529" s="1">
        <v>28</v>
      </c>
      <c r="D1529" s="1" t="str">
        <f t="shared" si="24"/>
        <v>Yes</v>
      </c>
      <c r="E1529" s="1">
        <v>3.8</v>
      </c>
      <c r="F1529" s="1">
        <v>350</v>
      </c>
      <c r="G1529" s="1" t="s">
        <v>93</v>
      </c>
      <c r="H1529" s="1" t="s">
        <v>95</v>
      </c>
      <c r="I1529" s="1">
        <v>32</v>
      </c>
      <c r="J1529" s="1" t="s">
        <v>95</v>
      </c>
      <c r="M1529" s="1" t="s">
        <v>102</v>
      </c>
      <c r="O1529" s="1">
        <v>1</v>
      </c>
    </row>
    <row r="1530" spans="1:18" ht="14.25" customHeight="1" x14ac:dyDescent="0.3">
      <c r="A1530" s="1" t="s">
        <v>70</v>
      </c>
      <c r="B1530" s="1">
        <v>20</v>
      </c>
      <c r="C1530" s="1">
        <v>3</v>
      </c>
      <c r="D1530" s="1" t="str">
        <f t="shared" si="24"/>
        <v>Yes</v>
      </c>
      <c r="E1530" s="1">
        <v>8</v>
      </c>
      <c r="F1530" s="1">
        <v>60</v>
      </c>
      <c r="G1530" s="1" t="s">
        <v>93</v>
      </c>
      <c r="H1530" s="1" t="s">
        <v>95</v>
      </c>
      <c r="I1530" s="1">
        <v>29</v>
      </c>
      <c r="J1530" s="1" t="s">
        <v>95</v>
      </c>
      <c r="M1530" s="1" t="s">
        <v>101</v>
      </c>
      <c r="O1530" s="1">
        <v>1</v>
      </c>
    </row>
    <row r="1531" spans="1:18" ht="14.25" customHeight="1" x14ac:dyDescent="0.3">
      <c r="A1531" s="1" t="s">
        <v>70</v>
      </c>
      <c r="B1531" s="1">
        <v>20</v>
      </c>
      <c r="C1531" s="1">
        <v>6</v>
      </c>
      <c r="D1531" s="1" t="str">
        <f t="shared" si="24"/>
        <v>Yes</v>
      </c>
      <c r="E1531" s="1">
        <v>9.4</v>
      </c>
      <c r="F1531" s="1">
        <v>77</v>
      </c>
      <c r="G1531" s="1" t="s">
        <v>93</v>
      </c>
      <c r="H1531" s="1" t="s">
        <v>95</v>
      </c>
      <c r="I1531" s="19">
        <v>28</v>
      </c>
      <c r="J1531" s="1" t="s">
        <v>95</v>
      </c>
      <c r="M1531" s="1" t="s">
        <v>101</v>
      </c>
      <c r="O1531" s="1">
        <v>1</v>
      </c>
    </row>
    <row r="1532" spans="1:18" ht="14.25" customHeight="1" x14ac:dyDescent="0.3">
      <c r="A1532" s="1" t="s">
        <v>70</v>
      </c>
      <c r="B1532" s="1">
        <v>20</v>
      </c>
      <c r="C1532" s="1">
        <v>27</v>
      </c>
      <c r="D1532" s="1" t="str">
        <f t="shared" si="24"/>
        <v>Yes</v>
      </c>
      <c r="E1532" s="1">
        <v>10.199999999999999</v>
      </c>
      <c r="F1532" s="1">
        <v>320</v>
      </c>
      <c r="G1532" s="1" t="s">
        <v>93</v>
      </c>
      <c r="H1532" s="1" t="s">
        <v>95</v>
      </c>
      <c r="I1532" s="1">
        <v>23.5</v>
      </c>
      <c r="J1532" s="1" t="s">
        <v>95</v>
      </c>
      <c r="M1532" s="1" t="s">
        <v>101</v>
      </c>
      <c r="O1532" s="1">
        <v>1</v>
      </c>
    </row>
    <row r="1533" spans="1:18" ht="14.25" customHeight="1" x14ac:dyDescent="0.3">
      <c r="A1533" s="1" t="s">
        <v>70</v>
      </c>
      <c r="B1533" s="1">
        <v>20</v>
      </c>
      <c r="C1533" s="1">
        <v>16</v>
      </c>
      <c r="D1533" s="1" t="str">
        <f t="shared" si="24"/>
        <v>Yes</v>
      </c>
      <c r="E1533" s="1">
        <v>3.4</v>
      </c>
      <c r="F1533" s="1">
        <v>190</v>
      </c>
      <c r="G1533" s="1" t="s">
        <v>93</v>
      </c>
      <c r="H1533" s="1" t="s">
        <v>95</v>
      </c>
      <c r="I1533" s="1">
        <v>19.899999999999999</v>
      </c>
      <c r="J1533" s="1" t="s">
        <v>95</v>
      </c>
      <c r="M1533" s="1" t="s">
        <v>101</v>
      </c>
      <c r="O1533" s="1">
        <v>1</v>
      </c>
    </row>
    <row r="1534" spans="1:18" ht="14.25" customHeight="1" x14ac:dyDescent="0.3">
      <c r="A1534" s="1" t="s">
        <v>70</v>
      </c>
      <c r="B1534" s="1">
        <v>20</v>
      </c>
      <c r="C1534" s="1">
        <v>8</v>
      </c>
      <c r="D1534" s="1" t="str">
        <f t="shared" si="24"/>
        <v>Yes</v>
      </c>
      <c r="E1534" s="1">
        <v>8.4</v>
      </c>
      <c r="F1534" s="1">
        <v>110</v>
      </c>
      <c r="G1534" s="1" t="s">
        <v>93</v>
      </c>
      <c r="H1534" s="1" t="s">
        <v>95</v>
      </c>
      <c r="I1534" s="1">
        <v>19.5</v>
      </c>
      <c r="J1534" s="1" t="s">
        <v>95</v>
      </c>
      <c r="M1534" s="1" t="s">
        <v>101</v>
      </c>
      <c r="O1534" s="1">
        <v>1</v>
      </c>
    </row>
    <row r="1535" spans="1:18" ht="14.25" customHeight="1" x14ac:dyDescent="0.3">
      <c r="A1535" s="1" t="s">
        <v>70</v>
      </c>
      <c r="B1535" s="1">
        <v>20</v>
      </c>
      <c r="C1535" s="1">
        <v>11</v>
      </c>
      <c r="D1535" s="1" t="str">
        <f t="shared" si="24"/>
        <v>Yes</v>
      </c>
      <c r="E1535" s="1">
        <v>11.3</v>
      </c>
      <c r="F1535" s="1">
        <v>119</v>
      </c>
      <c r="G1535" s="1" t="s">
        <v>93</v>
      </c>
      <c r="H1535" s="1" t="s">
        <v>95</v>
      </c>
      <c r="I1535" s="1">
        <v>18.2</v>
      </c>
      <c r="J1535" s="1" t="s">
        <v>95</v>
      </c>
      <c r="M1535" s="1" t="s">
        <v>101</v>
      </c>
      <c r="O1535" s="1">
        <v>1</v>
      </c>
    </row>
    <row r="1536" spans="1:18" ht="14.25" customHeight="1" x14ac:dyDescent="0.3">
      <c r="A1536" s="1" t="s">
        <v>70</v>
      </c>
      <c r="B1536" s="1">
        <v>20</v>
      </c>
      <c r="C1536" s="1">
        <v>10</v>
      </c>
      <c r="D1536" s="1" t="str">
        <f t="shared" si="24"/>
        <v>Yes</v>
      </c>
      <c r="E1536" s="1">
        <v>10.4</v>
      </c>
      <c r="F1536" s="1">
        <v>120</v>
      </c>
      <c r="G1536" s="1" t="s">
        <v>93</v>
      </c>
      <c r="H1536" s="1" t="s">
        <v>95</v>
      </c>
      <c r="I1536" s="1">
        <v>17.100000000000001</v>
      </c>
      <c r="J1536" s="1" t="s">
        <v>95</v>
      </c>
      <c r="M1536" s="1" t="s">
        <v>101</v>
      </c>
      <c r="O1536" s="1">
        <v>1</v>
      </c>
    </row>
    <row r="1537" spans="1:18" ht="14.25" customHeight="1" x14ac:dyDescent="0.3">
      <c r="A1537" s="1" t="s">
        <v>70</v>
      </c>
      <c r="B1537" s="1">
        <v>20</v>
      </c>
      <c r="C1537" s="1">
        <v>20</v>
      </c>
      <c r="D1537" s="1" t="str">
        <f t="shared" si="24"/>
        <v>Yes</v>
      </c>
      <c r="E1537" s="1">
        <v>10.7</v>
      </c>
      <c r="F1537" s="1">
        <v>273</v>
      </c>
      <c r="G1537" s="1" t="s">
        <v>93</v>
      </c>
      <c r="H1537" s="1" t="s">
        <v>95</v>
      </c>
      <c r="I1537" s="1">
        <v>16.7</v>
      </c>
      <c r="J1537" s="1" t="s">
        <v>95</v>
      </c>
      <c r="M1537" s="1" t="s">
        <v>101</v>
      </c>
      <c r="O1537" s="1">
        <v>1</v>
      </c>
    </row>
    <row r="1538" spans="1:18" ht="14.25" customHeight="1" x14ac:dyDescent="0.3">
      <c r="A1538" s="1" t="s">
        <v>70</v>
      </c>
      <c r="B1538" s="1">
        <v>20</v>
      </c>
      <c r="C1538" s="1">
        <v>18</v>
      </c>
      <c r="D1538" s="1" t="str">
        <f t="shared" si="24"/>
        <v>Yes</v>
      </c>
      <c r="E1538" s="1">
        <v>5.3</v>
      </c>
      <c r="F1538" s="1">
        <v>237</v>
      </c>
      <c r="G1538" s="1" t="s">
        <v>93</v>
      </c>
      <c r="H1538" s="1" t="s">
        <v>95</v>
      </c>
      <c r="I1538" s="1">
        <v>15.3</v>
      </c>
      <c r="J1538" s="1" t="s">
        <v>95</v>
      </c>
      <c r="M1538" s="1" t="s">
        <v>101</v>
      </c>
      <c r="O1538" s="1">
        <v>1</v>
      </c>
    </row>
    <row r="1539" spans="1:18" ht="14.25" customHeight="1" x14ac:dyDescent="0.3">
      <c r="A1539" s="1" t="s">
        <v>70</v>
      </c>
      <c r="B1539" s="1">
        <v>20</v>
      </c>
      <c r="C1539" s="1">
        <v>4</v>
      </c>
      <c r="D1539" s="1" t="str">
        <f t="shared" si="24"/>
        <v>Yes</v>
      </c>
      <c r="E1539" s="1">
        <v>4.7</v>
      </c>
      <c r="F1539" s="1">
        <v>24</v>
      </c>
      <c r="G1539" s="1" t="s">
        <v>93</v>
      </c>
      <c r="H1539" s="1" t="s">
        <v>95</v>
      </c>
      <c r="I1539" s="1">
        <v>15</v>
      </c>
      <c r="J1539" s="1" t="s">
        <v>101</v>
      </c>
      <c r="M1539" s="1" t="s">
        <v>101</v>
      </c>
      <c r="O1539" s="1">
        <v>5</v>
      </c>
      <c r="Q1539" s="1" t="s">
        <v>176</v>
      </c>
    </row>
    <row r="1540" spans="1:18" ht="14.25" customHeight="1" x14ac:dyDescent="0.3">
      <c r="A1540" s="1" t="s">
        <v>70</v>
      </c>
      <c r="B1540" s="1">
        <v>20</v>
      </c>
      <c r="C1540" s="1">
        <v>14</v>
      </c>
      <c r="D1540" s="1" t="str">
        <f t="shared" si="24"/>
        <v>Yes</v>
      </c>
      <c r="E1540" s="1">
        <v>9.4</v>
      </c>
      <c r="F1540" s="1">
        <v>167</v>
      </c>
      <c r="G1540" s="1" t="s">
        <v>93</v>
      </c>
      <c r="H1540" s="1" t="s">
        <v>95</v>
      </c>
      <c r="I1540" s="1">
        <v>13.6</v>
      </c>
      <c r="J1540" s="1" t="s">
        <v>95</v>
      </c>
      <c r="M1540" s="1" t="s">
        <v>101</v>
      </c>
      <c r="O1540" s="1">
        <v>1</v>
      </c>
      <c r="R1540" s="1"/>
    </row>
    <row r="1541" spans="1:18" ht="14.25" customHeight="1" x14ac:dyDescent="0.3">
      <c r="A1541" s="1" t="s">
        <v>70</v>
      </c>
      <c r="B1541" s="1">
        <v>20</v>
      </c>
      <c r="C1541" s="1">
        <v>22</v>
      </c>
      <c r="D1541" s="1" t="str">
        <f t="shared" si="24"/>
        <v>Yes</v>
      </c>
      <c r="E1541" s="1">
        <v>8.1999999999999993</v>
      </c>
      <c r="F1541" s="1">
        <v>296</v>
      </c>
      <c r="G1541" s="1" t="s">
        <v>93</v>
      </c>
      <c r="H1541" s="1" t="s">
        <v>95</v>
      </c>
      <c r="I1541" s="1">
        <v>12.7</v>
      </c>
      <c r="J1541" s="1" t="s">
        <v>95</v>
      </c>
      <c r="M1541" s="1" t="s">
        <v>101</v>
      </c>
      <c r="O1541" s="1">
        <v>1</v>
      </c>
    </row>
    <row r="1542" spans="1:18" ht="14.25" customHeight="1" x14ac:dyDescent="0.3">
      <c r="A1542" s="1" t="s">
        <v>70</v>
      </c>
      <c r="B1542" s="1">
        <v>20</v>
      </c>
      <c r="C1542" s="1">
        <v>5</v>
      </c>
      <c r="D1542" s="1" t="str">
        <f t="shared" si="24"/>
        <v>Yes</v>
      </c>
      <c r="E1542" s="1">
        <v>8.6</v>
      </c>
      <c r="F1542" s="1">
        <v>76</v>
      </c>
      <c r="G1542" s="1" t="s">
        <v>93</v>
      </c>
      <c r="H1542" s="1" t="s">
        <v>95</v>
      </c>
      <c r="I1542" s="1">
        <v>12.5</v>
      </c>
      <c r="J1542" s="1" t="s">
        <v>95</v>
      </c>
      <c r="M1542" s="1" t="s">
        <v>101</v>
      </c>
      <c r="O1542" s="1">
        <v>1</v>
      </c>
      <c r="R1542" s="1"/>
    </row>
    <row r="1543" spans="1:18" ht="14.25" customHeight="1" x14ac:dyDescent="0.3">
      <c r="A1543" s="1" t="s">
        <v>70</v>
      </c>
      <c r="B1543" s="1">
        <v>20</v>
      </c>
      <c r="C1543" s="1">
        <v>13</v>
      </c>
      <c r="D1543" s="1" t="str">
        <f t="shared" si="24"/>
        <v>Yes</v>
      </c>
      <c r="E1543" s="1">
        <v>11.5</v>
      </c>
      <c r="F1543" s="1">
        <v>139</v>
      </c>
      <c r="G1543" s="1" t="s">
        <v>93</v>
      </c>
      <c r="H1543" s="1" t="s">
        <v>95</v>
      </c>
      <c r="I1543" s="1">
        <v>10.199999999999999</v>
      </c>
      <c r="J1543" s="1" t="s">
        <v>95</v>
      </c>
      <c r="M1543" s="1" t="s">
        <v>101</v>
      </c>
      <c r="O1543" s="1">
        <v>1</v>
      </c>
    </row>
    <row r="1544" spans="1:18" ht="14.25" customHeight="1" x14ac:dyDescent="0.3">
      <c r="A1544" s="1" t="s">
        <v>70</v>
      </c>
      <c r="B1544" s="1">
        <v>20</v>
      </c>
      <c r="C1544" s="1">
        <v>17</v>
      </c>
      <c r="D1544" s="1" t="str">
        <f t="shared" si="24"/>
        <v>Yes</v>
      </c>
      <c r="E1544" s="1">
        <v>6.5</v>
      </c>
      <c r="F1544" s="1">
        <v>199</v>
      </c>
      <c r="G1544" s="1" t="s">
        <v>93</v>
      </c>
      <c r="H1544" s="1" t="s">
        <v>95</v>
      </c>
      <c r="I1544" s="1">
        <v>10.199999999999999</v>
      </c>
      <c r="J1544" s="1" t="s">
        <v>95</v>
      </c>
      <c r="M1544" s="1" t="s">
        <v>101</v>
      </c>
      <c r="O1544" s="1">
        <v>1</v>
      </c>
    </row>
    <row r="1545" spans="1:18" ht="14.25" customHeight="1" x14ac:dyDescent="0.3">
      <c r="A1545" s="1" t="s">
        <v>70</v>
      </c>
      <c r="B1545" s="1">
        <v>21</v>
      </c>
      <c r="C1545" s="1">
        <v>12</v>
      </c>
      <c r="D1545" s="1" t="str">
        <f t="shared" si="24"/>
        <v>Yes</v>
      </c>
      <c r="E1545" s="1">
        <v>6.3</v>
      </c>
      <c r="F1545" s="1">
        <v>231</v>
      </c>
      <c r="G1545" s="1" t="s">
        <v>106</v>
      </c>
      <c r="H1545" s="1" t="s">
        <v>95</v>
      </c>
      <c r="I1545" s="1">
        <v>18.600000000000001</v>
      </c>
      <c r="J1545" s="1" t="s">
        <v>95</v>
      </c>
      <c r="M1545" s="1" t="s">
        <v>101</v>
      </c>
      <c r="O1545" s="1">
        <v>1</v>
      </c>
    </row>
    <row r="1546" spans="1:18" ht="14.25" customHeight="1" x14ac:dyDescent="0.3">
      <c r="A1546" s="1" t="s">
        <v>70</v>
      </c>
      <c r="B1546" s="1">
        <v>21</v>
      </c>
      <c r="C1546" s="1">
        <v>4</v>
      </c>
      <c r="D1546" s="1" t="str">
        <f t="shared" si="24"/>
        <v>Yes</v>
      </c>
      <c r="E1546" s="1">
        <v>3.6</v>
      </c>
      <c r="F1546" s="1">
        <v>101</v>
      </c>
      <c r="G1546" s="1" t="s">
        <v>106</v>
      </c>
      <c r="H1546" s="1" t="s">
        <v>95</v>
      </c>
      <c r="I1546" s="1">
        <v>16.3</v>
      </c>
      <c r="J1546" s="1" t="s">
        <v>95</v>
      </c>
      <c r="M1546" s="1" t="s">
        <v>101</v>
      </c>
      <c r="O1546" s="1">
        <v>1</v>
      </c>
    </row>
    <row r="1547" spans="1:18" ht="14.25" customHeight="1" x14ac:dyDescent="0.3">
      <c r="A1547" s="1" t="s">
        <v>70</v>
      </c>
      <c r="B1547" s="1">
        <v>21</v>
      </c>
      <c r="C1547" s="1">
        <v>6</v>
      </c>
      <c r="D1547" s="1" t="str">
        <f t="shared" si="24"/>
        <v>Yes</v>
      </c>
      <c r="E1547" s="1">
        <v>7.1</v>
      </c>
      <c r="F1547" s="1">
        <v>136</v>
      </c>
      <c r="G1547" s="1" t="s">
        <v>106</v>
      </c>
      <c r="H1547" s="1" t="s">
        <v>95</v>
      </c>
      <c r="I1547" s="1">
        <v>14.5</v>
      </c>
      <c r="J1547" s="1" t="s">
        <v>95</v>
      </c>
      <c r="M1547" s="1" t="s">
        <v>101</v>
      </c>
      <c r="O1547" s="1">
        <v>1</v>
      </c>
    </row>
    <row r="1548" spans="1:18" ht="14.25" customHeight="1" x14ac:dyDescent="0.3">
      <c r="A1548" s="1" t="s">
        <v>70</v>
      </c>
      <c r="B1548" s="1">
        <v>21</v>
      </c>
      <c r="C1548" s="1">
        <v>14</v>
      </c>
      <c r="D1548" s="1" t="str">
        <f t="shared" si="24"/>
        <v>Yes</v>
      </c>
      <c r="E1548" s="1">
        <v>9.1</v>
      </c>
      <c r="F1548" s="1">
        <v>271</v>
      </c>
      <c r="G1548" s="1" t="s">
        <v>93</v>
      </c>
      <c r="H1548" s="1" t="s">
        <v>95</v>
      </c>
      <c r="I1548" s="1">
        <v>63.1</v>
      </c>
      <c r="J1548" s="1" t="s">
        <v>95</v>
      </c>
      <c r="M1548" s="1" t="s">
        <v>102</v>
      </c>
      <c r="O1548" s="1">
        <v>5</v>
      </c>
    </row>
    <row r="1549" spans="1:18" ht="14.25" customHeight="1" x14ac:dyDescent="0.3">
      <c r="A1549" s="1" t="s">
        <v>70</v>
      </c>
      <c r="B1549" s="1">
        <v>21</v>
      </c>
      <c r="C1549" s="1">
        <v>9</v>
      </c>
      <c r="D1549" s="1" t="str">
        <f t="shared" si="24"/>
        <v>Yes</v>
      </c>
      <c r="E1549" s="1">
        <v>11.6</v>
      </c>
      <c r="F1549" s="1">
        <v>177</v>
      </c>
      <c r="G1549" s="1" t="s">
        <v>93</v>
      </c>
      <c r="H1549" s="1" t="s">
        <v>95</v>
      </c>
      <c r="I1549" s="1">
        <v>59.1</v>
      </c>
      <c r="J1549" s="1" t="s">
        <v>95</v>
      </c>
      <c r="M1549" s="1" t="s">
        <v>102</v>
      </c>
      <c r="O1549" s="1">
        <v>2</v>
      </c>
    </row>
    <row r="1550" spans="1:18" ht="14.25" customHeight="1" x14ac:dyDescent="0.3">
      <c r="A1550" s="1" t="s">
        <v>70</v>
      </c>
      <c r="B1550" s="1">
        <v>21</v>
      </c>
      <c r="C1550" s="1">
        <v>11</v>
      </c>
      <c r="D1550" s="1" t="str">
        <f t="shared" si="24"/>
        <v>Yes</v>
      </c>
      <c r="E1550" s="1">
        <v>11.6</v>
      </c>
      <c r="F1550" s="1">
        <v>204</v>
      </c>
      <c r="G1550" s="1" t="s">
        <v>93</v>
      </c>
      <c r="H1550" s="1" t="s">
        <v>95</v>
      </c>
      <c r="I1550" s="1">
        <v>30.8</v>
      </c>
      <c r="J1550" s="1" t="s">
        <v>95</v>
      </c>
      <c r="M1550" s="1" t="s">
        <v>101</v>
      </c>
      <c r="O1550" s="1">
        <v>3</v>
      </c>
    </row>
    <row r="1551" spans="1:18" ht="14.25" customHeight="1" x14ac:dyDescent="0.3">
      <c r="A1551" s="1" t="s">
        <v>70</v>
      </c>
      <c r="B1551" s="1">
        <v>21</v>
      </c>
      <c r="C1551" s="1">
        <v>20</v>
      </c>
      <c r="D1551" s="1" t="str">
        <f t="shared" si="24"/>
        <v>Yes</v>
      </c>
      <c r="E1551" s="1">
        <v>7.9</v>
      </c>
      <c r="F1551" s="1">
        <v>343</v>
      </c>
      <c r="G1551" s="1" t="s">
        <v>93</v>
      </c>
      <c r="H1551" s="1" t="s">
        <v>95</v>
      </c>
      <c r="I1551" s="1">
        <v>24.8</v>
      </c>
      <c r="J1551" s="1" t="s">
        <v>95</v>
      </c>
      <c r="M1551" s="1" t="s">
        <v>101</v>
      </c>
      <c r="O1551" s="1">
        <v>2</v>
      </c>
    </row>
    <row r="1552" spans="1:18" ht="14.25" customHeight="1" x14ac:dyDescent="0.3">
      <c r="A1552" s="1" t="s">
        <v>70</v>
      </c>
      <c r="B1552" s="1">
        <v>21</v>
      </c>
      <c r="C1552" s="1">
        <v>18</v>
      </c>
      <c r="D1552" s="1" t="str">
        <f t="shared" si="24"/>
        <v>Yes</v>
      </c>
      <c r="E1552" s="1">
        <v>10.1</v>
      </c>
      <c r="F1552" s="1">
        <v>317</v>
      </c>
      <c r="G1552" s="1" t="s">
        <v>93</v>
      </c>
      <c r="H1552" s="1" t="s">
        <v>95</v>
      </c>
      <c r="I1552" s="1">
        <v>24.6</v>
      </c>
      <c r="J1552" s="1" t="s">
        <v>95</v>
      </c>
      <c r="M1552" s="1" t="s">
        <v>101</v>
      </c>
      <c r="O1552" s="1">
        <v>1</v>
      </c>
    </row>
    <row r="1553" spans="1:16" ht="14.25" customHeight="1" x14ac:dyDescent="0.3">
      <c r="A1553" s="1" t="s">
        <v>70</v>
      </c>
      <c r="B1553" s="1">
        <v>21</v>
      </c>
      <c r="C1553" s="1">
        <v>21</v>
      </c>
      <c r="D1553" s="1" t="str">
        <f t="shared" si="24"/>
        <v>Yes</v>
      </c>
      <c r="E1553" s="1">
        <v>10.199999999999999</v>
      </c>
      <c r="F1553" s="1">
        <v>343</v>
      </c>
      <c r="G1553" s="1" t="s">
        <v>93</v>
      </c>
      <c r="H1553" s="1" t="s">
        <v>95</v>
      </c>
      <c r="I1553" s="1">
        <v>24.5</v>
      </c>
      <c r="J1553" s="1" t="s">
        <v>95</v>
      </c>
      <c r="M1553" s="1" t="s">
        <v>101</v>
      </c>
      <c r="O1553" s="1">
        <v>1</v>
      </c>
    </row>
    <row r="1554" spans="1:16" ht="14.25" customHeight="1" x14ac:dyDescent="0.3">
      <c r="A1554" s="1" t="s">
        <v>70</v>
      </c>
      <c r="B1554" s="1">
        <v>21</v>
      </c>
      <c r="C1554" s="1">
        <v>8</v>
      </c>
      <c r="D1554" s="1" t="str">
        <f t="shared" si="24"/>
        <v>Yes</v>
      </c>
      <c r="E1554" s="1">
        <v>5.6</v>
      </c>
      <c r="F1554" s="1">
        <v>144</v>
      </c>
      <c r="G1554" s="1" t="s">
        <v>93</v>
      </c>
      <c r="H1554" s="1" t="s">
        <v>95</v>
      </c>
      <c r="I1554" s="1">
        <v>23.8</v>
      </c>
      <c r="J1554" s="1" t="s">
        <v>95</v>
      </c>
      <c r="M1554" s="1" t="s">
        <v>101</v>
      </c>
      <c r="O1554" s="1">
        <v>5</v>
      </c>
    </row>
    <row r="1555" spans="1:16" ht="14.25" customHeight="1" x14ac:dyDescent="0.3">
      <c r="A1555" s="1" t="s">
        <v>70</v>
      </c>
      <c r="B1555" s="1">
        <v>21</v>
      </c>
      <c r="C1555" s="1">
        <v>16</v>
      </c>
      <c r="D1555" s="1" t="str">
        <f t="shared" si="24"/>
        <v>Yes</v>
      </c>
      <c r="E1555" s="1">
        <v>9.1999999999999993</v>
      </c>
      <c r="F1555" s="1">
        <v>307</v>
      </c>
      <c r="G1555" s="1" t="s">
        <v>93</v>
      </c>
      <c r="H1555" s="1" t="s">
        <v>95</v>
      </c>
      <c r="I1555" s="1">
        <v>14.6</v>
      </c>
      <c r="J1555" s="1" t="s">
        <v>95</v>
      </c>
      <c r="M1555" s="1" t="s">
        <v>101</v>
      </c>
      <c r="O1555" s="1">
        <v>1</v>
      </c>
    </row>
    <row r="1556" spans="1:16" ht="14.25" customHeight="1" x14ac:dyDescent="0.3">
      <c r="A1556" s="1" t="s">
        <v>70</v>
      </c>
      <c r="B1556" s="1">
        <v>21</v>
      </c>
      <c r="C1556" s="1">
        <v>19</v>
      </c>
      <c r="D1556" s="1" t="str">
        <f t="shared" si="24"/>
        <v>Yes</v>
      </c>
      <c r="E1556" s="1">
        <v>5</v>
      </c>
      <c r="F1556" s="1">
        <v>319</v>
      </c>
      <c r="G1556" s="1" t="s">
        <v>93</v>
      </c>
      <c r="H1556" s="1" t="s">
        <v>95</v>
      </c>
      <c r="I1556" s="1">
        <v>14</v>
      </c>
      <c r="J1556" s="1" t="s">
        <v>95</v>
      </c>
      <c r="M1556" s="1" t="s">
        <v>101</v>
      </c>
      <c r="O1556" s="1">
        <v>1</v>
      </c>
    </row>
    <row r="1557" spans="1:16" ht="14.25" customHeight="1" x14ac:dyDescent="0.3">
      <c r="A1557" s="1" t="s">
        <v>70</v>
      </c>
      <c r="B1557" s="1">
        <v>21</v>
      </c>
      <c r="C1557" s="1">
        <v>15</v>
      </c>
      <c r="D1557" s="1" t="str">
        <f t="shared" si="24"/>
        <v>Yes</v>
      </c>
      <c r="E1557" s="1">
        <v>7.7</v>
      </c>
      <c r="F1557" s="1">
        <v>305</v>
      </c>
      <c r="G1557" s="66" t="s">
        <v>111</v>
      </c>
      <c r="H1557" s="1" t="s">
        <v>94</v>
      </c>
      <c r="I1557" s="1">
        <v>37</v>
      </c>
      <c r="J1557" s="1" t="s">
        <v>95</v>
      </c>
      <c r="K1557" s="1">
        <v>5</v>
      </c>
      <c r="L1557" s="1">
        <v>45</v>
      </c>
      <c r="M1557" s="1" t="s">
        <v>102</v>
      </c>
    </row>
    <row r="1558" spans="1:16" ht="14.25" customHeight="1" x14ac:dyDescent="0.3">
      <c r="A1558" s="1" t="s">
        <v>70</v>
      </c>
      <c r="B1558" s="1">
        <v>21</v>
      </c>
      <c r="C1558" s="1">
        <v>3</v>
      </c>
      <c r="D1558" s="1" t="str">
        <f t="shared" si="24"/>
        <v>Yes</v>
      </c>
      <c r="E1558" s="1">
        <v>12.5</v>
      </c>
      <c r="F1558" s="1">
        <v>80</v>
      </c>
      <c r="G1558" s="1" t="s">
        <v>109</v>
      </c>
      <c r="H1558" s="1" t="s">
        <v>94</v>
      </c>
      <c r="I1558" s="1">
        <v>85.2</v>
      </c>
      <c r="J1558" s="1" t="s">
        <v>95</v>
      </c>
      <c r="K1558" s="1">
        <v>0</v>
      </c>
      <c r="L1558" s="1">
        <v>6</v>
      </c>
      <c r="M1558" s="1" t="s">
        <v>102</v>
      </c>
    </row>
    <row r="1559" spans="1:16" ht="14.25" customHeight="1" x14ac:dyDescent="0.3">
      <c r="A1559" s="1" t="s">
        <v>70</v>
      </c>
      <c r="B1559" s="1">
        <v>21</v>
      </c>
      <c r="C1559" s="1">
        <v>1</v>
      </c>
      <c r="D1559" s="1" t="str">
        <f t="shared" si="24"/>
        <v>Yes</v>
      </c>
      <c r="E1559" s="1">
        <v>7.3</v>
      </c>
      <c r="F1559" s="1">
        <v>18</v>
      </c>
      <c r="G1559" s="1" t="s">
        <v>106</v>
      </c>
      <c r="H1559" s="1" t="s">
        <v>94</v>
      </c>
      <c r="I1559" s="52">
        <v>50.8</v>
      </c>
      <c r="J1559" s="1" t="s">
        <v>95</v>
      </c>
      <c r="K1559" s="1">
        <v>0</v>
      </c>
      <c r="L1559" s="1">
        <v>60</v>
      </c>
      <c r="M1559" s="1" t="s">
        <v>102</v>
      </c>
    </row>
    <row r="1560" spans="1:16" ht="14.25" customHeight="1" x14ac:dyDescent="0.3">
      <c r="A1560" s="1" t="s">
        <v>70</v>
      </c>
      <c r="B1560" s="1">
        <v>21</v>
      </c>
      <c r="C1560" s="1">
        <v>7</v>
      </c>
      <c r="D1560" s="1" t="str">
        <f t="shared" ref="D1560:D1623" si="25">IF(E1560&gt;12.5, "No", "Yes")</f>
        <v>Yes</v>
      </c>
      <c r="E1560" s="1">
        <v>11.7</v>
      </c>
      <c r="F1560" s="1">
        <v>112</v>
      </c>
      <c r="G1560" s="1" t="s">
        <v>106</v>
      </c>
      <c r="H1560" s="1" t="s">
        <v>94</v>
      </c>
      <c r="I1560" s="1">
        <v>30.4</v>
      </c>
      <c r="J1560" s="1" t="s">
        <v>95</v>
      </c>
      <c r="K1560" s="1">
        <v>1</v>
      </c>
      <c r="L1560" s="1">
        <v>95</v>
      </c>
      <c r="M1560" s="1" t="s">
        <v>101</v>
      </c>
    </row>
    <row r="1561" spans="1:16" ht="14.25" customHeight="1" x14ac:dyDescent="0.3">
      <c r="A1561" s="1" t="s">
        <v>70</v>
      </c>
      <c r="B1561" s="1">
        <v>21</v>
      </c>
      <c r="C1561" s="1">
        <v>5</v>
      </c>
      <c r="D1561" s="1" t="str">
        <f t="shared" si="25"/>
        <v>Yes</v>
      </c>
      <c r="E1561" s="1">
        <v>7.1</v>
      </c>
      <c r="F1561" s="1">
        <v>124</v>
      </c>
      <c r="G1561" s="1" t="s">
        <v>93</v>
      </c>
      <c r="H1561" s="1" t="s">
        <v>94</v>
      </c>
      <c r="I1561" s="1">
        <v>71.7</v>
      </c>
      <c r="J1561" s="1" t="s">
        <v>95</v>
      </c>
      <c r="K1561" s="1">
        <v>1</v>
      </c>
      <c r="L1561" s="1">
        <v>25</v>
      </c>
      <c r="M1561" s="1" t="s">
        <v>102</v>
      </c>
      <c r="N1561" s="1" t="s">
        <v>100</v>
      </c>
      <c r="P1561" s="1">
        <v>751</v>
      </c>
    </row>
    <row r="1562" spans="1:16" ht="14.25" customHeight="1" x14ac:dyDescent="0.3">
      <c r="A1562" s="1" t="s">
        <v>70</v>
      </c>
      <c r="B1562" s="1">
        <v>21</v>
      </c>
      <c r="C1562" s="1">
        <v>10</v>
      </c>
      <c r="D1562" s="1" t="str">
        <f t="shared" si="25"/>
        <v>Yes</v>
      </c>
      <c r="E1562" s="1">
        <v>3.4</v>
      </c>
      <c r="F1562" s="1">
        <v>197</v>
      </c>
      <c r="G1562" s="1" t="s">
        <v>93</v>
      </c>
      <c r="H1562" s="1" t="s">
        <v>94</v>
      </c>
      <c r="I1562" s="1">
        <v>46.7</v>
      </c>
      <c r="J1562" s="1" t="s">
        <v>95</v>
      </c>
      <c r="K1562" s="1">
        <v>1</v>
      </c>
      <c r="L1562" s="1">
        <v>20</v>
      </c>
      <c r="M1562" s="1" t="s">
        <v>102</v>
      </c>
      <c r="N1562" s="1" t="s">
        <v>100</v>
      </c>
      <c r="P1562" s="1">
        <v>752</v>
      </c>
    </row>
    <row r="1563" spans="1:16" ht="14.25" customHeight="1" x14ac:dyDescent="0.3">
      <c r="A1563" s="1" t="s">
        <v>70</v>
      </c>
      <c r="B1563" s="1">
        <v>21</v>
      </c>
      <c r="C1563" s="1">
        <v>13</v>
      </c>
      <c r="D1563" s="1" t="str">
        <f t="shared" si="25"/>
        <v>Yes</v>
      </c>
      <c r="E1563" s="1">
        <v>3.3</v>
      </c>
      <c r="F1563" s="1">
        <v>254</v>
      </c>
      <c r="G1563" s="1" t="s">
        <v>93</v>
      </c>
      <c r="H1563" s="1" t="s">
        <v>94</v>
      </c>
      <c r="I1563" s="1">
        <v>45.8</v>
      </c>
      <c r="J1563" s="1" t="s">
        <v>95</v>
      </c>
      <c r="K1563" s="1">
        <v>1</v>
      </c>
      <c r="L1563" s="1">
        <v>85</v>
      </c>
      <c r="M1563" s="1" t="s">
        <v>102</v>
      </c>
      <c r="N1563" s="1" t="s">
        <v>100</v>
      </c>
    </row>
    <row r="1564" spans="1:16" ht="14.25" customHeight="1" x14ac:dyDescent="0.3">
      <c r="A1564" s="1" t="s">
        <v>70</v>
      </c>
      <c r="B1564" s="1">
        <v>21</v>
      </c>
      <c r="C1564" s="1">
        <v>2</v>
      </c>
      <c r="D1564" s="1" t="str">
        <f t="shared" si="25"/>
        <v>Yes</v>
      </c>
      <c r="E1564" s="1">
        <v>3.7</v>
      </c>
      <c r="F1564" s="1">
        <v>45</v>
      </c>
      <c r="G1564" s="1" t="s">
        <v>93</v>
      </c>
      <c r="H1564" s="1" t="s">
        <v>94</v>
      </c>
      <c r="I1564" s="1">
        <v>40.700000000000003</v>
      </c>
      <c r="J1564" s="1" t="s">
        <v>95</v>
      </c>
      <c r="K1564" s="1">
        <v>0</v>
      </c>
      <c r="L1564" s="1">
        <v>15</v>
      </c>
      <c r="M1564" s="1" t="s">
        <v>102</v>
      </c>
      <c r="P1564" s="1">
        <v>750</v>
      </c>
    </row>
    <row r="1565" spans="1:16" ht="14.25" customHeight="1" x14ac:dyDescent="0.3">
      <c r="A1565" s="1" t="s">
        <v>70</v>
      </c>
      <c r="B1565" s="1">
        <v>21</v>
      </c>
      <c r="C1565" s="1">
        <v>17</v>
      </c>
      <c r="D1565" s="1" t="str">
        <f t="shared" si="25"/>
        <v>Yes</v>
      </c>
      <c r="E1565" s="1">
        <v>9.6999999999999993</v>
      </c>
      <c r="F1565" s="1">
        <v>301</v>
      </c>
      <c r="G1565" s="1" t="s">
        <v>93</v>
      </c>
      <c r="H1565" s="1" t="s">
        <v>94</v>
      </c>
      <c r="I1565" s="1">
        <v>30.5</v>
      </c>
      <c r="J1565" s="1" t="s">
        <v>95</v>
      </c>
      <c r="K1565" s="1">
        <v>1</v>
      </c>
      <c r="L1565" s="1">
        <v>95</v>
      </c>
      <c r="M1565" s="1" t="s">
        <v>101</v>
      </c>
      <c r="N1565" s="1" t="s">
        <v>100</v>
      </c>
    </row>
    <row r="1566" spans="1:16" ht="14.25" customHeight="1" x14ac:dyDescent="0.3">
      <c r="A1566" s="1" t="s">
        <v>70</v>
      </c>
      <c r="B1566" s="1">
        <v>22</v>
      </c>
      <c r="C1566" s="1">
        <v>5</v>
      </c>
      <c r="D1566" s="1" t="str">
        <f t="shared" si="25"/>
        <v>Yes</v>
      </c>
      <c r="E1566" s="1">
        <v>4.3</v>
      </c>
      <c r="F1566" s="1">
        <v>79</v>
      </c>
      <c r="G1566" s="1" t="s">
        <v>98</v>
      </c>
      <c r="H1566" s="1" t="s">
        <v>95</v>
      </c>
      <c r="I1566" s="1">
        <v>31.3</v>
      </c>
      <c r="J1566" s="1" t="s">
        <v>95</v>
      </c>
      <c r="M1566" s="1" t="s">
        <v>101</v>
      </c>
      <c r="O1566" s="1">
        <v>1</v>
      </c>
    </row>
    <row r="1567" spans="1:16" ht="14.25" customHeight="1" x14ac:dyDescent="0.3">
      <c r="A1567" s="1" t="s">
        <v>70</v>
      </c>
      <c r="B1567" s="1">
        <v>22</v>
      </c>
      <c r="C1567" s="1">
        <v>7</v>
      </c>
      <c r="D1567" s="1" t="str">
        <f t="shared" si="25"/>
        <v>Yes</v>
      </c>
      <c r="E1567" s="1">
        <v>4.5</v>
      </c>
      <c r="F1567" s="1">
        <v>98</v>
      </c>
      <c r="G1567" s="1" t="s">
        <v>98</v>
      </c>
      <c r="H1567" s="1" t="s">
        <v>95</v>
      </c>
      <c r="I1567" s="1">
        <v>24.3</v>
      </c>
      <c r="J1567" s="1" t="s">
        <v>95</v>
      </c>
      <c r="M1567" s="1" t="s">
        <v>101</v>
      </c>
      <c r="O1567" s="1">
        <v>5</v>
      </c>
    </row>
    <row r="1568" spans="1:16" ht="14.25" customHeight="1" x14ac:dyDescent="0.3">
      <c r="A1568" s="1" t="s">
        <v>70</v>
      </c>
      <c r="B1568" s="1">
        <v>22</v>
      </c>
      <c r="C1568" s="1">
        <v>20</v>
      </c>
      <c r="D1568" s="1" t="str">
        <f t="shared" si="25"/>
        <v>Yes</v>
      </c>
      <c r="E1568" s="1">
        <v>8.1999999999999993</v>
      </c>
      <c r="F1568" s="1">
        <v>238</v>
      </c>
      <c r="G1568" s="1" t="s">
        <v>106</v>
      </c>
      <c r="H1568" s="1" t="s">
        <v>95</v>
      </c>
      <c r="I1568" s="1">
        <v>13.8</v>
      </c>
      <c r="J1568" s="1" t="s">
        <v>95</v>
      </c>
      <c r="M1568" s="1" t="s">
        <v>102</v>
      </c>
      <c r="O1568" s="1">
        <v>1</v>
      </c>
    </row>
    <row r="1569" spans="1:17" ht="14.25" customHeight="1" x14ac:dyDescent="0.3">
      <c r="A1569" s="1" t="s">
        <v>70</v>
      </c>
      <c r="B1569" s="1">
        <v>22</v>
      </c>
      <c r="C1569" s="1">
        <v>22</v>
      </c>
      <c r="D1569" s="1" t="str">
        <f t="shared" si="25"/>
        <v>Yes</v>
      </c>
      <c r="E1569" s="1">
        <v>8.9</v>
      </c>
      <c r="F1569" s="1">
        <v>267</v>
      </c>
      <c r="G1569" s="1" t="s">
        <v>106</v>
      </c>
      <c r="H1569" s="1" t="s">
        <v>95</v>
      </c>
      <c r="I1569" s="1">
        <v>10.4</v>
      </c>
      <c r="J1569" s="1" t="s">
        <v>95</v>
      </c>
      <c r="M1569" s="1" t="s">
        <v>101</v>
      </c>
      <c r="O1569" s="1">
        <v>1</v>
      </c>
    </row>
    <row r="1570" spans="1:17" ht="14.25" customHeight="1" x14ac:dyDescent="0.3">
      <c r="A1570" s="1" t="s">
        <v>70</v>
      </c>
      <c r="B1570" s="1">
        <v>22</v>
      </c>
      <c r="C1570" s="1">
        <v>16</v>
      </c>
      <c r="D1570" s="1" t="str">
        <f t="shared" si="25"/>
        <v>Yes</v>
      </c>
      <c r="E1570" s="1">
        <v>8.6999999999999993</v>
      </c>
      <c r="F1570" s="1">
        <v>123</v>
      </c>
      <c r="G1570" s="1" t="s">
        <v>106</v>
      </c>
      <c r="H1570" s="1" t="s">
        <v>95</v>
      </c>
      <c r="I1570" s="1">
        <v>8.1</v>
      </c>
      <c r="J1570" s="1" t="s">
        <v>95</v>
      </c>
      <c r="M1570" s="1" t="s">
        <v>101</v>
      </c>
      <c r="O1570" s="1">
        <v>1</v>
      </c>
    </row>
    <row r="1571" spans="1:17" ht="14.25" customHeight="1" x14ac:dyDescent="0.3">
      <c r="A1571" s="1" t="s">
        <v>70</v>
      </c>
      <c r="B1571" s="1">
        <v>22</v>
      </c>
      <c r="C1571" s="1">
        <v>13</v>
      </c>
      <c r="D1571" s="1" t="str">
        <f t="shared" si="25"/>
        <v>Yes</v>
      </c>
      <c r="E1571" s="1">
        <v>8.1</v>
      </c>
      <c r="F1571" s="1">
        <v>96</v>
      </c>
      <c r="G1571" s="1" t="s">
        <v>93</v>
      </c>
      <c r="H1571" s="1" t="s">
        <v>95</v>
      </c>
      <c r="I1571" s="1">
        <v>33.1</v>
      </c>
      <c r="J1571" s="1" t="s">
        <v>95</v>
      </c>
      <c r="M1571" s="1" t="s">
        <v>101</v>
      </c>
      <c r="O1571" s="1">
        <v>1</v>
      </c>
    </row>
    <row r="1572" spans="1:17" ht="14.25" customHeight="1" x14ac:dyDescent="0.3">
      <c r="A1572" s="1" t="s">
        <v>70</v>
      </c>
      <c r="B1572" s="1">
        <v>22</v>
      </c>
      <c r="C1572" s="1">
        <v>3</v>
      </c>
      <c r="D1572" s="1" t="str">
        <f t="shared" si="25"/>
        <v>Yes</v>
      </c>
      <c r="E1572" s="19">
        <v>6.5</v>
      </c>
      <c r="F1572" s="1">
        <v>59</v>
      </c>
      <c r="G1572" s="1" t="s">
        <v>93</v>
      </c>
      <c r="H1572" s="1" t="s">
        <v>95</v>
      </c>
      <c r="I1572" s="1">
        <v>24.1</v>
      </c>
      <c r="J1572" s="1" t="s">
        <v>95</v>
      </c>
      <c r="M1572" s="1" t="s">
        <v>101</v>
      </c>
      <c r="O1572" s="1">
        <v>1</v>
      </c>
    </row>
    <row r="1573" spans="1:17" ht="14.25" customHeight="1" x14ac:dyDescent="0.3">
      <c r="A1573" s="1" t="s">
        <v>70</v>
      </c>
      <c r="B1573" s="1">
        <v>22</v>
      </c>
      <c r="C1573" s="1">
        <v>12</v>
      </c>
      <c r="D1573" s="1" t="str">
        <f t="shared" si="25"/>
        <v>Yes</v>
      </c>
      <c r="E1573" s="1">
        <v>3.4</v>
      </c>
      <c r="F1573" s="1">
        <v>112</v>
      </c>
      <c r="G1573" s="1" t="s">
        <v>93</v>
      </c>
      <c r="H1573" s="1" t="s">
        <v>95</v>
      </c>
      <c r="I1573" s="1">
        <v>24.1</v>
      </c>
      <c r="J1573" s="1" t="s">
        <v>95</v>
      </c>
      <c r="M1573" s="1" t="s">
        <v>101</v>
      </c>
      <c r="O1573" s="1">
        <v>1</v>
      </c>
    </row>
    <row r="1574" spans="1:17" ht="14.25" customHeight="1" x14ac:dyDescent="0.3">
      <c r="A1574" s="1" t="s">
        <v>70</v>
      </c>
      <c r="B1574" s="1">
        <v>22</v>
      </c>
      <c r="C1574" s="1">
        <v>19</v>
      </c>
      <c r="D1574" s="1" t="str">
        <f t="shared" si="25"/>
        <v>Yes</v>
      </c>
      <c r="E1574" s="1">
        <v>3.5</v>
      </c>
      <c r="F1574" s="1">
        <v>208</v>
      </c>
      <c r="G1574" s="1" t="s">
        <v>93</v>
      </c>
      <c r="H1574" s="1" t="s">
        <v>95</v>
      </c>
      <c r="I1574" s="1">
        <v>24.1</v>
      </c>
      <c r="J1574" s="1" t="s">
        <v>95</v>
      </c>
      <c r="M1574" s="1" t="s">
        <v>102</v>
      </c>
      <c r="O1574" s="1">
        <v>1</v>
      </c>
    </row>
    <row r="1575" spans="1:17" ht="14.25" customHeight="1" x14ac:dyDescent="0.3">
      <c r="A1575" s="1" t="s">
        <v>70</v>
      </c>
      <c r="B1575" s="1">
        <v>22</v>
      </c>
      <c r="C1575" s="1">
        <v>2</v>
      </c>
      <c r="D1575" s="1" t="str">
        <f t="shared" si="25"/>
        <v>Yes</v>
      </c>
      <c r="E1575" s="1">
        <v>7.1</v>
      </c>
      <c r="F1575" s="1">
        <v>7</v>
      </c>
      <c r="G1575" s="1" t="s">
        <v>93</v>
      </c>
      <c r="H1575" s="1" t="s">
        <v>95</v>
      </c>
      <c r="I1575" s="1">
        <v>21.5</v>
      </c>
      <c r="J1575" s="1" t="s">
        <v>101</v>
      </c>
      <c r="M1575" s="1" t="s">
        <v>101</v>
      </c>
      <c r="O1575" s="1">
        <v>5</v>
      </c>
    </row>
    <row r="1576" spans="1:17" ht="14.25" customHeight="1" x14ac:dyDescent="0.3">
      <c r="A1576" s="1" t="s">
        <v>70</v>
      </c>
      <c r="B1576" s="1">
        <v>22</v>
      </c>
      <c r="C1576" s="1">
        <v>8</v>
      </c>
      <c r="D1576" s="1" t="str">
        <f t="shared" si="25"/>
        <v>Yes</v>
      </c>
      <c r="E1576" s="1">
        <v>2.5</v>
      </c>
      <c r="F1576" s="1">
        <v>85</v>
      </c>
      <c r="G1576" s="1" t="s">
        <v>93</v>
      </c>
      <c r="H1576" s="1" t="s">
        <v>95</v>
      </c>
      <c r="I1576" s="1">
        <v>21.5</v>
      </c>
      <c r="J1576" s="1" t="s">
        <v>95</v>
      </c>
      <c r="M1576" s="1" t="s">
        <v>101</v>
      </c>
      <c r="O1576" s="1">
        <v>1</v>
      </c>
    </row>
    <row r="1577" spans="1:17" ht="14.25" customHeight="1" x14ac:dyDescent="0.3">
      <c r="A1577" s="1" t="s">
        <v>70</v>
      </c>
      <c r="B1577" s="1">
        <v>22</v>
      </c>
      <c r="C1577" s="1">
        <v>24</v>
      </c>
      <c r="D1577" s="1" t="str">
        <f t="shared" si="25"/>
        <v>Yes</v>
      </c>
      <c r="E1577" s="1">
        <v>10.1</v>
      </c>
      <c r="F1577" s="1">
        <v>297</v>
      </c>
      <c r="G1577" s="1" t="s">
        <v>93</v>
      </c>
      <c r="H1577" s="1" t="s">
        <v>95</v>
      </c>
      <c r="I1577" s="1">
        <v>21.2</v>
      </c>
      <c r="J1577" s="1" t="s">
        <v>95</v>
      </c>
      <c r="M1577" s="1" t="s">
        <v>102</v>
      </c>
      <c r="O1577" s="1">
        <v>1</v>
      </c>
    </row>
    <row r="1578" spans="1:17" ht="14.25" customHeight="1" x14ac:dyDescent="0.3">
      <c r="A1578" s="1" t="s">
        <v>70</v>
      </c>
      <c r="B1578" s="1">
        <v>22</v>
      </c>
      <c r="C1578" s="1">
        <v>18</v>
      </c>
      <c r="D1578" s="1" t="str">
        <f t="shared" si="25"/>
        <v>Yes</v>
      </c>
      <c r="E1578" s="1">
        <v>9.5</v>
      </c>
      <c r="F1578" s="1">
        <v>188</v>
      </c>
      <c r="G1578" s="1" t="s">
        <v>93</v>
      </c>
      <c r="H1578" s="1" t="s">
        <v>95</v>
      </c>
      <c r="I1578" s="1">
        <v>16.8</v>
      </c>
      <c r="J1578" s="1" t="s">
        <v>95</v>
      </c>
      <c r="M1578" s="1" t="s">
        <v>101</v>
      </c>
      <c r="O1578" s="1">
        <v>1</v>
      </c>
    </row>
    <row r="1579" spans="1:17" ht="14.25" customHeight="1" x14ac:dyDescent="0.3">
      <c r="A1579" s="1" t="s">
        <v>70</v>
      </c>
      <c r="B1579" s="1">
        <v>22</v>
      </c>
      <c r="C1579" s="1">
        <v>21</v>
      </c>
      <c r="D1579" s="1" t="str">
        <f t="shared" si="25"/>
        <v>Yes</v>
      </c>
      <c r="E1579" s="1">
        <v>9.6</v>
      </c>
      <c r="F1579" s="1">
        <v>244</v>
      </c>
      <c r="G1579" s="1" t="s">
        <v>93</v>
      </c>
      <c r="H1579" s="1" t="s">
        <v>95</v>
      </c>
      <c r="I1579" s="1">
        <v>14.8</v>
      </c>
      <c r="J1579" s="1" t="s">
        <v>95</v>
      </c>
      <c r="M1579" s="1" t="s">
        <v>102</v>
      </c>
      <c r="O1579" s="1">
        <v>5</v>
      </c>
    </row>
    <row r="1580" spans="1:17" ht="14.25" customHeight="1" x14ac:dyDescent="0.3">
      <c r="A1580" s="1" t="s">
        <v>70</v>
      </c>
      <c r="B1580" s="1">
        <v>22</v>
      </c>
      <c r="C1580" s="1">
        <v>26</v>
      </c>
      <c r="D1580" s="1" t="str">
        <f t="shared" si="25"/>
        <v>Yes</v>
      </c>
      <c r="E1580" s="1">
        <v>9.5</v>
      </c>
      <c r="F1580" s="1">
        <v>305</v>
      </c>
      <c r="G1580" s="1" t="s">
        <v>93</v>
      </c>
      <c r="H1580" s="1" t="s">
        <v>95</v>
      </c>
      <c r="I1580" s="17">
        <v>14.1</v>
      </c>
      <c r="J1580" s="1" t="s">
        <v>95</v>
      </c>
      <c r="M1580" s="1" t="s">
        <v>102</v>
      </c>
      <c r="O1580" s="1">
        <v>1</v>
      </c>
    </row>
    <row r="1581" spans="1:17" ht="14.25" customHeight="1" x14ac:dyDescent="0.3">
      <c r="A1581" s="1" t="s">
        <v>70</v>
      </c>
      <c r="B1581" s="1">
        <v>22</v>
      </c>
      <c r="C1581" s="1">
        <v>1</v>
      </c>
      <c r="D1581" s="1" t="str">
        <f t="shared" si="25"/>
        <v>Yes</v>
      </c>
      <c r="E1581" s="1">
        <v>9.6999999999999993</v>
      </c>
      <c r="F1581" s="1">
        <v>22</v>
      </c>
      <c r="G1581" s="1" t="s">
        <v>93</v>
      </c>
      <c r="H1581" s="1" t="s">
        <v>95</v>
      </c>
      <c r="I1581" s="1">
        <v>11.4</v>
      </c>
      <c r="J1581" s="1" t="s">
        <v>95</v>
      </c>
      <c r="M1581" s="1" t="s">
        <v>101</v>
      </c>
      <c r="O1581" s="1">
        <v>1</v>
      </c>
    </row>
    <row r="1582" spans="1:17" ht="14.25" customHeight="1" x14ac:dyDescent="0.3">
      <c r="A1582" s="1" t="s">
        <v>70</v>
      </c>
      <c r="B1582" s="1">
        <v>22</v>
      </c>
      <c r="C1582" s="1">
        <v>11</v>
      </c>
      <c r="D1582" s="1" t="str">
        <f t="shared" si="25"/>
        <v>Yes</v>
      </c>
      <c r="E1582" s="1">
        <v>5.0999999999999996</v>
      </c>
      <c r="F1582" s="1">
        <v>104</v>
      </c>
      <c r="G1582" s="1" t="s">
        <v>98</v>
      </c>
      <c r="H1582" s="1" t="s">
        <v>94</v>
      </c>
      <c r="I1582" s="1">
        <v>61.5</v>
      </c>
      <c r="J1582" s="1" t="s">
        <v>95</v>
      </c>
      <c r="M1582" s="1" t="s">
        <v>102</v>
      </c>
      <c r="Q1582" s="19"/>
    </row>
    <row r="1583" spans="1:17" ht="14.25" customHeight="1" x14ac:dyDescent="0.3">
      <c r="A1583" s="1" t="s">
        <v>70</v>
      </c>
      <c r="B1583" s="1">
        <v>22</v>
      </c>
      <c r="C1583" s="1">
        <v>14</v>
      </c>
      <c r="D1583" s="1" t="str">
        <f t="shared" si="25"/>
        <v>Yes</v>
      </c>
      <c r="E1583" s="1">
        <v>9.6</v>
      </c>
      <c r="F1583" s="1">
        <v>104</v>
      </c>
      <c r="G1583" s="1" t="s">
        <v>98</v>
      </c>
      <c r="H1583" s="1" t="s">
        <v>94</v>
      </c>
      <c r="I1583" s="1">
        <v>57.4</v>
      </c>
      <c r="J1583" s="1" t="s">
        <v>95</v>
      </c>
      <c r="M1583" s="1" t="s">
        <v>102</v>
      </c>
    </row>
    <row r="1584" spans="1:17" ht="14.25" customHeight="1" x14ac:dyDescent="0.3">
      <c r="A1584" s="1" t="s">
        <v>70</v>
      </c>
      <c r="B1584" s="1">
        <v>22</v>
      </c>
      <c r="C1584" s="1">
        <v>10</v>
      </c>
      <c r="D1584" s="1" t="str">
        <f t="shared" si="25"/>
        <v>Yes</v>
      </c>
      <c r="E1584" s="1">
        <v>5.0999999999999996</v>
      </c>
      <c r="F1584" s="1">
        <v>101</v>
      </c>
      <c r="G1584" s="1" t="s">
        <v>98</v>
      </c>
      <c r="H1584" s="1" t="s">
        <v>94</v>
      </c>
      <c r="I1584" s="1">
        <v>41.8</v>
      </c>
      <c r="J1584" s="1" t="s">
        <v>95</v>
      </c>
      <c r="M1584" s="1" t="s">
        <v>102</v>
      </c>
      <c r="Q1584" s="19"/>
    </row>
    <row r="1585" spans="1:18" ht="14.25" customHeight="1" x14ac:dyDescent="0.3">
      <c r="A1585" s="1" t="s">
        <v>70</v>
      </c>
      <c r="B1585" s="1">
        <v>22</v>
      </c>
      <c r="C1585" s="1">
        <v>6</v>
      </c>
      <c r="D1585" s="1" t="str">
        <f t="shared" si="25"/>
        <v>Yes</v>
      </c>
      <c r="E1585" s="1">
        <v>4.5</v>
      </c>
      <c r="F1585" s="1">
        <v>83</v>
      </c>
      <c r="G1585" s="1" t="s">
        <v>98</v>
      </c>
      <c r="H1585" s="1" t="s">
        <v>94</v>
      </c>
      <c r="I1585" s="1">
        <v>41</v>
      </c>
      <c r="J1585" s="1" t="s">
        <v>95</v>
      </c>
      <c r="K1585" s="1">
        <v>0</v>
      </c>
      <c r="L1585" s="1">
        <v>0</v>
      </c>
      <c r="M1585" s="1" t="s">
        <v>102</v>
      </c>
      <c r="R1585" s="19"/>
    </row>
    <row r="1586" spans="1:18" ht="14.25" customHeight="1" x14ac:dyDescent="0.3">
      <c r="A1586" s="1" t="s">
        <v>70</v>
      </c>
      <c r="B1586" s="1">
        <v>22</v>
      </c>
      <c r="C1586" s="1">
        <v>25</v>
      </c>
      <c r="D1586" s="1" t="str">
        <f t="shared" si="25"/>
        <v>Yes</v>
      </c>
      <c r="E1586" s="1">
        <v>7.6</v>
      </c>
      <c r="F1586" s="1">
        <v>294</v>
      </c>
      <c r="G1586" s="66" t="s">
        <v>111</v>
      </c>
      <c r="H1586" s="1" t="s">
        <v>94</v>
      </c>
      <c r="I1586" s="1">
        <v>21</v>
      </c>
      <c r="J1586" s="1" t="s">
        <v>95</v>
      </c>
      <c r="K1586" s="1">
        <v>0</v>
      </c>
      <c r="L1586" s="1">
        <v>5</v>
      </c>
      <c r="M1586" s="1" t="s">
        <v>102</v>
      </c>
      <c r="N1586" s="1" t="s">
        <v>100</v>
      </c>
    </row>
    <row r="1587" spans="1:18" ht="14.25" customHeight="1" x14ac:dyDescent="0.3">
      <c r="A1587" s="1" t="s">
        <v>70</v>
      </c>
      <c r="B1587" s="1">
        <v>22</v>
      </c>
      <c r="C1587" s="1">
        <v>4</v>
      </c>
      <c r="D1587" s="1" t="str">
        <f t="shared" si="25"/>
        <v>Yes</v>
      </c>
      <c r="E1587" s="19">
        <v>2.8</v>
      </c>
      <c r="F1587" s="1">
        <v>69</v>
      </c>
      <c r="G1587" s="1" t="s">
        <v>106</v>
      </c>
      <c r="H1587" s="1" t="s">
        <v>94</v>
      </c>
      <c r="I1587" s="1">
        <v>84.5</v>
      </c>
      <c r="J1587" s="1" t="s">
        <v>95</v>
      </c>
      <c r="K1587" s="1">
        <v>0</v>
      </c>
      <c r="L1587" s="1">
        <v>5</v>
      </c>
      <c r="M1587" s="1" t="s">
        <v>102</v>
      </c>
      <c r="P1587" s="1">
        <v>745</v>
      </c>
      <c r="R1587" s="19"/>
    </row>
    <row r="1588" spans="1:18" ht="14.25" customHeight="1" x14ac:dyDescent="0.3">
      <c r="A1588" s="1" t="s">
        <v>70</v>
      </c>
      <c r="B1588" s="1">
        <v>22</v>
      </c>
      <c r="C1588" s="1">
        <v>17</v>
      </c>
      <c r="D1588" s="1" t="str">
        <f t="shared" si="25"/>
        <v>Yes</v>
      </c>
      <c r="E1588" s="1">
        <v>7</v>
      </c>
      <c r="F1588" s="1">
        <v>192</v>
      </c>
      <c r="G1588" s="1" t="s">
        <v>106</v>
      </c>
      <c r="H1588" s="1" t="s">
        <v>94</v>
      </c>
      <c r="I1588" s="1">
        <v>56.6</v>
      </c>
      <c r="J1588" s="1" t="s">
        <v>95</v>
      </c>
      <c r="K1588" s="1">
        <v>5</v>
      </c>
      <c r="L1588" s="1">
        <v>10</v>
      </c>
      <c r="M1588" s="1" t="s">
        <v>102</v>
      </c>
      <c r="P1588" s="1">
        <v>746</v>
      </c>
    </row>
    <row r="1589" spans="1:18" ht="14.25" customHeight="1" x14ac:dyDescent="0.3">
      <c r="A1589" s="1" t="s">
        <v>70</v>
      </c>
      <c r="B1589" s="1">
        <v>22</v>
      </c>
      <c r="C1589" s="1">
        <v>9</v>
      </c>
      <c r="D1589" s="1" t="str">
        <f t="shared" si="25"/>
        <v>Yes</v>
      </c>
      <c r="E1589" s="1">
        <v>6</v>
      </c>
      <c r="F1589" s="1">
        <v>97</v>
      </c>
      <c r="G1589" s="1" t="s">
        <v>106</v>
      </c>
      <c r="H1589" s="1" t="s">
        <v>94</v>
      </c>
      <c r="I1589" s="1">
        <v>45</v>
      </c>
      <c r="J1589" s="1" t="s">
        <v>95</v>
      </c>
      <c r="M1589" s="1" t="s">
        <v>101</v>
      </c>
      <c r="Q1589" s="19" t="s">
        <v>215</v>
      </c>
    </row>
    <row r="1590" spans="1:18" ht="14.25" customHeight="1" x14ac:dyDescent="0.3">
      <c r="A1590" s="1" t="s">
        <v>70</v>
      </c>
      <c r="B1590" s="1">
        <v>22</v>
      </c>
      <c r="C1590" s="1">
        <v>15</v>
      </c>
      <c r="D1590" s="1" t="str">
        <f t="shared" si="25"/>
        <v>Yes</v>
      </c>
      <c r="E1590" s="1">
        <v>10.6</v>
      </c>
      <c r="F1590" s="1">
        <v>122</v>
      </c>
      <c r="G1590" s="1" t="s">
        <v>106</v>
      </c>
      <c r="H1590" s="1" t="s">
        <v>94</v>
      </c>
      <c r="I1590" s="1">
        <v>44</v>
      </c>
      <c r="J1590" s="1" t="s">
        <v>95</v>
      </c>
      <c r="K1590" s="1">
        <v>0</v>
      </c>
      <c r="L1590" s="1">
        <v>5</v>
      </c>
      <c r="M1590" s="1" t="s">
        <v>102</v>
      </c>
    </row>
    <row r="1591" spans="1:18" ht="14.25" customHeight="1" x14ac:dyDescent="0.3">
      <c r="A1591" s="1" t="s">
        <v>70</v>
      </c>
      <c r="B1591" s="1">
        <v>22</v>
      </c>
      <c r="C1591" s="1">
        <v>23</v>
      </c>
      <c r="D1591" s="1" t="str">
        <f t="shared" si="25"/>
        <v>Yes</v>
      </c>
      <c r="E1591" s="1">
        <v>8.4</v>
      </c>
      <c r="F1591" s="1">
        <v>272</v>
      </c>
      <c r="G1591" s="1" t="s">
        <v>106</v>
      </c>
      <c r="H1591" s="1" t="s">
        <v>94</v>
      </c>
      <c r="I1591" s="1">
        <v>21.2</v>
      </c>
      <c r="J1591" s="1" t="s">
        <v>95</v>
      </c>
      <c r="K1591" s="1">
        <v>0</v>
      </c>
      <c r="L1591" s="1">
        <v>45</v>
      </c>
      <c r="M1591" s="1" t="s">
        <v>102</v>
      </c>
      <c r="N1591" s="1" t="s">
        <v>100</v>
      </c>
      <c r="R1591" s="19"/>
    </row>
    <row r="1592" spans="1:18" ht="14.25" customHeight="1" x14ac:dyDescent="0.3">
      <c r="A1592" s="1" t="s">
        <v>70</v>
      </c>
      <c r="B1592" s="1">
        <v>22</v>
      </c>
      <c r="C1592" s="1">
        <v>27</v>
      </c>
      <c r="D1592" s="1" t="str">
        <f t="shared" si="25"/>
        <v>Yes</v>
      </c>
      <c r="E1592" s="1">
        <v>9.1</v>
      </c>
      <c r="F1592" s="1">
        <v>357</v>
      </c>
      <c r="G1592" s="1" t="s">
        <v>93</v>
      </c>
      <c r="H1592" s="1" t="s">
        <v>94</v>
      </c>
      <c r="I1592" s="1">
        <v>53.6</v>
      </c>
      <c r="J1592" s="1" t="s">
        <v>95</v>
      </c>
      <c r="K1592" s="1">
        <v>0</v>
      </c>
      <c r="L1592" s="1">
        <v>5</v>
      </c>
      <c r="M1592" s="1" t="s">
        <v>102</v>
      </c>
      <c r="N1592" s="1" t="s">
        <v>100</v>
      </c>
      <c r="P1592" s="1">
        <v>744</v>
      </c>
    </row>
    <row r="1593" spans="1:18" ht="14.25" customHeight="1" x14ac:dyDescent="0.3">
      <c r="A1593" s="1" t="s">
        <v>70</v>
      </c>
      <c r="B1593" s="1">
        <v>23</v>
      </c>
      <c r="C1593" s="1">
        <v>14</v>
      </c>
      <c r="D1593" s="1" t="str">
        <f t="shared" si="25"/>
        <v>Yes</v>
      </c>
      <c r="E1593" s="1">
        <v>12</v>
      </c>
      <c r="F1593" s="1">
        <v>175</v>
      </c>
      <c r="G1593" s="66" t="s">
        <v>111</v>
      </c>
      <c r="H1593" s="1" t="s">
        <v>95</v>
      </c>
      <c r="I1593" s="1">
        <v>81.3</v>
      </c>
      <c r="J1593" s="1" t="s">
        <v>95</v>
      </c>
      <c r="M1593" s="1" t="s">
        <v>101</v>
      </c>
      <c r="O1593" s="1">
        <v>1</v>
      </c>
    </row>
    <row r="1594" spans="1:18" ht="14.25" customHeight="1" x14ac:dyDescent="0.3">
      <c r="A1594" s="1" t="s">
        <v>70</v>
      </c>
      <c r="B1594" s="1">
        <v>23</v>
      </c>
      <c r="C1594" s="1">
        <v>7</v>
      </c>
      <c r="D1594" s="1" t="str">
        <f t="shared" si="25"/>
        <v>Yes</v>
      </c>
      <c r="E1594" s="1">
        <v>8.3000000000000007</v>
      </c>
      <c r="F1594" s="1">
        <v>126</v>
      </c>
      <c r="G1594" s="1" t="s">
        <v>106</v>
      </c>
      <c r="H1594" s="1" t="s">
        <v>95</v>
      </c>
      <c r="I1594" s="1">
        <v>23.7</v>
      </c>
      <c r="J1594" s="1" t="s">
        <v>95</v>
      </c>
      <c r="M1594" s="1" t="s">
        <v>101</v>
      </c>
      <c r="O1594" s="1">
        <v>1</v>
      </c>
    </row>
    <row r="1595" spans="1:18" ht="14.25" customHeight="1" x14ac:dyDescent="0.3">
      <c r="A1595" s="1" t="s">
        <v>70</v>
      </c>
      <c r="B1595" s="1">
        <v>23</v>
      </c>
      <c r="C1595" s="1">
        <v>2</v>
      </c>
      <c r="D1595" s="1" t="str">
        <f t="shared" si="25"/>
        <v>Yes</v>
      </c>
      <c r="E1595" s="1">
        <v>8.6999999999999993</v>
      </c>
      <c r="F1595" s="1">
        <v>10</v>
      </c>
      <c r="G1595" s="1" t="s">
        <v>106</v>
      </c>
      <c r="H1595" s="1" t="s">
        <v>95</v>
      </c>
      <c r="I1595" s="1">
        <v>21.5</v>
      </c>
      <c r="J1595" s="1" t="s">
        <v>95</v>
      </c>
      <c r="M1595" s="1" t="s">
        <v>101</v>
      </c>
      <c r="O1595" s="1">
        <v>1</v>
      </c>
    </row>
    <row r="1596" spans="1:18" ht="14.25" customHeight="1" x14ac:dyDescent="0.3">
      <c r="A1596" s="1" t="s">
        <v>70</v>
      </c>
      <c r="B1596" s="1">
        <v>23</v>
      </c>
      <c r="C1596" s="1">
        <v>10</v>
      </c>
      <c r="D1596" s="1" t="str">
        <f t="shared" si="25"/>
        <v>Yes</v>
      </c>
      <c r="E1596" s="1">
        <v>2.1</v>
      </c>
      <c r="F1596" s="1">
        <v>175</v>
      </c>
      <c r="G1596" s="1" t="s">
        <v>106</v>
      </c>
      <c r="H1596" s="1" t="s">
        <v>95</v>
      </c>
      <c r="I1596" s="1">
        <v>21.3</v>
      </c>
      <c r="J1596" s="1" t="s">
        <v>95</v>
      </c>
      <c r="M1596" s="1" t="s">
        <v>101</v>
      </c>
      <c r="O1596" s="1">
        <v>1</v>
      </c>
    </row>
    <row r="1597" spans="1:18" ht="14.25" customHeight="1" x14ac:dyDescent="0.3">
      <c r="A1597" s="1" t="s">
        <v>70</v>
      </c>
      <c r="B1597" s="1">
        <v>23</v>
      </c>
      <c r="C1597" s="1">
        <v>29</v>
      </c>
      <c r="D1597" s="1" t="str">
        <f t="shared" si="25"/>
        <v>Yes</v>
      </c>
      <c r="E1597" s="1">
        <v>9.6</v>
      </c>
      <c r="F1597" s="1">
        <v>344</v>
      </c>
      <c r="G1597" s="1" t="s">
        <v>106</v>
      </c>
      <c r="H1597" s="1" t="s">
        <v>95</v>
      </c>
      <c r="I1597" s="1">
        <v>21.3</v>
      </c>
      <c r="M1597" s="1" t="s">
        <v>101</v>
      </c>
      <c r="O1597" s="1">
        <v>1</v>
      </c>
    </row>
    <row r="1598" spans="1:18" ht="14.25" customHeight="1" x14ac:dyDescent="0.3">
      <c r="A1598" s="1" t="s">
        <v>70</v>
      </c>
      <c r="B1598" s="1">
        <v>23</v>
      </c>
      <c r="C1598" s="1">
        <v>26</v>
      </c>
      <c r="D1598" s="1" t="str">
        <f t="shared" si="25"/>
        <v>Yes</v>
      </c>
      <c r="E1598" s="1">
        <v>8.6</v>
      </c>
      <c r="F1598" s="1">
        <v>339</v>
      </c>
      <c r="G1598" s="1" t="s">
        <v>106</v>
      </c>
      <c r="H1598" s="1" t="s">
        <v>95</v>
      </c>
      <c r="I1598" s="1">
        <v>20.6</v>
      </c>
      <c r="M1598" s="1" t="s">
        <v>101</v>
      </c>
      <c r="O1598" s="1">
        <v>1</v>
      </c>
    </row>
    <row r="1599" spans="1:18" ht="14.25" customHeight="1" x14ac:dyDescent="0.3">
      <c r="A1599" s="1" t="s">
        <v>70</v>
      </c>
      <c r="B1599" s="1">
        <v>23</v>
      </c>
      <c r="C1599" s="1">
        <v>8</v>
      </c>
      <c r="D1599" s="1" t="str">
        <f t="shared" si="25"/>
        <v>Yes</v>
      </c>
      <c r="E1599" s="1">
        <v>3.9</v>
      </c>
      <c r="F1599" s="1">
        <v>139</v>
      </c>
      <c r="G1599" s="1" t="s">
        <v>106</v>
      </c>
      <c r="H1599" s="1" t="s">
        <v>95</v>
      </c>
      <c r="I1599" s="1">
        <v>17.8</v>
      </c>
      <c r="J1599" s="1" t="s">
        <v>95</v>
      </c>
      <c r="M1599" s="1" t="s">
        <v>101</v>
      </c>
      <c r="O1599" s="1">
        <v>1</v>
      </c>
    </row>
    <row r="1600" spans="1:18" ht="14.25" customHeight="1" x14ac:dyDescent="0.3">
      <c r="A1600" s="1" t="s">
        <v>70</v>
      </c>
      <c r="B1600" s="1">
        <v>23</v>
      </c>
      <c r="C1600" s="1">
        <v>27</v>
      </c>
      <c r="D1600" s="1" t="str">
        <f t="shared" si="25"/>
        <v>Yes</v>
      </c>
      <c r="E1600" s="1">
        <v>5.0999999999999996</v>
      </c>
      <c r="F1600" s="1">
        <v>334</v>
      </c>
      <c r="G1600" s="1" t="s">
        <v>106</v>
      </c>
      <c r="H1600" s="1" t="s">
        <v>95</v>
      </c>
      <c r="I1600" s="1">
        <v>17.5</v>
      </c>
      <c r="M1600" s="1" t="s">
        <v>101</v>
      </c>
      <c r="O1600" s="1">
        <v>1</v>
      </c>
    </row>
    <row r="1601" spans="1:18" ht="14.25" customHeight="1" x14ac:dyDescent="0.3">
      <c r="A1601" s="1" t="s">
        <v>70</v>
      </c>
      <c r="B1601" s="1">
        <v>23</v>
      </c>
      <c r="C1601" s="1">
        <v>28</v>
      </c>
      <c r="D1601" s="1" t="str">
        <f t="shared" si="25"/>
        <v>Yes</v>
      </c>
      <c r="E1601" s="1">
        <v>5.5</v>
      </c>
      <c r="F1601" s="1">
        <v>349</v>
      </c>
      <c r="G1601" s="1" t="s">
        <v>106</v>
      </c>
      <c r="H1601" s="1" t="s">
        <v>95</v>
      </c>
      <c r="I1601" s="1">
        <v>16.100000000000001</v>
      </c>
      <c r="M1601" s="1" t="s">
        <v>101</v>
      </c>
      <c r="O1601" s="1">
        <v>1</v>
      </c>
    </row>
    <row r="1602" spans="1:18" ht="14.25" customHeight="1" x14ac:dyDescent="0.3">
      <c r="A1602" s="1" t="s">
        <v>70</v>
      </c>
      <c r="B1602" s="1">
        <v>23</v>
      </c>
      <c r="C1602" s="1">
        <v>9</v>
      </c>
      <c r="D1602" s="1" t="str">
        <f t="shared" si="25"/>
        <v>Yes</v>
      </c>
      <c r="E1602" s="1">
        <v>6.7</v>
      </c>
      <c r="F1602" s="1">
        <v>131</v>
      </c>
      <c r="G1602" s="1" t="s">
        <v>106</v>
      </c>
      <c r="H1602" s="1" t="s">
        <v>95</v>
      </c>
      <c r="I1602" s="1">
        <v>9.1</v>
      </c>
      <c r="J1602" s="1" t="s">
        <v>95</v>
      </c>
      <c r="M1602" s="1" t="s">
        <v>101</v>
      </c>
      <c r="O1602" s="1">
        <v>2</v>
      </c>
    </row>
    <row r="1603" spans="1:18" ht="14.25" customHeight="1" x14ac:dyDescent="0.3">
      <c r="A1603" s="1" t="s">
        <v>70</v>
      </c>
      <c r="B1603" s="1">
        <v>23</v>
      </c>
      <c r="C1603" s="1">
        <v>30</v>
      </c>
      <c r="D1603" s="1" t="str">
        <f t="shared" si="25"/>
        <v>Yes</v>
      </c>
      <c r="E1603" s="1">
        <v>9.6</v>
      </c>
      <c r="F1603" s="1">
        <v>356</v>
      </c>
      <c r="G1603" s="1" t="s">
        <v>93</v>
      </c>
      <c r="H1603" s="1" t="s">
        <v>95</v>
      </c>
      <c r="I1603" s="1">
        <v>18.2</v>
      </c>
      <c r="M1603" s="1" t="s">
        <v>101</v>
      </c>
      <c r="O1603" s="1">
        <v>1</v>
      </c>
    </row>
    <row r="1604" spans="1:18" ht="14.25" customHeight="1" x14ac:dyDescent="0.3">
      <c r="A1604" s="1" t="s">
        <v>70</v>
      </c>
      <c r="B1604" s="1">
        <v>23</v>
      </c>
      <c r="C1604" s="1">
        <v>17</v>
      </c>
      <c r="D1604" s="1" t="str">
        <f t="shared" si="25"/>
        <v>Yes</v>
      </c>
      <c r="E1604" s="1">
        <v>8.4</v>
      </c>
      <c r="F1604" s="1">
        <v>220</v>
      </c>
      <c r="G1604" s="1" t="s">
        <v>93</v>
      </c>
      <c r="H1604" s="1" t="s">
        <v>95</v>
      </c>
      <c r="I1604" s="1">
        <v>8.6999999999999993</v>
      </c>
      <c r="J1604" s="1" t="s">
        <v>95</v>
      </c>
      <c r="M1604" s="1" t="s">
        <v>101</v>
      </c>
      <c r="O1604" s="1">
        <v>1</v>
      </c>
    </row>
    <row r="1605" spans="1:18" ht="14.25" customHeight="1" x14ac:dyDescent="0.3">
      <c r="A1605" s="1" t="s">
        <v>70</v>
      </c>
      <c r="B1605" s="1">
        <v>23</v>
      </c>
      <c r="C1605" s="1">
        <v>4</v>
      </c>
      <c r="D1605" s="1" t="str">
        <f t="shared" si="25"/>
        <v>Yes</v>
      </c>
      <c r="E1605" s="1">
        <v>12</v>
      </c>
      <c r="F1605" s="1">
        <v>86</v>
      </c>
      <c r="G1605" s="1" t="s">
        <v>96</v>
      </c>
      <c r="H1605" s="1" t="s">
        <v>94</v>
      </c>
      <c r="I1605" s="1">
        <v>39.299999999999997</v>
      </c>
      <c r="J1605" s="1" t="s">
        <v>95</v>
      </c>
      <c r="K1605" s="1">
        <v>5</v>
      </c>
      <c r="L1605" s="1">
        <v>70</v>
      </c>
      <c r="M1605" s="1" t="s">
        <v>102</v>
      </c>
    </row>
    <row r="1606" spans="1:18" ht="14.25" customHeight="1" x14ac:dyDescent="0.3">
      <c r="A1606" s="1" t="s">
        <v>70</v>
      </c>
      <c r="B1606" s="1">
        <v>23</v>
      </c>
      <c r="C1606" s="1">
        <v>6</v>
      </c>
      <c r="D1606" s="1" t="str">
        <f t="shared" si="25"/>
        <v>Yes</v>
      </c>
      <c r="E1606" s="1">
        <v>5.2</v>
      </c>
      <c r="F1606" s="1">
        <v>109</v>
      </c>
      <c r="G1606" s="1" t="s">
        <v>96</v>
      </c>
      <c r="H1606" s="1" t="s">
        <v>94</v>
      </c>
      <c r="I1606" s="1">
        <v>36.700000000000003</v>
      </c>
      <c r="J1606" s="1" t="s">
        <v>95</v>
      </c>
      <c r="K1606" s="1">
        <v>5</v>
      </c>
      <c r="L1606" s="1">
        <v>95</v>
      </c>
      <c r="M1606" s="1" t="s">
        <v>102</v>
      </c>
    </row>
    <row r="1607" spans="1:18" ht="14.25" customHeight="1" x14ac:dyDescent="0.3">
      <c r="A1607" s="1" t="s">
        <v>70</v>
      </c>
      <c r="B1607" s="1">
        <v>23</v>
      </c>
      <c r="C1607" s="1">
        <v>3</v>
      </c>
      <c r="D1607" s="1" t="str">
        <f t="shared" si="25"/>
        <v>Yes</v>
      </c>
      <c r="E1607" s="1">
        <v>10.1</v>
      </c>
      <c r="F1607" s="1">
        <v>44</v>
      </c>
      <c r="G1607" s="1" t="s">
        <v>96</v>
      </c>
      <c r="H1607" s="1" t="s">
        <v>94</v>
      </c>
      <c r="I1607" s="1">
        <v>35.9</v>
      </c>
      <c r="J1607" s="1" t="s">
        <v>95</v>
      </c>
      <c r="K1607" s="1">
        <v>5</v>
      </c>
      <c r="L1607" s="1">
        <v>60</v>
      </c>
      <c r="M1607" s="1" t="s">
        <v>102</v>
      </c>
    </row>
    <row r="1608" spans="1:18" ht="14.25" customHeight="1" x14ac:dyDescent="0.3">
      <c r="A1608" s="1" t="s">
        <v>70</v>
      </c>
      <c r="B1608" s="1">
        <v>23</v>
      </c>
      <c r="C1608" s="1">
        <v>5</v>
      </c>
      <c r="D1608" s="1" t="str">
        <f t="shared" si="25"/>
        <v>Yes</v>
      </c>
      <c r="E1608" s="1">
        <v>2.4</v>
      </c>
      <c r="F1608" s="1">
        <v>83</v>
      </c>
      <c r="G1608" s="66" t="s">
        <v>111</v>
      </c>
      <c r="H1608" s="1" t="s">
        <v>94</v>
      </c>
      <c r="I1608" s="1">
        <v>48.5</v>
      </c>
      <c r="J1608" s="1" t="s">
        <v>95</v>
      </c>
      <c r="K1608" s="1">
        <v>1</v>
      </c>
      <c r="L1608" s="1">
        <v>10</v>
      </c>
      <c r="M1608" s="1" t="s">
        <v>102</v>
      </c>
      <c r="N1608" s="1" t="s">
        <v>100</v>
      </c>
      <c r="P1608" s="1">
        <v>747</v>
      </c>
    </row>
    <row r="1609" spans="1:18" ht="14.25" customHeight="1" x14ac:dyDescent="0.3">
      <c r="A1609" s="1" t="s">
        <v>70</v>
      </c>
      <c r="B1609" s="1">
        <v>23</v>
      </c>
      <c r="C1609" s="1">
        <v>1</v>
      </c>
      <c r="D1609" s="1" t="str">
        <f t="shared" si="25"/>
        <v>Yes</v>
      </c>
      <c r="E1609" s="1">
        <v>3.9</v>
      </c>
      <c r="F1609" s="1">
        <v>6</v>
      </c>
      <c r="G1609" s="66" t="s">
        <v>111</v>
      </c>
      <c r="H1609" s="1" t="s">
        <v>94</v>
      </c>
      <c r="I1609" s="1">
        <v>35</v>
      </c>
      <c r="J1609" s="1" t="s">
        <v>95</v>
      </c>
      <c r="K1609" s="1">
        <v>0</v>
      </c>
      <c r="L1609" s="1">
        <v>20</v>
      </c>
      <c r="M1609" s="1" t="s">
        <v>101</v>
      </c>
      <c r="P1609" s="19">
        <v>747</v>
      </c>
    </row>
    <row r="1610" spans="1:18" ht="14.25" customHeight="1" x14ac:dyDescent="0.3">
      <c r="A1610" s="1" t="s">
        <v>70</v>
      </c>
      <c r="B1610" s="1">
        <v>23</v>
      </c>
      <c r="C1610" s="1">
        <v>12</v>
      </c>
      <c r="D1610" s="1" t="str">
        <f t="shared" si="25"/>
        <v>Yes</v>
      </c>
      <c r="E1610" s="1">
        <v>11</v>
      </c>
      <c r="F1610" s="1">
        <v>178</v>
      </c>
      <c r="G1610" s="1" t="s">
        <v>106</v>
      </c>
      <c r="H1610" s="1" t="s">
        <v>94</v>
      </c>
      <c r="I1610" s="1">
        <v>24.2</v>
      </c>
      <c r="J1610" s="1" t="s">
        <v>95</v>
      </c>
      <c r="K1610" s="1">
        <v>0</v>
      </c>
      <c r="L1610" s="1">
        <v>5</v>
      </c>
      <c r="M1610" s="1" t="s">
        <v>101</v>
      </c>
    </row>
    <row r="1611" spans="1:18" ht="14.25" customHeight="1" x14ac:dyDescent="0.3">
      <c r="A1611" s="1" t="s">
        <v>70</v>
      </c>
      <c r="B1611" s="1">
        <v>23</v>
      </c>
      <c r="C1611" s="1">
        <v>15</v>
      </c>
      <c r="D1611" s="1" t="str">
        <f t="shared" si="25"/>
        <v>Yes</v>
      </c>
      <c r="E1611" s="1">
        <v>4</v>
      </c>
      <c r="F1611" s="1">
        <v>260</v>
      </c>
      <c r="G1611" s="1" t="s">
        <v>106</v>
      </c>
      <c r="H1611" s="1" t="s">
        <v>94</v>
      </c>
      <c r="I1611" s="1">
        <v>23.3</v>
      </c>
      <c r="J1611" s="1" t="s">
        <v>95</v>
      </c>
      <c r="K1611" s="1">
        <v>1</v>
      </c>
      <c r="L1611" s="1">
        <v>5</v>
      </c>
      <c r="M1611" s="1" t="s">
        <v>101</v>
      </c>
      <c r="P1611" s="1">
        <v>749</v>
      </c>
    </row>
    <row r="1612" spans="1:18" ht="14.25" customHeight="1" x14ac:dyDescent="0.3">
      <c r="A1612" s="17" t="s">
        <v>70</v>
      </c>
      <c r="B1612" s="17">
        <v>23</v>
      </c>
      <c r="C1612" s="17">
        <v>13</v>
      </c>
      <c r="D1612" s="17" t="str">
        <f t="shared" si="25"/>
        <v>Yes</v>
      </c>
      <c r="E1612" s="17">
        <v>3.2</v>
      </c>
      <c r="F1612" s="17">
        <v>235</v>
      </c>
      <c r="G1612" s="17" t="s">
        <v>106</v>
      </c>
      <c r="H1612" s="17" t="s">
        <v>94</v>
      </c>
      <c r="I1612" s="17">
        <v>21.7</v>
      </c>
      <c r="J1612" s="17" t="s">
        <v>95</v>
      </c>
      <c r="K1612" s="17">
        <v>1</v>
      </c>
      <c r="L1612" s="17">
        <v>40</v>
      </c>
      <c r="M1612" s="17" t="s">
        <v>101</v>
      </c>
      <c r="N1612" s="20"/>
      <c r="O1612" s="20"/>
      <c r="P1612" s="20"/>
      <c r="Q1612" s="20"/>
      <c r="R1612" s="20"/>
    </row>
    <row r="1613" spans="1:18" ht="14.25" customHeight="1" x14ac:dyDescent="0.3">
      <c r="A1613" s="1" t="s">
        <v>70</v>
      </c>
      <c r="B1613" s="1">
        <v>23</v>
      </c>
      <c r="C1613" s="1">
        <v>18</v>
      </c>
      <c r="D1613" s="1" t="str">
        <f t="shared" si="25"/>
        <v>Yes</v>
      </c>
      <c r="E1613" s="1">
        <v>7.2</v>
      </c>
      <c r="F1613" s="1">
        <v>269</v>
      </c>
      <c r="G1613" s="1" t="s">
        <v>106</v>
      </c>
      <c r="H1613" s="1" t="s">
        <v>94</v>
      </c>
      <c r="I1613" s="1">
        <v>15.7</v>
      </c>
      <c r="J1613" s="1" t="s">
        <v>95</v>
      </c>
      <c r="K1613" s="1">
        <v>0</v>
      </c>
      <c r="L1613" s="1">
        <v>5</v>
      </c>
      <c r="M1613" s="1" t="s">
        <v>101</v>
      </c>
    </row>
    <row r="1614" spans="1:18" ht="14.25" customHeight="1" x14ac:dyDescent="0.3">
      <c r="A1614" s="1" t="s">
        <v>70</v>
      </c>
      <c r="B1614" s="1">
        <v>23</v>
      </c>
      <c r="C1614" s="1">
        <v>16</v>
      </c>
      <c r="D1614" s="1" t="str">
        <f t="shared" si="25"/>
        <v>Yes</v>
      </c>
      <c r="E1614" s="1">
        <v>4</v>
      </c>
      <c r="F1614" s="1">
        <v>260</v>
      </c>
      <c r="G1614" s="1" t="s">
        <v>106</v>
      </c>
      <c r="H1614" s="1" t="s">
        <v>94</v>
      </c>
      <c r="I1614" s="1">
        <v>15.3</v>
      </c>
      <c r="J1614" s="1" t="s">
        <v>95</v>
      </c>
      <c r="K1614" s="1">
        <v>1</v>
      </c>
      <c r="L1614" s="1">
        <v>5</v>
      </c>
      <c r="M1614" s="1" t="s">
        <v>101</v>
      </c>
    </row>
    <row r="1615" spans="1:18" ht="14.25" customHeight="1" x14ac:dyDescent="0.3">
      <c r="A1615" s="1" t="s">
        <v>70</v>
      </c>
      <c r="B1615" s="1">
        <v>23</v>
      </c>
      <c r="C1615" s="1">
        <v>23</v>
      </c>
      <c r="D1615" s="1" t="str">
        <f t="shared" si="25"/>
        <v>Yes</v>
      </c>
      <c r="E1615" s="1">
        <v>9.3000000000000007</v>
      </c>
      <c r="F1615" s="1">
        <v>306</v>
      </c>
      <c r="G1615" s="1" t="s">
        <v>106</v>
      </c>
      <c r="H1615" s="1" t="s">
        <v>94</v>
      </c>
      <c r="I1615" s="1">
        <v>14.9</v>
      </c>
      <c r="K1615" s="1">
        <v>0</v>
      </c>
      <c r="L1615" s="1">
        <v>1</v>
      </c>
      <c r="M1615" s="1" t="s">
        <v>101</v>
      </c>
    </row>
    <row r="1616" spans="1:18" ht="14.25" customHeight="1" x14ac:dyDescent="0.3">
      <c r="A1616" s="1" t="s">
        <v>70</v>
      </c>
      <c r="B1616" s="1">
        <v>23</v>
      </c>
      <c r="C1616" s="1">
        <v>21</v>
      </c>
      <c r="D1616" s="1" t="str">
        <f t="shared" si="25"/>
        <v>Yes</v>
      </c>
      <c r="E1616" s="1">
        <v>8.4</v>
      </c>
      <c r="F1616" s="1">
        <v>280</v>
      </c>
      <c r="G1616" s="1" t="s">
        <v>106</v>
      </c>
      <c r="H1616" s="1" t="s">
        <v>94</v>
      </c>
      <c r="I1616" s="1">
        <v>9.3000000000000007</v>
      </c>
      <c r="J1616" s="1" t="s">
        <v>95</v>
      </c>
      <c r="K1616" s="1">
        <v>0</v>
      </c>
      <c r="L1616" s="1">
        <v>1</v>
      </c>
      <c r="M1616" s="1" t="s">
        <v>101</v>
      </c>
    </row>
    <row r="1617" spans="1:18" ht="14.25" customHeight="1" x14ac:dyDescent="0.3">
      <c r="A1617" s="1" t="s">
        <v>70</v>
      </c>
      <c r="B1617" s="1">
        <v>23</v>
      </c>
      <c r="C1617" s="1">
        <v>22</v>
      </c>
      <c r="D1617" s="1" t="str">
        <f t="shared" si="25"/>
        <v>Yes</v>
      </c>
      <c r="E1617" s="1">
        <v>10.199999999999999</v>
      </c>
      <c r="F1617" s="1">
        <v>285</v>
      </c>
      <c r="G1617" s="1" t="s">
        <v>106</v>
      </c>
      <c r="H1617" s="1" t="s">
        <v>94</v>
      </c>
      <c r="I1617" s="1">
        <v>9.1999999999999993</v>
      </c>
      <c r="J1617" s="1" t="s">
        <v>95</v>
      </c>
      <c r="K1617" s="1">
        <v>0</v>
      </c>
      <c r="L1617" s="1">
        <v>1</v>
      </c>
      <c r="M1617" s="1" t="s">
        <v>101</v>
      </c>
    </row>
    <row r="1618" spans="1:18" ht="14.25" customHeight="1" x14ac:dyDescent="0.3">
      <c r="A1618" s="1" t="s">
        <v>70</v>
      </c>
      <c r="B1618" s="1">
        <v>23</v>
      </c>
      <c r="C1618" s="1">
        <v>11</v>
      </c>
      <c r="D1618" s="1" t="str">
        <f t="shared" si="25"/>
        <v>Yes</v>
      </c>
      <c r="E1618" s="1">
        <v>8.4</v>
      </c>
      <c r="F1618" s="1">
        <v>175</v>
      </c>
      <c r="G1618" s="1" t="s">
        <v>93</v>
      </c>
      <c r="H1618" s="1" t="s">
        <v>94</v>
      </c>
      <c r="I1618" s="1">
        <v>28.5</v>
      </c>
      <c r="J1618" s="1" t="s">
        <v>95</v>
      </c>
      <c r="K1618" s="1">
        <v>1</v>
      </c>
      <c r="L1618" s="1">
        <v>45</v>
      </c>
      <c r="M1618" s="1" t="s">
        <v>102</v>
      </c>
    </row>
    <row r="1619" spans="1:18" ht="14.25" customHeight="1" x14ac:dyDescent="0.3">
      <c r="A1619" s="1" t="s">
        <v>70</v>
      </c>
      <c r="B1619" s="1">
        <v>23</v>
      </c>
      <c r="C1619" s="1">
        <v>19</v>
      </c>
      <c r="D1619" s="1" t="str">
        <f t="shared" si="25"/>
        <v>Yes</v>
      </c>
      <c r="E1619" s="1">
        <v>6.8</v>
      </c>
      <c r="F1619" s="1">
        <v>277</v>
      </c>
      <c r="G1619" s="1" t="s">
        <v>93</v>
      </c>
      <c r="H1619" s="1" t="s">
        <v>94</v>
      </c>
      <c r="I1619" s="1">
        <v>17.7</v>
      </c>
      <c r="J1619" s="1" t="s">
        <v>95</v>
      </c>
      <c r="K1619" s="1">
        <v>0</v>
      </c>
      <c r="L1619" s="1">
        <v>10</v>
      </c>
      <c r="M1619" s="1" t="s">
        <v>101</v>
      </c>
      <c r="P1619" s="20"/>
    </row>
    <row r="1620" spans="1:18" ht="14.25" customHeight="1" x14ac:dyDescent="0.3">
      <c r="A1620" s="1" t="s">
        <v>70</v>
      </c>
      <c r="B1620" s="1">
        <v>23</v>
      </c>
      <c r="C1620" s="1">
        <v>24</v>
      </c>
      <c r="D1620" s="1" t="str">
        <f t="shared" si="25"/>
        <v>Yes</v>
      </c>
      <c r="E1620" s="1">
        <v>7.4</v>
      </c>
      <c r="F1620" s="1">
        <v>306</v>
      </c>
      <c r="G1620" s="1" t="s">
        <v>93</v>
      </c>
      <c r="H1620" s="1" t="s">
        <v>94</v>
      </c>
      <c r="I1620" s="1">
        <v>15.9</v>
      </c>
      <c r="K1620" s="1">
        <v>1</v>
      </c>
      <c r="L1620" s="1">
        <v>80</v>
      </c>
      <c r="M1620" s="1" t="s">
        <v>101</v>
      </c>
    </row>
    <row r="1621" spans="1:18" ht="14.25" customHeight="1" x14ac:dyDescent="0.3">
      <c r="A1621" s="1" t="s">
        <v>70</v>
      </c>
      <c r="B1621" s="1">
        <v>23</v>
      </c>
      <c r="C1621" s="1">
        <v>25</v>
      </c>
      <c r="D1621" s="1" t="str">
        <f t="shared" si="25"/>
        <v>Yes</v>
      </c>
      <c r="E1621" s="1">
        <v>9.8000000000000007</v>
      </c>
      <c r="F1621" s="1">
        <v>308</v>
      </c>
      <c r="G1621" s="1" t="s">
        <v>93</v>
      </c>
      <c r="H1621" s="1" t="s">
        <v>94</v>
      </c>
      <c r="I1621" s="1">
        <v>14.7</v>
      </c>
      <c r="K1621" s="1">
        <v>0</v>
      </c>
      <c r="L1621" s="1">
        <v>75</v>
      </c>
      <c r="M1621" s="1" t="s">
        <v>101</v>
      </c>
    </row>
    <row r="1622" spans="1:18" ht="14.25" customHeight="1" x14ac:dyDescent="0.3">
      <c r="A1622" s="1" t="s">
        <v>70</v>
      </c>
      <c r="B1622" s="1">
        <v>23</v>
      </c>
      <c r="C1622" s="1">
        <v>20</v>
      </c>
      <c r="D1622" s="1" t="str">
        <f t="shared" si="25"/>
        <v>Yes</v>
      </c>
      <c r="E1622" s="1">
        <v>6.4</v>
      </c>
      <c r="F1622" s="1">
        <v>292</v>
      </c>
      <c r="G1622" s="1" t="s">
        <v>93</v>
      </c>
      <c r="H1622" s="1" t="s">
        <v>94</v>
      </c>
      <c r="I1622" s="1">
        <v>10.199999999999999</v>
      </c>
      <c r="J1622" s="1" t="s">
        <v>95</v>
      </c>
      <c r="K1622" s="1">
        <v>1</v>
      </c>
      <c r="L1622" s="1">
        <v>60</v>
      </c>
      <c r="M1622" s="1" t="s">
        <v>101</v>
      </c>
    </row>
    <row r="1623" spans="1:18" ht="14.25" customHeight="1" x14ac:dyDescent="0.3">
      <c r="A1623" s="1" t="s">
        <v>70</v>
      </c>
      <c r="B1623" s="1">
        <v>24</v>
      </c>
      <c r="C1623" s="1">
        <v>3</v>
      </c>
      <c r="D1623" s="1" t="str">
        <f t="shared" si="25"/>
        <v>Yes</v>
      </c>
      <c r="E1623" s="1">
        <v>10.5</v>
      </c>
      <c r="F1623" s="1">
        <v>88</v>
      </c>
      <c r="G1623" s="1" t="s">
        <v>96</v>
      </c>
      <c r="H1623" s="1" t="s">
        <v>95</v>
      </c>
      <c r="I1623" s="1">
        <v>43.8</v>
      </c>
      <c r="J1623" s="1" t="s">
        <v>95</v>
      </c>
      <c r="M1623" s="1" t="s">
        <v>97</v>
      </c>
      <c r="O1623" s="1">
        <v>1</v>
      </c>
    </row>
    <row r="1624" spans="1:18" ht="14.25" customHeight="1" x14ac:dyDescent="0.3">
      <c r="A1624" s="1" t="s">
        <v>70</v>
      </c>
      <c r="B1624" s="1">
        <v>24</v>
      </c>
      <c r="C1624" s="1">
        <v>12</v>
      </c>
      <c r="D1624" s="1" t="str">
        <f t="shared" ref="D1624:D1687" si="26">IF(E1624&gt;12.5, "No", "Yes")</f>
        <v>Yes</v>
      </c>
      <c r="E1624" s="1">
        <v>7.6</v>
      </c>
      <c r="F1624" s="1">
        <v>333</v>
      </c>
      <c r="G1624" s="1" t="s">
        <v>96</v>
      </c>
      <c r="H1624" s="1" t="s">
        <v>95</v>
      </c>
      <c r="I1624" s="1">
        <v>43.1</v>
      </c>
      <c r="J1624" s="1" t="s">
        <v>95</v>
      </c>
      <c r="M1624" s="1" t="s">
        <v>102</v>
      </c>
      <c r="O1624" s="1">
        <v>5</v>
      </c>
      <c r="P1624" s="1">
        <v>720</v>
      </c>
    </row>
    <row r="1625" spans="1:18" ht="14.25" customHeight="1" x14ac:dyDescent="0.3">
      <c r="A1625" s="1" t="s">
        <v>70</v>
      </c>
      <c r="B1625" s="1">
        <v>24</v>
      </c>
      <c r="C1625" s="1">
        <v>1</v>
      </c>
      <c r="D1625" s="1" t="str">
        <f t="shared" si="26"/>
        <v>Yes</v>
      </c>
      <c r="E1625" s="1">
        <v>9.5</v>
      </c>
      <c r="F1625" s="1">
        <v>37</v>
      </c>
      <c r="G1625" s="1" t="s">
        <v>96</v>
      </c>
      <c r="H1625" s="1" t="s">
        <v>95</v>
      </c>
      <c r="I1625" s="1">
        <v>37.9</v>
      </c>
      <c r="J1625" s="1" t="s">
        <v>95</v>
      </c>
      <c r="M1625" s="1" t="s">
        <v>102</v>
      </c>
      <c r="O1625" s="1">
        <v>1</v>
      </c>
      <c r="P1625" s="1">
        <v>721</v>
      </c>
    </row>
    <row r="1626" spans="1:18" ht="14.25" customHeight="1" x14ac:dyDescent="0.3">
      <c r="A1626" s="1" t="s">
        <v>70</v>
      </c>
      <c r="B1626" s="1">
        <v>24</v>
      </c>
      <c r="C1626" s="1">
        <v>7</v>
      </c>
      <c r="D1626" s="1" t="str">
        <f t="shared" si="26"/>
        <v>Yes</v>
      </c>
      <c r="E1626" s="1">
        <v>9.4</v>
      </c>
      <c r="F1626" s="1">
        <v>164</v>
      </c>
      <c r="G1626" s="1" t="s">
        <v>96</v>
      </c>
      <c r="H1626" s="1" t="s">
        <v>95</v>
      </c>
      <c r="I1626" s="1">
        <v>16.5</v>
      </c>
      <c r="J1626" s="1" t="s">
        <v>95</v>
      </c>
      <c r="M1626" s="1" t="s">
        <v>95</v>
      </c>
      <c r="O1626" s="1">
        <v>1</v>
      </c>
      <c r="P1626" s="1">
        <v>719</v>
      </c>
    </row>
    <row r="1627" spans="1:18" ht="14.25" customHeight="1" x14ac:dyDescent="0.3">
      <c r="A1627" s="1" t="s">
        <v>70</v>
      </c>
      <c r="B1627" s="1">
        <v>24</v>
      </c>
      <c r="C1627" s="1">
        <v>2</v>
      </c>
      <c r="D1627" s="1" t="str">
        <f t="shared" si="26"/>
        <v>Yes</v>
      </c>
      <c r="E1627" s="1">
        <v>6.7</v>
      </c>
      <c r="F1627" s="1">
        <v>80</v>
      </c>
      <c r="G1627" s="1" t="s">
        <v>184</v>
      </c>
      <c r="H1627" s="1" t="s">
        <v>95</v>
      </c>
      <c r="I1627" s="1">
        <v>7.8</v>
      </c>
      <c r="J1627" s="1" t="s">
        <v>95</v>
      </c>
      <c r="M1627" s="1" t="s">
        <v>101</v>
      </c>
      <c r="O1627" s="1">
        <v>3</v>
      </c>
    </row>
    <row r="1628" spans="1:18" ht="14.25" customHeight="1" x14ac:dyDescent="0.3">
      <c r="A1628" s="1" t="s">
        <v>70</v>
      </c>
      <c r="B1628" s="1">
        <v>24</v>
      </c>
      <c r="C1628" s="1">
        <v>5</v>
      </c>
      <c r="D1628" s="1" t="str">
        <f t="shared" si="26"/>
        <v>Yes</v>
      </c>
      <c r="E1628" s="1">
        <v>9.9</v>
      </c>
      <c r="F1628" s="1">
        <v>104</v>
      </c>
      <c r="G1628" s="66" t="s">
        <v>111</v>
      </c>
      <c r="H1628" s="1" t="s">
        <v>95</v>
      </c>
      <c r="I1628" s="1">
        <v>100</v>
      </c>
      <c r="J1628" s="1" t="s">
        <v>101</v>
      </c>
      <c r="M1628" s="1" t="s">
        <v>97</v>
      </c>
      <c r="O1628" s="1">
        <v>5</v>
      </c>
      <c r="Q1628" s="1" t="s">
        <v>162</v>
      </c>
    </row>
    <row r="1629" spans="1:18" ht="14.25" customHeight="1" x14ac:dyDescent="0.3">
      <c r="A1629" s="1" t="s">
        <v>70</v>
      </c>
      <c r="B1629" s="1">
        <v>24</v>
      </c>
      <c r="C1629" s="1">
        <v>6</v>
      </c>
      <c r="D1629" s="1" t="str">
        <f t="shared" si="26"/>
        <v>Yes</v>
      </c>
      <c r="E1629" s="1">
        <v>6.1</v>
      </c>
      <c r="F1629" s="1">
        <v>131</v>
      </c>
      <c r="G1629" s="66" t="s">
        <v>111</v>
      </c>
      <c r="H1629" s="1" t="s">
        <v>95</v>
      </c>
      <c r="I1629" s="1">
        <v>15</v>
      </c>
      <c r="J1629" s="1" t="s">
        <v>95</v>
      </c>
      <c r="M1629" s="1" t="s">
        <v>102</v>
      </c>
      <c r="O1629" s="1">
        <v>1</v>
      </c>
      <c r="R1629" s="1"/>
    </row>
    <row r="1630" spans="1:18" ht="14.25" customHeight="1" x14ac:dyDescent="0.3">
      <c r="A1630" s="1" t="s">
        <v>70</v>
      </c>
      <c r="B1630" s="1">
        <v>24</v>
      </c>
      <c r="C1630" s="1">
        <v>13</v>
      </c>
      <c r="D1630" s="1" t="str">
        <f t="shared" si="26"/>
        <v>Yes</v>
      </c>
      <c r="E1630" s="1">
        <v>11.7</v>
      </c>
      <c r="F1630" s="1">
        <v>348</v>
      </c>
      <c r="G1630" s="1" t="s">
        <v>109</v>
      </c>
      <c r="H1630" s="1" t="s">
        <v>95</v>
      </c>
      <c r="I1630" s="1">
        <v>45</v>
      </c>
      <c r="J1630" s="1" t="s">
        <v>101</v>
      </c>
      <c r="M1630" s="1" t="s">
        <v>97</v>
      </c>
      <c r="O1630" s="1">
        <v>5</v>
      </c>
      <c r="Q1630" s="1" t="s">
        <v>162</v>
      </c>
      <c r="R1630" s="1"/>
    </row>
    <row r="1631" spans="1:18" ht="14.25" customHeight="1" x14ac:dyDescent="0.3">
      <c r="A1631" s="1" t="s">
        <v>70</v>
      </c>
      <c r="B1631" s="1">
        <v>24</v>
      </c>
      <c r="C1631" s="1">
        <v>4</v>
      </c>
      <c r="D1631" s="1" t="str">
        <f t="shared" si="26"/>
        <v>Yes</v>
      </c>
      <c r="E1631" s="1">
        <v>10.9</v>
      </c>
      <c r="F1631" s="1">
        <v>105</v>
      </c>
      <c r="G1631" s="1" t="s">
        <v>106</v>
      </c>
      <c r="H1631" s="1" t="s">
        <v>95</v>
      </c>
      <c r="I1631" s="1">
        <v>100</v>
      </c>
      <c r="J1631" s="1" t="s">
        <v>101</v>
      </c>
      <c r="M1631" s="1" t="s">
        <v>97</v>
      </c>
      <c r="O1631" s="1">
        <v>5</v>
      </c>
      <c r="Q1631" s="1" t="s">
        <v>162</v>
      </c>
      <c r="R1631" s="1"/>
    </row>
    <row r="1632" spans="1:18" ht="14.25" customHeight="1" x14ac:dyDescent="0.3">
      <c r="A1632" s="1" t="s">
        <v>70</v>
      </c>
      <c r="B1632" s="1">
        <v>24</v>
      </c>
      <c r="C1632" s="1">
        <v>10</v>
      </c>
      <c r="D1632" s="1" t="str">
        <f t="shared" si="26"/>
        <v>Yes</v>
      </c>
      <c r="E1632" s="1">
        <v>8</v>
      </c>
      <c r="F1632" s="1">
        <v>266</v>
      </c>
      <c r="G1632" s="1" t="s">
        <v>106</v>
      </c>
      <c r="H1632" s="1" t="s">
        <v>95</v>
      </c>
      <c r="I1632" s="1">
        <v>100</v>
      </c>
      <c r="J1632" s="1" t="s">
        <v>101</v>
      </c>
      <c r="M1632" s="1" t="s">
        <v>95</v>
      </c>
      <c r="O1632" s="1">
        <v>5</v>
      </c>
      <c r="Q1632" s="1" t="s">
        <v>162</v>
      </c>
    </row>
    <row r="1633" spans="1:18" ht="14.25" customHeight="1" x14ac:dyDescent="0.3">
      <c r="A1633" s="1" t="s">
        <v>70</v>
      </c>
      <c r="B1633" s="1">
        <v>24</v>
      </c>
      <c r="C1633" s="1">
        <v>8</v>
      </c>
      <c r="D1633" s="1" t="str">
        <f t="shared" si="26"/>
        <v>Yes</v>
      </c>
      <c r="E1633" s="1">
        <v>12</v>
      </c>
      <c r="F1633" s="1">
        <v>238</v>
      </c>
      <c r="G1633" s="1" t="s">
        <v>106</v>
      </c>
      <c r="H1633" s="1" t="s">
        <v>95</v>
      </c>
      <c r="I1633" s="1">
        <v>90</v>
      </c>
      <c r="J1633" s="1" t="s">
        <v>101</v>
      </c>
      <c r="M1633" s="1" t="s">
        <v>97</v>
      </c>
      <c r="O1633" s="1">
        <v>5</v>
      </c>
      <c r="R1633" s="1"/>
    </row>
    <row r="1634" spans="1:18" ht="14.25" customHeight="1" x14ac:dyDescent="0.3">
      <c r="A1634" s="1" t="s">
        <v>70</v>
      </c>
      <c r="B1634" s="1">
        <v>24</v>
      </c>
      <c r="C1634" s="1">
        <v>11</v>
      </c>
      <c r="D1634" s="1" t="str">
        <f t="shared" si="26"/>
        <v>Yes</v>
      </c>
      <c r="E1634" s="1">
        <v>8.1</v>
      </c>
      <c r="F1634" s="1">
        <v>297</v>
      </c>
      <c r="G1634" s="1" t="s">
        <v>106</v>
      </c>
      <c r="H1634" s="1" t="s">
        <v>95</v>
      </c>
      <c r="I1634" s="1">
        <v>70</v>
      </c>
      <c r="J1634" s="1" t="s">
        <v>101</v>
      </c>
      <c r="M1634" s="1" t="s">
        <v>97</v>
      </c>
      <c r="O1634" s="1">
        <v>5</v>
      </c>
      <c r="Q1634" s="1" t="s">
        <v>162</v>
      </c>
      <c r="R1634" s="1"/>
    </row>
    <row r="1635" spans="1:18" ht="14.25" customHeight="1" x14ac:dyDescent="0.3">
      <c r="A1635" s="1" t="s">
        <v>70</v>
      </c>
      <c r="B1635" s="1">
        <v>24</v>
      </c>
      <c r="C1635" s="1">
        <v>9</v>
      </c>
      <c r="D1635" s="1" t="str">
        <f t="shared" si="26"/>
        <v>Yes</v>
      </c>
      <c r="E1635" s="1">
        <v>5.9</v>
      </c>
      <c r="F1635" s="1">
        <v>258</v>
      </c>
      <c r="G1635" s="1" t="s">
        <v>106</v>
      </c>
      <c r="H1635" s="1" t="s">
        <v>95</v>
      </c>
      <c r="I1635" s="1">
        <v>45</v>
      </c>
      <c r="J1635" s="1" t="s">
        <v>101</v>
      </c>
      <c r="M1635" s="1" t="s">
        <v>102</v>
      </c>
      <c r="O1635" s="1">
        <v>5</v>
      </c>
      <c r="Q1635" s="1" t="s">
        <v>162</v>
      </c>
      <c r="R1635" s="1"/>
    </row>
    <row r="1636" spans="1:18" ht="14.25" customHeight="1" x14ac:dyDescent="0.3">
      <c r="A1636" s="1" t="s">
        <v>70</v>
      </c>
      <c r="B1636" s="1">
        <v>25</v>
      </c>
      <c r="C1636" s="1">
        <v>27</v>
      </c>
      <c r="D1636" s="1" t="str">
        <f t="shared" si="26"/>
        <v>Yes</v>
      </c>
      <c r="E1636" s="1">
        <v>4.8</v>
      </c>
      <c r="F1636" s="1">
        <v>275</v>
      </c>
      <c r="G1636" s="1" t="s">
        <v>98</v>
      </c>
      <c r="H1636" s="1" t="s">
        <v>95</v>
      </c>
      <c r="I1636" s="1">
        <v>50.1</v>
      </c>
      <c r="J1636" s="1" t="s">
        <v>95</v>
      </c>
      <c r="M1636" s="1" t="s">
        <v>102</v>
      </c>
      <c r="O1636" s="1">
        <v>1</v>
      </c>
      <c r="Q1636" s="1" t="s">
        <v>221</v>
      </c>
    </row>
    <row r="1637" spans="1:18" ht="14.25" customHeight="1" x14ac:dyDescent="0.3">
      <c r="A1637" s="1" t="s">
        <v>70</v>
      </c>
      <c r="B1637" s="1">
        <v>25</v>
      </c>
      <c r="C1637" s="1">
        <v>26</v>
      </c>
      <c r="D1637" s="1" t="str">
        <f t="shared" si="26"/>
        <v>Yes</v>
      </c>
      <c r="E1637" s="1">
        <v>4.8</v>
      </c>
      <c r="F1637" s="1">
        <v>274</v>
      </c>
      <c r="G1637" s="1" t="s">
        <v>98</v>
      </c>
      <c r="H1637" s="1" t="s">
        <v>95</v>
      </c>
      <c r="I1637" s="1">
        <v>39.1</v>
      </c>
      <c r="J1637" s="1" t="s">
        <v>95</v>
      </c>
      <c r="M1637" s="1" t="s">
        <v>102</v>
      </c>
      <c r="O1637" s="1">
        <v>1</v>
      </c>
      <c r="Q1637" s="1" t="s">
        <v>221</v>
      </c>
    </row>
    <row r="1638" spans="1:18" ht="14.25" customHeight="1" x14ac:dyDescent="0.3">
      <c r="A1638" s="1" t="s">
        <v>70</v>
      </c>
      <c r="B1638" s="1">
        <v>25</v>
      </c>
      <c r="C1638" s="1">
        <v>46</v>
      </c>
      <c r="D1638" s="1" t="str">
        <f t="shared" si="26"/>
        <v>Yes</v>
      </c>
      <c r="E1638" s="1">
        <v>7.8</v>
      </c>
      <c r="F1638" s="1">
        <v>347</v>
      </c>
      <c r="G1638" s="1" t="s">
        <v>98</v>
      </c>
      <c r="H1638" s="1" t="s">
        <v>95</v>
      </c>
      <c r="I1638" s="1">
        <v>29.1</v>
      </c>
      <c r="J1638" s="1" t="s">
        <v>95</v>
      </c>
      <c r="M1638" s="1" t="s">
        <v>101</v>
      </c>
      <c r="O1638" s="1">
        <v>1</v>
      </c>
    </row>
    <row r="1639" spans="1:18" ht="14.25" customHeight="1" x14ac:dyDescent="0.3">
      <c r="A1639" s="1" t="s">
        <v>70</v>
      </c>
      <c r="B1639" s="1">
        <v>25</v>
      </c>
      <c r="C1639" s="1">
        <v>36</v>
      </c>
      <c r="D1639" s="1" t="str">
        <f t="shared" si="26"/>
        <v>Yes</v>
      </c>
      <c r="E1639" s="1">
        <v>11.7</v>
      </c>
      <c r="F1639" s="1">
        <v>308</v>
      </c>
      <c r="G1639" s="1" t="s">
        <v>98</v>
      </c>
      <c r="H1639" s="1" t="s">
        <v>95</v>
      </c>
      <c r="I1639" s="1">
        <v>28.7</v>
      </c>
      <c r="J1639" s="1" t="s">
        <v>95</v>
      </c>
      <c r="M1639" s="1" t="s">
        <v>101</v>
      </c>
      <c r="O1639" s="1">
        <v>1</v>
      </c>
    </row>
    <row r="1640" spans="1:18" ht="14.25" customHeight="1" x14ac:dyDescent="0.3">
      <c r="A1640" s="1" t="s">
        <v>70</v>
      </c>
      <c r="B1640" s="1">
        <v>25</v>
      </c>
      <c r="C1640" s="1">
        <v>44</v>
      </c>
      <c r="D1640" s="1" t="str">
        <f t="shared" si="26"/>
        <v>Yes</v>
      </c>
      <c r="E1640" s="1">
        <v>7.7</v>
      </c>
      <c r="F1640" s="1">
        <v>355</v>
      </c>
      <c r="G1640" s="1" t="s">
        <v>98</v>
      </c>
      <c r="H1640" s="1" t="s">
        <v>95</v>
      </c>
      <c r="I1640" s="1">
        <v>24.7</v>
      </c>
      <c r="J1640" s="1" t="s">
        <v>95</v>
      </c>
      <c r="M1640" s="1" t="s">
        <v>102</v>
      </c>
      <c r="O1640" s="1">
        <v>1</v>
      </c>
    </row>
    <row r="1641" spans="1:18" ht="14.25" customHeight="1" x14ac:dyDescent="0.3">
      <c r="A1641" s="1" t="s">
        <v>70</v>
      </c>
      <c r="B1641" s="1">
        <v>25</v>
      </c>
      <c r="C1641" s="1">
        <v>40</v>
      </c>
      <c r="D1641" s="1" t="str">
        <f t="shared" si="26"/>
        <v>Yes</v>
      </c>
      <c r="E1641" s="1">
        <v>7</v>
      </c>
      <c r="F1641" s="1">
        <v>348</v>
      </c>
      <c r="G1641" s="1" t="s">
        <v>98</v>
      </c>
      <c r="H1641" s="1" t="s">
        <v>95</v>
      </c>
      <c r="I1641" s="1">
        <v>19.8</v>
      </c>
      <c r="J1641" s="1" t="s">
        <v>95</v>
      </c>
      <c r="M1641" s="1" t="s">
        <v>101</v>
      </c>
      <c r="O1641" s="1">
        <v>1</v>
      </c>
    </row>
    <row r="1642" spans="1:18" ht="14.25" customHeight="1" x14ac:dyDescent="0.3">
      <c r="A1642" s="1" t="s">
        <v>70</v>
      </c>
      <c r="B1642" s="1">
        <v>25</v>
      </c>
      <c r="C1642" s="1">
        <v>20</v>
      </c>
      <c r="D1642" s="1" t="str">
        <f t="shared" si="26"/>
        <v>Yes</v>
      </c>
      <c r="E1642" s="1">
        <v>11.1</v>
      </c>
      <c r="F1642" s="1">
        <v>249</v>
      </c>
      <c r="G1642" s="1" t="s">
        <v>109</v>
      </c>
      <c r="H1642" s="1" t="s">
        <v>95</v>
      </c>
      <c r="I1642" s="1">
        <v>22.2</v>
      </c>
      <c r="J1642" s="1" t="s">
        <v>95</v>
      </c>
      <c r="M1642" s="1" t="s">
        <v>101</v>
      </c>
      <c r="O1642" s="1">
        <v>1</v>
      </c>
    </row>
    <row r="1643" spans="1:18" ht="14.25" customHeight="1" x14ac:dyDescent="0.3">
      <c r="A1643" s="1" t="s">
        <v>70</v>
      </c>
      <c r="B1643" s="1">
        <v>25</v>
      </c>
      <c r="C1643" s="1">
        <v>6</v>
      </c>
      <c r="D1643" s="1" t="str">
        <f t="shared" si="26"/>
        <v>Yes</v>
      </c>
      <c r="E1643" s="1">
        <v>8.1</v>
      </c>
      <c r="F1643" s="1">
        <v>103</v>
      </c>
      <c r="G1643" s="1" t="s">
        <v>106</v>
      </c>
      <c r="H1643" s="1" t="s">
        <v>95</v>
      </c>
      <c r="I1643" s="1">
        <v>58.6</v>
      </c>
      <c r="J1643" s="1" t="s">
        <v>97</v>
      </c>
      <c r="M1643" s="1" t="s">
        <v>102</v>
      </c>
      <c r="O1643" s="1">
        <v>5</v>
      </c>
      <c r="Q1643" s="1" t="s">
        <v>140</v>
      </c>
    </row>
    <row r="1644" spans="1:18" ht="14.25" customHeight="1" x14ac:dyDescent="0.3">
      <c r="A1644" s="1" t="s">
        <v>70</v>
      </c>
      <c r="B1644" s="1">
        <v>25</v>
      </c>
      <c r="C1644" s="1">
        <v>10</v>
      </c>
      <c r="D1644" s="1" t="str">
        <f t="shared" si="26"/>
        <v>Yes</v>
      </c>
      <c r="E1644" s="1">
        <v>11.1</v>
      </c>
      <c r="F1644" s="1">
        <v>130</v>
      </c>
      <c r="G1644" s="1" t="s">
        <v>106</v>
      </c>
      <c r="H1644" s="1" t="s">
        <v>95</v>
      </c>
      <c r="I1644" s="1">
        <v>43.4</v>
      </c>
      <c r="J1644" s="1" t="s">
        <v>95</v>
      </c>
      <c r="M1644" s="1" t="s">
        <v>101</v>
      </c>
      <c r="O1644" s="1">
        <v>1</v>
      </c>
    </row>
    <row r="1645" spans="1:18" ht="14.25" customHeight="1" x14ac:dyDescent="0.3">
      <c r="A1645" s="1" t="s">
        <v>70</v>
      </c>
      <c r="B1645" s="1">
        <v>25</v>
      </c>
      <c r="C1645" s="1">
        <v>7</v>
      </c>
      <c r="D1645" s="1" t="str">
        <f t="shared" si="26"/>
        <v>Yes</v>
      </c>
      <c r="E1645" s="1">
        <v>8.8000000000000007</v>
      </c>
      <c r="F1645" s="1">
        <v>118</v>
      </c>
      <c r="G1645" s="1" t="s">
        <v>106</v>
      </c>
      <c r="H1645" s="1" t="s">
        <v>95</v>
      </c>
      <c r="I1645" s="1">
        <v>30</v>
      </c>
      <c r="J1645" s="1" t="s">
        <v>101</v>
      </c>
      <c r="M1645" s="1" t="s">
        <v>101</v>
      </c>
      <c r="O1645" s="1">
        <v>5</v>
      </c>
    </row>
    <row r="1646" spans="1:18" ht="14.25" customHeight="1" x14ac:dyDescent="0.3">
      <c r="A1646" s="1" t="s">
        <v>70</v>
      </c>
      <c r="B1646" s="1">
        <v>25</v>
      </c>
      <c r="C1646" s="1">
        <v>8</v>
      </c>
      <c r="D1646" s="1" t="str">
        <f t="shared" si="26"/>
        <v>Yes</v>
      </c>
      <c r="E1646" s="1">
        <v>7.9</v>
      </c>
      <c r="F1646" s="1">
        <v>120</v>
      </c>
      <c r="G1646" s="1" t="s">
        <v>106</v>
      </c>
      <c r="H1646" s="1" t="s">
        <v>95</v>
      </c>
      <c r="I1646" s="1">
        <v>30</v>
      </c>
      <c r="J1646" s="1" t="s">
        <v>97</v>
      </c>
      <c r="M1646" s="1" t="s">
        <v>101</v>
      </c>
      <c r="O1646" s="1">
        <v>5</v>
      </c>
      <c r="Q1646" s="1" t="s">
        <v>140</v>
      </c>
    </row>
    <row r="1647" spans="1:18" ht="14.25" customHeight="1" x14ac:dyDescent="0.3">
      <c r="A1647" s="1" t="s">
        <v>70</v>
      </c>
      <c r="B1647" s="1">
        <v>25</v>
      </c>
      <c r="C1647" s="1">
        <v>18</v>
      </c>
      <c r="D1647" s="1" t="str">
        <f t="shared" si="26"/>
        <v>Yes</v>
      </c>
      <c r="E1647" s="1">
        <v>11.4</v>
      </c>
      <c r="F1647" s="1">
        <v>228</v>
      </c>
      <c r="G1647" s="1" t="s">
        <v>106</v>
      </c>
      <c r="H1647" s="1" t="s">
        <v>95</v>
      </c>
      <c r="I1647" s="1">
        <v>28.1</v>
      </c>
      <c r="J1647" s="1" t="s">
        <v>95</v>
      </c>
      <c r="M1647" s="1" t="s">
        <v>101</v>
      </c>
      <c r="O1647" s="1">
        <v>1</v>
      </c>
    </row>
    <row r="1648" spans="1:18" ht="14.25" customHeight="1" x14ac:dyDescent="0.3">
      <c r="A1648" s="1" t="s">
        <v>70</v>
      </c>
      <c r="B1648" s="1">
        <v>25</v>
      </c>
      <c r="C1648" s="1">
        <v>33</v>
      </c>
      <c r="D1648" s="1" t="str">
        <f t="shared" si="26"/>
        <v>Yes</v>
      </c>
      <c r="E1648" s="1">
        <v>5.7</v>
      </c>
      <c r="F1648" s="1">
        <v>347</v>
      </c>
      <c r="G1648" s="1" t="s">
        <v>106</v>
      </c>
      <c r="H1648" s="1" t="s">
        <v>95</v>
      </c>
      <c r="I1648" s="1">
        <v>21.3</v>
      </c>
      <c r="J1648" s="1" t="s">
        <v>95</v>
      </c>
      <c r="M1648" s="1" t="s">
        <v>101</v>
      </c>
      <c r="O1648" s="1">
        <v>1</v>
      </c>
    </row>
    <row r="1649" spans="1:18" ht="14.25" customHeight="1" x14ac:dyDescent="0.3">
      <c r="A1649" s="1" t="s">
        <v>70</v>
      </c>
      <c r="B1649" s="1">
        <v>25</v>
      </c>
      <c r="C1649" s="1">
        <v>24</v>
      </c>
      <c r="D1649" s="1" t="str">
        <f t="shared" si="26"/>
        <v>Yes</v>
      </c>
      <c r="E1649" s="1">
        <v>2.2999999999999998</v>
      </c>
      <c r="F1649" s="1">
        <v>328</v>
      </c>
      <c r="G1649" s="1" t="s">
        <v>106</v>
      </c>
      <c r="H1649" s="1" t="s">
        <v>95</v>
      </c>
      <c r="I1649" s="1">
        <v>11.8</v>
      </c>
      <c r="J1649" s="1" t="s">
        <v>95</v>
      </c>
      <c r="M1649" s="1" t="s">
        <v>101</v>
      </c>
      <c r="O1649" s="1">
        <v>1</v>
      </c>
    </row>
    <row r="1650" spans="1:18" ht="14.25" customHeight="1" x14ac:dyDescent="0.3">
      <c r="A1650" s="1" t="s">
        <v>70</v>
      </c>
      <c r="B1650" s="1">
        <v>25</v>
      </c>
      <c r="C1650" s="1">
        <v>28</v>
      </c>
      <c r="D1650" s="1" t="str">
        <f t="shared" si="26"/>
        <v>Yes</v>
      </c>
      <c r="E1650" s="1">
        <v>7.7</v>
      </c>
      <c r="F1650" s="1">
        <v>282</v>
      </c>
      <c r="G1650" s="1" t="s">
        <v>106</v>
      </c>
      <c r="H1650" s="1" t="s">
        <v>95</v>
      </c>
      <c r="I1650" s="1">
        <v>9.3000000000000007</v>
      </c>
      <c r="J1650" s="1" t="s">
        <v>95</v>
      </c>
      <c r="M1650" s="1" t="s">
        <v>101</v>
      </c>
      <c r="O1650" s="1">
        <v>1</v>
      </c>
    </row>
    <row r="1651" spans="1:18" ht="14.25" customHeight="1" x14ac:dyDescent="0.3">
      <c r="A1651" s="1" t="s">
        <v>70</v>
      </c>
      <c r="B1651" s="1">
        <v>25</v>
      </c>
      <c r="C1651" s="1">
        <v>1</v>
      </c>
      <c r="D1651" s="1" t="str">
        <f t="shared" si="26"/>
        <v>Yes</v>
      </c>
      <c r="E1651" s="1">
        <v>3.1</v>
      </c>
      <c r="F1651" s="1">
        <v>2</v>
      </c>
      <c r="G1651" s="1" t="s">
        <v>106</v>
      </c>
      <c r="H1651" s="1" t="s">
        <v>95</v>
      </c>
      <c r="I1651" s="1">
        <v>9.1</v>
      </c>
      <c r="J1651" s="1" t="s">
        <v>95</v>
      </c>
      <c r="M1651" s="1" t="s">
        <v>101</v>
      </c>
      <c r="O1651" s="1">
        <v>1</v>
      </c>
    </row>
    <row r="1652" spans="1:18" ht="14.25" customHeight="1" x14ac:dyDescent="0.3">
      <c r="A1652" s="1" t="s">
        <v>70</v>
      </c>
      <c r="B1652" s="1">
        <v>25</v>
      </c>
      <c r="C1652" s="1">
        <v>38</v>
      </c>
      <c r="D1652" s="1" t="str">
        <f t="shared" si="26"/>
        <v>Yes</v>
      </c>
      <c r="E1652" s="1">
        <v>12.3</v>
      </c>
      <c r="F1652" s="1">
        <v>307</v>
      </c>
      <c r="G1652" s="1" t="s">
        <v>93</v>
      </c>
      <c r="H1652" s="1" t="s">
        <v>95</v>
      </c>
      <c r="I1652" s="19">
        <v>84.9</v>
      </c>
      <c r="J1652" s="1" t="s">
        <v>95</v>
      </c>
      <c r="M1652" s="1" t="s">
        <v>101</v>
      </c>
      <c r="O1652" s="1">
        <v>1</v>
      </c>
    </row>
    <row r="1653" spans="1:18" ht="14.25" customHeight="1" x14ac:dyDescent="0.3">
      <c r="A1653" s="1" t="s">
        <v>70</v>
      </c>
      <c r="B1653" s="1">
        <v>25</v>
      </c>
      <c r="C1653" s="1">
        <v>42</v>
      </c>
      <c r="D1653" s="1" t="str">
        <f t="shared" si="26"/>
        <v>Yes</v>
      </c>
      <c r="E1653" s="1">
        <v>10.8</v>
      </c>
      <c r="F1653" s="1">
        <v>331</v>
      </c>
      <c r="G1653" s="1" t="s">
        <v>93</v>
      </c>
      <c r="H1653" s="1" t="s">
        <v>95</v>
      </c>
      <c r="I1653" s="1">
        <v>40.5</v>
      </c>
      <c r="J1653" s="1" t="s">
        <v>95</v>
      </c>
      <c r="M1653" s="1" t="s">
        <v>102</v>
      </c>
      <c r="O1653" s="1">
        <v>1</v>
      </c>
    </row>
    <row r="1654" spans="1:18" ht="14.25" customHeight="1" x14ac:dyDescent="0.3">
      <c r="A1654" s="1" t="s">
        <v>70</v>
      </c>
      <c r="B1654" s="1">
        <v>25</v>
      </c>
      <c r="C1654" s="1">
        <v>14</v>
      </c>
      <c r="D1654" s="1" t="str">
        <f t="shared" si="26"/>
        <v>Yes</v>
      </c>
      <c r="E1654" s="1">
        <v>7.3</v>
      </c>
      <c r="F1654" s="1">
        <v>210</v>
      </c>
      <c r="G1654" s="1" t="s">
        <v>93</v>
      </c>
      <c r="H1654" s="1" t="s">
        <v>95</v>
      </c>
      <c r="I1654" s="1">
        <v>38.6</v>
      </c>
      <c r="J1654" s="1" t="s">
        <v>95</v>
      </c>
      <c r="M1654" s="1" t="s">
        <v>101</v>
      </c>
      <c r="O1654" s="1">
        <v>1</v>
      </c>
      <c r="R1654" s="1"/>
    </row>
    <row r="1655" spans="1:18" ht="14.25" customHeight="1" x14ac:dyDescent="0.3">
      <c r="A1655" s="1" t="s">
        <v>70</v>
      </c>
      <c r="B1655" s="1">
        <v>25</v>
      </c>
      <c r="C1655" s="1">
        <v>32</v>
      </c>
      <c r="D1655" s="1" t="str">
        <f t="shared" si="26"/>
        <v>Yes</v>
      </c>
      <c r="E1655" s="1">
        <v>10.199999999999999</v>
      </c>
      <c r="F1655" s="1">
        <v>299</v>
      </c>
      <c r="G1655" s="1" t="s">
        <v>93</v>
      </c>
      <c r="H1655" s="1" t="s">
        <v>95</v>
      </c>
      <c r="I1655" s="1">
        <v>36.799999999999997</v>
      </c>
      <c r="J1655" s="1" t="s">
        <v>95</v>
      </c>
      <c r="M1655" s="1" t="s">
        <v>102</v>
      </c>
      <c r="O1655" s="1">
        <v>1</v>
      </c>
    </row>
    <row r="1656" spans="1:18" ht="14.25" customHeight="1" x14ac:dyDescent="0.3">
      <c r="A1656" s="1" t="s">
        <v>70</v>
      </c>
      <c r="B1656" s="1">
        <v>25</v>
      </c>
      <c r="C1656" s="1">
        <v>25</v>
      </c>
      <c r="D1656" s="1" t="str">
        <f t="shared" si="26"/>
        <v>Yes</v>
      </c>
      <c r="E1656" s="1">
        <v>7.3</v>
      </c>
      <c r="F1656" s="1">
        <v>280</v>
      </c>
      <c r="G1656" s="1" t="s">
        <v>93</v>
      </c>
      <c r="H1656" s="1" t="s">
        <v>95</v>
      </c>
      <c r="I1656" s="1">
        <v>36.5</v>
      </c>
      <c r="J1656" s="1" t="s">
        <v>95</v>
      </c>
      <c r="M1656" s="1" t="s">
        <v>101</v>
      </c>
      <c r="O1656" s="1">
        <v>1</v>
      </c>
    </row>
    <row r="1657" spans="1:18" ht="14.25" customHeight="1" x14ac:dyDescent="0.3">
      <c r="A1657" s="1" t="s">
        <v>70</v>
      </c>
      <c r="B1657" s="1">
        <v>25</v>
      </c>
      <c r="C1657" s="1">
        <v>29</v>
      </c>
      <c r="D1657" s="1" t="str">
        <f t="shared" si="26"/>
        <v>Yes</v>
      </c>
      <c r="E1657" s="1">
        <v>4.3</v>
      </c>
      <c r="F1657" s="1">
        <v>280</v>
      </c>
      <c r="G1657" s="1" t="s">
        <v>93</v>
      </c>
      <c r="H1657" s="1" t="s">
        <v>95</v>
      </c>
      <c r="I1657" s="1">
        <v>35.5</v>
      </c>
      <c r="J1657" s="1" t="s">
        <v>95</v>
      </c>
      <c r="M1657" s="1" t="s">
        <v>102</v>
      </c>
      <c r="O1657" s="1">
        <v>1</v>
      </c>
    </row>
    <row r="1658" spans="1:18" ht="14.25" customHeight="1" x14ac:dyDescent="0.3">
      <c r="A1658" s="1" t="s">
        <v>70</v>
      </c>
      <c r="B1658" s="1">
        <v>25</v>
      </c>
      <c r="C1658" s="1">
        <v>31</v>
      </c>
      <c r="D1658" s="1" t="str">
        <f t="shared" si="26"/>
        <v>Yes</v>
      </c>
      <c r="E1658" s="1">
        <v>7.4</v>
      </c>
      <c r="F1658" s="1">
        <v>292</v>
      </c>
      <c r="G1658" s="1" t="s">
        <v>93</v>
      </c>
      <c r="H1658" s="1" t="s">
        <v>95</v>
      </c>
      <c r="I1658" s="1">
        <v>31.5</v>
      </c>
      <c r="J1658" s="1" t="s">
        <v>95</v>
      </c>
      <c r="M1658" s="1" t="s">
        <v>102</v>
      </c>
      <c r="O1658" s="1">
        <v>1</v>
      </c>
    </row>
    <row r="1659" spans="1:18" ht="14.25" customHeight="1" x14ac:dyDescent="0.3">
      <c r="A1659" s="1" t="s">
        <v>70</v>
      </c>
      <c r="B1659" s="1">
        <v>25</v>
      </c>
      <c r="C1659" s="1">
        <v>45</v>
      </c>
      <c r="D1659" s="1" t="str">
        <f t="shared" si="26"/>
        <v>Yes</v>
      </c>
      <c r="E1659" s="1">
        <v>8.8000000000000007</v>
      </c>
      <c r="F1659" s="1">
        <v>343</v>
      </c>
      <c r="G1659" s="1" t="s">
        <v>93</v>
      </c>
      <c r="H1659" s="1" t="s">
        <v>95</v>
      </c>
      <c r="I1659" s="1">
        <v>30</v>
      </c>
      <c r="J1659" s="1" t="s">
        <v>95</v>
      </c>
      <c r="M1659" s="1" t="s">
        <v>101</v>
      </c>
      <c r="O1659" s="1">
        <v>1</v>
      </c>
    </row>
    <row r="1660" spans="1:18" ht="14.25" customHeight="1" x14ac:dyDescent="0.3">
      <c r="A1660" s="1" t="s">
        <v>70</v>
      </c>
      <c r="B1660" s="1">
        <v>25</v>
      </c>
      <c r="C1660" s="1">
        <v>17</v>
      </c>
      <c r="D1660" s="1" t="str">
        <f t="shared" si="26"/>
        <v>Yes</v>
      </c>
      <c r="E1660" s="1">
        <v>8.8000000000000007</v>
      </c>
      <c r="F1660" s="1">
        <v>233</v>
      </c>
      <c r="G1660" s="1" t="s">
        <v>93</v>
      </c>
      <c r="H1660" s="1" t="s">
        <v>95</v>
      </c>
      <c r="I1660" s="1">
        <v>27.5</v>
      </c>
      <c r="J1660" s="1" t="s">
        <v>95</v>
      </c>
      <c r="M1660" s="1" t="s">
        <v>101</v>
      </c>
      <c r="O1660" s="1">
        <v>1</v>
      </c>
    </row>
    <row r="1661" spans="1:18" ht="14.25" customHeight="1" x14ac:dyDescent="0.3">
      <c r="A1661" s="1" t="s">
        <v>70</v>
      </c>
      <c r="B1661" s="1">
        <v>25</v>
      </c>
      <c r="C1661" s="1">
        <v>21</v>
      </c>
      <c r="D1661" s="1" t="str">
        <f t="shared" si="26"/>
        <v>Yes</v>
      </c>
      <c r="E1661" s="1">
        <v>9.9</v>
      </c>
      <c r="F1661" s="1">
        <v>257</v>
      </c>
      <c r="G1661" s="1" t="s">
        <v>93</v>
      </c>
      <c r="H1661" s="1" t="s">
        <v>95</v>
      </c>
      <c r="I1661" s="1">
        <v>26.5</v>
      </c>
      <c r="J1661" s="1" t="s">
        <v>101</v>
      </c>
      <c r="M1661" s="1" t="s">
        <v>101</v>
      </c>
      <c r="O1661" s="1">
        <v>5</v>
      </c>
    </row>
    <row r="1662" spans="1:18" ht="14.25" customHeight="1" x14ac:dyDescent="0.3">
      <c r="A1662" s="1" t="s">
        <v>70</v>
      </c>
      <c r="B1662" s="1">
        <v>25</v>
      </c>
      <c r="C1662" s="1">
        <v>43</v>
      </c>
      <c r="D1662" s="1" t="str">
        <f t="shared" si="26"/>
        <v>Yes</v>
      </c>
      <c r="E1662" s="1">
        <v>9.6</v>
      </c>
      <c r="F1662" s="1">
        <v>347</v>
      </c>
      <c r="G1662" s="1" t="s">
        <v>93</v>
      </c>
      <c r="H1662" s="1" t="s">
        <v>95</v>
      </c>
      <c r="I1662" s="1">
        <v>23.1</v>
      </c>
      <c r="J1662" s="1" t="s">
        <v>95</v>
      </c>
      <c r="M1662" s="1" t="s">
        <v>101</v>
      </c>
      <c r="O1662" s="1">
        <v>1</v>
      </c>
      <c r="Q1662" s="1" t="s">
        <v>222</v>
      </c>
    </row>
    <row r="1663" spans="1:18" ht="14.25" customHeight="1" x14ac:dyDescent="0.3">
      <c r="A1663" s="1" t="s">
        <v>70</v>
      </c>
      <c r="B1663" s="1">
        <v>25</v>
      </c>
      <c r="C1663" s="1">
        <v>35</v>
      </c>
      <c r="D1663" s="1" t="str">
        <f t="shared" si="26"/>
        <v>Yes</v>
      </c>
      <c r="E1663" s="1">
        <v>5.5</v>
      </c>
      <c r="F1663" s="17">
        <v>341</v>
      </c>
      <c r="G1663" s="1" t="s">
        <v>93</v>
      </c>
      <c r="H1663" s="1" t="s">
        <v>95</v>
      </c>
      <c r="I1663" s="1">
        <v>23</v>
      </c>
      <c r="J1663" s="1" t="s">
        <v>101</v>
      </c>
      <c r="M1663" s="1" t="s">
        <v>101</v>
      </c>
      <c r="O1663" s="1">
        <v>5</v>
      </c>
      <c r="R1663" s="1"/>
    </row>
    <row r="1664" spans="1:18" ht="14.25" customHeight="1" x14ac:dyDescent="0.3">
      <c r="A1664" s="1" t="s">
        <v>70</v>
      </c>
      <c r="B1664" s="1">
        <v>25</v>
      </c>
      <c r="C1664" s="1">
        <v>16</v>
      </c>
      <c r="D1664" s="1" t="str">
        <f t="shared" si="26"/>
        <v>Yes</v>
      </c>
      <c r="E1664" s="1">
        <v>7.8</v>
      </c>
      <c r="F1664" s="1">
        <v>213</v>
      </c>
      <c r="G1664" s="1" t="s">
        <v>93</v>
      </c>
      <c r="H1664" s="1" t="s">
        <v>95</v>
      </c>
      <c r="I1664" s="1">
        <v>22.5</v>
      </c>
      <c r="J1664" s="1" t="s">
        <v>95</v>
      </c>
      <c r="M1664" s="1" t="s">
        <v>101</v>
      </c>
      <c r="O1664" s="1">
        <v>1</v>
      </c>
    </row>
    <row r="1665" spans="1:18" ht="14.25" customHeight="1" x14ac:dyDescent="0.3">
      <c r="A1665" s="1" t="s">
        <v>70</v>
      </c>
      <c r="B1665" s="1">
        <v>25</v>
      </c>
      <c r="C1665" s="1">
        <v>11</v>
      </c>
      <c r="D1665" s="1" t="str">
        <f t="shared" si="26"/>
        <v>Yes</v>
      </c>
      <c r="E1665" s="1">
        <v>11.7</v>
      </c>
      <c r="F1665" s="1">
        <v>206</v>
      </c>
      <c r="G1665" s="1" t="s">
        <v>93</v>
      </c>
      <c r="H1665" s="1" t="s">
        <v>95</v>
      </c>
      <c r="I1665" s="1">
        <v>20.5</v>
      </c>
      <c r="J1665" s="1" t="s">
        <v>95</v>
      </c>
      <c r="M1665" s="1" t="s">
        <v>101</v>
      </c>
      <c r="O1665" s="1">
        <v>1</v>
      </c>
    </row>
    <row r="1666" spans="1:18" ht="14.25" customHeight="1" x14ac:dyDescent="0.3">
      <c r="A1666" s="1" t="s">
        <v>70</v>
      </c>
      <c r="B1666" s="1">
        <v>25</v>
      </c>
      <c r="C1666" s="1">
        <v>19</v>
      </c>
      <c r="D1666" s="1" t="str">
        <f t="shared" si="26"/>
        <v>Yes</v>
      </c>
      <c r="E1666" s="1">
        <v>11.1</v>
      </c>
      <c r="F1666" s="1">
        <v>236</v>
      </c>
      <c r="G1666" s="1" t="s">
        <v>93</v>
      </c>
      <c r="H1666" s="1" t="s">
        <v>95</v>
      </c>
      <c r="I1666" s="1">
        <v>16.8</v>
      </c>
      <c r="J1666" s="1" t="s">
        <v>95</v>
      </c>
      <c r="M1666" s="1" t="s">
        <v>101</v>
      </c>
      <c r="O1666" s="1">
        <v>1</v>
      </c>
    </row>
    <row r="1667" spans="1:18" ht="14.25" customHeight="1" x14ac:dyDescent="0.3">
      <c r="A1667" s="1" t="s">
        <v>70</v>
      </c>
      <c r="B1667" s="1">
        <v>25</v>
      </c>
      <c r="C1667" s="1">
        <v>30</v>
      </c>
      <c r="D1667" s="1" t="str">
        <f t="shared" si="26"/>
        <v>Yes</v>
      </c>
      <c r="E1667" s="1">
        <v>7.4</v>
      </c>
      <c r="F1667" s="1">
        <v>290</v>
      </c>
      <c r="G1667" s="1" t="s">
        <v>93</v>
      </c>
      <c r="H1667" s="1" t="s">
        <v>95</v>
      </c>
      <c r="I1667" s="17">
        <v>16.600000000000001</v>
      </c>
      <c r="J1667" s="1" t="s">
        <v>95</v>
      </c>
      <c r="M1667" s="1" t="s">
        <v>101</v>
      </c>
      <c r="O1667" s="1">
        <v>1</v>
      </c>
    </row>
    <row r="1668" spans="1:18" ht="14.25" customHeight="1" x14ac:dyDescent="0.3">
      <c r="A1668" s="1" t="s">
        <v>70</v>
      </c>
      <c r="B1668" s="1">
        <v>25</v>
      </c>
      <c r="C1668" s="1">
        <v>23</v>
      </c>
      <c r="D1668" s="1" t="str">
        <f t="shared" si="26"/>
        <v>Yes</v>
      </c>
      <c r="E1668" s="1">
        <v>1.5</v>
      </c>
      <c r="F1668" s="1">
        <v>280</v>
      </c>
      <c r="G1668" s="1" t="s">
        <v>93</v>
      </c>
      <c r="H1668" s="1" t="s">
        <v>95</v>
      </c>
      <c r="I1668" s="1">
        <v>16.5</v>
      </c>
      <c r="J1668" s="1" t="s">
        <v>95</v>
      </c>
      <c r="M1668" s="1" t="s">
        <v>101</v>
      </c>
      <c r="O1668" s="1">
        <v>1</v>
      </c>
    </row>
    <row r="1669" spans="1:18" ht="14.25" customHeight="1" x14ac:dyDescent="0.3">
      <c r="A1669" s="1" t="s">
        <v>70</v>
      </c>
      <c r="B1669" s="1">
        <v>25</v>
      </c>
      <c r="C1669" s="1">
        <v>15</v>
      </c>
      <c r="D1669" s="1" t="str">
        <f t="shared" si="26"/>
        <v>Yes</v>
      </c>
      <c r="E1669" s="1">
        <v>9.4</v>
      </c>
      <c r="F1669" s="1">
        <v>207</v>
      </c>
      <c r="G1669" s="1" t="s">
        <v>93</v>
      </c>
      <c r="H1669" s="1" t="s">
        <v>95</v>
      </c>
      <c r="I1669" s="1">
        <v>14.8</v>
      </c>
      <c r="J1669" s="1" t="s">
        <v>95</v>
      </c>
      <c r="M1669" s="1" t="s">
        <v>101</v>
      </c>
      <c r="O1669" s="1">
        <v>1</v>
      </c>
      <c r="R1669" s="1"/>
    </row>
    <row r="1670" spans="1:18" ht="14.25" customHeight="1" x14ac:dyDescent="0.3">
      <c r="A1670" s="1" t="s">
        <v>70</v>
      </c>
      <c r="B1670" s="1">
        <v>25</v>
      </c>
      <c r="C1670" s="1">
        <v>2</v>
      </c>
      <c r="D1670" s="1" t="str">
        <f t="shared" si="26"/>
        <v>Yes</v>
      </c>
      <c r="E1670" s="1">
        <v>4.8</v>
      </c>
      <c r="F1670" s="1">
        <v>3</v>
      </c>
      <c r="G1670" s="1" t="s">
        <v>93</v>
      </c>
      <c r="H1670" s="1" t="s">
        <v>95</v>
      </c>
      <c r="I1670" s="1">
        <v>14.4</v>
      </c>
      <c r="J1670" s="1" t="s">
        <v>95</v>
      </c>
      <c r="M1670" s="1" t="s">
        <v>101</v>
      </c>
      <c r="O1670" s="1">
        <v>1</v>
      </c>
    </row>
    <row r="1671" spans="1:18" ht="14.25" customHeight="1" x14ac:dyDescent="0.3">
      <c r="A1671" s="1" t="s">
        <v>70</v>
      </c>
      <c r="B1671" s="1">
        <v>25</v>
      </c>
      <c r="C1671" s="1">
        <v>22</v>
      </c>
      <c r="D1671" s="1" t="str">
        <f t="shared" si="26"/>
        <v>Yes</v>
      </c>
      <c r="E1671" s="1">
        <v>11.1</v>
      </c>
      <c r="F1671" s="1">
        <v>259</v>
      </c>
      <c r="G1671" s="1" t="s">
        <v>93</v>
      </c>
      <c r="H1671" s="1" t="s">
        <v>95</v>
      </c>
      <c r="I1671" s="1">
        <v>12.3</v>
      </c>
      <c r="J1671" s="1" t="s">
        <v>95</v>
      </c>
      <c r="M1671" s="1" t="s">
        <v>101</v>
      </c>
      <c r="O1671" s="1">
        <v>5</v>
      </c>
    </row>
    <row r="1672" spans="1:18" ht="14.25" customHeight="1" x14ac:dyDescent="0.3">
      <c r="A1672" s="1" t="s">
        <v>70</v>
      </c>
      <c r="B1672" s="1">
        <v>25</v>
      </c>
      <c r="C1672" s="1">
        <v>47</v>
      </c>
      <c r="D1672" s="1" t="str">
        <f t="shared" si="26"/>
        <v>Yes</v>
      </c>
      <c r="E1672" s="1">
        <v>7.3</v>
      </c>
      <c r="F1672" s="1">
        <v>334</v>
      </c>
      <c r="G1672" s="1" t="s">
        <v>93</v>
      </c>
      <c r="H1672" s="1" t="s">
        <v>95</v>
      </c>
      <c r="I1672" s="1">
        <v>11</v>
      </c>
      <c r="J1672" s="1" t="s">
        <v>95</v>
      </c>
      <c r="M1672" s="1" t="s">
        <v>101</v>
      </c>
      <c r="O1672" s="1">
        <v>1</v>
      </c>
      <c r="R1672" s="1"/>
    </row>
    <row r="1673" spans="1:18" ht="14.25" customHeight="1" x14ac:dyDescent="0.3">
      <c r="A1673" s="1" t="s">
        <v>70</v>
      </c>
      <c r="B1673" s="1">
        <v>25</v>
      </c>
      <c r="C1673" s="1">
        <v>37</v>
      </c>
      <c r="D1673" s="1" t="str">
        <f t="shared" si="26"/>
        <v>Yes</v>
      </c>
      <c r="E1673" s="1">
        <v>6.6</v>
      </c>
      <c r="F1673" s="1">
        <v>348</v>
      </c>
      <c r="G1673" s="1" t="s">
        <v>93</v>
      </c>
      <c r="H1673" s="1" t="s">
        <v>95</v>
      </c>
      <c r="I1673" s="1">
        <v>10</v>
      </c>
      <c r="J1673" s="1" t="s">
        <v>95</v>
      </c>
      <c r="M1673" s="1" t="s">
        <v>101</v>
      </c>
      <c r="O1673" s="1">
        <v>1</v>
      </c>
      <c r="R1673" s="1"/>
    </row>
    <row r="1674" spans="1:18" ht="14.25" customHeight="1" x14ac:dyDescent="0.3">
      <c r="A1674" s="1" t="s">
        <v>70</v>
      </c>
      <c r="B1674" s="1">
        <v>25</v>
      </c>
      <c r="C1674" s="1">
        <v>34</v>
      </c>
      <c r="D1674" s="1" t="str">
        <f t="shared" si="26"/>
        <v>Yes</v>
      </c>
      <c r="E1674" s="1">
        <v>11.2</v>
      </c>
      <c r="F1674" s="1">
        <v>308</v>
      </c>
      <c r="G1674" s="1" t="s">
        <v>93</v>
      </c>
      <c r="H1674" s="1" t="s">
        <v>95</v>
      </c>
      <c r="I1674" s="1">
        <v>8.8000000000000007</v>
      </c>
      <c r="J1674" s="1" t="s">
        <v>95</v>
      </c>
      <c r="M1674" s="1" t="s">
        <v>101</v>
      </c>
      <c r="O1674" s="1">
        <v>1</v>
      </c>
    </row>
    <row r="1675" spans="1:18" ht="14.25" customHeight="1" x14ac:dyDescent="0.3">
      <c r="A1675" s="1" t="s">
        <v>70</v>
      </c>
      <c r="B1675" s="1">
        <v>25</v>
      </c>
      <c r="C1675" s="1">
        <v>41</v>
      </c>
      <c r="D1675" s="1" t="str">
        <f t="shared" si="26"/>
        <v>Yes</v>
      </c>
      <c r="E1675" s="1">
        <v>7.2</v>
      </c>
      <c r="F1675" s="1">
        <v>355</v>
      </c>
      <c r="G1675" s="1" t="s">
        <v>98</v>
      </c>
      <c r="H1675" s="1" t="s">
        <v>94</v>
      </c>
      <c r="I1675" s="1">
        <v>50.2</v>
      </c>
      <c r="J1675" s="1" t="s">
        <v>95</v>
      </c>
      <c r="K1675" s="1">
        <v>0</v>
      </c>
      <c r="L1675" s="1">
        <v>15</v>
      </c>
      <c r="M1675" s="1" t="s">
        <v>102</v>
      </c>
      <c r="P1675" s="1">
        <v>757</v>
      </c>
    </row>
    <row r="1676" spans="1:18" ht="14.25" customHeight="1" x14ac:dyDescent="0.3">
      <c r="A1676" s="1" t="s">
        <v>70</v>
      </c>
      <c r="B1676" s="1">
        <v>25</v>
      </c>
      <c r="C1676" s="1">
        <v>48</v>
      </c>
      <c r="D1676" s="1" t="str">
        <f t="shared" si="26"/>
        <v>Yes</v>
      </c>
      <c r="E1676" s="1">
        <v>7.8</v>
      </c>
      <c r="F1676" s="1">
        <v>345</v>
      </c>
      <c r="G1676" s="1" t="s">
        <v>98</v>
      </c>
      <c r="H1676" s="1" t="s">
        <v>94</v>
      </c>
      <c r="I1676" s="1">
        <v>43.1</v>
      </c>
      <c r="J1676" s="1" t="s">
        <v>95</v>
      </c>
      <c r="K1676" s="1">
        <v>0</v>
      </c>
      <c r="L1676" s="1">
        <v>15</v>
      </c>
      <c r="M1676" s="1" t="s">
        <v>102</v>
      </c>
    </row>
    <row r="1677" spans="1:18" ht="14.25" customHeight="1" x14ac:dyDescent="0.3">
      <c r="A1677" s="1" t="s">
        <v>70</v>
      </c>
      <c r="B1677" s="1">
        <v>25</v>
      </c>
      <c r="C1677" s="1">
        <v>39</v>
      </c>
      <c r="D1677" s="1" t="str">
        <f t="shared" si="26"/>
        <v>Yes</v>
      </c>
      <c r="E1677" s="1">
        <v>12.4</v>
      </c>
      <c r="F1677" s="1">
        <v>311</v>
      </c>
      <c r="G1677" s="1" t="s">
        <v>98</v>
      </c>
      <c r="H1677" s="1" t="s">
        <v>94</v>
      </c>
      <c r="I1677" s="1">
        <v>13.4</v>
      </c>
      <c r="J1677" s="1" t="s">
        <v>95</v>
      </c>
      <c r="K1677" s="1">
        <v>1</v>
      </c>
      <c r="L1677" s="1">
        <v>40</v>
      </c>
      <c r="M1677" s="1" t="s">
        <v>102</v>
      </c>
    </row>
    <row r="1678" spans="1:18" ht="14.25" customHeight="1" x14ac:dyDescent="0.3">
      <c r="A1678" s="1" t="s">
        <v>70</v>
      </c>
      <c r="B1678" s="1">
        <v>25</v>
      </c>
      <c r="C1678" s="1">
        <v>3</v>
      </c>
      <c r="D1678" s="1" t="str">
        <f t="shared" si="26"/>
        <v>Yes</v>
      </c>
      <c r="E1678" s="1">
        <v>11.4</v>
      </c>
      <c r="F1678" s="1">
        <v>69</v>
      </c>
      <c r="G1678" s="1" t="s">
        <v>106</v>
      </c>
      <c r="H1678" s="1" t="s">
        <v>94</v>
      </c>
      <c r="I1678" s="1">
        <v>61.6</v>
      </c>
      <c r="J1678" s="1" t="s">
        <v>95</v>
      </c>
      <c r="K1678" s="1">
        <v>0</v>
      </c>
      <c r="L1678" s="1">
        <v>85</v>
      </c>
      <c r="M1678" s="1" t="s">
        <v>102</v>
      </c>
    </row>
    <row r="1679" spans="1:18" ht="14.25" customHeight="1" x14ac:dyDescent="0.3">
      <c r="A1679" s="1" t="s">
        <v>70</v>
      </c>
      <c r="B1679" s="1">
        <v>25</v>
      </c>
      <c r="C1679" s="1">
        <v>9</v>
      </c>
      <c r="D1679" s="1" t="str">
        <f t="shared" si="26"/>
        <v>Yes</v>
      </c>
      <c r="E1679" s="1">
        <v>12.3</v>
      </c>
      <c r="F1679" s="1">
        <v>155</v>
      </c>
      <c r="G1679" s="1" t="s">
        <v>106</v>
      </c>
      <c r="H1679" s="1" t="s">
        <v>94</v>
      </c>
      <c r="I1679" s="1">
        <v>49.2</v>
      </c>
      <c r="J1679" s="1" t="s">
        <v>95</v>
      </c>
      <c r="K1679" s="1">
        <v>1</v>
      </c>
      <c r="L1679" s="1">
        <v>10</v>
      </c>
      <c r="M1679" s="1" t="s">
        <v>102</v>
      </c>
    </row>
    <row r="1680" spans="1:18" ht="14.25" customHeight="1" x14ac:dyDescent="0.3">
      <c r="A1680" s="1" t="s">
        <v>70</v>
      </c>
      <c r="B1680" s="1">
        <v>25</v>
      </c>
      <c r="C1680" s="1">
        <v>13</v>
      </c>
      <c r="D1680" s="1" t="str">
        <f t="shared" si="26"/>
        <v>Yes</v>
      </c>
      <c r="E1680" s="1">
        <v>10.3</v>
      </c>
      <c r="F1680" s="1">
        <v>213</v>
      </c>
      <c r="G1680" s="1" t="s">
        <v>106</v>
      </c>
      <c r="H1680" s="1" t="s">
        <v>94</v>
      </c>
      <c r="I1680" s="1">
        <v>36.5</v>
      </c>
      <c r="J1680" s="1" t="s">
        <v>95</v>
      </c>
      <c r="K1680" s="1">
        <v>1</v>
      </c>
      <c r="L1680" s="1">
        <v>90</v>
      </c>
      <c r="M1680" s="1" t="s">
        <v>101</v>
      </c>
    </row>
    <row r="1681" spans="1:18" ht="14.25" customHeight="1" x14ac:dyDescent="0.3">
      <c r="A1681" s="1" t="s">
        <v>70</v>
      </c>
      <c r="B1681" s="1">
        <v>25</v>
      </c>
      <c r="C1681" s="1">
        <v>5</v>
      </c>
      <c r="D1681" s="1" t="str">
        <f t="shared" si="26"/>
        <v>Yes</v>
      </c>
      <c r="E1681" s="1">
        <v>10.5</v>
      </c>
      <c r="F1681" s="1">
        <v>100</v>
      </c>
      <c r="G1681" s="1" t="s">
        <v>106</v>
      </c>
      <c r="H1681" s="1" t="s">
        <v>94</v>
      </c>
      <c r="I1681" s="1">
        <v>35.4</v>
      </c>
      <c r="J1681" s="1" t="s">
        <v>95</v>
      </c>
      <c r="K1681" s="1">
        <v>1</v>
      </c>
      <c r="L1681" s="1">
        <v>40</v>
      </c>
      <c r="M1681" s="1" t="s">
        <v>102</v>
      </c>
      <c r="P1681" s="1">
        <v>758</v>
      </c>
    </row>
    <row r="1682" spans="1:18" ht="14.25" customHeight="1" x14ac:dyDescent="0.3">
      <c r="A1682" s="1" t="s">
        <v>70</v>
      </c>
      <c r="B1682" s="1">
        <v>25</v>
      </c>
      <c r="C1682" s="1">
        <v>4</v>
      </c>
      <c r="D1682" s="1" t="str">
        <f t="shared" si="26"/>
        <v>Yes</v>
      </c>
      <c r="E1682" s="1">
        <v>12.2</v>
      </c>
      <c r="F1682" s="1">
        <v>82</v>
      </c>
      <c r="G1682" s="1" t="s">
        <v>106</v>
      </c>
      <c r="H1682" s="1" t="s">
        <v>94</v>
      </c>
      <c r="I1682" s="1">
        <v>33.5</v>
      </c>
      <c r="J1682" s="1" t="s">
        <v>95</v>
      </c>
      <c r="K1682" s="1">
        <v>1</v>
      </c>
      <c r="L1682" s="1">
        <v>95</v>
      </c>
      <c r="M1682" s="1" t="s">
        <v>101</v>
      </c>
    </row>
    <row r="1683" spans="1:18" ht="14.25" customHeight="1" x14ac:dyDescent="0.3">
      <c r="A1683" s="1" t="s">
        <v>70</v>
      </c>
      <c r="B1683" s="1">
        <v>25</v>
      </c>
      <c r="C1683" s="1">
        <v>12</v>
      </c>
      <c r="D1683" s="1" t="str">
        <f t="shared" si="26"/>
        <v>Yes</v>
      </c>
      <c r="E1683" s="1">
        <v>3.8</v>
      </c>
      <c r="F1683" s="1">
        <v>207</v>
      </c>
      <c r="G1683" s="1" t="s">
        <v>106</v>
      </c>
      <c r="H1683" s="1" t="s">
        <v>94</v>
      </c>
      <c r="I1683" s="1">
        <v>29.2</v>
      </c>
      <c r="J1683" s="1" t="s">
        <v>95</v>
      </c>
      <c r="K1683" s="1">
        <v>5</v>
      </c>
      <c r="L1683" s="1">
        <v>75</v>
      </c>
      <c r="M1683" s="1" t="s">
        <v>102</v>
      </c>
      <c r="P1683" s="1">
        <v>756</v>
      </c>
    </row>
    <row r="1684" spans="1:18" ht="14.25" customHeight="1" x14ac:dyDescent="0.3">
      <c r="A1684" s="1" t="s">
        <v>70</v>
      </c>
      <c r="B1684" s="1">
        <v>26</v>
      </c>
      <c r="C1684" s="1">
        <v>3</v>
      </c>
      <c r="D1684" s="1" t="str">
        <f t="shared" si="26"/>
        <v>No</v>
      </c>
      <c r="E1684" s="1">
        <v>12.6</v>
      </c>
      <c r="F1684" s="1">
        <v>67</v>
      </c>
      <c r="G1684" s="1" t="s">
        <v>184</v>
      </c>
      <c r="H1684" s="1" t="s">
        <v>95</v>
      </c>
      <c r="I1684" s="1">
        <v>7.7</v>
      </c>
      <c r="J1684" s="1" t="s">
        <v>95</v>
      </c>
      <c r="M1684" s="1" t="s">
        <v>101</v>
      </c>
      <c r="O1684" s="1">
        <v>1</v>
      </c>
      <c r="Q1684" s="1" t="s">
        <v>210</v>
      </c>
      <c r="R1684" s="1"/>
    </row>
    <row r="1685" spans="1:18" ht="14.25" customHeight="1" x14ac:dyDescent="0.3">
      <c r="A1685" s="1" t="s">
        <v>70</v>
      </c>
      <c r="B1685" s="1">
        <v>26</v>
      </c>
      <c r="C1685" s="1">
        <v>2</v>
      </c>
      <c r="D1685" s="1" t="str">
        <f t="shared" si="26"/>
        <v>Yes</v>
      </c>
      <c r="E1685" s="1">
        <v>9.6999999999999993</v>
      </c>
      <c r="F1685" s="1">
        <v>61</v>
      </c>
      <c r="G1685" s="1" t="s">
        <v>96</v>
      </c>
      <c r="H1685" s="1" t="s">
        <v>95</v>
      </c>
      <c r="I1685" s="1">
        <v>42.8</v>
      </c>
      <c r="J1685" s="1" t="s">
        <v>95</v>
      </c>
      <c r="M1685" s="1" t="s">
        <v>102</v>
      </c>
      <c r="O1685" s="1">
        <v>1</v>
      </c>
    </row>
    <row r="1686" spans="1:18" ht="14.25" customHeight="1" x14ac:dyDescent="0.3">
      <c r="A1686" s="1" t="s">
        <v>70</v>
      </c>
      <c r="B1686" s="1">
        <v>26</v>
      </c>
      <c r="C1686" s="1">
        <v>8</v>
      </c>
      <c r="D1686" s="1" t="str">
        <f t="shared" si="26"/>
        <v>Yes</v>
      </c>
      <c r="E1686" s="1">
        <v>10.9</v>
      </c>
      <c r="F1686" s="1">
        <v>133</v>
      </c>
      <c r="G1686" s="1" t="s">
        <v>96</v>
      </c>
      <c r="H1686" s="1" t="s">
        <v>95</v>
      </c>
      <c r="I1686" s="1">
        <v>42.8</v>
      </c>
      <c r="J1686" s="1" t="s">
        <v>95</v>
      </c>
      <c r="M1686" s="1" t="s">
        <v>102</v>
      </c>
      <c r="O1686" s="1">
        <v>1</v>
      </c>
      <c r="R1686" s="1"/>
    </row>
    <row r="1687" spans="1:18" ht="14.25" customHeight="1" x14ac:dyDescent="0.3">
      <c r="A1687" s="1" t="s">
        <v>70</v>
      </c>
      <c r="B1687" s="1">
        <v>26</v>
      </c>
      <c r="C1687" s="1">
        <v>7</v>
      </c>
      <c r="D1687" s="1" t="str">
        <f t="shared" si="26"/>
        <v>Yes</v>
      </c>
      <c r="E1687" s="1">
        <v>9.4</v>
      </c>
      <c r="F1687" s="1">
        <v>110</v>
      </c>
      <c r="G1687" s="1" t="s">
        <v>96</v>
      </c>
      <c r="H1687" s="1" t="s">
        <v>95</v>
      </c>
      <c r="I1687" s="17">
        <v>35.700000000000003</v>
      </c>
      <c r="J1687" s="1" t="s">
        <v>95</v>
      </c>
      <c r="M1687" s="1" t="s">
        <v>102</v>
      </c>
      <c r="O1687" s="1">
        <v>1</v>
      </c>
      <c r="P1687" s="1">
        <v>724</v>
      </c>
      <c r="R1687" s="1"/>
    </row>
    <row r="1688" spans="1:18" ht="14.25" customHeight="1" x14ac:dyDescent="0.3">
      <c r="A1688" s="1" t="s">
        <v>70</v>
      </c>
      <c r="B1688" s="1">
        <v>26</v>
      </c>
      <c r="C1688" s="1">
        <v>5</v>
      </c>
      <c r="D1688" s="1" t="str">
        <f t="shared" ref="D1688:D1751" si="27">IF(E1688&gt;12.5, "No", "Yes")</f>
        <v>Yes</v>
      </c>
      <c r="E1688" s="1">
        <v>5.6</v>
      </c>
      <c r="F1688" s="1">
        <v>94</v>
      </c>
      <c r="G1688" s="1" t="s">
        <v>184</v>
      </c>
      <c r="H1688" s="1" t="s">
        <v>95</v>
      </c>
      <c r="I1688" s="1">
        <v>14.9</v>
      </c>
      <c r="J1688" s="1" t="s">
        <v>95</v>
      </c>
      <c r="M1688" s="1" t="s">
        <v>101</v>
      </c>
      <c r="O1688" s="1">
        <v>1</v>
      </c>
      <c r="Q1688" s="1" t="s">
        <v>210</v>
      </c>
      <c r="R1688" s="1"/>
    </row>
    <row r="1689" spans="1:18" ht="14.25" customHeight="1" x14ac:dyDescent="0.3">
      <c r="A1689" s="1" t="s">
        <v>70</v>
      </c>
      <c r="B1689" s="1">
        <v>26</v>
      </c>
      <c r="C1689" s="1">
        <v>6</v>
      </c>
      <c r="D1689" s="1" t="str">
        <f t="shared" si="27"/>
        <v>Yes</v>
      </c>
      <c r="E1689" s="1">
        <v>5.6</v>
      </c>
      <c r="F1689" s="1">
        <v>94</v>
      </c>
      <c r="G1689" s="1" t="s">
        <v>184</v>
      </c>
      <c r="H1689" s="1" t="s">
        <v>95</v>
      </c>
      <c r="I1689" s="1">
        <v>10.1</v>
      </c>
      <c r="J1689" s="1" t="s">
        <v>95</v>
      </c>
      <c r="M1689" s="1" t="s">
        <v>101</v>
      </c>
      <c r="O1689" s="1">
        <v>1</v>
      </c>
      <c r="Q1689" s="1" t="s">
        <v>210</v>
      </c>
    </row>
    <row r="1690" spans="1:18" ht="14.25" customHeight="1" x14ac:dyDescent="0.3">
      <c r="A1690" s="1" t="s">
        <v>70</v>
      </c>
      <c r="B1690" s="1">
        <v>26</v>
      </c>
      <c r="C1690" s="1">
        <v>9</v>
      </c>
      <c r="D1690" s="1" t="str">
        <f t="shared" si="27"/>
        <v>Yes</v>
      </c>
      <c r="E1690" s="1">
        <v>11.7</v>
      </c>
      <c r="F1690" s="1">
        <v>165</v>
      </c>
      <c r="G1690" s="1" t="s">
        <v>184</v>
      </c>
      <c r="H1690" s="1" t="s">
        <v>95</v>
      </c>
      <c r="I1690" s="1">
        <v>10.1</v>
      </c>
      <c r="J1690" s="1" t="s">
        <v>95</v>
      </c>
      <c r="M1690" s="1" t="s">
        <v>101</v>
      </c>
      <c r="O1690" s="17">
        <v>1</v>
      </c>
      <c r="Q1690" s="1" t="s">
        <v>210</v>
      </c>
    </row>
    <row r="1691" spans="1:18" ht="14.25" customHeight="1" x14ac:dyDescent="0.3">
      <c r="A1691" s="1" t="s">
        <v>70</v>
      </c>
      <c r="B1691" s="1">
        <v>26</v>
      </c>
      <c r="C1691" s="1">
        <v>4</v>
      </c>
      <c r="D1691" s="1" t="str">
        <f t="shared" si="27"/>
        <v>Yes</v>
      </c>
      <c r="E1691" s="1">
        <v>11.7</v>
      </c>
      <c r="F1691" s="1">
        <v>82</v>
      </c>
      <c r="G1691" s="1" t="s">
        <v>184</v>
      </c>
      <c r="H1691" s="1" t="s">
        <v>95</v>
      </c>
      <c r="I1691" s="1">
        <v>8.1</v>
      </c>
      <c r="J1691" s="1" t="s">
        <v>95</v>
      </c>
      <c r="M1691" s="1" t="s">
        <v>101</v>
      </c>
      <c r="O1691" s="1">
        <v>1</v>
      </c>
    </row>
    <row r="1692" spans="1:18" ht="14.25" customHeight="1" x14ac:dyDescent="0.3">
      <c r="A1692" s="1" t="s">
        <v>70</v>
      </c>
      <c r="B1692" s="1">
        <v>26</v>
      </c>
      <c r="C1692" s="1">
        <v>13</v>
      </c>
      <c r="D1692" s="1" t="str">
        <f t="shared" si="27"/>
        <v>Yes</v>
      </c>
      <c r="E1692" s="1">
        <v>4.9000000000000004</v>
      </c>
      <c r="F1692" s="1">
        <v>301</v>
      </c>
      <c r="G1692" s="1" t="s">
        <v>111</v>
      </c>
      <c r="H1692" s="1" t="s">
        <v>95</v>
      </c>
      <c r="I1692" s="1">
        <v>40.5</v>
      </c>
      <c r="J1692" s="1" t="s">
        <v>95</v>
      </c>
      <c r="M1692" s="1" t="s">
        <v>97</v>
      </c>
      <c r="O1692" s="1">
        <v>1</v>
      </c>
      <c r="P1692" s="1">
        <v>722</v>
      </c>
    </row>
    <row r="1693" spans="1:18" ht="14.25" customHeight="1" x14ac:dyDescent="0.3">
      <c r="A1693" s="1" t="s">
        <v>70</v>
      </c>
      <c r="B1693" s="1">
        <v>26</v>
      </c>
      <c r="C1693" s="1">
        <v>12</v>
      </c>
      <c r="D1693" s="1" t="str">
        <f t="shared" si="27"/>
        <v>Yes</v>
      </c>
      <c r="E1693" s="1">
        <v>11</v>
      </c>
      <c r="F1693" s="1">
        <v>221</v>
      </c>
      <c r="G1693" s="1" t="s">
        <v>109</v>
      </c>
      <c r="H1693" s="1" t="s">
        <v>95</v>
      </c>
      <c r="I1693" s="1">
        <v>50</v>
      </c>
      <c r="J1693" s="1" t="s">
        <v>95</v>
      </c>
      <c r="M1693" s="1" t="s">
        <v>97</v>
      </c>
      <c r="O1693" s="1">
        <v>5</v>
      </c>
    </row>
    <row r="1694" spans="1:18" ht="14.25" customHeight="1" x14ac:dyDescent="0.3">
      <c r="A1694" s="1" t="s">
        <v>70</v>
      </c>
      <c r="B1694" s="1">
        <v>26</v>
      </c>
      <c r="C1694" s="1">
        <v>11</v>
      </c>
      <c r="D1694" s="1" t="str">
        <f t="shared" si="27"/>
        <v>Yes</v>
      </c>
      <c r="E1694" s="1">
        <v>5.7</v>
      </c>
      <c r="F1694" s="1">
        <v>197</v>
      </c>
      <c r="G1694" s="1" t="s">
        <v>106</v>
      </c>
      <c r="H1694" s="1" t="s">
        <v>95</v>
      </c>
      <c r="I1694" s="1">
        <v>45</v>
      </c>
      <c r="J1694" s="1" t="s">
        <v>97</v>
      </c>
      <c r="M1694" s="1" t="s">
        <v>97</v>
      </c>
      <c r="O1694" s="1">
        <v>5</v>
      </c>
    </row>
    <row r="1695" spans="1:18" ht="14.25" customHeight="1" x14ac:dyDescent="0.3">
      <c r="A1695" s="1" t="s">
        <v>70</v>
      </c>
      <c r="B1695" s="1">
        <v>26</v>
      </c>
      <c r="C1695" s="1">
        <v>10</v>
      </c>
      <c r="D1695" s="1" t="str">
        <f t="shared" si="27"/>
        <v>Yes</v>
      </c>
      <c r="E1695" s="1">
        <v>5.3</v>
      </c>
      <c r="F1695" s="1">
        <v>169</v>
      </c>
      <c r="G1695" s="1" t="s">
        <v>106</v>
      </c>
      <c r="H1695" s="1" t="s">
        <v>95</v>
      </c>
      <c r="I1695" s="1">
        <v>40</v>
      </c>
      <c r="J1695" s="1" t="s">
        <v>97</v>
      </c>
      <c r="M1695" s="1" t="s">
        <v>97</v>
      </c>
      <c r="O1695" s="1">
        <v>5</v>
      </c>
    </row>
    <row r="1696" spans="1:18" ht="14.25" customHeight="1" x14ac:dyDescent="0.3">
      <c r="A1696" s="1" t="s">
        <v>70</v>
      </c>
      <c r="B1696" s="1">
        <v>26</v>
      </c>
      <c r="C1696" s="1">
        <v>1</v>
      </c>
      <c r="D1696" s="1" t="str">
        <f t="shared" si="27"/>
        <v>Yes</v>
      </c>
      <c r="E1696" s="1">
        <v>7.3</v>
      </c>
      <c r="F1696" s="1">
        <v>5</v>
      </c>
      <c r="G1696" s="1" t="s">
        <v>93</v>
      </c>
      <c r="H1696" s="1" t="s">
        <v>95</v>
      </c>
      <c r="I1696" s="1">
        <v>18.5</v>
      </c>
      <c r="J1696" s="1" t="s">
        <v>95</v>
      </c>
      <c r="M1696" s="1" t="s">
        <v>101</v>
      </c>
      <c r="O1696" s="1">
        <v>1</v>
      </c>
      <c r="P1696" s="1">
        <v>723</v>
      </c>
    </row>
    <row r="1697" spans="1:18" ht="14.25" customHeight="1" x14ac:dyDescent="0.3">
      <c r="A1697" s="1" t="s">
        <v>73</v>
      </c>
      <c r="B1697" s="1">
        <v>1</v>
      </c>
      <c r="C1697" s="1">
        <v>4</v>
      </c>
      <c r="D1697" s="1" t="str">
        <f t="shared" si="27"/>
        <v>Yes</v>
      </c>
      <c r="E1697" s="1">
        <v>4.2</v>
      </c>
      <c r="F1697" s="1">
        <v>92</v>
      </c>
      <c r="G1697" s="1" t="s">
        <v>109</v>
      </c>
      <c r="H1697" s="1" t="s">
        <v>95</v>
      </c>
      <c r="I1697" s="1">
        <v>23.8</v>
      </c>
      <c r="J1697" s="1" t="s">
        <v>95</v>
      </c>
      <c r="M1697" s="1" t="s">
        <v>102</v>
      </c>
      <c r="O1697" s="1">
        <v>1</v>
      </c>
    </row>
    <row r="1698" spans="1:18" ht="14.25" customHeight="1" x14ac:dyDescent="0.3">
      <c r="A1698" s="1" t="s">
        <v>73</v>
      </c>
      <c r="B1698" s="1">
        <v>1</v>
      </c>
      <c r="C1698" s="1">
        <v>7</v>
      </c>
      <c r="D1698" s="1" t="str">
        <f t="shared" si="27"/>
        <v>Yes</v>
      </c>
      <c r="E1698" s="1">
        <v>8</v>
      </c>
      <c r="F1698" s="1">
        <v>111</v>
      </c>
      <c r="G1698" s="1" t="s">
        <v>109</v>
      </c>
      <c r="H1698" s="1" t="s">
        <v>95</v>
      </c>
      <c r="I1698" s="1">
        <v>11.7</v>
      </c>
      <c r="J1698" s="1" t="s">
        <v>95</v>
      </c>
      <c r="M1698" s="1" t="s">
        <v>101</v>
      </c>
      <c r="O1698" s="1">
        <v>1</v>
      </c>
    </row>
    <row r="1699" spans="1:18" ht="14.25" customHeight="1" x14ac:dyDescent="0.3">
      <c r="A1699" s="1" t="s">
        <v>73</v>
      </c>
      <c r="B1699" s="1">
        <v>1</v>
      </c>
      <c r="C1699" s="1">
        <v>30</v>
      </c>
      <c r="D1699" s="1" t="str">
        <f t="shared" si="27"/>
        <v>Yes</v>
      </c>
      <c r="E1699" s="17">
        <v>12.4</v>
      </c>
      <c r="F1699" s="1">
        <v>321</v>
      </c>
      <c r="G1699" s="1" t="s">
        <v>109</v>
      </c>
      <c r="H1699" s="1" t="s">
        <v>95</v>
      </c>
      <c r="I1699" s="1">
        <v>10.5</v>
      </c>
      <c r="J1699" s="1" t="s">
        <v>95</v>
      </c>
      <c r="M1699" s="1" t="s">
        <v>101</v>
      </c>
      <c r="O1699" s="1">
        <v>1</v>
      </c>
    </row>
    <row r="1700" spans="1:18" ht="14.25" customHeight="1" x14ac:dyDescent="0.3">
      <c r="A1700" s="1" t="s">
        <v>73</v>
      </c>
      <c r="B1700" s="1">
        <v>1</v>
      </c>
      <c r="C1700" s="1">
        <v>13</v>
      </c>
      <c r="D1700" s="1" t="str">
        <f t="shared" si="27"/>
        <v>Yes</v>
      </c>
      <c r="E1700" s="17">
        <v>2.7</v>
      </c>
      <c r="F1700" s="1">
        <v>153</v>
      </c>
      <c r="G1700" s="1" t="s">
        <v>106</v>
      </c>
      <c r="H1700" s="1" t="s">
        <v>95</v>
      </c>
      <c r="I1700" s="1">
        <v>9</v>
      </c>
      <c r="J1700" s="1" t="s">
        <v>95</v>
      </c>
      <c r="M1700" s="1" t="s">
        <v>101</v>
      </c>
      <c r="O1700" s="1">
        <v>1</v>
      </c>
    </row>
    <row r="1701" spans="1:18" ht="14.25" customHeight="1" x14ac:dyDescent="0.3">
      <c r="A1701" s="1" t="s">
        <v>73</v>
      </c>
      <c r="B1701" s="1">
        <v>1</v>
      </c>
      <c r="C1701" s="1">
        <v>24</v>
      </c>
      <c r="D1701" s="1" t="str">
        <f t="shared" si="27"/>
        <v>Yes</v>
      </c>
      <c r="E1701" s="1">
        <v>11.7</v>
      </c>
      <c r="F1701" s="1">
        <v>294</v>
      </c>
      <c r="G1701" s="1" t="s">
        <v>93</v>
      </c>
      <c r="H1701" s="1" t="s">
        <v>95</v>
      </c>
      <c r="I1701" s="1">
        <v>65.7</v>
      </c>
      <c r="J1701" s="1" t="s">
        <v>95</v>
      </c>
      <c r="M1701" s="1" t="s">
        <v>102</v>
      </c>
      <c r="O1701" s="1">
        <v>5</v>
      </c>
    </row>
    <row r="1702" spans="1:18" ht="14.25" customHeight="1" x14ac:dyDescent="0.3">
      <c r="A1702" s="1" t="s">
        <v>73</v>
      </c>
      <c r="B1702" s="1">
        <v>1</v>
      </c>
      <c r="C1702" s="1">
        <v>28</v>
      </c>
      <c r="D1702" s="1" t="str">
        <f t="shared" si="27"/>
        <v>Yes</v>
      </c>
      <c r="E1702" s="1">
        <v>7.6</v>
      </c>
      <c r="F1702" s="1">
        <v>314</v>
      </c>
      <c r="G1702" s="1" t="s">
        <v>93</v>
      </c>
      <c r="H1702" s="1" t="s">
        <v>95</v>
      </c>
      <c r="I1702" s="1">
        <v>48.3</v>
      </c>
      <c r="J1702" s="1" t="s">
        <v>95</v>
      </c>
      <c r="M1702" s="1" t="s">
        <v>102</v>
      </c>
      <c r="O1702" s="1">
        <v>1</v>
      </c>
    </row>
    <row r="1703" spans="1:18" ht="14.25" customHeight="1" x14ac:dyDescent="0.3">
      <c r="A1703" s="1" t="s">
        <v>73</v>
      </c>
      <c r="B1703" s="1">
        <v>1</v>
      </c>
      <c r="C1703" s="1">
        <v>12</v>
      </c>
      <c r="D1703" s="1" t="str">
        <f t="shared" si="27"/>
        <v>Yes</v>
      </c>
      <c r="E1703" s="1">
        <v>10.4</v>
      </c>
      <c r="F1703" s="1">
        <v>166</v>
      </c>
      <c r="G1703" s="1" t="s">
        <v>93</v>
      </c>
      <c r="H1703" s="1" t="s">
        <v>95</v>
      </c>
      <c r="I1703" s="1">
        <v>47</v>
      </c>
      <c r="J1703" s="1" t="s">
        <v>95</v>
      </c>
      <c r="M1703" s="1" t="s">
        <v>102</v>
      </c>
      <c r="O1703" s="1">
        <v>5</v>
      </c>
    </row>
    <row r="1704" spans="1:18" ht="14.25" customHeight="1" x14ac:dyDescent="0.3">
      <c r="A1704" s="1" t="s">
        <v>73</v>
      </c>
      <c r="B1704" s="1">
        <v>1</v>
      </c>
      <c r="C1704" s="1">
        <v>16</v>
      </c>
      <c r="D1704" s="1" t="str">
        <f t="shared" si="27"/>
        <v>Yes</v>
      </c>
      <c r="E1704" s="1">
        <v>5.9</v>
      </c>
      <c r="F1704" s="1">
        <v>179</v>
      </c>
      <c r="G1704" s="1" t="s">
        <v>93</v>
      </c>
      <c r="H1704" s="1" t="s">
        <v>95</v>
      </c>
      <c r="I1704" s="1">
        <v>45.7</v>
      </c>
      <c r="J1704" s="1" t="s">
        <v>95</v>
      </c>
      <c r="M1704" s="1" t="s">
        <v>102</v>
      </c>
      <c r="O1704" s="1">
        <v>1</v>
      </c>
      <c r="P1704" s="1">
        <v>795</v>
      </c>
    </row>
    <row r="1705" spans="1:18" ht="14.25" customHeight="1" x14ac:dyDescent="0.3">
      <c r="A1705" s="1" t="s">
        <v>73</v>
      </c>
      <c r="B1705" s="1">
        <v>1</v>
      </c>
      <c r="C1705" s="1">
        <v>27</v>
      </c>
      <c r="D1705" s="1" t="str">
        <f t="shared" si="27"/>
        <v>Yes</v>
      </c>
      <c r="E1705" s="1">
        <v>1.7</v>
      </c>
      <c r="F1705" s="1">
        <v>358</v>
      </c>
      <c r="G1705" s="1" t="s">
        <v>93</v>
      </c>
      <c r="H1705" s="1" t="s">
        <v>95</v>
      </c>
      <c r="I1705" s="1">
        <v>36.5</v>
      </c>
      <c r="J1705" s="1" t="s">
        <v>95</v>
      </c>
      <c r="M1705" s="1" t="s">
        <v>102</v>
      </c>
      <c r="O1705" s="1">
        <v>1</v>
      </c>
      <c r="P1705" s="1">
        <v>797</v>
      </c>
      <c r="Q1705" s="20"/>
      <c r="R1705" s="20"/>
    </row>
    <row r="1706" spans="1:18" ht="14.25" customHeight="1" x14ac:dyDescent="0.3">
      <c r="A1706" s="1" t="s">
        <v>73</v>
      </c>
      <c r="B1706" s="1">
        <v>1</v>
      </c>
      <c r="C1706" s="1">
        <v>23</v>
      </c>
      <c r="D1706" s="1" t="str">
        <f t="shared" si="27"/>
        <v>Yes</v>
      </c>
      <c r="E1706" s="1">
        <v>6.2</v>
      </c>
      <c r="F1706" s="1">
        <v>271</v>
      </c>
      <c r="G1706" s="1" t="s">
        <v>93</v>
      </c>
      <c r="H1706" s="1" t="s">
        <v>95</v>
      </c>
      <c r="I1706" s="1">
        <v>35</v>
      </c>
      <c r="J1706" s="1" t="s">
        <v>101</v>
      </c>
      <c r="M1706" s="1" t="s">
        <v>102</v>
      </c>
      <c r="O1706" s="1">
        <v>5</v>
      </c>
      <c r="Q1706" s="20"/>
      <c r="R1706" s="20"/>
    </row>
    <row r="1707" spans="1:18" ht="14.25" customHeight="1" x14ac:dyDescent="0.3">
      <c r="A1707" s="1" t="s">
        <v>73</v>
      </c>
      <c r="B1707" s="1">
        <v>1</v>
      </c>
      <c r="C1707" s="1">
        <v>25</v>
      </c>
      <c r="D1707" s="1" t="str">
        <f t="shared" si="27"/>
        <v>Yes</v>
      </c>
      <c r="E1707" s="1">
        <v>3.1</v>
      </c>
      <c r="F1707" s="1">
        <v>302</v>
      </c>
      <c r="G1707" s="1" t="s">
        <v>93</v>
      </c>
      <c r="H1707" s="1" t="s">
        <v>95</v>
      </c>
      <c r="I1707" s="1">
        <v>33.799999999999997</v>
      </c>
      <c r="J1707" s="1" t="s">
        <v>95</v>
      </c>
      <c r="M1707" s="1" t="s">
        <v>102</v>
      </c>
      <c r="O1707" s="1">
        <v>1</v>
      </c>
      <c r="P1707" s="1">
        <v>796</v>
      </c>
      <c r="Q1707" s="20"/>
      <c r="R1707" s="20"/>
    </row>
    <row r="1708" spans="1:18" ht="14.25" customHeight="1" x14ac:dyDescent="0.3">
      <c r="A1708" s="1" t="s">
        <v>73</v>
      </c>
      <c r="B1708" s="1">
        <v>1</v>
      </c>
      <c r="C1708" s="1">
        <v>3</v>
      </c>
      <c r="D1708" s="1" t="str">
        <f t="shared" si="27"/>
        <v>Yes</v>
      </c>
      <c r="E1708" s="1">
        <v>2.8</v>
      </c>
      <c r="F1708" s="1">
        <v>99</v>
      </c>
      <c r="G1708" s="1" t="s">
        <v>93</v>
      </c>
      <c r="H1708" s="1" t="s">
        <v>95</v>
      </c>
      <c r="I1708" s="1">
        <v>32.299999999999997</v>
      </c>
      <c r="J1708" s="1" t="s">
        <v>95</v>
      </c>
      <c r="M1708" s="1" t="s">
        <v>102</v>
      </c>
      <c r="O1708" s="1">
        <v>1</v>
      </c>
    </row>
    <row r="1709" spans="1:18" ht="14.25" customHeight="1" x14ac:dyDescent="0.3">
      <c r="A1709" s="1" t="s">
        <v>73</v>
      </c>
      <c r="B1709" s="1">
        <v>1</v>
      </c>
      <c r="C1709" s="1">
        <v>15</v>
      </c>
      <c r="D1709" s="1" t="str">
        <f t="shared" si="27"/>
        <v>Yes</v>
      </c>
      <c r="E1709" s="1">
        <v>3.2</v>
      </c>
      <c r="F1709" s="1">
        <v>170</v>
      </c>
      <c r="G1709" s="1" t="s">
        <v>93</v>
      </c>
      <c r="H1709" s="1" t="s">
        <v>95</v>
      </c>
      <c r="I1709" s="1">
        <v>29.1</v>
      </c>
      <c r="J1709" s="1" t="s">
        <v>95</v>
      </c>
      <c r="M1709" s="1" t="s">
        <v>102</v>
      </c>
      <c r="O1709" s="1">
        <v>2</v>
      </c>
    </row>
    <row r="1710" spans="1:18" ht="14.25" customHeight="1" x14ac:dyDescent="0.3">
      <c r="A1710" s="1" t="s">
        <v>73</v>
      </c>
      <c r="B1710" s="1">
        <v>1</v>
      </c>
      <c r="C1710" s="1">
        <v>14</v>
      </c>
      <c r="D1710" s="1" t="str">
        <f t="shared" si="27"/>
        <v>Yes</v>
      </c>
      <c r="E1710" s="1">
        <v>3.2</v>
      </c>
      <c r="F1710" s="1">
        <v>170</v>
      </c>
      <c r="G1710" s="1" t="s">
        <v>93</v>
      </c>
      <c r="H1710" s="1" t="s">
        <v>95</v>
      </c>
      <c r="I1710" s="1">
        <v>27.8</v>
      </c>
      <c r="J1710" s="1" t="s">
        <v>95</v>
      </c>
      <c r="M1710" s="1" t="s">
        <v>102</v>
      </c>
      <c r="O1710" s="1">
        <v>2</v>
      </c>
    </row>
    <row r="1711" spans="1:18" ht="14.25" customHeight="1" x14ac:dyDescent="0.3">
      <c r="A1711" s="1" t="s">
        <v>73</v>
      </c>
      <c r="B1711" s="1">
        <v>1</v>
      </c>
      <c r="C1711" s="1">
        <v>21</v>
      </c>
      <c r="D1711" s="1" t="str">
        <f t="shared" si="27"/>
        <v>Yes</v>
      </c>
      <c r="E1711" s="1">
        <v>11.8</v>
      </c>
      <c r="F1711" s="1">
        <v>254</v>
      </c>
      <c r="G1711" s="1" t="s">
        <v>93</v>
      </c>
      <c r="H1711" s="1" t="s">
        <v>95</v>
      </c>
      <c r="I1711" s="1">
        <v>24.3</v>
      </c>
      <c r="J1711" s="1" t="s">
        <v>95</v>
      </c>
      <c r="M1711" s="1" t="s">
        <v>102</v>
      </c>
      <c r="O1711" s="1">
        <v>1</v>
      </c>
    </row>
    <row r="1712" spans="1:18" ht="14.25" customHeight="1" x14ac:dyDescent="0.3">
      <c r="A1712" s="1" t="s">
        <v>73</v>
      </c>
      <c r="B1712" s="1">
        <v>1</v>
      </c>
      <c r="C1712" s="1">
        <v>19</v>
      </c>
      <c r="D1712" s="1" t="str">
        <f t="shared" si="27"/>
        <v>Yes</v>
      </c>
      <c r="E1712" s="1">
        <v>9.9</v>
      </c>
      <c r="F1712" s="1">
        <v>234</v>
      </c>
      <c r="G1712" s="1" t="s">
        <v>93</v>
      </c>
      <c r="H1712" s="1" t="s">
        <v>95</v>
      </c>
      <c r="I1712" s="1">
        <v>23.6</v>
      </c>
      <c r="J1712" s="1" t="s">
        <v>95</v>
      </c>
      <c r="M1712" s="1" t="s">
        <v>101</v>
      </c>
      <c r="O1712" s="1">
        <v>1</v>
      </c>
    </row>
    <row r="1713" spans="1:15" ht="14.25" customHeight="1" x14ac:dyDescent="0.3">
      <c r="A1713" s="1" t="s">
        <v>73</v>
      </c>
      <c r="B1713" s="1">
        <v>1</v>
      </c>
      <c r="C1713" s="1">
        <v>26</v>
      </c>
      <c r="D1713" s="1" t="str">
        <f t="shared" si="27"/>
        <v>Yes</v>
      </c>
      <c r="E1713" s="1">
        <v>3.3</v>
      </c>
      <c r="F1713" s="1">
        <v>334</v>
      </c>
      <c r="G1713" s="1" t="s">
        <v>93</v>
      </c>
      <c r="H1713" s="1" t="s">
        <v>95</v>
      </c>
      <c r="I1713" s="1">
        <v>22.6</v>
      </c>
      <c r="J1713" s="1" t="s">
        <v>95</v>
      </c>
      <c r="M1713" s="1" t="s">
        <v>102</v>
      </c>
      <c r="O1713" s="1">
        <v>1</v>
      </c>
    </row>
    <row r="1714" spans="1:15" ht="14.25" customHeight="1" x14ac:dyDescent="0.3">
      <c r="A1714" s="1" t="s">
        <v>73</v>
      </c>
      <c r="B1714" s="1">
        <v>1</v>
      </c>
      <c r="C1714" s="1">
        <v>8</v>
      </c>
      <c r="D1714" s="1" t="str">
        <f t="shared" si="27"/>
        <v>Yes</v>
      </c>
      <c r="E1714" s="1">
        <v>9.8000000000000007</v>
      </c>
      <c r="F1714" s="1">
        <v>120</v>
      </c>
      <c r="G1714" s="1" t="s">
        <v>93</v>
      </c>
      <c r="H1714" s="1" t="s">
        <v>95</v>
      </c>
      <c r="I1714" s="1">
        <v>21.8</v>
      </c>
      <c r="J1714" s="1" t="s">
        <v>95</v>
      </c>
      <c r="M1714" s="1" t="s">
        <v>101</v>
      </c>
      <c r="O1714" s="1">
        <v>1</v>
      </c>
    </row>
    <row r="1715" spans="1:15" ht="14.25" customHeight="1" x14ac:dyDescent="0.3">
      <c r="A1715" s="1" t="s">
        <v>73</v>
      </c>
      <c r="B1715" s="1">
        <v>1</v>
      </c>
      <c r="C1715" s="1">
        <v>20</v>
      </c>
      <c r="D1715" s="1" t="str">
        <f t="shared" si="27"/>
        <v>Yes</v>
      </c>
      <c r="E1715" s="1">
        <v>8.8000000000000007</v>
      </c>
      <c r="F1715" s="1">
        <v>250</v>
      </c>
      <c r="G1715" s="1" t="s">
        <v>93</v>
      </c>
      <c r="H1715" s="1" t="s">
        <v>95</v>
      </c>
      <c r="I1715" s="1">
        <v>17.3</v>
      </c>
      <c r="J1715" s="1" t="s">
        <v>95</v>
      </c>
      <c r="M1715" s="1" t="s">
        <v>101</v>
      </c>
      <c r="O1715" s="1">
        <v>1</v>
      </c>
    </row>
    <row r="1716" spans="1:15" ht="14.25" customHeight="1" x14ac:dyDescent="0.3">
      <c r="A1716" s="1" t="s">
        <v>73</v>
      </c>
      <c r="B1716" s="1">
        <v>1</v>
      </c>
      <c r="C1716" s="1">
        <v>29</v>
      </c>
      <c r="D1716" s="1" t="str">
        <f t="shared" si="27"/>
        <v>Yes</v>
      </c>
      <c r="E1716" s="1">
        <v>7.6</v>
      </c>
      <c r="F1716" s="1">
        <v>330</v>
      </c>
      <c r="G1716" s="1" t="s">
        <v>93</v>
      </c>
      <c r="H1716" s="1" t="s">
        <v>95</v>
      </c>
      <c r="I1716" s="1">
        <v>14.7</v>
      </c>
      <c r="J1716" s="1" t="s">
        <v>95</v>
      </c>
      <c r="M1716" s="1" t="s">
        <v>101</v>
      </c>
      <c r="O1716" s="1">
        <v>1</v>
      </c>
    </row>
    <row r="1717" spans="1:15" ht="14.25" customHeight="1" x14ac:dyDescent="0.3">
      <c r="A1717" s="1" t="s">
        <v>73</v>
      </c>
      <c r="B1717" s="1">
        <v>1</v>
      </c>
      <c r="C1717" s="1">
        <v>6</v>
      </c>
      <c r="D1717" s="1" t="str">
        <f t="shared" si="27"/>
        <v>Yes</v>
      </c>
      <c r="E1717" s="1">
        <v>8.4</v>
      </c>
      <c r="F1717" s="1">
        <v>98</v>
      </c>
      <c r="G1717" s="1" t="s">
        <v>93</v>
      </c>
      <c r="H1717" s="1" t="s">
        <v>95</v>
      </c>
      <c r="I1717" s="1">
        <v>11.9</v>
      </c>
      <c r="J1717" s="1" t="s">
        <v>95</v>
      </c>
      <c r="M1717" s="1" t="s">
        <v>101</v>
      </c>
      <c r="O1717" s="1">
        <v>1</v>
      </c>
    </row>
    <row r="1718" spans="1:15" ht="14.25" customHeight="1" x14ac:dyDescent="0.3">
      <c r="A1718" s="1" t="s">
        <v>73</v>
      </c>
      <c r="B1718" s="1">
        <v>1</v>
      </c>
      <c r="C1718" s="1">
        <v>11</v>
      </c>
      <c r="D1718" s="1" t="str">
        <f t="shared" si="27"/>
        <v>Yes</v>
      </c>
      <c r="E1718" s="1">
        <v>10.9</v>
      </c>
      <c r="F1718" s="1">
        <v>129</v>
      </c>
      <c r="G1718" s="1" t="s">
        <v>93</v>
      </c>
      <c r="H1718" s="1" t="s">
        <v>95</v>
      </c>
      <c r="I1718" s="1">
        <v>11.4</v>
      </c>
      <c r="J1718" s="1" t="s">
        <v>95</v>
      </c>
      <c r="M1718" s="1" t="s">
        <v>101</v>
      </c>
      <c r="O1718" s="1">
        <v>1</v>
      </c>
    </row>
    <row r="1719" spans="1:15" ht="14.25" customHeight="1" x14ac:dyDescent="0.3">
      <c r="A1719" s="1" t="s">
        <v>73</v>
      </c>
      <c r="B1719" s="1">
        <v>1</v>
      </c>
      <c r="C1719" s="1">
        <v>1</v>
      </c>
      <c r="D1719" s="1" t="str">
        <f t="shared" si="27"/>
        <v>Yes</v>
      </c>
      <c r="E1719" s="1">
        <v>5.2</v>
      </c>
      <c r="F1719" s="1">
        <v>28</v>
      </c>
      <c r="G1719" s="1" t="s">
        <v>93</v>
      </c>
      <c r="H1719" s="1" t="s">
        <v>95</v>
      </c>
      <c r="I1719" s="1">
        <v>11.2</v>
      </c>
      <c r="J1719" s="1" t="s">
        <v>95</v>
      </c>
      <c r="M1719" s="1" t="s">
        <v>101</v>
      </c>
      <c r="O1719" s="1">
        <v>1</v>
      </c>
    </row>
    <row r="1720" spans="1:15" ht="14.25" customHeight="1" x14ac:dyDescent="0.3">
      <c r="A1720" s="1" t="s">
        <v>73</v>
      </c>
      <c r="B1720" s="1">
        <v>1</v>
      </c>
      <c r="C1720" s="1">
        <v>5</v>
      </c>
      <c r="D1720" s="1" t="str">
        <f t="shared" si="27"/>
        <v>Yes</v>
      </c>
      <c r="E1720" s="1">
        <v>11.3</v>
      </c>
      <c r="F1720" s="1">
        <v>92</v>
      </c>
      <c r="G1720" s="1" t="s">
        <v>93</v>
      </c>
      <c r="H1720" s="1" t="s">
        <v>95</v>
      </c>
      <c r="I1720" s="1">
        <v>11.1</v>
      </c>
      <c r="J1720" s="1" t="s">
        <v>95</v>
      </c>
      <c r="M1720" s="1" t="s">
        <v>101</v>
      </c>
      <c r="O1720" s="1">
        <v>1</v>
      </c>
    </row>
    <row r="1721" spans="1:15" ht="14.25" customHeight="1" x14ac:dyDescent="0.3">
      <c r="A1721" s="1" t="s">
        <v>73</v>
      </c>
      <c r="B1721" s="1">
        <v>1</v>
      </c>
      <c r="C1721" s="1">
        <v>18</v>
      </c>
      <c r="D1721" s="1" t="str">
        <f t="shared" si="27"/>
        <v>Yes</v>
      </c>
      <c r="E1721" s="1">
        <v>10.4</v>
      </c>
      <c r="F1721" s="1">
        <v>220</v>
      </c>
      <c r="G1721" s="1" t="s">
        <v>93</v>
      </c>
      <c r="H1721" s="1" t="s">
        <v>95</v>
      </c>
      <c r="I1721" s="1">
        <v>10</v>
      </c>
      <c r="J1721" s="1" t="s">
        <v>101</v>
      </c>
      <c r="M1721" s="1" t="s">
        <v>101</v>
      </c>
      <c r="O1721" s="1">
        <v>5</v>
      </c>
    </row>
    <row r="1722" spans="1:15" ht="14.25" customHeight="1" x14ac:dyDescent="0.3">
      <c r="A1722" s="1" t="s">
        <v>73</v>
      </c>
      <c r="B1722" s="1">
        <v>1</v>
      </c>
      <c r="C1722" s="1">
        <v>22</v>
      </c>
      <c r="D1722" s="1" t="str">
        <f t="shared" si="27"/>
        <v>Yes</v>
      </c>
      <c r="E1722" s="1">
        <v>9.6999999999999993</v>
      </c>
      <c r="F1722" s="1">
        <v>260</v>
      </c>
      <c r="G1722" s="1" t="s">
        <v>93</v>
      </c>
      <c r="H1722" s="1" t="s">
        <v>95</v>
      </c>
      <c r="I1722" s="1">
        <v>10</v>
      </c>
      <c r="J1722" s="1" t="s">
        <v>95</v>
      </c>
      <c r="M1722" s="1" t="s">
        <v>101</v>
      </c>
      <c r="O1722" s="1">
        <v>1</v>
      </c>
    </row>
    <row r="1723" spans="1:15" ht="14.25" customHeight="1" x14ac:dyDescent="0.3">
      <c r="A1723" s="1" t="s">
        <v>73</v>
      </c>
      <c r="B1723" s="1">
        <v>1</v>
      </c>
      <c r="C1723" s="1">
        <v>2</v>
      </c>
      <c r="D1723" s="1" t="str">
        <f t="shared" si="27"/>
        <v>Yes</v>
      </c>
      <c r="E1723" s="1">
        <v>1.9</v>
      </c>
      <c r="F1723" s="1">
        <v>103</v>
      </c>
      <c r="G1723" s="1" t="s">
        <v>93</v>
      </c>
      <c r="H1723" s="1" t="s">
        <v>95</v>
      </c>
      <c r="I1723" s="1">
        <v>9.6999999999999993</v>
      </c>
      <c r="J1723" s="1" t="s">
        <v>95</v>
      </c>
      <c r="M1723" s="1" t="s">
        <v>101</v>
      </c>
      <c r="O1723" s="1">
        <v>2</v>
      </c>
    </row>
    <row r="1724" spans="1:15" ht="14.25" customHeight="1" x14ac:dyDescent="0.3">
      <c r="A1724" s="1" t="s">
        <v>73</v>
      </c>
      <c r="B1724" s="1">
        <v>1</v>
      </c>
      <c r="C1724" s="1">
        <v>10</v>
      </c>
      <c r="D1724" s="1" t="str">
        <f t="shared" si="27"/>
        <v>Yes</v>
      </c>
      <c r="E1724" s="1">
        <v>9.4</v>
      </c>
      <c r="F1724" s="1">
        <v>123</v>
      </c>
      <c r="G1724" s="1" t="s">
        <v>93</v>
      </c>
      <c r="H1724" s="1" t="s">
        <v>95</v>
      </c>
      <c r="I1724" s="1">
        <v>9.6</v>
      </c>
      <c r="J1724" s="1" t="s">
        <v>95</v>
      </c>
      <c r="M1724" s="1" t="s">
        <v>101</v>
      </c>
      <c r="O1724" s="1">
        <v>1</v>
      </c>
    </row>
    <row r="1725" spans="1:15" ht="14.25" customHeight="1" x14ac:dyDescent="0.3">
      <c r="A1725" s="1" t="s">
        <v>73</v>
      </c>
      <c r="B1725" s="1">
        <v>1</v>
      </c>
      <c r="C1725" s="1">
        <v>17</v>
      </c>
      <c r="D1725" s="1" t="str">
        <f t="shared" si="27"/>
        <v>Yes</v>
      </c>
      <c r="E1725" s="1">
        <v>6.9</v>
      </c>
      <c r="F1725" s="1">
        <v>202</v>
      </c>
      <c r="G1725" s="1" t="s">
        <v>93</v>
      </c>
      <c r="H1725" s="1" t="s">
        <v>95</v>
      </c>
      <c r="I1725" s="1">
        <v>8.6</v>
      </c>
      <c r="J1725" s="1" t="s">
        <v>95</v>
      </c>
      <c r="M1725" s="1" t="s">
        <v>101</v>
      </c>
      <c r="O1725" s="1">
        <v>2</v>
      </c>
    </row>
    <row r="1726" spans="1:15" ht="14.25" customHeight="1" x14ac:dyDescent="0.3">
      <c r="A1726" s="1" t="s">
        <v>73</v>
      </c>
      <c r="B1726" s="1">
        <v>1</v>
      </c>
      <c r="C1726" s="1">
        <v>9</v>
      </c>
      <c r="D1726" s="1" t="str">
        <f t="shared" si="27"/>
        <v>Yes</v>
      </c>
      <c r="E1726" s="1">
        <v>11.4</v>
      </c>
      <c r="F1726" s="1">
        <v>121</v>
      </c>
      <c r="G1726" s="1" t="s">
        <v>93</v>
      </c>
      <c r="H1726" s="1" t="s">
        <v>95</v>
      </c>
      <c r="I1726" s="1">
        <v>8.5</v>
      </c>
      <c r="J1726" s="1" t="s">
        <v>95</v>
      </c>
      <c r="M1726" s="1" t="s">
        <v>101</v>
      </c>
      <c r="O1726" s="1">
        <v>1</v>
      </c>
    </row>
    <row r="1727" spans="1:15" ht="14.25" customHeight="1" x14ac:dyDescent="0.3">
      <c r="A1727" s="1" t="s">
        <v>73</v>
      </c>
      <c r="B1727" s="1">
        <v>2</v>
      </c>
      <c r="C1727" s="1">
        <v>10</v>
      </c>
      <c r="D1727" s="1" t="str">
        <f t="shared" si="27"/>
        <v>Yes</v>
      </c>
      <c r="E1727" s="1">
        <v>8.3000000000000007</v>
      </c>
      <c r="F1727" s="1">
        <v>58</v>
      </c>
      <c r="G1727" s="1" t="s">
        <v>96</v>
      </c>
      <c r="H1727" s="1" t="s">
        <v>95</v>
      </c>
      <c r="I1727" s="1">
        <v>24.2</v>
      </c>
      <c r="J1727" s="1" t="s">
        <v>95</v>
      </c>
      <c r="M1727" s="1" t="s">
        <v>101</v>
      </c>
      <c r="O1727" s="1">
        <v>1</v>
      </c>
    </row>
    <row r="1728" spans="1:15" ht="14.25" customHeight="1" x14ac:dyDescent="0.3">
      <c r="A1728" s="1" t="s">
        <v>73</v>
      </c>
      <c r="B1728" s="1">
        <v>2</v>
      </c>
      <c r="C1728" s="1">
        <v>13</v>
      </c>
      <c r="D1728" s="1" t="str">
        <f t="shared" si="27"/>
        <v>Yes</v>
      </c>
      <c r="E1728" s="1">
        <v>10.4</v>
      </c>
      <c r="F1728" s="1">
        <v>49</v>
      </c>
      <c r="G1728" s="1" t="s">
        <v>96</v>
      </c>
      <c r="H1728" s="1" t="s">
        <v>95</v>
      </c>
      <c r="I1728" s="1">
        <v>22.5</v>
      </c>
      <c r="J1728" s="1" t="s">
        <v>95</v>
      </c>
      <c r="M1728" s="1" t="s">
        <v>101</v>
      </c>
      <c r="O1728" s="1">
        <v>1</v>
      </c>
    </row>
    <row r="1729" spans="1:18" ht="14.25" customHeight="1" x14ac:dyDescent="0.3">
      <c r="A1729" s="1" t="s">
        <v>73</v>
      </c>
      <c r="B1729" s="1">
        <v>2</v>
      </c>
      <c r="C1729" s="1">
        <v>9</v>
      </c>
      <c r="D1729" s="1" t="str">
        <f t="shared" si="27"/>
        <v>Yes</v>
      </c>
      <c r="E1729" s="1">
        <v>7.1</v>
      </c>
      <c r="F1729" s="1">
        <v>51</v>
      </c>
      <c r="G1729" s="1" t="s">
        <v>96</v>
      </c>
      <c r="H1729" s="1" t="s">
        <v>95</v>
      </c>
      <c r="I1729" s="1">
        <v>20.2</v>
      </c>
      <c r="J1729" s="1" t="s">
        <v>95</v>
      </c>
      <c r="M1729" s="1" t="s">
        <v>101</v>
      </c>
      <c r="O1729" s="1">
        <v>5</v>
      </c>
    </row>
    <row r="1730" spans="1:18" ht="14.25" customHeight="1" x14ac:dyDescent="0.3">
      <c r="A1730" s="1" t="s">
        <v>73</v>
      </c>
      <c r="B1730" s="1">
        <v>2</v>
      </c>
      <c r="C1730" s="1">
        <v>2</v>
      </c>
      <c r="D1730" s="1" t="str">
        <f t="shared" si="27"/>
        <v>Yes</v>
      </c>
      <c r="E1730" s="1">
        <v>11.8</v>
      </c>
      <c r="F1730" s="1">
        <v>9</v>
      </c>
      <c r="G1730" s="1" t="s">
        <v>96</v>
      </c>
      <c r="H1730" s="1" t="s">
        <v>95</v>
      </c>
      <c r="I1730" s="1">
        <v>14.5</v>
      </c>
      <c r="J1730" s="1" t="s">
        <v>95</v>
      </c>
      <c r="M1730" s="1" t="s">
        <v>101</v>
      </c>
      <c r="O1730" s="1">
        <v>2</v>
      </c>
    </row>
    <row r="1731" spans="1:18" ht="14.25" customHeight="1" x14ac:dyDescent="0.3">
      <c r="A1731" s="1" t="s">
        <v>73</v>
      </c>
      <c r="B1731" s="1">
        <v>2</v>
      </c>
      <c r="C1731" s="1">
        <v>19</v>
      </c>
      <c r="D1731" s="1" t="str">
        <f t="shared" si="27"/>
        <v>Yes</v>
      </c>
      <c r="E1731" s="1">
        <v>10.9</v>
      </c>
      <c r="F1731" s="1">
        <v>296</v>
      </c>
      <c r="G1731" s="1" t="s">
        <v>109</v>
      </c>
      <c r="H1731" s="1" t="s">
        <v>95</v>
      </c>
      <c r="I1731" s="1">
        <v>73</v>
      </c>
      <c r="J1731" s="1" t="s">
        <v>97</v>
      </c>
      <c r="M1731" s="1" t="s">
        <v>97</v>
      </c>
      <c r="O1731" s="1">
        <v>5</v>
      </c>
    </row>
    <row r="1732" spans="1:18" ht="14.25" customHeight="1" x14ac:dyDescent="0.3">
      <c r="A1732" s="1" t="s">
        <v>73</v>
      </c>
      <c r="B1732" s="1">
        <v>2</v>
      </c>
      <c r="C1732" s="1">
        <v>18</v>
      </c>
      <c r="D1732" s="1" t="str">
        <f t="shared" si="27"/>
        <v>Yes</v>
      </c>
      <c r="E1732" s="1">
        <v>7.9</v>
      </c>
      <c r="F1732" s="1">
        <v>170</v>
      </c>
      <c r="G1732" s="1" t="s">
        <v>173</v>
      </c>
      <c r="H1732" s="1" t="s">
        <v>95</v>
      </c>
      <c r="I1732" s="1">
        <v>11.3</v>
      </c>
      <c r="J1732" s="1" t="s">
        <v>95</v>
      </c>
      <c r="M1732" s="1" t="s">
        <v>101</v>
      </c>
      <c r="O1732" s="1">
        <v>1</v>
      </c>
      <c r="Q1732" s="1" t="s">
        <v>226</v>
      </c>
      <c r="R1732" s="1"/>
    </row>
    <row r="1733" spans="1:18" ht="14.25" customHeight="1" x14ac:dyDescent="0.3">
      <c r="A1733" s="1" t="s">
        <v>73</v>
      </c>
      <c r="B1733" s="1">
        <v>2</v>
      </c>
      <c r="C1733" s="1">
        <v>8</v>
      </c>
      <c r="D1733" s="1" t="str">
        <f t="shared" si="27"/>
        <v>Yes</v>
      </c>
      <c r="E1733" s="1">
        <v>3.5</v>
      </c>
      <c r="F1733" s="1">
        <v>53</v>
      </c>
      <c r="G1733" s="1" t="s">
        <v>106</v>
      </c>
      <c r="H1733" s="1" t="s">
        <v>95</v>
      </c>
      <c r="I1733" s="1">
        <v>110</v>
      </c>
      <c r="J1733" s="1" t="s">
        <v>101</v>
      </c>
      <c r="M1733" s="1" t="s">
        <v>97</v>
      </c>
      <c r="O1733" s="1">
        <v>5</v>
      </c>
    </row>
    <row r="1734" spans="1:18" ht="14.25" customHeight="1" x14ac:dyDescent="0.3">
      <c r="A1734" s="1" t="s">
        <v>73</v>
      </c>
      <c r="B1734" s="1">
        <v>2</v>
      </c>
      <c r="C1734" s="1">
        <v>16</v>
      </c>
      <c r="D1734" s="1" t="str">
        <f t="shared" si="27"/>
        <v>Yes</v>
      </c>
      <c r="E1734" s="1">
        <v>11.4</v>
      </c>
      <c r="F1734" s="1">
        <v>129</v>
      </c>
      <c r="G1734" s="1" t="s">
        <v>106</v>
      </c>
      <c r="H1734" s="1" t="s">
        <v>95</v>
      </c>
      <c r="I1734" s="1">
        <v>29</v>
      </c>
      <c r="J1734" s="1" t="s">
        <v>95</v>
      </c>
      <c r="M1734" s="1" t="s">
        <v>102</v>
      </c>
      <c r="O1734" s="1">
        <v>1</v>
      </c>
      <c r="P1734" s="1">
        <v>798</v>
      </c>
    </row>
    <row r="1735" spans="1:18" ht="14.25" customHeight="1" x14ac:dyDescent="0.3">
      <c r="A1735" s="1" t="s">
        <v>73</v>
      </c>
      <c r="B1735" s="1">
        <v>2</v>
      </c>
      <c r="C1735" s="1">
        <v>21</v>
      </c>
      <c r="D1735" s="1" t="str">
        <f t="shared" si="27"/>
        <v>Yes</v>
      </c>
      <c r="E1735" s="1">
        <v>9.8000000000000007</v>
      </c>
      <c r="F1735" s="1">
        <v>303</v>
      </c>
      <c r="G1735" s="1" t="s">
        <v>106</v>
      </c>
      <c r="H1735" s="1" t="s">
        <v>95</v>
      </c>
      <c r="I1735" s="1">
        <v>26.6</v>
      </c>
      <c r="J1735" s="1" t="s">
        <v>95</v>
      </c>
      <c r="M1735" s="1" t="s">
        <v>102</v>
      </c>
      <c r="O1735" s="1">
        <v>1</v>
      </c>
    </row>
    <row r="1736" spans="1:18" ht="14.25" customHeight="1" x14ac:dyDescent="0.3">
      <c r="A1736" s="1" t="s">
        <v>73</v>
      </c>
      <c r="B1736" s="1">
        <v>2</v>
      </c>
      <c r="C1736" s="1">
        <v>17</v>
      </c>
      <c r="D1736" s="1" t="str">
        <f t="shared" si="27"/>
        <v>Yes</v>
      </c>
      <c r="E1736" s="1">
        <v>10.7</v>
      </c>
      <c r="F1736" s="1">
        <v>156</v>
      </c>
      <c r="G1736" s="1" t="s">
        <v>93</v>
      </c>
      <c r="H1736" s="1" t="s">
        <v>95</v>
      </c>
      <c r="I1736" s="1">
        <v>88</v>
      </c>
      <c r="J1736" s="1" t="s">
        <v>97</v>
      </c>
      <c r="M1736" s="1" t="s">
        <v>97</v>
      </c>
      <c r="O1736" s="1">
        <v>5</v>
      </c>
    </row>
    <row r="1737" spans="1:18" ht="14.25" customHeight="1" x14ac:dyDescent="0.3">
      <c r="A1737" s="1" t="s">
        <v>73</v>
      </c>
      <c r="B1737" s="1">
        <v>2</v>
      </c>
      <c r="C1737" s="1">
        <v>27</v>
      </c>
      <c r="D1737" s="1" t="str">
        <f t="shared" si="27"/>
        <v>Yes</v>
      </c>
      <c r="E1737" s="1">
        <v>10.8</v>
      </c>
      <c r="F1737" s="1">
        <v>306</v>
      </c>
      <c r="G1737" s="1" t="s">
        <v>93</v>
      </c>
      <c r="H1737" s="1" t="s">
        <v>95</v>
      </c>
      <c r="I1737" s="1">
        <v>45.2</v>
      </c>
      <c r="J1737" s="1" t="s">
        <v>95</v>
      </c>
      <c r="M1737" s="1" t="s">
        <v>102</v>
      </c>
      <c r="O1737" s="1">
        <v>1</v>
      </c>
    </row>
    <row r="1738" spans="1:18" ht="14.25" customHeight="1" x14ac:dyDescent="0.3">
      <c r="A1738" s="1" t="s">
        <v>73</v>
      </c>
      <c r="B1738" s="1">
        <v>2</v>
      </c>
      <c r="C1738" s="1">
        <v>1</v>
      </c>
      <c r="D1738" s="1" t="str">
        <f t="shared" si="27"/>
        <v>Yes</v>
      </c>
      <c r="E1738" s="1">
        <v>6.2</v>
      </c>
      <c r="F1738" s="1">
        <v>15</v>
      </c>
      <c r="G1738" s="1" t="s">
        <v>93</v>
      </c>
      <c r="H1738" s="1" t="s">
        <v>95</v>
      </c>
      <c r="I1738" s="1">
        <v>38.9</v>
      </c>
      <c r="J1738" s="1" t="s">
        <v>95</v>
      </c>
      <c r="M1738" s="1" t="s">
        <v>102</v>
      </c>
      <c r="O1738" s="1">
        <v>1</v>
      </c>
      <c r="P1738" s="1">
        <v>799</v>
      </c>
    </row>
    <row r="1739" spans="1:18" ht="14.25" customHeight="1" x14ac:dyDescent="0.3">
      <c r="A1739" s="1" t="s">
        <v>73</v>
      </c>
      <c r="B1739" s="1">
        <v>2</v>
      </c>
      <c r="C1739" s="1">
        <v>22</v>
      </c>
      <c r="D1739" s="1" t="str">
        <f t="shared" si="27"/>
        <v>Yes</v>
      </c>
      <c r="E1739" s="1">
        <v>6.3</v>
      </c>
      <c r="F1739" s="1">
        <v>322</v>
      </c>
      <c r="G1739" s="1" t="s">
        <v>93</v>
      </c>
      <c r="H1739" s="1" t="s">
        <v>95</v>
      </c>
      <c r="I1739" s="1">
        <v>38.299999999999997</v>
      </c>
      <c r="J1739" s="1" t="s">
        <v>95</v>
      </c>
      <c r="M1739" s="1" t="s">
        <v>102</v>
      </c>
      <c r="O1739" s="1">
        <v>1</v>
      </c>
      <c r="P1739" s="1">
        <v>800</v>
      </c>
    </row>
    <row r="1740" spans="1:18" ht="14.25" customHeight="1" x14ac:dyDescent="0.3">
      <c r="A1740" s="1" t="s">
        <v>73</v>
      </c>
      <c r="B1740" s="1">
        <v>2</v>
      </c>
      <c r="C1740" s="1">
        <v>25</v>
      </c>
      <c r="D1740" s="1" t="str">
        <f t="shared" si="27"/>
        <v>Yes</v>
      </c>
      <c r="E1740" s="1">
        <v>3.2</v>
      </c>
      <c r="F1740" s="1">
        <v>358</v>
      </c>
      <c r="G1740" s="1" t="s">
        <v>93</v>
      </c>
      <c r="H1740" s="1" t="s">
        <v>95</v>
      </c>
      <c r="I1740" s="1">
        <v>31</v>
      </c>
      <c r="J1740" s="1" t="s">
        <v>95</v>
      </c>
      <c r="M1740" s="1" t="s">
        <v>102</v>
      </c>
      <c r="O1740" s="1">
        <v>1</v>
      </c>
    </row>
    <row r="1741" spans="1:18" ht="14.25" customHeight="1" x14ac:dyDescent="0.3">
      <c r="A1741" s="1" t="s">
        <v>73</v>
      </c>
      <c r="B1741" s="1">
        <v>2</v>
      </c>
      <c r="C1741" s="1">
        <v>15</v>
      </c>
      <c r="D1741" s="1" t="str">
        <f t="shared" si="27"/>
        <v>Yes</v>
      </c>
      <c r="E1741" s="1">
        <v>11</v>
      </c>
      <c r="F1741" s="1">
        <v>123</v>
      </c>
      <c r="G1741" s="1" t="s">
        <v>93</v>
      </c>
      <c r="H1741" s="1" t="s">
        <v>95</v>
      </c>
      <c r="I1741" s="1">
        <v>27.5</v>
      </c>
      <c r="J1741" s="1" t="s">
        <v>95</v>
      </c>
      <c r="M1741" s="1" t="s">
        <v>102</v>
      </c>
      <c r="O1741" s="1">
        <v>1</v>
      </c>
    </row>
    <row r="1742" spans="1:18" ht="14.25" customHeight="1" x14ac:dyDescent="0.3">
      <c r="A1742" s="1" t="s">
        <v>73</v>
      </c>
      <c r="B1742" s="1">
        <v>2</v>
      </c>
      <c r="C1742" s="1">
        <v>24</v>
      </c>
      <c r="D1742" s="1" t="str">
        <f t="shared" si="27"/>
        <v>Yes</v>
      </c>
      <c r="E1742" s="1">
        <v>5</v>
      </c>
      <c r="F1742" s="1">
        <v>351</v>
      </c>
      <c r="G1742" s="1" t="s">
        <v>93</v>
      </c>
      <c r="H1742" s="1" t="s">
        <v>95</v>
      </c>
      <c r="I1742" s="1">
        <v>26</v>
      </c>
      <c r="J1742" s="1" t="s">
        <v>95</v>
      </c>
      <c r="M1742" s="1" t="s">
        <v>102</v>
      </c>
      <c r="O1742" s="1">
        <v>1</v>
      </c>
    </row>
    <row r="1743" spans="1:18" ht="14.25" customHeight="1" x14ac:dyDescent="0.3">
      <c r="A1743" s="1" t="s">
        <v>73</v>
      </c>
      <c r="B1743" s="1">
        <v>2</v>
      </c>
      <c r="C1743" s="1">
        <v>4</v>
      </c>
      <c r="D1743" s="1" t="str">
        <f t="shared" si="27"/>
        <v>Yes</v>
      </c>
      <c r="E1743" s="1">
        <v>9.4</v>
      </c>
      <c r="F1743" s="1">
        <v>34</v>
      </c>
      <c r="G1743" s="1" t="s">
        <v>93</v>
      </c>
      <c r="H1743" s="1" t="s">
        <v>95</v>
      </c>
      <c r="I1743" s="1">
        <v>21.1</v>
      </c>
      <c r="J1743" s="1" t="s">
        <v>101</v>
      </c>
      <c r="M1743" s="1" t="s">
        <v>101</v>
      </c>
      <c r="O1743" s="1">
        <v>5</v>
      </c>
    </row>
    <row r="1744" spans="1:18" ht="14.25" customHeight="1" x14ac:dyDescent="0.3">
      <c r="A1744" s="1" t="s">
        <v>73</v>
      </c>
      <c r="B1744" s="1">
        <v>2</v>
      </c>
      <c r="C1744" s="1">
        <v>3</v>
      </c>
      <c r="D1744" s="1" t="str">
        <f t="shared" si="27"/>
        <v>Yes</v>
      </c>
      <c r="E1744" s="1">
        <v>8.8000000000000007</v>
      </c>
      <c r="F1744" s="1">
        <v>16</v>
      </c>
      <c r="G1744" s="1" t="s">
        <v>93</v>
      </c>
      <c r="H1744" s="1" t="s">
        <v>95</v>
      </c>
      <c r="I1744" s="1">
        <v>20.7</v>
      </c>
      <c r="J1744" s="1" t="s">
        <v>95</v>
      </c>
      <c r="M1744" s="1" t="s">
        <v>101</v>
      </c>
      <c r="O1744" s="1">
        <v>1</v>
      </c>
    </row>
    <row r="1745" spans="1:15" ht="14.25" customHeight="1" x14ac:dyDescent="0.3">
      <c r="A1745" s="1" t="s">
        <v>73</v>
      </c>
      <c r="B1745" s="1">
        <v>2</v>
      </c>
      <c r="C1745" s="1">
        <v>14</v>
      </c>
      <c r="D1745" s="1" t="str">
        <f t="shared" si="27"/>
        <v>Yes</v>
      </c>
      <c r="E1745" s="1">
        <v>10.6</v>
      </c>
      <c r="F1745" s="1">
        <v>122</v>
      </c>
      <c r="G1745" s="1" t="s">
        <v>93</v>
      </c>
      <c r="H1745" s="1" t="s">
        <v>95</v>
      </c>
      <c r="I1745" s="1">
        <v>19.8</v>
      </c>
      <c r="J1745" s="1" t="s">
        <v>95</v>
      </c>
      <c r="M1745" s="1" t="s">
        <v>101</v>
      </c>
      <c r="O1745" s="1">
        <v>1</v>
      </c>
    </row>
    <row r="1746" spans="1:15" ht="14.25" customHeight="1" x14ac:dyDescent="0.3">
      <c r="A1746" s="1" t="s">
        <v>73</v>
      </c>
      <c r="B1746" s="1">
        <v>2</v>
      </c>
      <c r="C1746" s="1">
        <v>11</v>
      </c>
      <c r="D1746" s="1" t="str">
        <f t="shared" si="27"/>
        <v>Yes</v>
      </c>
      <c r="E1746" s="1">
        <v>10</v>
      </c>
      <c r="F1746" s="1">
        <v>46</v>
      </c>
      <c r="G1746" s="1" t="s">
        <v>93</v>
      </c>
      <c r="H1746" s="1" t="s">
        <v>95</v>
      </c>
      <c r="I1746" s="1">
        <v>17</v>
      </c>
      <c r="J1746" s="1" t="s">
        <v>95</v>
      </c>
      <c r="M1746" s="1" t="s">
        <v>101</v>
      </c>
      <c r="O1746" s="1">
        <v>1</v>
      </c>
    </row>
    <row r="1747" spans="1:15" ht="14.25" customHeight="1" x14ac:dyDescent="0.3">
      <c r="A1747" s="1" t="s">
        <v>73</v>
      </c>
      <c r="B1747" s="1">
        <v>2</v>
      </c>
      <c r="C1747" s="1">
        <v>7</v>
      </c>
      <c r="D1747" s="1" t="str">
        <f t="shared" si="27"/>
        <v>Yes</v>
      </c>
      <c r="E1747" s="1">
        <v>5.7</v>
      </c>
      <c r="F1747" s="1">
        <v>39</v>
      </c>
      <c r="G1747" s="1" t="s">
        <v>93</v>
      </c>
      <c r="H1747" s="1" t="s">
        <v>95</v>
      </c>
      <c r="I1747" s="1">
        <v>15.8</v>
      </c>
      <c r="J1747" s="1" t="s">
        <v>95</v>
      </c>
      <c r="M1747" s="1" t="s">
        <v>101</v>
      </c>
      <c r="O1747" s="1">
        <v>1</v>
      </c>
    </row>
    <row r="1748" spans="1:15" ht="14.25" customHeight="1" x14ac:dyDescent="0.3">
      <c r="A1748" s="1" t="s">
        <v>73</v>
      </c>
      <c r="B1748" s="1">
        <v>2</v>
      </c>
      <c r="C1748" s="1">
        <v>6</v>
      </c>
      <c r="D1748" s="1" t="str">
        <f t="shared" si="27"/>
        <v>Yes</v>
      </c>
      <c r="E1748" s="1">
        <v>8</v>
      </c>
      <c r="F1748" s="1">
        <v>39</v>
      </c>
      <c r="G1748" s="1" t="s">
        <v>93</v>
      </c>
      <c r="H1748" s="1" t="s">
        <v>95</v>
      </c>
      <c r="I1748" s="1">
        <v>13.4</v>
      </c>
      <c r="J1748" s="1" t="s">
        <v>95</v>
      </c>
      <c r="M1748" s="1" t="s">
        <v>101</v>
      </c>
      <c r="O1748" s="1">
        <v>1</v>
      </c>
    </row>
    <row r="1749" spans="1:15" ht="14.25" customHeight="1" x14ac:dyDescent="0.3">
      <c r="A1749" s="1" t="s">
        <v>73</v>
      </c>
      <c r="B1749" s="1">
        <v>2</v>
      </c>
      <c r="C1749" s="1">
        <v>12</v>
      </c>
      <c r="D1749" s="1" t="str">
        <f t="shared" si="27"/>
        <v>Yes</v>
      </c>
      <c r="E1749" s="1">
        <v>10.9</v>
      </c>
      <c r="F1749" s="1">
        <v>48</v>
      </c>
      <c r="G1749" s="1" t="s">
        <v>93</v>
      </c>
      <c r="H1749" s="1" t="s">
        <v>95</v>
      </c>
      <c r="I1749" s="1">
        <v>12.3</v>
      </c>
      <c r="J1749" s="1" t="s">
        <v>95</v>
      </c>
      <c r="M1749" s="1" t="s">
        <v>101</v>
      </c>
      <c r="O1749" s="1">
        <v>1</v>
      </c>
    </row>
    <row r="1750" spans="1:15" ht="14.25" customHeight="1" x14ac:dyDescent="0.3">
      <c r="A1750" s="1" t="s">
        <v>73</v>
      </c>
      <c r="B1750" s="1">
        <v>2</v>
      </c>
      <c r="C1750" s="1">
        <v>5</v>
      </c>
      <c r="D1750" s="1" t="str">
        <f t="shared" si="27"/>
        <v>Yes</v>
      </c>
      <c r="E1750" s="1">
        <v>7.4</v>
      </c>
      <c r="F1750" s="1">
        <v>37</v>
      </c>
      <c r="G1750" s="1" t="s">
        <v>93</v>
      </c>
      <c r="H1750" s="1" t="s">
        <v>95</v>
      </c>
      <c r="I1750" s="1">
        <v>10.9</v>
      </c>
      <c r="J1750" s="1" t="s">
        <v>95</v>
      </c>
      <c r="M1750" s="1" t="s">
        <v>101</v>
      </c>
      <c r="O1750" s="1">
        <v>1</v>
      </c>
    </row>
    <row r="1751" spans="1:15" ht="14.25" customHeight="1" x14ac:dyDescent="0.3">
      <c r="A1751" s="1" t="s">
        <v>73</v>
      </c>
      <c r="B1751" s="1">
        <v>2</v>
      </c>
      <c r="C1751" s="1">
        <v>23</v>
      </c>
      <c r="D1751" s="1" t="str">
        <f t="shared" si="27"/>
        <v>Yes</v>
      </c>
      <c r="E1751" s="1">
        <v>6.4</v>
      </c>
      <c r="F1751" s="1">
        <v>348</v>
      </c>
      <c r="G1751" s="1" t="s">
        <v>93</v>
      </c>
      <c r="H1751" s="1" t="s">
        <v>95</v>
      </c>
      <c r="I1751" s="1">
        <v>10</v>
      </c>
      <c r="J1751" s="1" t="s">
        <v>101</v>
      </c>
      <c r="M1751" s="1" t="s">
        <v>101</v>
      </c>
      <c r="O1751" s="1">
        <v>5</v>
      </c>
    </row>
    <row r="1752" spans="1:15" ht="14.25" customHeight="1" x14ac:dyDescent="0.3">
      <c r="A1752" s="1" t="s">
        <v>73</v>
      </c>
      <c r="B1752" s="1">
        <v>2</v>
      </c>
      <c r="C1752" s="1">
        <v>20</v>
      </c>
      <c r="D1752" s="1" t="str">
        <f t="shared" ref="D1752:D1815" si="28">IF(E1752&gt;12.5, "No", "Yes")</f>
        <v>Yes</v>
      </c>
      <c r="E1752" s="1">
        <v>8.5</v>
      </c>
      <c r="F1752" s="1">
        <v>298</v>
      </c>
      <c r="G1752" s="1" t="s">
        <v>93</v>
      </c>
      <c r="H1752" s="1" t="s">
        <v>95</v>
      </c>
      <c r="I1752" s="1">
        <v>8.9</v>
      </c>
      <c r="J1752" s="1" t="s">
        <v>95</v>
      </c>
      <c r="M1752" s="1" t="s">
        <v>101</v>
      </c>
      <c r="O1752" s="1">
        <v>2</v>
      </c>
    </row>
    <row r="1753" spans="1:15" ht="14.25" customHeight="1" x14ac:dyDescent="0.3">
      <c r="A1753" s="1" t="s">
        <v>73</v>
      </c>
      <c r="B1753" s="1">
        <v>2</v>
      </c>
      <c r="C1753" s="1">
        <v>26</v>
      </c>
      <c r="D1753" s="1" t="str">
        <f t="shared" si="28"/>
        <v>Yes</v>
      </c>
      <c r="E1753" s="1">
        <v>2.8</v>
      </c>
      <c r="F1753" s="1">
        <v>358</v>
      </c>
      <c r="G1753" s="1" t="s">
        <v>93</v>
      </c>
      <c r="H1753" s="1" t="s">
        <v>95</v>
      </c>
      <c r="I1753" s="1">
        <v>8</v>
      </c>
      <c r="J1753" s="1" t="s">
        <v>95</v>
      </c>
      <c r="M1753" s="1" t="s">
        <v>101</v>
      </c>
      <c r="O1753" s="1">
        <v>5</v>
      </c>
    </row>
    <row r="1754" spans="1:15" ht="14.25" customHeight="1" x14ac:dyDescent="0.3">
      <c r="A1754" s="1" t="s">
        <v>73</v>
      </c>
      <c r="B1754" s="1">
        <v>2</v>
      </c>
      <c r="C1754" s="1">
        <v>28</v>
      </c>
      <c r="D1754" s="1" t="str">
        <f t="shared" si="28"/>
        <v>Yes</v>
      </c>
      <c r="E1754" s="1">
        <v>11.1</v>
      </c>
      <c r="F1754" s="1">
        <v>359</v>
      </c>
      <c r="G1754" s="1" t="s">
        <v>93</v>
      </c>
      <c r="H1754" s="1" t="s">
        <v>95</v>
      </c>
      <c r="I1754" s="45">
        <v>7.1</v>
      </c>
      <c r="J1754" s="1" t="s">
        <v>95</v>
      </c>
      <c r="M1754" s="1" t="s">
        <v>102</v>
      </c>
      <c r="O1754" s="1">
        <v>1</v>
      </c>
    </row>
    <row r="1755" spans="1:15" ht="14.25" customHeight="1" x14ac:dyDescent="0.3">
      <c r="A1755" s="1" t="s">
        <v>73</v>
      </c>
      <c r="B1755" s="1">
        <v>3</v>
      </c>
      <c r="C1755" s="1">
        <v>3</v>
      </c>
      <c r="D1755" s="1" t="str">
        <f t="shared" si="28"/>
        <v>Yes</v>
      </c>
      <c r="E1755" s="1">
        <v>11.8</v>
      </c>
      <c r="F1755" s="1">
        <v>249</v>
      </c>
      <c r="G1755" s="66" t="s">
        <v>173</v>
      </c>
      <c r="H1755" s="1" t="s">
        <v>95</v>
      </c>
      <c r="I1755" s="1">
        <v>28.6</v>
      </c>
      <c r="J1755" s="1" t="s">
        <v>95</v>
      </c>
      <c r="M1755" s="1" t="s">
        <v>101</v>
      </c>
      <c r="O1755" s="1">
        <v>1</v>
      </c>
    </row>
    <row r="1756" spans="1:15" ht="14.25" customHeight="1" x14ac:dyDescent="0.3">
      <c r="A1756" s="1" t="s">
        <v>73</v>
      </c>
      <c r="B1756" s="1">
        <v>3</v>
      </c>
      <c r="C1756" s="1">
        <v>5</v>
      </c>
      <c r="D1756" s="1" t="str">
        <f t="shared" si="28"/>
        <v>Yes</v>
      </c>
      <c r="E1756" s="1">
        <v>1</v>
      </c>
      <c r="F1756" s="1">
        <v>300</v>
      </c>
      <c r="G1756" s="1" t="s">
        <v>173</v>
      </c>
      <c r="H1756" s="1" t="s">
        <v>95</v>
      </c>
      <c r="I1756" s="1">
        <v>20.7</v>
      </c>
      <c r="J1756" s="1" t="s">
        <v>95</v>
      </c>
      <c r="M1756" s="1" t="s">
        <v>101</v>
      </c>
      <c r="O1756" s="1">
        <v>1</v>
      </c>
    </row>
    <row r="1757" spans="1:15" ht="14.25" customHeight="1" x14ac:dyDescent="0.3">
      <c r="A1757" s="1" t="s">
        <v>73</v>
      </c>
      <c r="B1757" s="1">
        <v>3</v>
      </c>
      <c r="C1757" s="1">
        <v>11</v>
      </c>
      <c r="D1757" s="1" t="str">
        <f t="shared" si="28"/>
        <v>Yes</v>
      </c>
      <c r="E1757" s="1">
        <v>1.5</v>
      </c>
      <c r="F1757" s="1">
        <v>1</v>
      </c>
      <c r="G1757" s="1" t="s">
        <v>173</v>
      </c>
      <c r="H1757" s="1" t="s">
        <v>95</v>
      </c>
      <c r="I1757" s="1">
        <v>19.600000000000001</v>
      </c>
      <c r="J1757" s="1" t="s">
        <v>95</v>
      </c>
      <c r="M1757" s="1" t="s">
        <v>101</v>
      </c>
      <c r="O1757" s="1">
        <v>1</v>
      </c>
    </row>
    <row r="1758" spans="1:15" ht="14.25" customHeight="1" x14ac:dyDescent="0.3">
      <c r="A1758" s="1" t="s">
        <v>73</v>
      </c>
      <c r="B1758" s="1">
        <v>3</v>
      </c>
      <c r="C1758" s="1">
        <v>13</v>
      </c>
      <c r="D1758" s="1" t="str">
        <f t="shared" si="28"/>
        <v>Yes</v>
      </c>
      <c r="E1758" s="1">
        <v>2.2999999999999998</v>
      </c>
      <c r="F1758" s="1">
        <v>138</v>
      </c>
      <c r="G1758" s="1" t="s">
        <v>173</v>
      </c>
      <c r="H1758" s="1" t="s">
        <v>95</v>
      </c>
      <c r="I1758" s="1">
        <v>19</v>
      </c>
      <c r="J1758" s="1" t="s">
        <v>95</v>
      </c>
      <c r="M1758" s="1" t="s">
        <v>101</v>
      </c>
      <c r="O1758" s="1">
        <v>1</v>
      </c>
    </row>
    <row r="1759" spans="1:15" ht="14.25" customHeight="1" x14ac:dyDescent="0.3">
      <c r="A1759" s="1" t="s">
        <v>73</v>
      </c>
      <c r="B1759" s="1">
        <v>3</v>
      </c>
      <c r="C1759" s="1">
        <v>14</v>
      </c>
      <c r="D1759" s="1" t="str">
        <f t="shared" si="28"/>
        <v>Yes</v>
      </c>
      <c r="E1759" s="1">
        <v>3.9</v>
      </c>
      <c r="F1759" s="1">
        <v>155</v>
      </c>
      <c r="G1759" s="1" t="s">
        <v>173</v>
      </c>
      <c r="H1759" s="1" t="s">
        <v>95</v>
      </c>
      <c r="I1759" s="1">
        <v>18.899999999999999</v>
      </c>
      <c r="J1759" s="1" t="s">
        <v>95</v>
      </c>
      <c r="M1759" s="1" t="s">
        <v>101</v>
      </c>
      <c r="O1759" s="1">
        <v>1</v>
      </c>
    </row>
    <row r="1760" spans="1:15" ht="14.25" customHeight="1" x14ac:dyDescent="0.3">
      <c r="A1760" s="1" t="s">
        <v>73</v>
      </c>
      <c r="B1760" s="1">
        <v>3</v>
      </c>
      <c r="C1760" s="1">
        <v>1</v>
      </c>
      <c r="D1760" s="1" t="str">
        <f t="shared" si="28"/>
        <v>Yes</v>
      </c>
      <c r="E1760" s="1">
        <v>3.4</v>
      </c>
      <c r="F1760" s="1">
        <v>208</v>
      </c>
      <c r="G1760" s="17" t="s">
        <v>173</v>
      </c>
      <c r="H1760" s="1" t="s">
        <v>95</v>
      </c>
      <c r="I1760" s="1">
        <v>17.5</v>
      </c>
      <c r="J1760" s="1" t="s">
        <v>95</v>
      </c>
      <c r="M1760" s="1" t="s">
        <v>101</v>
      </c>
      <c r="O1760" s="1">
        <v>1</v>
      </c>
    </row>
    <row r="1761" spans="1:16" ht="14.25" customHeight="1" x14ac:dyDescent="0.3">
      <c r="A1761" s="1" t="s">
        <v>73</v>
      </c>
      <c r="B1761" s="1">
        <v>3</v>
      </c>
      <c r="C1761" s="1">
        <v>15</v>
      </c>
      <c r="D1761" s="1" t="str">
        <f t="shared" si="28"/>
        <v>Yes</v>
      </c>
      <c r="E1761" s="1">
        <v>4.7</v>
      </c>
      <c r="F1761" s="1">
        <v>145</v>
      </c>
      <c r="G1761" s="1" t="s">
        <v>173</v>
      </c>
      <c r="H1761" s="1" t="s">
        <v>95</v>
      </c>
      <c r="I1761" s="1">
        <v>16</v>
      </c>
      <c r="J1761" s="1" t="s">
        <v>95</v>
      </c>
      <c r="M1761" s="1" t="s">
        <v>101</v>
      </c>
      <c r="O1761" s="1">
        <v>1</v>
      </c>
    </row>
    <row r="1762" spans="1:16" ht="14.25" customHeight="1" x14ac:dyDescent="0.3">
      <c r="A1762" s="1" t="s">
        <v>73</v>
      </c>
      <c r="B1762" s="1">
        <v>3</v>
      </c>
      <c r="C1762" s="1">
        <v>20</v>
      </c>
      <c r="D1762" s="1" t="str">
        <f t="shared" si="28"/>
        <v>Yes</v>
      </c>
      <c r="E1762" s="1">
        <v>9.1</v>
      </c>
      <c r="F1762" s="1">
        <v>149</v>
      </c>
      <c r="G1762" s="1" t="s">
        <v>173</v>
      </c>
      <c r="H1762" s="1" t="s">
        <v>95</v>
      </c>
      <c r="I1762" s="1">
        <v>14.3</v>
      </c>
      <c r="J1762" s="1" t="s">
        <v>95</v>
      </c>
      <c r="M1762" s="1" t="s">
        <v>101</v>
      </c>
      <c r="O1762" s="1">
        <v>1</v>
      </c>
    </row>
    <row r="1763" spans="1:16" ht="14.25" customHeight="1" x14ac:dyDescent="0.3">
      <c r="A1763" s="1" t="s">
        <v>73</v>
      </c>
      <c r="B1763" s="1">
        <v>3</v>
      </c>
      <c r="C1763" s="1">
        <v>19</v>
      </c>
      <c r="D1763" s="1" t="str">
        <f t="shared" si="28"/>
        <v>Yes</v>
      </c>
      <c r="E1763" s="1">
        <v>7.9</v>
      </c>
      <c r="F1763" s="1">
        <v>131</v>
      </c>
      <c r="G1763" s="1" t="s">
        <v>173</v>
      </c>
      <c r="H1763" s="1" t="s">
        <v>95</v>
      </c>
      <c r="I1763" s="1">
        <v>13.9</v>
      </c>
      <c r="J1763" s="1" t="s">
        <v>95</v>
      </c>
      <c r="M1763" s="1" t="s">
        <v>101</v>
      </c>
      <c r="O1763" s="1">
        <v>1</v>
      </c>
    </row>
    <row r="1764" spans="1:16" ht="14.25" customHeight="1" x14ac:dyDescent="0.3">
      <c r="A1764" s="1" t="s">
        <v>73</v>
      </c>
      <c r="B1764" s="1">
        <v>3</v>
      </c>
      <c r="C1764" s="1">
        <v>21</v>
      </c>
      <c r="D1764" s="1" t="str">
        <f t="shared" si="28"/>
        <v>Yes</v>
      </c>
      <c r="E1764" s="1">
        <v>9.6</v>
      </c>
      <c r="F1764" s="1">
        <v>138</v>
      </c>
      <c r="G1764" s="1" t="s">
        <v>173</v>
      </c>
      <c r="H1764" s="1" t="s">
        <v>95</v>
      </c>
      <c r="I1764" s="1">
        <v>10.4</v>
      </c>
      <c r="J1764" s="1" t="s">
        <v>95</v>
      </c>
      <c r="M1764" s="1" t="s">
        <v>101</v>
      </c>
      <c r="O1764" s="1">
        <v>1</v>
      </c>
    </row>
    <row r="1765" spans="1:16" ht="14.25" customHeight="1" x14ac:dyDescent="0.3">
      <c r="A1765" s="1" t="s">
        <v>73</v>
      </c>
      <c r="B1765" s="1">
        <v>3</v>
      </c>
      <c r="C1765" s="1">
        <v>8</v>
      </c>
      <c r="D1765" s="1" t="str">
        <f t="shared" si="28"/>
        <v>Yes</v>
      </c>
      <c r="E1765" s="1">
        <v>11.9</v>
      </c>
      <c r="F1765" s="1">
        <v>347</v>
      </c>
      <c r="G1765" s="1" t="s">
        <v>106</v>
      </c>
      <c r="H1765" s="1" t="s">
        <v>95</v>
      </c>
      <c r="I1765" s="1">
        <v>31.2</v>
      </c>
      <c r="J1765" s="1" t="s">
        <v>95</v>
      </c>
      <c r="M1765" s="1" t="s">
        <v>101</v>
      </c>
      <c r="O1765" s="1">
        <v>1</v>
      </c>
    </row>
    <row r="1766" spans="1:16" ht="14.25" customHeight="1" x14ac:dyDescent="0.3">
      <c r="A1766" s="1" t="s">
        <v>73</v>
      </c>
      <c r="B1766" s="1">
        <v>3</v>
      </c>
      <c r="C1766" s="1">
        <v>12</v>
      </c>
      <c r="D1766" s="1" t="str">
        <f t="shared" si="28"/>
        <v>Yes</v>
      </c>
      <c r="E1766" s="1">
        <v>0.5</v>
      </c>
      <c r="F1766" s="1">
        <v>52</v>
      </c>
      <c r="G1766" s="1" t="s">
        <v>106</v>
      </c>
      <c r="H1766" s="1" t="s">
        <v>95</v>
      </c>
      <c r="I1766" s="1">
        <v>25.5</v>
      </c>
      <c r="J1766" s="1" t="s">
        <v>95</v>
      </c>
      <c r="M1766" s="1" t="s">
        <v>101</v>
      </c>
      <c r="O1766" s="1">
        <v>1</v>
      </c>
    </row>
    <row r="1767" spans="1:16" ht="14.25" customHeight="1" x14ac:dyDescent="0.3">
      <c r="A1767" s="1" t="s">
        <v>73</v>
      </c>
      <c r="B1767" s="1">
        <v>3</v>
      </c>
      <c r="C1767" s="1">
        <v>22</v>
      </c>
      <c r="D1767" s="1" t="str">
        <f t="shared" si="28"/>
        <v>Yes</v>
      </c>
      <c r="E1767" s="1">
        <v>11.2</v>
      </c>
      <c r="F1767" s="1">
        <v>146</v>
      </c>
      <c r="G1767" s="17" t="s">
        <v>93</v>
      </c>
      <c r="H1767" s="1" t="s">
        <v>95</v>
      </c>
      <c r="I1767" s="1">
        <v>78.8</v>
      </c>
      <c r="J1767" s="1" t="s">
        <v>95</v>
      </c>
      <c r="M1767" s="1" t="s">
        <v>97</v>
      </c>
      <c r="O1767" s="1">
        <v>1</v>
      </c>
      <c r="P1767" s="1">
        <v>784</v>
      </c>
    </row>
    <row r="1768" spans="1:16" ht="14.25" customHeight="1" x14ac:dyDescent="0.3">
      <c r="A1768" s="1" t="s">
        <v>73</v>
      </c>
      <c r="B1768" s="1">
        <v>3</v>
      </c>
      <c r="C1768" s="1">
        <v>10</v>
      </c>
      <c r="D1768" s="1" t="str">
        <f t="shared" si="28"/>
        <v>Yes</v>
      </c>
      <c r="E1768" s="1">
        <v>11.8</v>
      </c>
      <c r="F1768" s="1">
        <v>4</v>
      </c>
      <c r="G1768" s="1" t="s">
        <v>93</v>
      </c>
      <c r="H1768" s="1" t="s">
        <v>95</v>
      </c>
      <c r="I1768" s="1">
        <v>57.8</v>
      </c>
      <c r="J1768" s="1" t="s">
        <v>95</v>
      </c>
      <c r="M1768" s="1" t="s">
        <v>97</v>
      </c>
      <c r="O1768" s="1">
        <v>1</v>
      </c>
      <c r="P1768" s="1">
        <v>783</v>
      </c>
    </row>
    <row r="1769" spans="1:16" ht="14.25" customHeight="1" x14ac:dyDescent="0.3">
      <c r="A1769" s="1" t="s">
        <v>73</v>
      </c>
      <c r="B1769" s="1">
        <v>3</v>
      </c>
      <c r="C1769" s="1">
        <v>6</v>
      </c>
      <c r="D1769" s="1" t="str">
        <f t="shared" si="28"/>
        <v>Yes</v>
      </c>
      <c r="E1769" s="1">
        <v>2.2000000000000002</v>
      </c>
      <c r="F1769" s="1">
        <v>312</v>
      </c>
      <c r="G1769" s="1" t="s">
        <v>93</v>
      </c>
      <c r="H1769" s="1" t="s">
        <v>95</v>
      </c>
      <c r="I1769" s="1">
        <v>41.2</v>
      </c>
      <c r="J1769" s="1" t="s">
        <v>95</v>
      </c>
      <c r="M1769" s="1" t="s">
        <v>102</v>
      </c>
      <c r="O1769" s="1">
        <v>1</v>
      </c>
    </row>
    <row r="1770" spans="1:16" ht="14.25" customHeight="1" x14ac:dyDescent="0.3">
      <c r="A1770" s="1" t="s">
        <v>73</v>
      </c>
      <c r="B1770" s="1">
        <v>3</v>
      </c>
      <c r="C1770" s="1">
        <v>2</v>
      </c>
      <c r="D1770" s="1" t="str">
        <f t="shared" si="28"/>
        <v>Yes</v>
      </c>
      <c r="E1770" s="1">
        <v>2.1</v>
      </c>
      <c r="F1770" s="1">
        <v>249</v>
      </c>
      <c r="G1770" s="17" t="s">
        <v>93</v>
      </c>
      <c r="H1770" s="1" t="s">
        <v>95</v>
      </c>
      <c r="I1770" s="1">
        <v>40.6</v>
      </c>
      <c r="J1770" s="1" t="s">
        <v>95</v>
      </c>
      <c r="M1770" s="1" t="s">
        <v>102</v>
      </c>
      <c r="O1770" s="1">
        <v>1</v>
      </c>
      <c r="P1770" s="1">
        <v>785</v>
      </c>
    </row>
    <row r="1771" spans="1:16" ht="14.25" customHeight="1" x14ac:dyDescent="0.3">
      <c r="A1771" s="1" t="s">
        <v>73</v>
      </c>
      <c r="B1771" s="1">
        <v>3</v>
      </c>
      <c r="C1771" s="1">
        <v>4</v>
      </c>
      <c r="D1771" s="1" t="str">
        <f t="shared" si="28"/>
        <v>Yes</v>
      </c>
      <c r="E1771" s="1">
        <v>9.6999999999999993</v>
      </c>
      <c r="F1771" s="1">
        <v>272</v>
      </c>
      <c r="G1771" s="1" t="s">
        <v>93</v>
      </c>
      <c r="H1771" s="1" t="s">
        <v>95</v>
      </c>
      <c r="I1771" s="1">
        <v>32.799999999999997</v>
      </c>
      <c r="J1771" s="1" t="s">
        <v>95</v>
      </c>
      <c r="M1771" s="1" t="s">
        <v>102</v>
      </c>
      <c r="O1771" s="1">
        <v>1</v>
      </c>
    </row>
    <row r="1772" spans="1:16" ht="14.25" customHeight="1" x14ac:dyDescent="0.3">
      <c r="A1772" s="1" t="s">
        <v>73</v>
      </c>
      <c r="B1772" s="1">
        <v>3</v>
      </c>
      <c r="C1772" s="1">
        <v>9</v>
      </c>
      <c r="D1772" s="1" t="str">
        <f t="shared" si="28"/>
        <v>Yes</v>
      </c>
      <c r="E1772" s="1">
        <v>9.8000000000000007</v>
      </c>
      <c r="F1772" s="1">
        <v>356</v>
      </c>
      <c r="G1772" s="1" t="s">
        <v>93</v>
      </c>
      <c r="H1772" s="1" t="s">
        <v>95</v>
      </c>
      <c r="I1772" s="1">
        <v>20.3</v>
      </c>
      <c r="J1772" s="1" t="s">
        <v>95</v>
      </c>
      <c r="M1772" s="1" t="s">
        <v>101</v>
      </c>
      <c r="O1772" s="1">
        <v>1</v>
      </c>
    </row>
    <row r="1773" spans="1:16" ht="14.25" customHeight="1" x14ac:dyDescent="0.3">
      <c r="A1773" s="1" t="s">
        <v>73</v>
      </c>
      <c r="B1773" s="1">
        <v>3</v>
      </c>
      <c r="C1773" s="1">
        <v>16</v>
      </c>
      <c r="D1773" s="1" t="str">
        <f t="shared" si="28"/>
        <v>Yes</v>
      </c>
      <c r="E1773" s="1">
        <v>4.7</v>
      </c>
      <c r="F1773" s="1">
        <v>144</v>
      </c>
      <c r="G1773" s="1" t="s">
        <v>93</v>
      </c>
      <c r="H1773" s="1" t="s">
        <v>95</v>
      </c>
      <c r="I1773" s="1">
        <v>18.8</v>
      </c>
      <c r="J1773" s="1" t="s">
        <v>95</v>
      </c>
      <c r="M1773" s="1" t="s">
        <v>101</v>
      </c>
      <c r="O1773" s="1">
        <v>1</v>
      </c>
    </row>
    <row r="1774" spans="1:16" ht="14.25" customHeight="1" x14ac:dyDescent="0.3">
      <c r="A1774" s="1" t="s">
        <v>73</v>
      </c>
      <c r="B1774" s="1">
        <v>3</v>
      </c>
      <c r="C1774" s="1">
        <v>17</v>
      </c>
      <c r="D1774" s="1" t="str">
        <f t="shared" si="28"/>
        <v>Yes</v>
      </c>
      <c r="E1774" s="1">
        <v>6.3</v>
      </c>
      <c r="F1774" s="1">
        <v>132</v>
      </c>
      <c r="G1774" s="1" t="s">
        <v>93</v>
      </c>
      <c r="H1774" s="1" t="s">
        <v>95</v>
      </c>
      <c r="I1774" s="1">
        <v>15.4</v>
      </c>
      <c r="J1774" s="1" t="s">
        <v>95</v>
      </c>
      <c r="M1774" s="1" t="s">
        <v>101</v>
      </c>
      <c r="O1774" s="1">
        <v>1</v>
      </c>
    </row>
    <row r="1775" spans="1:16" ht="14.25" customHeight="1" x14ac:dyDescent="0.3">
      <c r="A1775" s="1" t="s">
        <v>73</v>
      </c>
      <c r="B1775" s="1">
        <v>3</v>
      </c>
      <c r="C1775" s="1">
        <v>7</v>
      </c>
      <c r="D1775" s="1" t="str">
        <f t="shared" si="28"/>
        <v>Yes</v>
      </c>
      <c r="E1775" s="1">
        <v>3.1</v>
      </c>
      <c r="F1775" s="1">
        <v>314</v>
      </c>
      <c r="G1775" s="1" t="s">
        <v>93</v>
      </c>
      <c r="H1775" s="1" t="s">
        <v>95</v>
      </c>
      <c r="I1775" s="1">
        <v>14.3</v>
      </c>
      <c r="J1775" s="1" t="s">
        <v>95</v>
      </c>
      <c r="M1775" s="1" t="s">
        <v>101</v>
      </c>
      <c r="O1775" s="1">
        <v>5</v>
      </c>
    </row>
    <row r="1776" spans="1:16" ht="14.25" customHeight="1" x14ac:dyDescent="0.3">
      <c r="A1776" s="1" t="s">
        <v>73</v>
      </c>
      <c r="B1776" s="1">
        <v>3</v>
      </c>
      <c r="C1776" s="1">
        <v>18</v>
      </c>
      <c r="D1776" s="1" t="str">
        <f t="shared" si="28"/>
        <v>Yes</v>
      </c>
      <c r="E1776" s="1">
        <v>6.1</v>
      </c>
      <c r="F1776" s="1">
        <v>136</v>
      </c>
      <c r="G1776" s="1" t="s">
        <v>93</v>
      </c>
      <c r="H1776" s="1" t="s">
        <v>95</v>
      </c>
      <c r="I1776" s="1">
        <v>11.9</v>
      </c>
      <c r="J1776" s="1" t="s">
        <v>95</v>
      </c>
      <c r="M1776" s="1" t="s">
        <v>101</v>
      </c>
      <c r="O1776" s="1">
        <v>1</v>
      </c>
    </row>
    <row r="1777" spans="1:15" ht="14.25" customHeight="1" x14ac:dyDescent="0.3">
      <c r="A1777" s="1" t="s">
        <v>73</v>
      </c>
      <c r="B1777" s="1">
        <v>4</v>
      </c>
      <c r="C1777" s="1">
        <v>3</v>
      </c>
      <c r="D1777" s="1" t="str">
        <f t="shared" si="28"/>
        <v>Yes</v>
      </c>
      <c r="E1777" s="1">
        <v>7.4</v>
      </c>
      <c r="F1777" s="1">
        <v>21</v>
      </c>
      <c r="G1777" s="1" t="s">
        <v>109</v>
      </c>
      <c r="H1777" s="1" t="s">
        <v>95</v>
      </c>
      <c r="I1777" s="1">
        <v>128.5</v>
      </c>
      <c r="J1777" s="1" t="s">
        <v>95</v>
      </c>
      <c r="L1777" s="1" t="s">
        <v>102</v>
      </c>
    </row>
    <row r="1778" spans="1:15" ht="14.25" customHeight="1" x14ac:dyDescent="0.3">
      <c r="A1778" s="1" t="s">
        <v>73</v>
      </c>
      <c r="B1778" s="1">
        <v>4</v>
      </c>
      <c r="C1778" s="1">
        <v>12</v>
      </c>
      <c r="D1778" s="1" t="str">
        <f t="shared" si="28"/>
        <v>Yes</v>
      </c>
      <c r="E1778" s="1">
        <v>7</v>
      </c>
      <c r="F1778" s="1">
        <v>341</v>
      </c>
      <c r="G1778" s="1" t="s">
        <v>109</v>
      </c>
      <c r="H1778" s="1" t="s">
        <v>95</v>
      </c>
      <c r="I1778" s="1">
        <v>112.5</v>
      </c>
      <c r="J1778" s="1" t="s">
        <v>95</v>
      </c>
      <c r="L1778" s="1" t="s">
        <v>102</v>
      </c>
      <c r="N1778" s="1">
        <v>794</v>
      </c>
    </row>
    <row r="1779" spans="1:15" ht="14.25" customHeight="1" x14ac:dyDescent="0.3">
      <c r="A1779" s="1" t="s">
        <v>73</v>
      </c>
      <c r="B1779" s="1">
        <v>4</v>
      </c>
      <c r="C1779" s="1">
        <v>6</v>
      </c>
      <c r="D1779" s="1" t="str">
        <f t="shared" si="28"/>
        <v>Yes</v>
      </c>
      <c r="E1779" s="1">
        <v>2.5</v>
      </c>
      <c r="F1779" s="1">
        <v>144</v>
      </c>
      <c r="G1779" s="1" t="s">
        <v>106</v>
      </c>
      <c r="H1779" s="1" t="s">
        <v>95</v>
      </c>
      <c r="I1779" s="1">
        <v>36.5</v>
      </c>
      <c r="J1779" s="1" t="s">
        <v>95</v>
      </c>
      <c r="L1779" s="1" t="s">
        <v>101</v>
      </c>
    </row>
    <row r="1780" spans="1:15" ht="14.25" customHeight="1" x14ac:dyDescent="0.3">
      <c r="A1780" s="1" t="s">
        <v>73</v>
      </c>
      <c r="B1780" s="1">
        <v>4</v>
      </c>
      <c r="C1780" s="1">
        <v>7</v>
      </c>
      <c r="D1780" s="1" t="str">
        <f t="shared" si="28"/>
        <v>Yes</v>
      </c>
      <c r="E1780" s="1">
        <v>12.4</v>
      </c>
      <c r="F1780" s="1">
        <v>209</v>
      </c>
      <c r="G1780" s="1" t="s">
        <v>106</v>
      </c>
      <c r="H1780" s="1" t="s">
        <v>95</v>
      </c>
      <c r="I1780" s="1">
        <v>13.6</v>
      </c>
      <c r="J1780" s="1" t="s">
        <v>95</v>
      </c>
      <c r="L1780" s="1" t="s">
        <v>101</v>
      </c>
    </row>
    <row r="1781" spans="1:15" ht="14.25" customHeight="1" x14ac:dyDescent="0.3">
      <c r="A1781" s="1" t="s">
        <v>73</v>
      </c>
      <c r="B1781" s="1">
        <v>4</v>
      </c>
      <c r="C1781" s="1">
        <v>11</v>
      </c>
      <c r="D1781" s="1" t="str">
        <f t="shared" si="28"/>
        <v>Yes</v>
      </c>
      <c r="E1781" s="1">
        <v>7.5</v>
      </c>
      <c r="F1781" s="1">
        <v>234</v>
      </c>
      <c r="G1781" s="1" t="s">
        <v>106</v>
      </c>
      <c r="H1781" s="1" t="s">
        <v>95</v>
      </c>
      <c r="I1781" s="1">
        <v>9.6999999999999993</v>
      </c>
      <c r="J1781" s="1" t="s">
        <v>95</v>
      </c>
      <c r="L1781" s="1" t="s">
        <v>101</v>
      </c>
    </row>
    <row r="1782" spans="1:15" ht="14.25" customHeight="1" x14ac:dyDescent="0.3">
      <c r="A1782" s="1" t="s">
        <v>73</v>
      </c>
      <c r="B1782" s="1">
        <v>4</v>
      </c>
      <c r="C1782" s="1">
        <v>9</v>
      </c>
      <c r="D1782" s="1" t="str">
        <f t="shared" si="28"/>
        <v>Yes</v>
      </c>
      <c r="E1782" s="1">
        <v>7.3</v>
      </c>
      <c r="F1782" s="1">
        <v>229</v>
      </c>
      <c r="G1782" s="1" t="s">
        <v>93</v>
      </c>
      <c r="H1782" s="1" t="s">
        <v>95</v>
      </c>
      <c r="I1782" s="1">
        <v>90</v>
      </c>
      <c r="J1782" s="1" t="s">
        <v>95</v>
      </c>
      <c r="L1782" s="1" t="s">
        <v>102</v>
      </c>
    </row>
    <row r="1783" spans="1:15" ht="14.25" customHeight="1" x14ac:dyDescent="0.3">
      <c r="A1783" s="1" t="s">
        <v>73</v>
      </c>
      <c r="B1783" s="1">
        <v>4</v>
      </c>
      <c r="C1783" s="1">
        <v>5</v>
      </c>
      <c r="D1783" s="1" t="str">
        <f t="shared" si="28"/>
        <v>Yes</v>
      </c>
      <c r="E1783" s="1">
        <v>6.6</v>
      </c>
      <c r="F1783" s="1">
        <v>140</v>
      </c>
      <c r="G1783" s="1" t="s">
        <v>93</v>
      </c>
      <c r="H1783" s="1" t="s">
        <v>95</v>
      </c>
      <c r="I1783" s="1">
        <v>76</v>
      </c>
      <c r="J1783" s="1" t="s">
        <v>95</v>
      </c>
      <c r="L1783" s="1" t="s">
        <v>102</v>
      </c>
      <c r="N1783" s="1">
        <v>792</v>
      </c>
    </row>
    <row r="1784" spans="1:15" ht="14.25" customHeight="1" x14ac:dyDescent="0.3">
      <c r="A1784" s="1" t="s">
        <v>73</v>
      </c>
      <c r="B1784" s="1">
        <v>4</v>
      </c>
      <c r="C1784" s="1">
        <v>13</v>
      </c>
      <c r="D1784" s="1" t="str">
        <f t="shared" si="28"/>
        <v>Yes</v>
      </c>
      <c r="E1784" s="1">
        <v>9.3000000000000007</v>
      </c>
      <c r="F1784" s="1">
        <v>345</v>
      </c>
      <c r="G1784" s="1" t="s">
        <v>93</v>
      </c>
      <c r="H1784" s="1" t="s">
        <v>95</v>
      </c>
      <c r="I1784" s="1">
        <v>50.6</v>
      </c>
      <c r="J1784" s="1" t="s">
        <v>95</v>
      </c>
      <c r="L1784" s="1" t="s">
        <v>102</v>
      </c>
    </row>
    <row r="1785" spans="1:15" ht="14.25" customHeight="1" x14ac:dyDescent="0.3">
      <c r="A1785" s="1" t="s">
        <v>73</v>
      </c>
      <c r="B1785" s="1">
        <v>4</v>
      </c>
      <c r="C1785" s="1">
        <v>1</v>
      </c>
      <c r="D1785" s="1" t="str">
        <f t="shared" si="28"/>
        <v>Yes</v>
      </c>
      <c r="E1785" s="1">
        <v>6.3</v>
      </c>
      <c r="F1785" s="1">
        <v>12</v>
      </c>
      <c r="G1785" s="1" t="s">
        <v>93</v>
      </c>
      <c r="H1785" s="1" t="s">
        <v>95</v>
      </c>
      <c r="I1785" s="1">
        <v>44.5</v>
      </c>
      <c r="J1785" s="1" t="s">
        <v>95</v>
      </c>
      <c r="L1785" s="1" t="s">
        <v>102</v>
      </c>
      <c r="N1785" s="1">
        <v>793</v>
      </c>
    </row>
    <row r="1786" spans="1:15" ht="14.25" customHeight="1" x14ac:dyDescent="0.3">
      <c r="A1786" s="1" t="s">
        <v>73</v>
      </c>
      <c r="B1786" s="1">
        <v>4</v>
      </c>
      <c r="C1786" s="1">
        <v>4</v>
      </c>
      <c r="D1786" s="1" t="str">
        <f t="shared" si="28"/>
        <v>Yes</v>
      </c>
      <c r="E1786" s="1">
        <v>7.4</v>
      </c>
      <c r="F1786" s="1">
        <v>39</v>
      </c>
      <c r="G1786" s="1" t="s">
        <v>93</v>
      </c>
      <c r="H1786" s="1" t="s">
        <v>95</v>
      </c>
      <c r="I1786" s="1">
        <v>42.7</v>
      </c>
      <c r="J1786" s="1" t="s">
        <v>95</v>
      </c>
      <c r="L1786" s="1" t="s">
        <v>102</v>
      </c>
    </row>
    <row r="1787" spans="1:15" ht="14.25" customHeight="1" x14ac:dyDescent="0.3">
      <c r="A1787" s="1" t="s">
        <v>73</v>
      </c>
      <c r="B1787" s="1">
        <v>4</v>
      </c>
      <c r="C1787" s="1">
        <v>10</v>
      </c>
      <c r="D1787" s="1" t="str">
        <f t="shared" si="28"/>
        <v>Yes</v>
      </c>
      <c r="E1787" s="1">
        <v>11</v>
      </c>
      <c r="F1787" s="1">
        <v>248</v>
      </c>
      <c r="G1787" s="1" t="s">
        <v>93</v>
      </c>
      <c r="H1787" s="1" t="s">
        <v>95</v>
      </c>
      <c r="I1787" s="1">
        <v>29.1</v>
      </c>
      <c r="J1787" s="1" t="s">
        <v>95</v>
      </c>
      <c r="L1787" s="1" t="s">
        <v>102</v>
      </c>
    </row>
    <row r="1788" spans="1:15" ht="14.25" customHeight="1" x14ac:dyDescent="0.3">
      <c r="A1788" s="1" t="s">
        <v>73</v>
      </c>
      <c r="B1788" s="1">
        <v>4</v>
      </c>
      <c r="C1788" s="1">
        <v>2</v>
      </c>
      <c r="D1788" s="1" t="str">
        <f t="shared" si="28"/>
        <v>Yes</v>
      </c>
      <c r="E1788" s="1">
        <v>7.5</v>
      </c>
      <c r="F1788" s="1">
        <v>9</v>
      </c>
      <c r="G1788" s="1" t="s">
        <v>93</v>
      </c>
      <c r="H1788" s="1" t="s">
        <v>95</v>
      </c>
      <c r="I1788" s="1">
        <v>24.3</v>
      </c>
      <c r="J1788" s="1" t="s">
        <v>95</v>
      </c>
      <c r="L1788" s="1" t="s">
        <v>101</v>
      </c>
    </row>
    <row r="1789" spans="1:15" ht="14.25" customHeight="1" x14ac:dyDescent="0.3">
      <c r="A1789" s="1" t="s">
        <v>73</v>
      </c>
      <c r="B1789" s="1">
        <v>4</v>
      </c>
      <c r="C1789" s="1">
        <v>8</v>
      </c>
      <c r="D1789" s="1" t="str">
        <f t="shared" si="28"/>
        <v>Yes</v>
      </c>
      <c r="E1789" s="1">
        <v>10.3</v>
      </c>
      <c r="F1789" s="1">
        <v>214</v>
      </c>
      <c r="G1789" s="1" t="s">
        <v>93</v>
      </c>
      <c r="H1789" s="1" t="s">
        <v>95</v>
      </c>
      <c r="I1789" s="1">
        <v>17.100000000000001</v>
      </c>
      <c r="J1789" s="1" t="s">
        <v>95</v>
      </c>
      <c r="L1789" s="1" t="s">
        <v>101</v>
      </c>
    </row>
    <row r="1790" spans="1:15" ht="14.25" customHeight="1" x14ac:dyDescent="0.3">
      <c r="A1790" s="1" t="s">
        <v>73</v>
      </c>
      <c r="B1790" s="1">
        <v>5</v>
      </c>
      <c r="C1790" s="1">
        <v>12</v>
      </c>
      <c r="D1790" s="1" t="str">
        <f t="shared" si="28"/>
        <v>Yes</v>
      </c>
      <c r="E1790" s="1">
        <v>12.1</v>
      </c>
      <c r="F1790" s="1">
        <v>149</v>
      </c>
      <c r="G1790" s="1" t="s">
        <v>184</v>
      </c>
      <c r="H1790" s="1" t="s">
        <v>95</v>
      </c>
      <c r="I1790" s="17">
        <v>22.6</v>
      </c>
      <c r="J1790" s="1" t="s">
        <v>95</v>
      </c>
      <c r="M1790" s="1" t="s">
        <v>102</v>
      </c>
      <c r="O1790" s="1">
        <v>2</v>
      </c>
    </row>
    <row r="1791" spans="1:15" ht="14.25" customHeight="1" x14ac:dyDescent="0.3">
      <c r="A1791" s="1" t="s">
        <v>73</v>
      </c>
      <c r="B1791" s="1">
        <v>5</v>
      </c>
      <c r="C1791" s="1">
        <v>13</v>
      </c>
      <c r="D1791" s="1" t="str">
        <f t="shared" si="28"/>
        <v>Yes</v>
      </c>
      <c r="E1791" s="1">
        <v>12.1</v>
      </c>
      <c r="F1791" s="1">
        <v>149</v>
      </c>
      <c r="G1791" s="1" t="s">
        <v>184</v>
      </c>
      <c r="H1791" s="1" t="s">
        <v>95</v>
      </c>
      <c r="I1791" s="1">
        <v>21.6</v>
      </c>
      <c r="J1791" s="1" t="s">
        <v>95</v>
      </c>
      <c r="M1791" s="1" t="s">
        <v>102</v>
      </c>
      <c r="O1791" s="1">
        <v>2</v>
      </c>
    </row>
    <row r="1792" spans="1:15" ht="14.25" customHeight="1" x14ac:dyDescent="0.3">
      <c r="A1792" s="1" t="s">
        <v>73</v>
      </c>
      <c r="B1792" s="1">
        <v>5</v>
      </c>
      <c r="C1792" s="1">
        <v>15</v>
      </c>
      <c r="D1792" s="1" t="str">
        <f t="shared" si="28"/>
        <v>Yes</v>
      </c>
      <c r="E1792" s="1">
        <v>6.1</v>
      </c>
      <c r="F1792" s="1">
        <v>186</v>
      </c>
      <c r="G1792" s="1" t="s">
        <v>109</v>
      </c>
      <c r="H1792" s="1" t="s">
        <v>95</v>
      </c>
      <c r="I1792" s="1">
        <v>76.8</v>
      </c>
      <c r="J1792" s="1" t="s">
        <v>95</v>
      </c>
      <c r="M1792" s="1" t="s">
        <v>97</v>
      </c>
      <c r="O1792" s="1">
        <v>3</v>
      </c>
    </row>
    <row r="1793" spans="1:16" ht="14.25" customHeight="1" x14ac:dyDescent="0.3">
      <c r="A1793" s="1" t="s">
        <v>73</v>
      </c>
      <c r="B1793" s="1">
        <v>5</v>
      </c>
      <c r="C1793" s="1">
        <v>7</v>
      </c>
      <c r="D1793" s="1" t="str">
        <f t="shared" si="28"/>
        <v>Yes</v>
      </c>
      <c r="E1793" s="1">
        <v>12</v>
      </c>
      <c r="F1793" s="1">
        <v>107</v>
      </c>
      <c r="G1793" s="1" t="s">
        <v>109</v>
      </c>
      <c r="H1793" s="1" t="s">
        <v>95</v>
      </c>
      <c r="I1793" s="1">
        <v>63.8</v>
      </c>
      <c r="J1793" s="1" t="s">
        <v>95</v>
      </c>
      <c r="M1793" s="1" t="s">
        <v>95</v>
      </c>
      <c r="O1793" s="1">
        <v>1</v>
      </c>
      <c r="P1793" s="1">
        <v>771</v>
      </c>
    </row>
    <row r="1794" spans="1:16" ht="14.25" customHeight="1" x14ac:dyDescent="0.3">
      <c r="A1794" s="1" t="s">
        <v>73</v>
      </c>
      <c r="B1794" s="1">
        <v>5</v>
      </c>
      <c r="C1794" s="1">
        <v>19</v>
      </c>
      <c r="D1794" s="1" t="str">
        <f t="shared" si="28"/>
        <v>Yes</v>
      </c>
      <c r="E1794" s="1">
        <v>9.9</v>
      </c>
      <c r="F1794" s="1">
        <v>319</v>
      </c>
      <c r="G1794" s="1" t="s">
        <v>109</v>
      </c>
      <c r="H1794" s="1" t="s">
        <v>95</v>
      </c>
      <c r="I1794" s="1">
        <v>10.4</v>
      </c>
      <c r="J1794" s="1" t="s">
        <v>95</v>
      </c>
      <c r="M1794" s="1" t="s">
        <v>101</v>
      </c>
      <c r="O1794" s="1">
        <v>1</v>
      </c>
    </row>
    <row r="1795" spans="1:16" ht="14.25" customHeight="1" x14ac:dyDescent="0.3">
      <c r="A1795" s="1" t="s">
        <v>73</v>
      </c>
      <c r="B1795" s="1">
        <v>5</v>
      </c>
      <c r="C1795" s="1">
        <v>16</v>
      </c>
      <c r="D1795" s="1" t="str">
        <f t="shared" si="28"/>
        <v>Yes</v>
      </c>
      <c r="E1795" s="1">
        <v>11.5</v>
      </c>
      <c r="F1795" s="1">
        <v>207</v>
      </c>
      <c r="G1795" s="1" t="s">
        <v>106</v>
      </c>
      <c r="H1795" s="1" t="s">
        <v>95</v>
      </c>
      <c r="I1795" s="1">
        <v>77.8</v>
      </c>
      <c r="J1795" s="1" t="s">
        <v>95</v>
      </c>
      <c r="M1795" s="1" t="s">
        <v>102</v>
      </c>
      <c r="O1795" s="1">
        <v>1</v>
      </c>
      <c r="P1795" s="1">
        <v>772</v>
      </c>
    </row>
    <row r="1796" spans="1:16" ht="14.25" customHeight="1" x14ac:dyDescent="0.3">
      <c r="A1796" s="1" t="s">
        <v>73</v>
      </c>
      <c r="B1796" s="1">
        <v>5</v>
      </c>
      <c r="C1796" s="1">
        <v>14</v>
      </c>
      <c r="D1796" s="1" t="str">
        <f t="shared" si="28"/>
        <v>Yes</v>
      </c>
      <c r="E1796" s="1">
        <v>6.5</v>
      </c>
      <c r="F1796" s="1">
        <v>170</v>
      </c>
      <c r="G1796" s="1" t="s">
        <v>93</v>
      </c>
      <c r="H1796" s="1" t="s">
        <v>95</v>
      </c>
      <c r="I1796" s="1">
        <v>68</v>
      </c>
      <c r="J1796" s="1" t="s">
        <v>95</v>
      </c>
      <c r="M1796" s="1" t="s">
        <v>102</v>
      </c>
      <c r="O1796" s="1">
        <v>1</v>
      </c>
    </row>
    <row r="1797" spans="1:16" ht="14.25" customHeight="1" x14ac:dyDescent="0.3">
      <c r="A1797" s="1" t="s">
        <v>73</v>
      </c>
      <c r="B1797" s="1">
        <v>5</v>
      </c>
      <c r="C1797" s="1">
        <v>18</v>
      </c>
      <c r="D1797" s="1" t="str">
        <f t="shared" si="28"/>
        <v>Yes</v>
      </c>
      <c r="E1797" s="1">
        <v>8.4</v>
      </c>
      <c r="F1797" s="1">
        <v>292</v>
      </c>
      <c r="G1797" s="1" t="s">
        <v>93</v>
      </c>
      <c r="H1797" s="1" t="s">
        <v>95</v>
      </c>
      <c r="I1797" s="1">
        <v>36.5</v>
      </c>
      <c r="J1797" s="1" t="s">
        <v>95</v>
      </c>
      <c r="M1797" s="1" t="s">
        <v>102</v>
      </c>
      <c r="O1797" s="1">
        <v>1</v>
      </c>
      <c r="P1797" s="1">
        <v>773</v>
      </c>
    </row>
    <row r="1798" spans="1:16" ht="14.25" customHeight="1" x14ac:dyDescent="0.3">
      <c r="A1798" s="1" t="s">
        <v>73</v>
      </c>
      <c r="B1798" s="1">
        <v>5</v>
      </c>
      <c r="C1798" s="1">
        <v>4</v>
      </c>
      <c r="D1798" s="1" t="str">
        <f t="shared" si="28"/>
        <v>Yes</v>
      </c>
      <c r="E1798" s="1">
        <v>2.6</v>
      </c>
      <c r="F1798" s="1">
        <v>111</v>
      </c>
      <c r="G1798" s="1" t="s">
        <v>93</v>
      </c>
      <c r="H1798" s="1" t="s">
        <v>95</v>
      </c>
      <c r="I1798" s="1">
        <v>33.5</v>
      </c>
      <c r="J1798" s="1" t="s">
        <v>95</v>
      </c>
      <c r="M1798" s="1" t="s">
        <v>102</v>
      </c>
      <c r="O1798" s="1">
        <v>1</v>
      </c>
    </row>
    <row r="1799" spans="1:16" ht="14.25" customHeight="1" x14ac:dyDescent="0.3">
      <c r="A1799" s="1" t="s">
        <v>73</v>
      </c>
      <c r="B1799" s="1">
        <v>5</v>
      </c>
      <c r="C1799" s="1">
        <v>9</v>
      </c>
      <c r="D1799" s="1" t="str">
        <f t="shared" si="28"/>
        <v>Yes</v>
      </c>
      <c r="E1799" s="1">
        <v>7.3</v>
      </c>
      <c r="F1799" s="1">
        <v>118</v>
      </c>
      <c r="G1799" s="1" t="s">
        <v>93</v>
      </c>
      <c r="H1799" s="1" t="s">
        <v>95</v>
      </c>
      <c r="I1799" s="1">
        <v>29</v>
      </c>
      <c r="J1799" s="1" t="s">
        <v>95</v>
      </c>
      <c r="M1799" s="1" t="s">
        <v>102</v>
      </c>
      <c r="O1799" s="1">
        <v>1</v>
      </c>
    </row>
    <row r="1800" spans="1:16" ht="14.25" customHeight="1" x14ac:dyDescent="0.3">
      <c r="A1800" s="1" t="s">
        <v>73</v>
      </c>
      <c r="B1800" s="1">
        <v>5</v>
      </c>
      <c r="C1800" s="1">
        <v>10</v>
      </c>
      <c r="D1800" s="1" t="str">
        <f t="shared" si="28"/>
        <v>Yes</v>
      </c>
      <c r="E1800" s="1">
        <v>8.8000000000000007</v>
      </c>
      <c r="F1800" s="1">
        <v>134</v>
      </c>
      <c r="G1800" s="1" t="s">
        <v>93</v>
      </c>
      <c r="H1800" s="1" t="s">
        <v>95</v>
      </c>
      <c r="I1800" s="1">
        <v>24.1</v>
      </c>
      <c r="J1800" s="1" t="s">
        <v>95</v>
      </c>
      <c r="M1800" s="1" t="s">
        <v>102</v>
      </c>
      <c r="O1800" s="1">
        <v>1</v>
      </c>
    </row>
    <row r="1801" spans="1:16" ht="14.25" customHeight="1" x14ac:dyDescent="0.3">
      <c r="A1801" s="1" t="s">
        <v>73</v>
      </c>
      <c r="B1801" s="1">
        <v>5</v>
      </c>
      <c r="C1801" s="1">
        <v>5</v>
      </c>
      <c r="D1801" s="1" t="str">
        <f t="shared" si="28"/>
        <v>Yes</v>
      </c>
      <c r="E1801" s="1">
        <v>7.1</v>
      </c>
      <c r="F1801" s="1">
        <v>103</v>
      </c>
      <c r="G1801" s="1" t="s">
        <v>93</v>
      </c>
      <c r="H1801" s="1" t="s">
        <v>95</v>
      </c>
      <c r="I1801" s="1">
        <v>24</v>
      </c>
      <c r="J1801" s="1" t="s">
        <v>95</v>
      </c>
      <c r="M1801" s="1" t="s">
        <v>101</v>
      </c>
      <c r="O1801" s="1">
        <v>1</v>
      </c>
    </row>
    <row r="1802" spans="1:16" ht="14.25" customHeight="1" x14ac:dyDescent="0.3">
      <c r="A1802" s="1" t="s">
        <v>73</v>
      </c>
      <c r="B1802" s="1">
        <v>5</v>
      </c>
      <c r="C1802" s="1">
        <v>11</v>
      </c>
      <c r="D1802" s="1" t="str">
        <f t="shared" si="28"/>
        <v>Yes</v>
      </c>
      <c r="E1802" s="1">
        <v>11.2</v>
      </c>
      <c r="F1802" s="1">
        <v>122</v>
      </c>
      <c r="G1802" s="1" t="s">
        <v>93</v>
      </c>
      <c r="H1802" s="1" t="s">
        <v>95</v>
      </c>
      <c r="I1802" s="17">
        <v>22.7</v>
      </c>
      <c r="J1802" s="1" t="s">
        <v>95</v>
      </c>
      <c r="M1802" s="1" t="s">
        <v>102</v>
      </c>
      <c r="O1802" s="1">
        <v>5</v>
      </c>
    </row>
    <row r="1803" spans="1:16" ht="14.25" customHeight="1" x14ac:dyDescent="0.3">
      <c r="A1803" s="1" t="s">
        <v>73</v>
      </c>
      <c r="B1803" s="1">
        <v>5</v>
      </c>
      <c r="C1803" s="1">
        <v>17</v>
      </c>
      <c r="D1803" s="1" t="str">
        <f t="shared" si="28"/>
        <v>Yes</v>
      </c>
      <c r="E1803" s="1">
        <v>10.199999999999999</v>
      </c>
      <c r="F1803" s="1">
        <v>215</v>
      </c>
      <c r="G1803" s="1" t="s">
        <v>93</v>
      </c>
      <c r="H1803" s="1" t="s">
        <v>95</v>
      </c>
      <c r="I1803" s="1">
        <v>22.2</v>
      </c>
      <c r="J1803" s="1" t="s">
        <v>95</v>
      </c>
      <c r="M1803" s="1" t="s">
        <v>101</v>
      </c>
      <c r="O1803" s="1">
        <v>1</v>
      </c>
    </row>
    <row r="1804" spans="1:16" ht="14.25" customHeight="1" x14ac:dyDescent="0.3">
      <c r="A1804" s="1" t="s">
        <v>73</v>
      </c>
      <c r="B1804" s="1">
        <v>5</v>
      </c>
      <c r="C1804" s="1">
        <v>3</v>
      </c>
      <c r="D1804" s="1" t="str">
        <f t="shared" si="28"/>
        <v>Yes</v>
      </c>
      <c r="E1804" s="1">
        <v>12.1</v>
      </c>
      <c r="F1804" s="1">
        <v>96</v>
      </c>
      <c r="G1804" s="1" t="s">
        <v>93</v>
      </c>
      <c r="H1804" s="1" t="s">
        <v>95</v>
      </c>
      <c r="I1804" s="1">
        <v>20.9</v>
      </c>
      <c r="J1804" s="1" t="s">
        <v>95</v>
      </c>
      <c r="M1804" s="1" t="s">
        <v>101</v>
      </c>
      <c r="O1804" s="1">
        <v>1</v>
      </c>
    </row>
    <row r="1805" spans="1:16" ht="14.25" customHeight="1" x14ac:dyDescent="0.3">
      <c r="A1805" s="1" t="s">
        <v>73</v>
      </c>
      <c r="B1805" s="1">
        <v>5</v>
      </c>
      <c r="C1805" s="1">
        <v>2</v>
      </c>
      <c r="D1805" s="1" t="str">
        <f t="shared" si="28"/>
        <v>Yes</v>
      </c>
      <c r="E1805" s="1">
        <v>4.5</v>
      </c>
      <c r="F1805" s="1">
        <v>81</v>
      </c>
      <c r="G1805" s="1" t="s">
        <v>93</v>
      </c>
      <c r="H1805" s="1" t="s">
        <v>95</v>
      </c>
      <c r="I1805" s="1">
        <v>20</v>
      </c>
      <c r="J1805" s="1" t="s">
        <v>95</v>
      </c>
      <c r="M1805" s="1" t="s">
        <v>101</v>
      </c>
      <c r="O1805" s="1">
        <v>1</v>
      </c>
    </row>
    <row r="1806" spans="1:16" ht="14.25" customHeight="1" x14ac:dyDescent="0.3">
      <c r="A1806" s="1" t="s">
        <v>73</v>
      </c>
      <c r="B1806" s="1">
        <v>5</v>
      </c>
      <c r="C1806" s="1">
        <v>6</v>
      </c>
      <c r="D1806" s="1" t="str">
        <f t="shared" si="28"/>
        <v>Yes</v>
      </c>
      <c r="E1806" s="1">
        <v>9.6999999999999993</v>
      </c>
      <c r="F1806" s="1">
        <v>110</v>
      </c>
      <c r="G1806" s="1" t="s">
        <v>93</v>
      </c>
      <c r="H1806" s="1" t="s">
        <v>95</v>
      </c>
      <c r="I1806" s="1">
        <v>13.8</v>
      </c>
      <c r="J1806" s="1" t="s">
        <v>95</v>
      </c>
      <c r="M1806" s="1" t="s">
        <v>101</v>
      </c>
      <c r="O1806" s="1">
        <v>1</v>
      </c>
    </row>
    <row r="1807" spans="1:16" ht="14.25" customHeight="1" x14ac:dyDescent="0.3">
      <c r="A1807" s="1" t="s">
        <v>73</v>
      </c>
      <c r="B1807" s="1">
        <v>5</v>
      </c>
      <c r="C1807" s="1">
        <v>1</v>
      </c>
      <c r="D1807" s="1" t="str">
        <f t="shared" si="28"/>
        <v>Yes</v>
      </c>
      <c r="E1807" s="1">
        <v>2.6</v>
      </c>
      <c r="F1807" s="1">
        <v>62</v>
      </c>
      <c r="G1807" s="1" t="s">
        <v>93</v>
      </c>
      <c r="H1807" s="1" t="s">
        <v>95</v>
      </c>
      <c r="I1807" s="1">
        <v>11.5</v>
      </c>
      <c r="J1807" s="1" t="s">
        <v>95</v>
      </c>
      <c r="M1807" s="1" t="s">
        <v>101</v>
      </c>
      <c r="O1807" s="1">
        <v>1</v>
      </c>
    </row>
    <row r="1808" spans="1:16" ht="14.25" customHeight="1" x14ac:dyDescent="0.3">
      <c r="A1808" s="1" t="s">
        <v>73</v>
      </c>
      <c r="B1808" s="1">
        <v>5</v>
      </c>
      <c r="C1808" s="1">
        <v>8</v>
      </c>
      <c r="D1808" s="1" t="str">
        <f t="shared" si="28"/>
        <v>Yes</v>
      </c>
      <c r="E1808" s="1">
        <v>8.4</v>
      </c>
      <c r="F1808" s="1">
        <v>108</v>
      </c>
      <c r="G1808" s="1" t="s">
        <v>93</v>
      </c>
      <c r="H1808" s="1" t="s">
        <v>95</v>
      </c>
      <c r="I1808" s="1">
        <v>8</v>
      </c>
      <c r="J1808" s="1" t="s">
        <v>95</v>
      </c>
      <c r="M1808" s="1" t="s">
        <v>101</v>
      </c>
      <c r="O1808" s="1">
        <v>1</v>
      </c>
    </row>
    <row r="1809" spans="1:16" ht="14.25" customHeight="1" x14ac:dyDescent="0.3">
      <c r="A1809" s="1" t="s">
        <v>73</v>
      </c>
      <c r="B1809" s="1">
        <v>6</v>
      </c>
      <c r="C1809" s="1">
        <v>3</v>
      </c>
      <c r="D1809" s="1" t="str">
        <f t="shared" si="28"/>
        <v>Yes</v>
      </c>
      <c r="E1809" s="1">
        <v>8.4</v>
      </c>
      <c r="F1809" s="1">
        <v>34</v>
      </c>
      <c r="G1809" s="1" t="s">
        <v>109</v>
      </c>
      <c r="H1809" s="1" t="s">
        <v>95</v>
      </c>
      <c r="I1809" s="1">
        <v>15.5</v>
      </c>
      <c r="J1809" s="1" t="s">
        <v>95</v>
      </c>
      <c r="M1809" s="1" t="s">
        <v>101</v>
      </c>
      <c r="O1809" s="1">
        <v>1</v>
      </c>
    </row>
    <row r="1810" spans="1:16" ht="14.25" customHeight="1" x14ac:dyDescent="0.3">
      <c r="A1810" s="1" t="s">
        <v>73</v>
      </c>
      <c r="B1810" s="1">
        <v>6</v>
      </c>
      <c r="C1810" s="1">
        <v>4</v>
      </c>
      <c r="D1810" s="1" t="str">
        <f t="shared" si="28"/>
        <v>Yes</v>
      </c>
      <c r="E1810" s="1">
        <v>12.4</v>
      </c>
      <c r="F1810" s="1">
        <v>39</v>
      </c>
      <c r="G1810" s="1" t="s">
        <v>109</v>
      </c>
      <c r="H1810" s="1" t="s">
        <v>95</v>
      </c>
      <c r="I1810" s="1">
        <v>12.6</v>
      </c>
      <c r="J1810" s="1" t="s">
        <v>95</v>
      </c>
      <c r="M1810" s="1" t="s">
        <v>101</v>
      </c>
      <c r="O1810" s="1">
        <v>1</v>
      </c>
    </row>
    <row r="1811" spans="1:16" ht="14.25" customHeight="1" x14ac:dyDescent="0.3">
      <c r="A1811" s="1" t="s">
        <v>73</v>
      </c>
      <c r="B1811" s="1">
        <v>6</v>
      </c>
      <c r="C1811" s="1">
        <v>14</v>
      </c>
      <c r="D1811" s="1" t="str">
        <f t="shared" si="28"/>
        <v>Yes</v>
      </c>
      <c r="E1811" s="1">
        <v>5.5</v>
      </c>
      <c r="F1811" s="1">
        <v>226</v>
      </c>
      <c r="G1811" s="1" t="s">
        <v>109</v>
      </c>
      <c r="H1811" s="1" t="s">
        <v>95</v>
      </c>
      <c r="I1811" s="1">
        <v>12.4</v>
      </c>
      <c r="J1811" s="1" t="s">
        <v>95</v>
      </c>
      <c r="M1811" s="1" t="s">
        <v>101</v>
      </c>
      <c r="O1811" s="1">
        <v>1</v>
      </c>
    </row>
    <row r="1812" spans="1:16" ht="14.25" customHeight="1" x14ac:dyDescent="0.3">
      <c r="A1812" s="1" t="s">
        <v>73</v>
      </c>
      <c r="B1812" s="1">
        <v>6</v>
      </c>
      <c r="C1812" s="1">
        <v>22</v>
      </c>
      <c r="D1812" s="1" t="str">
        <f t="shared" si="28"/>
        <v>Yes</v>
      </c>
      <c r="E1812" s="1">
        <v>2.9</v>
      </c>
      <c r="F1812" s="1">
        <v>348</v>
      </c>
      <c r="G1812" s="1" t="s">
        <v>109</v>
      </c>
      <c r="H1812" s="1" t="s">
        <v>95</v>
      </c>
      <c r="I1812" s="1">
        <v>11</v>
      </c>
      <c r="J1812" s="1" t="s">
        <v>95</v>
      </c>
      <c r="M1812" s="1" t="s">
        <v>101</v>
      </c>
      <c r="O1812" s="1">
        <v>1</v>
      </c>
    </row>
    <row r="1813" spans="1:16" ht="14.25" customHeight="1" x14ac:dyDescent="0.3">
      <c r="A1813" s="1" t="s">
        <v>73</v>
      </c>
      <c r="B1813" s="1">
        <v>6</v>
      </c>
      <c r="C1813" s="1">
        <v>5</v>
      </c>
      <c r="D1813" s="1" t="str">
        <f t="shared" si="28"/>
        <v>Yes</v>
      </c>
      <c r="E1813" s="1">
        <v>10.6</v>
      </c>
      <c r="F1813" s="1">
        <v>51</v>
      </c>
      <c r="G1813" s="1" t="s">
        <v>109</v>
      </c>
      <c r="H1813" s="1" t="s">
        <v>95</v>
      </c>
      <c r="I1813" s="1">
        <v>9.5</v>
      </c>
      <c r="J1813" s="1" t="s">
        <v>95</v>
      </c>
      <c r="M1813" s="1" t="s">
        <v>101</v>
      </c>
      <c r="O1813" s="1">
        <v>1</v>
      </c>
    </row>
    <row r="1814" spans="1:16" ht="14.25" customHeight="1" x14ac:dyDescent="0.3">
      <c r="A1814" s="1" t="s">
        <v>73</v>
      </c>
      <c r="B1814" s="1">
        <v>6</v>
      </c>
      <c r="C1814" s="1">
        <v>9</v>
      </c>
      <c r="D1814" s="1" t="str">
        <f t="shared" si="28"/>
        <v>Yes</v>
      </c>
      <c r="E1814" s="1">
        <v>8.3000000000000007</v>
      </c>
      <c r="F1814" s="1">
        <v>82</v>
      </c>
      <c r="G1814" s="1" t="s">
        <v>106</v>
      </c>
      <c r="H1814" s="1" t="s">
        <v>95</v>
      </c>
      <c r="I1814" s="1">
        <v>52.2</v>
      </c>
      <c r="J1814" s="1" t="s">
        <v>95</v>
      </c>
      <c r="M1814" s="1" t="s">
        <v>102</v>
      </c>
      <c r="O1814" s="1">
        <v>5</v>
      </c>
    </row>
    <row r="1815" spans="1:16" ht="14.25" customHeight="1" x14ac:dyDescent="0.3">
      <c r="A1815" s="1" t="s">
        <v>73</v>
      </c>
      <c r="B1815" s="1">
        <v>6</v>
      </c>
      <c r="C1815" s="1">
        <v>1</v>
      </c>
      <c r="D1815" s="1" t="str">
        <f t="shared" si="28"/>
        <v>Yes</v>
      </c>
      <c r="E1815" s="1">
        <v>6</v>
      </c>
      <c r="F1815" s="1">
        <v>8</v>
      </c>
      <c r="G1815" s="1" t="s">
        <v>93</v>
      </c>
      <c r="H1815" s="1" t="s">
        <v>95</v>
      </c>
      <c r="I1815" s="1">
        <v>103.8</v>
      </c>
      <c r="J1815" s="1" t="s">
        <v>95</v>
      </c>
      <c r="M1815" s="1" t="s">
        <v>102</v>
      </c>
      <c r="O1815" s="1">
        <v>1</v>
      </c>
      <c r="P1815" s="1">
        <v>774</v>
      </c>
    </row>
    <row r="1816" spans="1:16" ht="14.25" customHeight="1" x14ac:dyDescent="0.3">
      <c r="A1816" s="1" t="s">
        <v>73</v>
      </c>
      <c r="B1816" s="1">
        <v>6</v>
      </c>
      <c r="C1816" s="1">
        <v>7</v>
      </c>
      <c r="D1816" s="1" t="str">
        <f t="shared" ref="D1816:D1879" si="29">IF(E1816&gt;12.5, "No", "Yes")</f>
        <v>Yes</v>
      </c>
      <c r="E1816" s="1">
        <v>10.199999999999999</v>
      </c>
      <c r="F1816" s="1">
        <v>62</v>
      </c>
      <c r="G1816" s="1" t="s">
        <v>93</v>
      </c>
      <c r="H1816" s="1" t="s">
        <v>95</v>
      </c>
      <c r="I1816" s="1">
        <v>48.6</v>
      </c>
      <c r="J1816" s="1" t="s">
        <v>95</v>
      </c>
      <c r="M1816" s="1" t="s">
        <v>102</v>
      </c>
      <c r="O1816" s="1">
        <v>1</v>
      </c>
    </row>
    <row r="1817" spans="1:16" ht="14.25" customHeight="1" x14ac:dyDescent="0.3">
      <c r="A1817" s="1" t="s">
        <v>73</v>
      </c>
      <c r="B1817" s="1">
        <v>6</v>
      </c>
      <c r="C1817" s="1">
        <v>13</v>
      </c>
      <c r="D1817" s="1" t="str">
        <f t="shared" si="29"/>
        <v>Yes</v>
      </c>
      <c r="E1817" s="1">
        <v>4.5</v>
      </c>
      <c r="F1817" s="1">
        <v>249</v>
      </c>
      <c r="G1817" s="1" t="s">
        <v>93</v>
      </c>
      <c r="H1817" s="1" t="s">
        <v>95</v>
      </c>
      <c r="I1817" s="1">
        <v>33.200000000000003</v>
      </c>
      <c r="J1817" s="1" t="s">
        <v>95</v>
      </c>
      <c r="M1817" s="1" t="s">
        <v>101</v>
      </c>
      <c r="O1817" s="1">
        <v>1</v>
      </c>
    </row>
    <row r="1818" spans="1:16" ht="14.25" customHeight="1" x14ac:dyDescent="0.3">
      <c r="A1818" s="1" t="s">
        <v>73</v>
      </c>
      <c r="B1818" s="1">
        <v>6</v>
      </c>
      <c r="C1818" s="1">
        <v>16</v>
      </c>
      <c r="D1818" s="1" t="str">
        <f t="shared" si="29"/>
        <v>Yes</v>
      </c>
      <c r="E1818" s="1">
        <v>10.4</v>
      </c>
      <c r="F1818" s="1">
        <v>265</v>
      </c>
      <c r="G1818" s="1" t="s">
        <v>93</v>
      </c>
      <c r="H1818" s="1" t="s">
        <v>95</v>
      </c>
      <c r="I1818" s="1">
        <v>30.6</v>
      </c>
      <c r="J1818" s="1" t="s">
        <v>95</v>
      </c>
      <c r="M1818" s="1" t="s">
        <v>101</v>
      </c>
      <c r="O1818" s="1">
        <v>1</v>
      </c>
    </row>
    <row r="1819" spans="1:16" ht="14.25" customHeight="1" x14ac:dyDescent="0.3">
      <c r="A1819" s="1" t="s">
        <v>73</v>
      </c>
      <c r="B1819" s="1">
        <v>6</v>
      </c>
      <c r="C1819" s="1">
        <v>20</v>
      </c>
      <c r="D1819" s="1" t="str">
        <f t="shared" si="29"/>
        <v>Yes</v>
      </c>
      <c r="E1819" s="1">
        <v>9.5</v>
      </c>
      <c r="F1819" s="1">
        <v>304</v>
      </c>
      <c r="G1819" s="1" t="s">
        <v>93</v>
      </c>
      <c r="H1819" s="1" t="s">
        <v>95</v>
      </c>
      <c r="I1819" s="1">
        <v>29.8</v>
      </c>
      <c r="J1819" s="1" t="s">
        <v>95</v>
      </c>
      <c r="M1819" s="1" t="s">
        <v>102</v>
      </c>
      <c r="O1819" s="1">
        <v>5</v>
      </c>
    </row>
    <row r="1820" spans="1:16" ht="14.25" customHeight="1" x14ac:dyDescent="0.3">
      <c r="A1820" s="1" t="s">
        <v>73</v>
      </c>
      <c r="B1820" s="1">
        <v>6</v>
      </c>
      <c r="C1820" s="1">
        <v>8</v>
      </c>
      <c r="D1820" s="1" t="str">
        <f t="shared" si="29"/>
        <v>Yes</v>
      </c>
      <c r="E1820" s="1">
        <v>6.4</v>
      </c>
      <c r="F1820" s="1">
        <v>75</v>
      </c>
      <c r="G1820" s="1" t="s">
        <v>93</v>
      </c>
      <c r="H1820" s="1" t="s">
        <v>95</v>
      </c>
      <c r="I1820" s="1">
        <v>26.4</v>
      </c>
      <c r="J1820" s="1" t="s">
        <v>95</v>
      </c>
      <c r="M1820" s="1" t="s">
        <v>101</v>
      </c>
      <c r="O1820" s="1">
        <v>1</v>
      </c>
    </row>
    <row r="1821" spans="1:16" ht="14.25" customHeight="1" x14ac:dyDescent="0.3">
      <c r="A1821" s="1" t="s">
        <v>73</v>
      </c>
      <c r="B1821" s="1">
        <v>6</v>
      </c>
      <c r="C1821" s="1">
        <v>11</v>
      </c>
      <c r="D1821" s="1" t="str">
        <f t="shared" si="29"/>
        <v>Yes</v>
      </c>
      <c r="E1821" s="1">
        <v>1.9</v>
      </c>
      <c r="F1821" s="1">
        <v>104</v>
      </c>
      <c r="G1821" s="1" t="s">
        <v>93</v>
      </c>
      <c r="H1821" s="1" t="s">
        <v>95</v>
      </c>
      <c r="I1821" s="1">
        <v>22.7</v>
      </c>
      <c r="J1821" s="1" t="s">
        <v>95</v>
      </c>
      <c r="M1821" s="1" t="s">
        <v>101</v>
      </c>
      <c r="O1821" s="1">
        <v>5</v>
      </c>
    </row>
    <row r="1822" spans="1:16" ht="14.25" customHeight="1" x14ac:dyDescent="0.3">
      <c r="A1822" s="1" t="s">
        <v>73</v>
      </c>
      <c r="B1822" s="1">
        <v>6</v>
      </c>
      <c r="C1822" s="1">
        <v>15</v>
      </c>
      <c r="D1822" s="1" t="str">
        <f t="shared" si="29"/>
        <v>Yes</v>
      </c>
      <c r="E1822" s="1">
        <v>10.199999999999999</v>
      </c>
      <c r="F1822" s="1">
        <v>213</v>
      </c>
      <c r="G1822" s="1" t="s">
        <v>93</v>
      </c>
      <c r="H1822" s="1" t="s">
        <v>95</v>
      </c>
      <c r="I1822" s="1">
        <v>21.7</v>
      </c>
      <c r="J1822" s="1" t="s">
        <v>101</v>
      </c>
      <c r="M1822" s="1" t="s">
        <v>101</v>
      </c>
      <c r="O1822" s="1">
        <v>5</v>
      </c>
    </row>
    <row r="1823" spans="1:16" ht="14.25" customHeight="1" x14ac:dyDescent="0.3">
      <c r="A1823" s="1" t="s">
        <v>73</v>
      </c>
      <c r="B1823" s="1">
        <v>6</v>
      </c>
      <c r="C1823" s="1">
        <v>10</v>
      </c>
      <c r="D1823" s="1" t="str">
        <f t="shared" si="29"/>
        <v>Yes</v>
      </c>
      <c r="E1823" s="1">
        <v>5.2</v>
      </c>
      <c r="F1823" s="1">
        <v>106</v>
      </c>
      <c r="G1823" s="1" t="s">
        <v>93</v>
      </c>
      <c r="H1823" s="1" t="s">
        <v>95</v>
      </c>
      <c r="I1823" s="1">
        <v>20.6</v>
      </c>
      <c r="J1823" s="1" t="s">
        <v>95</v>
      </c>
      <c r="M1823" s="1" t="s">
        <v>101</v>
      </c>
      <c r="O1823" s="1">
        <v>1</v>
      </c>
    </row>
    <row r="1824" spans="1:16" ht="14.25" customHeight="1" x14ac:dyDescent="0.3">
      <c r="A1824" s="1" t="s">
        <v>73</v>
      </c>
      <c r="B1824" s="1">
        <v>6</v>
      </c>
      <c r="C1824" s="1">
        <v>19</v>
      </c>
      <c r="D1824" s="1" t="str">
        <f t="shared" si="29"/>
        <v>Yes</v>
      </c>
      <c r="E1824" s="1">
        <v>12</v>
      </c>
      <c r="F1824" s="1">
        <v>301</v>
      </c>
      <c r="G1824" s="1" t="s">
        <v>93</v>
      </c>
      <c r="H1824" s="1" t="s">
        <v>95</v>
      </c>
      <c r="I1824" s="1">
        <v>19.100000000000001</v>
      </c>
      <c r="J1824" s="1" t="s">
        <v>95</v>
      </c>
      <c r="M1824" s="1" t="s">
        <v>101</v>
      </c>
      <c r="O1824" s="1">
        <v>1</v>
      </c>
    </row>
    <row r="1825" spans="1:17" ht="14.25" customHeight="1" x14ac:dyDescent="0.3">
      <c r="A1825" s="1" t="s">
        <v>73</v>
      </c>
      <c r="B1825" s="1">
        <v>6</v>
      </c>
      <c r="C1825" s="1">
        <v>2</v>
      </c>
      <c r="D1825" s="1" t="str">
        <f t="shared" si="29"/>
        <v>Yes</v>
      </c>
      <c r="E1825" s="1">
        <v>8.5</v>
      </c>
      <c r="F1825" s="1">
        <v>23</v>
      </c>
      <c r="G1825" s="1" t="s">
        <v>93</v>
      </c>
      <c r="H1825" s="1" t="s">
        <v>95</v>
      </c>
      <c r="I1825" s="1">
        <v>18.3</v>
      </c>
      <c r="J1825" s="1" t="s">
        <v>95</v>
      </c>
      <c r="M1825" s="1" t="s">
        <v>101</v>
      </c>
      <c r="O1825" s="1">
        <v>1</v>
      </c>
    </row>
    <row r="1826" spans="1:17" ht="14.25" customHeight="1" x14ac:dyDescent="0.3">
      <c r="A1826" s="1" t="s">
        <v>73</v>
      </c>
      <c r="B1826" s="1">
        <v>6</v>
      </c>
      <c r="C1826" s="1">
        <v>17</v>
      </c>
      <c r="D1826" s="1" t="str">
        <f t="shared" si="29"/>
        <v>Yes</v>
      </c>
      <c r="E1826" s="1">
        <v>8.8000000000000007</v>
      </c>
      <c r="F1826" s="1">
        <v>267</v>
      </c>
      <c r="G1826" s="1" t="s">
        <v>93</v>
      </c>
      <c r="H1826" s="1" t="s">
        <v>95</v>
      </c>
      <c r="I1826" s="1">
        <v>15.2</v>
      </c>
      <c r="J1826" s="1" t="s">
        <v>95</v>
      </c>
      <c r="M1826" s="1" t="s">
        <v>101</v>
      </c>
      <c r="O1826" s="1">
        <v>1</v>
      </c>
    </row>
    <row r="1827" spans="1:17" ht="14.25" customHeight="1" x14ac:dyDescent="0.3">
      <c r="A1827" s="1" t="s">
        <v>73</v>
      </c>
      <c r="B1827" s="1">
        <v>6</v>
      </c>
      <c r="C1827" s="1">
        <v>6</v>
      </c>
      <c r="D1827" s="1" t="str">
        <f t="shared" si="29"/>
        <v>Yes</v>
      </c>
      <c r="E1827" s="1">
        <v>9.6999999999999993</v>
      </c>
      <c r="F1827" s="1">
        <v>60</v>
      </c>
      <c r="G1827" s="1" t="s">
        <v>93</v>
      </c>
      <c r="H1827" s="1" t="s">
        <v>95</v>
      </c>
      <c r="I1827" s="1">
        <v>11.4</v>
      </c>
      <c r="J1827" s="1" t="s">
        <v>95</v>
      </c>
      <c r="M1827" s="1" t="s">
        <v>101</v>
      </c>
      <c r="O1827" s="1">
        <v>1</v>
      </c>
    </row>
    <row r="1828" spans="1:17" ht="14.25" customHeight="1" x14ac:dyDescent="0.3">
      <c r="A1828" s="1" t="s">
        <v>73</v>
      </c>
      <c r="B1828" s="1">
        <v>6</v>
      </c>
      <c r="C1828" s="1">
        <v>21</v>
      </c>
      <c r="D1828" s="1" t="str">
        <f t="shared" si="29"/>
        <v>Yes</v>
      </c>
      <c r="E1828" s="1">
        <v>4.2</v>
      </c>
      <c r="F1828" s="1">
        <v>298</v>
      </c>
      <c r="G1828" s="1" t="s">
        <v>93</v>
      </c>
      <c r="H1828" s="1" t="s">
        <v>95</v>
      </c>
      <c r="I1828" s="1">
        <v>9.8000000000000007</v>
      </c>
      <c r="J1828" s="1" t="s">
        <v>95</v>
      </c>
      <c r="M1828" s="1" t="s">
        <v>101</v>
      </c>
      <c r="O1828" s="1">
        <v>1</v>
      </c>
    </row>
    <row r="1829" spans="1:17" ht="14.25" customHeight="1" x14ac:dyDescent="0.3">
      <c r="A1829" s="1" t="s">
        <v>73</v>
      </c>
      <c r="B1829" s="1">
        <v>6</v>
      </c>
      <c r="C1829" s="1">
        <v>23</v>
      </c>
      <c r="D1829" s="1" t="str">
        <f t="shared" si="29"/>
        <v>Yes</v>
      </c>
      <c r="E1829" s="1">
        <v>1.4</v>
      </c>
      <c r="F1829" s="1">
        <v>258</v>
      </c>
      <c r="G1829" s="1" t="s">
        <v>93</v>
      </c>
      <c r="H1829" s="1" t="s">
        <v>95</v>
      </c>
      <c r="I1829" s="1">
        <v>9.1999999999999993</v>
      </c>
      <c r="J1829" s="1" t="s">
        <v>95</v>
      </c>
      <c r="M1829" s="1" t="s">
        <v>101</v>
      </c>
      <c r="O1829" s="1">
        <v>1</v>
      </c>
      <c r="Q1829" t="s">
        <v>829</v>
      </c>
    </row>
    <row r="1830" spans="1:17" ht="14.25" customHeight="1" x14ac:dyDescent="0.3">
      <c r="A1830" s="1" t="s">
        <v>73</v>
      </c>
      <c r="B1830" s="1">
        <v>6</v>
      </c>
      <c r="C1830" s="1">
        <v>18</v>
      </c>
      <c r="D1830" s="1" t="str">
        <f t="shared" si="29"/>
        <v>Yes</v>
      </c>
      <c r="E1830" s="1">
        <v>6.9</v>
      </c>
      <c r="F1830" s="1">
        <v>281</v>
      </c>
      <c r="G1830" s="1" t="s">
        <v>93</v>
      </c>
      <c r="H1830" s="1" t="s">
        <v>94</v>
      </c>
      <c r="I1830" s="1">
        <v>72.5</v>
      </c>
      <c r="J1830" s="1" t="s">
        <v>95</v>
      </c>
      <c r="K1830" s="1">
        <v>5</v>
      </c>
      <c r="L1830" s="1">
        <v>45</v>
      </c>
      <c r="M1830" s="1" t="s">
        <v>97</v>
      </c>
      <c r="N1830" s="1" t="s">
        <v>100</v>
      </c>
      <c r="P1830" s="1">
        <v>776</v>
      </c>
    </row>
    <row r="1831" spans="1:17" ht="14.25" customHeight="1" x14ac:dyDescent="0.3">
      <c r="A1831" s="1" t="s">
        <v>73</v>
      </c>
      <c r="B1831" s="1">
        <v>6</v>
      </c>
      <c r="C1831" s="1">
        <v>12</v>
      </c>
      <c r="D1831" s="1" t="str">
        <f t="shared" si="29"/>
        <v>Yes</v>
      </c>
      <c r="E1831" s="1">
        <v>4.8</v>
      </c>
      <c r="F1831" s="1">
        <v>152</v>
      </c>
      <c r="G1831" s="1" t="s">
        <v>93</v>
      </c>
      <c r="H1831" s="1" t="s">
        <v>94</v>
      </c>
      <c r="I1831" s="1">
        <v>47.1</v>
      </c>
      <c r="J1831" s="1" t="s">
        <v>95</v>
      </c>
      <c r="K1831" s="1">
        <v>0</v>
      </c>
      <c r="L1831" s="1">
        <v>65</v>
      </c>
      <c r="M1831" s="1" t="s">
        <v>102</v>
      </c>
      <c r="N1831" s="1" t="s">
        <v>100</v>
      </c>
      <c r="P1831" s="1">
        <v>775</v>
      </c>
    </row>
    <row r="1832" spans="1:17" ht="14.25" customHeight="1" x14ac:dyDescent="0.3">
      <c r="A1832" s="1" t="s">
        <v>73</v>
      </c>
      <c r="B1832" s="1">
        <v>7</v>
      </c>
      <c r="D1832" s="1" t="str">
        <f t="shared" si="29"/>
        <v>No</v>
      </c>
      <c r="E1832" s="1">
        <v>19.600000000000001</v>
      </c>
      <c r="F1832" s="1">
        <v>279</v>
      </c>
      <c r="G1832" s="1" t="s">
        <v>106</v>
      </c>
      <c r="H1832" s="1" t="s">
        <v>95</v>
      </c>
      <c r="I1832" s="1">
        <v>35.200000000000003</v>
      </c>
      <c r="J1832" s="1" t="s">
        <v>95</v>
      </c>
      <c r="M1832" s="1" t="s">
        <v>102</v>
      </c>
      <c r="O1832" s="1">
        <v>1</v>
      </c>
      <c r="P1832" s="1">
        <v>779</v>
      </c>
    </row>
    <row r="1833" spans="1:17" ht="14.25" customHeight="1" x14ac:dyDescent="0.3">
      <c r="A1833" s="1" t="s">
        <v>73</v>
      </c>
      <c r="B1833" s="1">
        <v>7</v>
      </c>
      <c r="C1833" s="1">
        <v>18</v>
      </c>
      <c r="D1833" s="1" t="str">
        <f t="shared" si="29"/>
        <v>Yes</v>
      </c>
      <c r="E1833" s="1">
        <v>10.9</v>
      </c>
      <c r="F1833" s="1">
        <v>275</v>
      </c>
      <c r="G1833" s="1" t="s">
        <v>106</v>
      </c>
      <c r="H1833" s="1" t="s">
        <v>95</v>
      </c>
      <c r="I1833" s="1">
        <v>26.9</v>
      </c>
      <c r="J1833" s="1" t="s">
        <v>95</v>
      </c>
      <c r="M1833" s="1" t="s">
        <v>101</v>
      </c>
      <c r="O1833" s="1">
        <v>1</v>
      </c>
    </row>
    <row r="1834" spans="1:17" ht="14.25" customHeight="1" x14ac:dyDescent="0.3">
      <c r="A1834" s="1" t="s">
        <v>73</v>
      </c>
      <c r="B1834" s="1">
        <v>7</v>
      </c>
      <c r="C1834" s="1">
        <v>14</v>
      </c>
      <c r="D1834" s="1" t="str">
        <f t="shared" si="29"/>
        <v>Yes</v>
      </c>
      <c r="E1834" s="1">
        <v>3.1</v>
      </c>
      <c r="F1834" s="1">
        <v>196</v>
      </c>
      <c r="G1834" s="1" t="s">
        <v>106</v>
      </c>
      <c r="H1834" s="1" t="s">
        <v>95</v>
      </c>
      <c r="I1834" s="1">
        <v>15.5</v>
      </c>
      <c r="J1834" s="1" t="s">
        <v>95</v>
      </c>
      <c r="M1834" s="1" t="s">
        <v>101</v>
      </c>
      <c r="O1834" s="1">
        <v>2</v>
      </c>
    </row>
    <row r="1835" spans="1:17" ht="14.25" customHeight="1" x14ac:dyDescent="0.3">
      <c r="A1835" s="1" t="s">
        <v>73</v>
      </c>
      <c r="B1835" s="1">
        <v>7</v>
      </c>
      <c r="C1835" s="1">
        <v>15</v>
      </c>
      <c r="D1835" s="1" t="str">
        <f t="shared" si="29"/>
        <v>Yes</v>
      </c>
      <c r="E1835" s="1">
        <v>5.0999999999999996</v>
      </c>
      <c r="F1835" s="1">
        <v>232</v>
      </c>
      <c r="G1835" s="1" t="s">
        <v>106</v>
      </c>
      <c r="H1835" s="1" t="s">
        <v>95</v>
      </c>
      <c r="I1835" s="1">
        <v>10.8</v>
      </c>
      <c r="J1835" s="1" t="s">
        <v>95</v>
      </c>
      <c r="M1835" s="1" t="s">
        <v>101</v>
      </c>
      <c r="O1835" s="1">
        <v>2</v>
      </c>
    </row>
    <row r="1836" spans="1:17" ht="14.25" customHeight="1" x14ac:dyDescent="0.3">
      <c r="A1836" s="1" t="s">
        <v>73</v>
      </c>
      <c r="B1836" s="1">
        <v>7</v>
      </c>
      <c r="C1836" s="1">
        <v>16</v>
      </c>
      <c r="D1836" s="1" t="str">
        <f t="shared" si="29"/>
        <v>Yes</v>
      </c>
      <c r="E1836" s="1">
        <v>4.0999999999999996</v>
      </c>
      <c r="F1836" s="1">
        <v>237</v>
      </c>
      <c r="G1836" s="1" t="s">
        <v>106</v>
      </c>
      <c r="H1836" s="1" t="s">
        <v>95</v>
      </c>
      <c r="I1836" s="1">
        <v>9.9</v>
      </c>
      <c r="J1836" s="1" t="s">
        <v>95</v>
      </c>
      <c r="M1836" s="1" t="s">
        <v>101</v>
      </c>
      <c r="O1836" s="1">
        <v>2</v>
      </c>
    </row>
    <row r="1837" spans="1:17" ht="14.25" customHeight="1" x14ac:dyDescent="0.3">
      <c r="A1837" s="1" t="s">
        <v>73</v>
      </c>
      <c r="B1837" s="1">
        <v>7</v>
      </c>
      <c r="C1837" s="1">
        <v>2</v>
      </c>
      <c r="D1837" s="1" t="str">
        <f t="shared" si="29"/>
        <v>Yes</v>
      </c>
      <c r="E1837" s="1">
        <v>8.1999999999999993</v>
      </c>
      <c r="F1837" s="1">
        <v>92</v>
      </c>
      <c r="G1837" s="1" t="s">
        <v>93</v>
      </c>
      <c r="H1837" s="1" t="s">
        <v>95</v>
      </c>
      <c r="I1837" s="1">
        <v>95.2</v>
      </c>
      <c r="J1837" s="1" t="s">
        <v>95</v>
      </c>
      <c r="M1837" s="1" t="s">
        <v>102</v>
      </c>
      <c r="O1837" s="1">
        <v>5</v>
      </c>
    </row>
    <row r="1838" spans="1:17" ht="14.25" customHeight="1" x14ac:dyDescent="0.3">
      <c r="A1838" s="1" t="s">
        <v>73</v>
      </c>
      <c r="B1838" s="1">
        <v>7</v>
      </c>
      <c r="C1838" s="1">
        <v>3</v>
      </c>
      <c r="D1838" s="1" t="str">
        <f t="shared" si="29"/>
        <v>Yes</v>
      </c>
      <c r="E1838" s="1">
        <v>8.5</v>
      </c>
      <c r="F1838" s="1">
        <v>94</v>
      </c>
      <c r="G1838" s="1" t="s">
        <v>93</v>
      </c>
      <c r="H1838" s="1" t="s">
        <v>95</v>
      </c>
      <c r="I1838" s="1">
        <v>91.3</v>
      </c>
      <c r="J1838" s="1" t="s">
        <v>95</v>
      </c>
      <c r="M1838" s="1" t="s">
        <v>102</v>
      </c>
      <c r="O1838" s="1">
        <v>5</v>
      </c>
    </row>
    <row r="1839" spans="1:17" ht="14.25" customHeight="1" x14ac:dyDescent="0.3">
      <c r="A1839" s="1" t="s">
        <v>73</v>
      </c>
      <c r="B1839" s="1">
        <v>7</v>
      </c>
      <c r="C1839" s="1">
        <v>1</v>
      </c>
      <c r="D1839" s="1" t="str">
        <f t="shared" si="29"/>
        <v>Yes</v>
      </c>
      <c r="E1839" s="1">
        <v>8.6999999999999993</v>
      </c>
      <c r="F1839" s="1">
        <v>7</v>
      </c>
      <c r="G1839" s="1" t="s">
        <v>93</v>
      </c>
      <c r="H1839" s="1" t="s">
        <v>95</v>
      </c>
      <c r="I1839" s="1">
        <v>83.4</v>
      </c>
      <c r="J1839" s="1" t="s">
        <v>95</v>
      </c>
      <c r="M1839" s="1" t="s">
        <v>102</v>
      </c>
      <c r="O1839" s="1">
        <v>1</v>
      </c>
      <c r="P1839" s="1">
        <v>777</v>
      </c>
    </row>
    <row r="1840" spans="1:17" ht="14.25" customHeight="1" x14ac:dyDescent="0.3">
      <c r="A1840" s="1" t="s">
        <v>73</v>
      </c>
      <c r="B1840" s="1">
        <v>7</v>
      </c>
      <c r="C1840" s="1">
        <v>11</v>
      </c>
      <c r="D1840" s="1" t="str">
        <f t="shared" si="29"/>
        <v>Yes</v>
      </c>
      <c r="E1840" s="1">
        <v>7.3</v>
      </c>
      <c r="F1840" s="1">
        <v>185</v>
      </c>
      <c r="G1840" s="1" t="s">
        <v>93</v>
      </c>
      <c r="H1840" s="1" t="s">
        <v>95</v>
      </c>
      <c r="I1840" s="1">
        <v>82.2</v>
      </c>
      <c r="J1840" s="1" t="s">
        <v>95</v>
      </c>
      <c r="M1840" s="1" t="s">
        <v>102</v>
      </c>
      <c r="O1840" s="1">
        <v>5</v>
      </c>
      <c r="P1840" s="1">
        <v>778</v>
      </c>
    </row>
    <row r="1841" spans="1:15" ht="14.25" customHeight="1" x14ac:dyDescent="0.3">
      <c r="A1841" s="1" t="s">
        <v>73</v>
      </c>
      <c r="B1841" s="1">
        <v>7</v>
      </c>
      <c r="C1841" s="1">
        <v>5</v>
      </c>
      <c r="D1841" s="1" t="str">
        <f t="shared" si="29"/>
        <v>Yes</v>
      </c>
      <c r="E1841" s="1">
        <v>7.2</v>
      </c>
      <c r="F1841" s="1">
        <v>130</v>
      </c>
      <c r="G1841" s="1" t="s">
        <v>93</v>
      </c>
      <c r="H1841" s="1" t="s">
        <v>95</v>
      </c>
      <c r="I1841" s="1">
        <v>70.5</v>
      </c>
      <c r="J1841" s="1" t="s">
        <v>95</v>
      </c>
      <c r="M1841" s="1" t="s">
        <v>102</v>
      </c>
      <c r="O1841" s="1">
        <v>5</v>
      </c>
    </row>
    <row r="1842" spans="1:15" ht="14.25" customHeight="1" x14ac:dyDescent="0.3">
      <c r="A1842" s="1" t="s">
        <v>73</v>
      </c>
      <c r="B1842" s="1">
        <v>7</v>
      </c>
      <c r="C1842" s="1">
        <v>6</v>
      </c>
      <c r="D1842" s="1" t="str">
        <f t="shared" si="29"/>
        <v>Yes</v>
      </c>
      <c r="E1842" s="1">
        <v>9.5</v>
      </c>
      <c r="F1842" s="1">
        <v>94</v>
      </c>
      <c r="G1842" s="1" t="s">
        <v>93</v>
      </c>
      <c r="H1842" s="1" t="s">
        <v>95</v>
      </c>
      <c r="I1842" s="1">
        <v>59.7</v>
      </c>
      <c r="J1842" s="1" t="s">
        <v>95</v>
      </c>
      <c r="M1842" s="1" t="s">
        <v>102</v>
      </c>
      <c r="O1842" s="1">
        <v>5</v>
      </c>
    </row>
    <row r="1843" spans="1:15" ht="14.25" customHeight="1" x14ac:dyDescent="0.3">
      <c r="A1843" s="1" t="s">
        <v>73</v>
      </c>
      <c r="B1843" s="1">
        <v>7</v>
      </c>
      <c r="C1843" s="1">
        <v>12</v>
      </c>
      <c r="D1843" s="1" t="str">
        <f t="shared" si="29"/>
        <v>Yes</v>
      </c>
      <c r="E1843" s="1">
        <v>8.9</v>
      </c>
      <c r="F1843" s="1">
        <v>189</v>
      </c>
      <c r="G1843" s="1" t="s">
        <v>93</v>
      </c>
      <c r="H1843" s="1" t="s">
        <v>95</v>
      </c>
      <c r="I1843" s="1">
        <v>46.4</v>
      </c>
      <c r="J1843" s="1" t="s">
        <v>95</v>
      </c>
      <c r="M1843" s="1" t="s">
        <v>102</v>
      </c>
      <c r="O1843" s="1">
        <v>5</v>
      </c>
    </row>
    <row r="1844" spans="1:15" ht="14.25" customHeight="1" x14ac:dyDescent="0.3">
      <c r="A1844" s="1" t="s">
        <v>73</v>
      </c>
      <c r="B1844" s="1">
        <v>7</v>
      </c>
      <c r="C1844" s="1">
        <v>4</v>
      </c>
      <c r="D1844" s="1" t="str">
        <f t="shared" si="29"/>
        <v>Yes</v>
      </c>
      <c r="E1844" s="1">
        <v>7.5</v>
      </c>
      <c r="F1844" s="1">
        <v>126</v>
      </c>
      <c r="G1844" s="1" t="s">
        <v>93</v>
      </c>
      <c r="H1844" s="1" t="s">
        <v>95</v>
      </c>
      <c r="I1844" s="1">
        <v>40</v>
      </c>
      <c r="J1844" s="1" t="s">
        <v>95</v>
      </c>
      <c r="M1844" s="1" t="s">
        <v>101</v>
      </c>
      <c r="O1844" s="1">
        <v>5</v>
      </c>
    </row>
    <row r="1845" spans="1:15" ht="14.25" customHeight="1" x14ac:dyDescent="0.3">
      <c r="A1845" s="1" t="s">
        <v>73</v>
      </c>
      <c r="B1845" s="1">
        <v>7</v>
      </c>
      <c r="C1845" s="1">
        <v>10</v>
      </c>
      <c r="D1845" s="1" t="str">
        <f t="shared" si="29"/>
        <v>Yes</v>
      </c>
      <c r="E1845" s="1">
        <v>12</v>
      </c>
      <c r="F1845" s="1">
        <v>145</v>
      </c>
      <c r="G1845" s="1" t="s">
        <v>93</v>
      </c>
      <c r="H1845" s="1" t="s">
        <v>95</v>
      </c>
      <c r="I1845" s="1">
        <v>35</v>
      </c>
      <c r="J1845" s="1" t="s">
        <v>101</v>
      </c>
      <c r="M1845" s="1" t="s">
        <v>101</v>
      </c>
      <c r="O1845" s="1">
        <v>5</v>
      </c>
    </row>
    <row r="1846" spans="1:15" ht="14.25" customHeight="1" x14ac:dyDescent="0.3">
      <c r="A1846" s="1" t="s">
        <v>73</v>
      </c>
      <c r="B1846" s="1">
        <v>7</v>
      </c>
      <c r="C1846" s="1">
        <v>7</v>
      </c>
      <c r="D1846" s="1" t="str">
        <f t="shared" si="29"/>
        <v>Yes</v>
      </c>
      <c r="E1846" s="1">
        <v>12.2</v>
      </c>
      <c r="F1846" s="1">
        <v>139</v>
      </c>
      <c r="G1846" s="1" t="s">
        <v>93</v>
      </c>
      <c r="H1846" s="1" t="s">
        <v>95</v>
      </c>
      <c r="I1846" s="1">
        <v>28.8</v>
      </c>
      <c r="J1846" s="1" t="s">
        <v>95</v>
      </c>
      <c r="M1846" s="1" t="s">
        <v>102</v>
      </c>
      <c r="O1846" s="1">
        <v>1</v>
      </c>
    </row>
    <row r="1847" spans="1:15" ht="14.25" customHeight="1" x14ac:dyDescent="0.3">
      <c r="A1847" s="1" t="s">
        <v>73</v>
      </c>
      <c r="B1847" s="1">
        <v>7</v>
      </c>
      <c r="C1847" s="1">
        <v>8</v>
      </c>
      <c r="D1847" s="1" t="str">
        <f t="shared" si="29"/>
        <v>Yes</v>
      </c>
      <c r="E1847" s="1">
        <v>12.4</v>
      </c>
      <c r="F1847" s="1">
        <v>140</v>
      </c>
      <c r="G1847" s="1" t="s">
        <v>93</v>
      </c>
      <c r="H1847" s="1" t="s">
        <v>95</v>
      </c>
      <c r="I1847" s="1">
        <v>25</v>
      </c>
      <c r="J1847" s="1" t="s">
        <v>101</v>
      </c>
      <c r="M1847" s="1" t="s">
        <v>101</v>
      </c>
      <c r="O1847" s="1">
        <v>5</v>
      </c>
    </row>
    <row r="1848" spans="1:15" ht="14.25" customHeight="1" x14ac:dyDescent="0.3">
      <c r="A1848" s="1" t="s">
        <v>73</v>
      </c>
      <c r="B1848" s="1">
        <v>7</v>
      </c>
      <c r="C1848" s="1">
        <v>13</v>
      </c>
      <c r="D1848" s="1" t="str">
        <f t="shared" si="29"/>
        <v>Yes</v>
      </c>
      <c r="E1848" s="1">
        <v>11.6</v>
      </c>
      <c r="F1848" s="1">
        <v>193</v>
      </c>
      <c r="G1848" s="1" t="s">
        <v>93</v>
      </c>
      <c r="H1848" s="1" t="s">
        <v>95</v>
      </c>
      <c r="I1848" s="1">
        <v>14.2</v>
      </c>
      <c r="J1848" s="1" t="s">
        <v>95</v>
      </c>
      <c r="M1848" s="1" t="s">
        <v>101</v>
      </c>
      <c r="O1848" s="1">
        <v>5</v>
      </c>
    </row>
    <row r="1849" spans="1:15" ht="14.25" customHeight="1" x14ac:dyDescent="0.3">
      <c r="A1849" s="1" t="s">
        <v>73</v>
      </c>
      <c r="B1849" s="1">
        <v>7</v>
      </c>
      <c r="C1849" s="1">
        <v>20</v>
      </c>
      <c r="D1849" s="1" t="str">
        <f t="shared" si="29"/>
        <v>Yes</v>
      </c>
      <c r="E1849" s="1">
        <v>6.9</v>
      </c>
      <c r="F1849" s="1">
        <v>328</v>
      </c>
      <c r="G1849" s="1" t="s">
        <v>93</v>
      </c>
      <c r="H1849" s="1" t="s">
        <v>95</v>
      </c>
      <c r="I1849" s="1">
        <v>14.1</v>
      </c>
      <c r="J1849" s="1" t="s">
        <v>95</v>
      </c>
      <c r="M1849" s="1" t="s">
        <v>101</v>
      </c>
      <c r="O1849" s="1">
        <v>3</v>
      </c>
    </row>
    <row r="1850" spans="1:15" ht="14.25" customHeight="1" x14ac:dyDescent="0.3">
      <c r="A1850" s="1" t="s">
        <v>73</v>
      </c>
      <c r="B1850" s="1">
        <v>7</v>
      </c>
      <c r="C1850" s="1">
        <v>17</v>
      </c>
      <c r="D1850" s="1" t="str">
        <f t="shared" si="29"/>
        <v>Yes</v>
      </c>
      <c r="E1850" s="1">
        <v>6.1</v>
      </c>
      <c r="F1850" s="1">
        <v>272</v>
      </c>
      <c r="G1850" s="1" t="s">
        <v>93</v>
      </c>
      <c r="H1850" s="1" t="s">
        <v>95</v>
      </c>
      <c r="I1850" s="1">
        <v>13.9</v>
      </c>
      <c r="J1850" s="1" t="s">
        <v>95</v>
      </c>
      <c r="M1850" s="1" t="s">
        <v>101</v>
      </c>
      <c r="O1850" s="1">
        <v>1</v>
      </c>
    </row>
    <row r="1851" spans="1:15" ht="14.25" customHeight="1" x14ac:dyDescent="0.3">
      <c r="A1851" s="1" t="s">
        <v>73</v>
      </c>
      <c r="B1851" s="1">
        <v>7</v>
      </c>
      <c r="C1851" s="1">
        <v>9</v>
      </c>
      <c r="D1851" s="1" t="str">
        <f t="shared" si="29"/>
        <v>Yes</v>
      </c>
      <c r="E1851" s="1">
        <v>12.5</v>
      </c>
      <c r="F1851" s="1">
        <v>142</v>
      </c>
      <c r="G1851" s="1" t="s">
        <v>93</v>
      </c>
      <c r="H1851" s="1" t="s">
        <v>95</v>
      </c>
      <c r="I1851" s="1">
        <v>12</v>
      </c>
      <c r="J1851" s="1" t="s">
        <v>101</v>
      </c>
      <c r="M1851" s="1" t="s">
        <v>101</v>
      </c>
      <c r="O1851" s="1">
        <v>5</v>
      </c>
    </row>
    <row r="1852" spans="1:15" ht="14.25" customHeight="1" x14ac:dyDescent="0.3">
      <c r="A1852" s="1" t="s">
        <v>73</v>
      </c>
      <c r="B1852" s="1">
        <v>7</v>
      </c>
      <c r="C1852" s="1">
        <v>19</v>
      </c>
      <c r="D1852" s="1" t="str">
        <f t="shared" si="29"/>
        <v>Yes</v>
      </c>
      <c r="E1852" s="1">
        <v>9.6</v>
      </c>
      <c r="F1852" s="1">
        <v>295</v>
      </c>
      <c r="G1852" s="1" t="s">
        <v>93</v>
      </c>
      <c r="H1852" s="1" t="s">
        <v>95</v>
      </c>
      <c r="I1852" s="1">
        <v>9.6</v>
      </c>
      <c r="J1852" s="1" t="s">
        <v>95</v>
      </c>
      <c r="M1852" s="1" t="s">
        <v>101</v>
      </c>
      <c r="O1852" s="1">
        <v>2</v>
      </c>
    </row>
    <row r="1853" spans="1:15" ht="14.25" customHeight="1" x14ac:dyDescent="0.3">
      <c r="A1853" s="1" t="s">
        <v>73</v>
      </c>
      <c r="B1853" s="1">
        <v>7</v>
      </c>
      <c r="C1853" s="1">
        <v>21</v>
      </c>
      <c r="D1853" s="1" t="str">
        <f t="shared" si="29"/>
        <v>Yes</v>
      </c>
      <c r="E1853" s="1">
        <v>6.4</v>
      </c>
      <c r="F1853" s="1">
        <v>352</v>
      </c>
      <c r="G1853" s="1" t="s">
        <v>93</v>
      </c>
      <c r="H1853" s="1" t="s">
        <v>95</v>
      </c>
      <c r="I1853" s="1">
        <v>8.5</v>
      </c>
      <c r="J1853" s="1" t="s">
        <v>95</v>
      </c>
      <c r="M1853" s="1" t="s">
        <v>101</v>
      </c>
      <c r="O1853" s="1">
        <v>2</v>
      </c>
    </row>
    <row r="1854" spans="1:15" ht="14.25" customHeight="1" x14ac:dyDescent="0.3">
      <c r="A1854" s="1" t="s">
        <v>73</v>
      </c>
      <c r="B1854" s="1">
        <v>8</v>
      </c>
      <c r="C1854" s="1">
        <v>17</v>
      </c>
      <c r="D1854" s="1" t="str">
        <f t="shared" si="29"/>
        <v>Yes</v>
      </c>
      <c r="E1854" s="1">
        <v>12.4</v>
      </c>
      <c r="F1854" s="1">
        <v>142</v>
      </c>
      <c r="G1854" s="1" t="s">
        <v>106</v>
      </c>
      <c r="H1854" s="1" t="s">
        <v>95</v>
      </c>
      <c r="I1854" s="1">
        <v>100</v>
      </c>
      <c r="J1854" s="1" t="s">
        <v>101</v>
      </c>
      <c r="M1854" s="1" t="s">
        <v>102</v>
      </c>
      <c r="O1854" s="1">
        <v>5</v>
      </c>
    </row>
    <row r="1855" spans="1:15" ht="14.25" customHeight="1" x14ac:dyDescent="0.3">
      <c r="A1855" s="1" t="s">
        <v>73</v>
      </c>
      <c r="B1855" s="1">
        <v>8</v>
      </c>
      <c r="C1855" s="1">
        <v>26</v>
      </c>
      <c r="D1855" s="1" t="str">
        <f t="shared" si="29"/>
        <v>Yes</v>
      </c>
      <c r="E1855" s="1">
        <v>7.1</v>
      </c>
      <c r="F1855" s="1">
        <v>293</v>
      </c>
      <c r="G1855" s="1" t="s">
        <v>106</v>
      </c>
      <c r="H1855" s="1" t="s">
        <v>95</v>
      </c>
      <c r="I1855" s="1">
        <v>70</v>
      </c>
      <c r="J1855" s="1" t="s">
        <v>101</v>
      </c>
      <c r="M1855" s="1" t="s">
        <v>102</v>
      </c>
      <c r="O1855" s="1">
        <v>5</v>
      </c>
    </row>
    <row r="1856" spans="1:15" ht="14.25" customHeight="1" x14ac:dyDescent="0.3">
      <c r="A1856" s="1" t="s">
        <v>73</v>
      </c>
      <c r="B1856" s="1">
        <v>8</v>
      </c>
      <c r="C1856" s="1">
        <v>18</v>
      </c>
      <c r="D1856" s="1" t="str">
        <f t="shared" si="29"/>
        <v>Yes</v>
      </c>
      <c r="E1856" s="1">
        <v>12.4</v>
      </c>
      <c r="F1856" s="1">
        <v>168</v>
      </c>
      <c r="G1856" s="1" t="s">
        <v>106</v>
      </c>
      <c r="H1856" s="1" t="s">
        <v>95</v>
      </c>
      <c r="I1856" s="1">
        <v>49.3</v>
      </c>
      <c r="J1856" s="1" t="s">
        <v>95</v>
      </c>
      <c r="M1856" s="1" t="s">
        <v>102</v>
      </c>
      <c r="O1856" s="1">
        <v>5</v>
      </c>
    </row>
    <row r="1857" spans="1:16" ht="14.25" customHeight="1" x14ac:dyDescent="0.3">
      <c r="A1857" s="1" t="s">
        <v>73</v>
      </c>
      <c r="B1857" s="1">
        <v>8</v>
      </c>
      <c r="C1857" s="1">
        <v>29</v>
      </c>
      <c r="D1857" s="1" t="str">
        <f t="shared" si="29"/>
        <v>Yes</v>
      </c>
      <c r="E1857" s="1">
        <v>10.9</v>
      </c>
      <c r="F1857" s="1">
        <v>352</v>
      </c>
      <c r="G1857" s="1" t="s">
        <v>93</v>
      </c>
      <c r="H1857" s="1" t="s">
        <v>95</v>
      </c>
      <c r="I1857" s="1">
        <v>76.099999999999994</v>
      </c>
      <c r="J1857" s="1" t="s">
        <v>95</v>
      </c>
      <c r="M1857" s="1" t="s">
        <v>102</v>
      </c>
      <c r="O1857" s="1">
        <v>5</v>
      </c>
    </row>
    <row r="1858" spans="1:16" ht="14.25" customHeight="1" x14ac:dyDescent="0.3">
      <c r="A1858" s="1" t="s">
        <v>73</v>
      </c>
      <c r="B1858" s="1">
        <v>8</v>
      </c>
      <c r="C1858" s="1">
        <v>2</v>
      </c>
      <c r="D1858" s="1" t="str">
        <f t="shared" si="29"/>
        <v>Yes</v>
      </c>
      <c r="E1858" s="1">
        <v>10.199999999999999</v>
      </c>
      <c r="F1858" s="1">
        <v>27</v>
      </c>
      <c r="G1858" s="1" t="s">
        <v>93</v>
      </c>
      <c r="H1858" s="1" t="s">
        <v>95</v>
      </c>
      <c r="I1858" s="1">
        <v>55</v>
      </c>
      <c r="J1858" s="1" t="s">
        <v>95</v>
      </c>
      <c r="M1858" s="1" t="s">
        <v>102</v>
      </c>
      <c r="O1858" s="1">
        <v>5</v>
      </c>
    </row>
    <row r="1859" spans="1:16" ht="14.25" customHeight="1" x14ac:dyDescent="0.3">
      <c r="A1859" s="1" t="s">
        <v>73</v>
      </c>
      <c r="B1859" s="1">
        <v>8</v>
      </c>
      <c r="C1859" s="1">
        <v>16</v>
      </c>
      <c r="D1859" s="1" t="str">
        <f t="shared" si="29"/>
        <v>Yes</v>
      </c>
      <c r="E1859" s="1">
        <v>7.7</v>
      </c>
      <c r="F1859" s="1">
        <v>171</v>
      </c>
      <c r="G1859" s="1" t="s">
        <v>93</v>
      </c>
      <c r="H1859" s="1" t="s">
        <v>95</v>
      </c>
      <c r="I1859" s="1">
        <v>52.3</v>
      </c>
      <c r="J1859" s="1" t="s">
        <v>95</v>
      </c>
      <c r="M1859" s="1" t="s">
        <v>102</v>
      </c>
      <c r="O1859" s="1">
        <v>1</v>
      </c>
    </row>
    <row r="1860" spans="1:16" ht="14.25" customHeight="1" x14ac:dyDescent="0.3">
      <c r="A1860" s="1" t="s">
        <v>73</v>
      </c>
      <c r="B1860" s="1">
        <v>8</v>
      </c>
      <c r="C1860" s="1">
        <v>22</v>
      </c>
      <c r="D1860" s="1" t="str">
        <f t="shared" si="29"/>
        <v>Yes</v>
      </c>
      <c r="E1860" s="1">
        <v>8.6999999999999993</v>
      </c>
      <c r="F1860" s="1">
        <v>276</v>
      </c>
      <c r="G1860" s="1" t="s">
        <v>93</v>
      </c>
      <c r="H1860" s="1" t="s">
        <v>95</v>
      </c>
      <c r="I1860" s="1">
        <v>47.2</v>
      </c>
      <c r="J1860" s="1" t="s">
        <v>95</v>
      </c>
      <c r="M1860" s="1" t="s">
        <v>102</v>
      </c>
      <c r="O1860" s="1">
        <v>1</v>
      </c>
    </row>
    <row r="1861" spans="1:16" ht="14.25" customHeight="1" x14ac:dyDescent="0.3">
      <c r="A1861" s="1" t="s">
        <v>73</v>
      </c>
      <c r="B1861" s="1">
        <v>8</v>
      </c>
      <c r="C1861" s="1">
        <v>13</v>
      </c>
      <c r="D1861" s="1" t="str">
        <f t="shared" si="29"/>
        <v>Yes</v>
      </c>
      <c r="E1861" s="1">
        <v>1.8</v>
      </c>
      <c r="F1861" s="1">
        <v>118</v>
      </c>
      <c r="G1861" s="1" t="s">
        <v>93</v>
      </c>
      <c r="H1861" s="1" t="s">
        <v>95</v>
      </c>
      <c r="I1861" s="1">
        <v>43.5</v>
      </c>
      <c r="J1861" s="1" t="s">
        <v>95</v>
      </c>
      <c r="M1861" s="1" t="s">
        <v>102</v>
      </c>
      <c r="O1861" s="1">
        <v>1</v>
      </c>
      <c r="P1861" s="1">
        <v>780</v>
      </c>
    </row>
    <row r="1862" spans="1:16" ht="14.25" customHeight="1" x14ac:dyDescent="0.3">
      <c r="A1862" s="1" t="s">
        <v>73</v>
      </c>
      <c r="B1862" s="1">
        <v>8</v>
      </c>
      <c r="C1862" s="1">
        <v>28</v>
      </c>
      <c r="D1862" s="1" t="str">
        <f t="shared" si="29"/>
        <v>Yes</v>
      </c>
      <c r="E1862" s="1">
        <v>4.4000000000000004</v>
      </c>
      <c r="F1862" s="1">
        <v>333</v>
      </c>
      <c r="G1862" s="1" t="s">
        <v>93</v>
      </c>
      <c r="H1862" s="1" t="s">
        <v>95</v>
      </c>
      <c r="I1862" s="1">
        <v>43.2</v>
      </c>
      <c r="J1862" s="1" t="s">
        <v>95</v>
      </c>
      <c r="M1862" s="1" t="s">
        <v>102</v>
      </c>
      <c r="O1862" s="1">
        <v>1</v>
      </c>
      <c r="P1862" s="1">
        <v>782</v>
      </c>
    </row>
    <row r="1863" spans="1:16" ht="14.25" customHeight="1" x14ac:dyDescent="0.3">
      <c r="A1863" s="1" t="s">
        <v>73</v>
      </c>
      <c r="B1863" s="1">
        <v>8</v>
      </c>
      <c r="C1863" s="1">
        <v>4</v>
      </c>
      <c r="D1863" s="1" t="str">
        <f t="shared" si="29"/>
        <v>Yes</v>
      </c>
      <c r="E1863" s="1">
        <v>5.9</v>
      </c>
      <c r="F1863" s="1">
        <v>41</v>
      </c>
      <c r="G1863" s="1" t="s">
        <v>93</v>
      </c>
      <c r="H1863" s="1" t="s">
        <v>95</v>
      </c>
      <c r="I1863" s="1">
        <v>36.5</v>
      </c>
      <c r="J1863" s="1" t="s">
        <v>95</v>
      </c>
      <c r="M1863" s="1" t="s">
        <v>102</v>
      </c>
      <c r="O1863" s="1">
        <v>1</v>
      </c>
    </row>
    <row r="1864" spans="1:16" ht="14.25" customHeight="1" x14ac:dyDescent="0.3">
      <c r="A1864" s="1" t="s">
        <v>73</v>
      </c>
      <c r="B1864" s="1">
        <v>8</v>
      </c>
      <c r="C1864" s="1">
        <v>15</v>
      </c>
      <c r="D1864" s="1" t="str">
        <f t="shared" si="29"/>
        <v>Yes</v>
      </c>
      <c r="E1864" s="1">
        <v>5</v>
      </c>
      <c r="F1864" s="1">
        <v>127</v>
      </c>
      <c r="G1864" s="1" t="s">
        <v>93</v>
      </c>
      <c r="H1864" s="1" t="s">
        <v>95</v>
      </c>
      <c r="I1864" s="1">
        <v>34.9</v>
      </c>
      <c r="J1864" s="1" t="s">
        <v>95</v>
      </c>
      <c r="M1864" s="1" t="s">
        <v>102</v>
      </c>
      <c r="O1864" s="1">
        <v>1</v>
      </c>
    </row>
    <row r="1865" spans="1:16" ht="14.25" customHeight="1" x14ac:dyDescent="0.3">
      <c r="A1865" s="1" t="s">
        <v>73</v>
      </c>
      <c r="B1865" s="1">
        <v>8</v>
      </c>
      <c r="C1865" s="1">
        <v>24</v>
      </c>
      <c r="D1865" s="1" t="str">
        <f t="shared" si="29"/>
        <v>Yes</v>
      </c>
      <c r="E1865" s="1">
        <v>4.3</v>
      </c>
      <c r="F1865" s="1">
        <v>278</v>
      </c>
      <c r="G1865" s="1" t="s">
        <v>93</v>
      </c>
      <c r="H1865" s="1" t="s">
        <v>95</v>
      </c>
      <c r="I1865" s="1">
        <v>32.700000000000003</v>
      </c>
      <c r="J1865" s="1" t="s">
        <v>95</v>
      </c>
      <c r="M1865" s="1" t="s">
        <v>102</v>
      </c>
      <c r="O1865" s="1">
        <v>1</v>
      </c>
    </row>
    <row r="1866" spans="1:16" ht="14.25" customHeight="1" x14ac:dyDescent="0.3">
      <c r="A1866" s="1" t="s">
        <v>73</v>
      </c>
      <c r="B1866" s="1">
        <v>8</v>
      </c>
      <c r="C1866" s="1">
        <v>25</v>
      </c>
      <c r="D1866" s="1" t="str">
        <f t="shared" si="29"/>
        <v>Yes</v>
      </c>
      <c r="E1866" s="1">
        <v>10.3</v>
      </c>
      <c r="F1866" s="1">
        <v>306</v>
      </c>
      <c r="G1866" s="1" t="s">
        <v>93</v>
      </c>
      <c r="H1866" s="1" t="s">
        <v>95</v>
      </c>
      <c r="I1866" s="1">
        <v>31.7</v>
      </c>
      <c r="J1866" s="1" t="s">
        <v>95</v>
      </c>
      <c r="M1866" s="1" t="s">
        <v>102</v>
      </c>
      <c r="O1866" s="1">
        <v>1</v>
      </c>
    </row>
    <row r="1867" spans="1:16" ht="14.25" customHeight="1" x14ac:dyDescent="0.3">
      <c r="A1867" s="1" t="s">
        <v>73</v>
      </c>
      <c r="B1867" s="1">
        <v>8</v>
      </c>
      <c r="C1867" s="1">
        <v>21</v>
      </c>
      <c r="D1867" s="1" t="str">
        <f t="shared" si="29"/>
        <v>Yes</v>
      </c>
      <c r="E1867" s="1">
        <v>4.2</v>
      </c>
      <c r="F1867" s="1">
        <v>200</v>
      </c>
      <c r="G1867" s="1" t="s">
        <v>93</v>
      </c>
      <c r="H1867" s="1" t="s">
        <v>95</v>
      </c>
      <c r="I1867" s="1">
        <v>31.5</v>
      </c>
      <c r="J1867" s="1" t="s">
        <v>95</v>
      </c>
      <c r="M1867" s="1" t="s">
        <v>102</v>
      </c>
      <c r="O1867" s="1">
        <v>1</v>
      </c>
      <c r="P1867" s="1">
        <v>781</v>
      </c>
    </row>
    <row r="1868" spans="1:16" ht="14.25" customHeight="1" x14ac:dyDescent="0.3">
      <c r="A1868" s="1" t="s">
        <v>73</v>
      </c>
      <c r="B1868" s="1">
        <v>8</v>
      </c>
      <c r="C1868" s="1">
        <v>3</v>
      </c>
      <c r="D1868" s="1" t="str">
        <f t="shared" si="29"/>
        <v>Yes</v>
      </c>
      <c r="E1868" s="1">
        <v>8</v>
      </c>
      <c r="F1868" s="1">
        <v>34</v>
      </c>
      <c r="G1868" s="1" t="s">
        <v>93</v>
      </c>
      <c r="H1868" s="1" t="s">
        <v>95</v>
      </c>
      <c r="I1868" s="1">
        <v>27.9</v>
      </c>
      <c r="J1868" s="1" t="s">
        <v>95</v>
      </c>
      <c r="M1868" s="1" t="s">
        <v>102</v>
      </c>
      <c r="O1868" s="1">
        <v>1</v>
      </c>
    </row>
    <row r="1869" spans="1:16" ht="14.25" customHeight="1" x14ac:dyDescent="0.3">
      <c r="A1869" s="1" t="s">
        <v>73</v>
      </c>
      <c r="B1869" s="1">
        <v>8</v>
      </c>
      <c r="C1869" s="1">
        <v>1</v>
      </c>
      <c r="D1869" s="1" t="str">
        <f t="shared" si="29"/>
        <v>Yes</v>
      </c>
      <c r="E1869" s="1">
        <v>4.8</v>
      </c>
      <c r="F1869" s="1">
        <v>6</v>
      </c>
      <c r="G1869" s="1" t="s">
        <v>93</v>
      </c>
      <c r="H1869" s="1" t="s">
        <v>95</v>
      </c>
      <c r="I1869" s="1">
        <v>26</v>
      </c>
      <c r="J1869" s="1" t="s">
        <v>101</v>
      </c>
      <c r="M1869" s="1" t="s">
        <v>101</v>
      </c>
      <c r="O1869" s="1">
        <v>5</v>
      </c>
    </row>
    <row r="1870" spans="1:16" ht="14.25" customHeight="1" x14ac:dyDescent="0.3">
      <c r="A1870" s="1" t="s">
        <v>73</v>
      </c>
      <c r="B1870" s="1">
        <v>8</v>
      </c>
      <c r="C1870" s="1">
        <v>6</v>
      </c>
      <c r="D1870" s="1" t="str">
        <f t="shared" si="29"/>
        <v>Yes</v>
      </c>
      <c r="E1870" s="1">
        <v>7.4</v>
      </c>
      <c r="F1870" s="1">
        <v>68</v>
      </c>
      <c r="G1870" s="1" t="s">
        <v>93</v>
      </c>
      <c r="H1870" s="1" t="s">
        <v>95</v>
      </c>
      <c r="I1870" s="1">
        <v>23.3</v>
      </c>
      <c r="J1870" s="1" t="s">
        <v>95</v>
      </c>
      <c r="M1870" s="1" t="s">
        <v>102</v>
      </c>
      <c r="O1870" s="1">
        <v>2</v>
      </c>
    </row>
    <row r="1871" spans="1:16" ht="14.25" customHeight="1" x14ac:dyDescent="0.3">
      <c r="A1871" s="1" t="s">
        <v>73</v>
      </c>
      <c r="B1871" s="1">
        <v>8</v>
      </c>
      <c r="C1871" s="1">
        <v>11</v>
      </c>
      <c r="D1871" s="1" t="str">
        <f t="shared" si="29"/>
        <v>Yes</v>
      </c>
      <c r="E1871" s="1">
        <v>8.1999999999999993</v>
      </c>
      <c r="F1871" s="1">
        <v>78</v>
      </c>
      <c r="G1871" s="1" t="s">
        <v>93</v>
      </c>
      <c r="H1871" s="1" t="s">
        <v>95</v>
      </c>
      <c r="I1871" s="1">
        <v>20.2</v>
      </c>
      <c r="J1871" s="1" t="s">
        <v>95</v>
      </c>
      <c r="M1871" s="1" t="s">
        <v>102</v>
      </c>
      <c r="O1871" s="1">
        <v>2</v>
      </c>
    </row>
    <row r="1872" spans="1:16" ht="14.25" customHeight="1" x14ac:dyDescent="0.3">
      <c r="A1872" s="1" t="s">
        <v>73</v>
      </c>
      <c r="B1872" s="1">
        <v>8</v>
      </c>
      <c r="C1872" s="1">
        <v>5</v>
      </c>
      <c r="D1872" s="1" t="str">
        <f t="shared" si="29"/>
        <v>Yes</v>
      </c>
      <c r="E1872" s="1">
        <v>10</v>
      </c>
      <c r="F1872" s="1">
        <v>63</v>
      </c>
      <c r="G1872" s="1" t="s">
        <v>93</v>
      </c>
      <c r="H1872" s="1" t="s">
        <v>95</v>
      </c>
      <c r="I1872" s="1">
        <v>20</v>
      </c>
      <c r="J1872" s="1" t="s">
        <v>101</v>
      </c>
      <c r="M1872" s="1" t="s">
        <v>101</v>
      </c>
      <c r="O1872" s="1">
        <v>5</v>
      </c>
    </row>
    <row r="1873" spans="1:16" ht="14.25" customHeight="1" x14ac:dyDescent="0.3">
      <c r="A1873" s="1" t="s">
        <v>73</v>
      </c>
      <c r="B1873" s="1">
        <v>8</v>
      </c>
      <c r="C1873" s="1">
        <v>8</v>
      </c>
      <c r="D1873" s="1" t="str">
        <f t="shared" si="29"/>
        <v>Yes</v>
      </c>
      <c r="E1873" s="1">
        <v>7.1</v>
      </c>
      <c r="F1873" s="1">
        <v>68</v>
      </c>
      <c r="G1873" s="1" t="s">
        <v>93</v>
      </c>
      <c r="H1873" s="1" t="s">
        <v>95</v>
      </c>
      <c r="I1873" s="1">
        <v>20</v>
      </c>
      <c r="J1873" s="1" t="s">
        <v>101</v>
      </c>
      <c r="M1873" s="1" t="s">
        <v>101</v>
      </c>
      <c r="O1873" s="1">
        <v>5</v>
      </c>
    </row>
    <row r="1874" spans="1:16" ht="14.25" customHeight="1" x14ac:dyDescent="0.3">
      <c r="A1874" s="1" t="s">
        <v>73</v>
      </c>
      <c r="B1874" s="1">
        <v>8</v>
      </c>
      <c r="C1874" s="1">
        <v>14</v>
      </c>
      <c r="D1874" s="1" t="str">
        <f t="shared" si="29"/>
        <v>Yes</v>
      </c>
      <c r="E1874" s="1">
        <v>5.7</v>
      </c>
      <c r="F1874" s="1">
        <v>120</v>
      </c>
      <c r="G1874" s="1" t="s">
        <v>93</v>
      </c>
      <c r="H1874" s="1" t="s">
        <v>95</v>
      </c>
      <c r="I1874" s="1">
        <v>18.5</v>
      </c>
      <c r="J1874" s="1" t="s">
        <v>95</v>
      </c>
      <c r="M1874" s="1" t="s">
        <v>102</v>
      </c>
      <c r="O1874" s="1">
        <v>2</v>
      </c>
    </row>
    <row r="1875" spans="1:16" ht="14.25" customHeight="1" x14ac:dyDescent="0.3">
      <c r="A1875" s="1" t="s">
        <v>73</v>
      </c>
      <c r="B1875" s="1">
        <v>8</v>
      </c>
      <c r="C1875" s="1">
        <v>20</v>
      </c>
      <c r="D1875" s="1" t="str">
        <f t="shared" si="29"/>
        <v>Yes</v>
      </c>
      <c r="E1875" s="1">
        <v>12.3</v>
      </c>
      <c r="F1875" s="1">
        <v>177</v>
      </c>
      <c r="G1875" s="1" t="s">
        <v>93</v>
      </c>
      <c r="H1875" s="1" t="s">
        <v>95</v>
      </c>
      <c r="I1875" s="1">
        <v>16.600000000000001</v>
      </c>
      <c r="J1875" s="1" t="s">
        <v>95</v>
      </c>
      <c r="M1875" s="1" t="s">
        <v>101</v>
      </c>
      <c r="O1875" s="1">
        <v>2</v>
      </c>
    </row>
    <row r="1876" spans="1:16" ht="14.25" customHeight="1" x14ac:dyDescent="0.3">
      <c r="A1876" s="1" t="s">
        <v>73</v>
      </c>
      <c r="B1876" s="1">
        <v>8</v>
      </c>
      <c r="C1876" s="1">
        <v>7</v>
      </c>
      <c r="D1876" s="1" t="str">
        <f t="shared" si="29"/>
        <v>Yes</v>
      </c>
      <c r="E1876" s="1">
        <v>11.5</v>
      </c>
      <c r="F1876" s="1">
        <v>67</v>
      </c>
      <c r="G1876" s="1" t="s">
        <v>93</v>
      </c>
      <c r="H1876" s="1" t="s">
        <v>95</v>
      </c>
      <c r="I1876" s="1">
        <v>16</v>
      </c>
      <c r="J1876" s="1" t="s">
        <v>101</v>
      </c>
      <c r="M1876" s="1" t="s">
        <v>101</v>
      </c>
      <c r="O1876" s="1">
        <v>5</v>
      </c>
    </row>
    <row r="1877" spans="1:16" ht="14.25" customHeight="1" x14ac:dyDescent="0.3">
      <c r="A1877" s="1" t="s">
        <v>73</v>
      </c>
      <c r="B1877" s="1">
        <v>8</v>
      </c>
      <c r="C1877" s="1">
        <v>19</v>
      </c>
      <c r="D1877" s="1" t="str">
        <f t="shared" si="29"/>
        <v>Yes</v>
      </c>
      <c r="E1877" s="1">
        <v>5.4</v>
      </c>
      <c r="F1877" s="1">
        <v>195</v>
      </c>
      <c r="G1877" s="1" t="s">
        <v>93</v>
      </c>
      <c r="H1877" s="1" t="s">
        <v>95</v>
      </c>
      <c r="I1877" s="1">
        <v>15.8</v>
      </c>
      <c r="J1877" s="1" t="s">
        <v>95</v>
      </c>
      <c r="M1877" s="1" t="s">
        <v>101</v>
      </c>
      <c r="O1877" s="1">
        <v>2</v>
      </c>
    </row>
    <row r="1878" spans="1:16" ht="14.25" customHeight="1" x14ac:dyDescent="0.3">
      <c r="A1878" s="1" t="s">
        <v>73</v>
      </c>
      <c r="B1878" s="1">
        <v>8</v>
      </c>
      <c r="C1878" s="1">
        <v>12</v>
      </c>
      <c r="D1878" s="1" t="str">
        <f t="shared" si="29"/>
        <v>Yes</v>
      </c>
      <c r="E1878" s="1">
        <v>5.4</v>
      </c>
      <c r="F1878" s="1">
        <v>100</v>
      </c>
      <c r="G1878" s="1" t="s">
        <v>93</v>
      </c>
      <c r="H1878" s="1" t="s">
        <v>95</v>
      </c>
      <c r="I1878" s="1">
        <v>15.5</v>
      </c>
      <c r="J1878" s="1" t="s">
        <v>95</v>
      </c>
      <c r="M1878" s="1" t="s">
        <v>101</v>
      </c>
      <c r="O1878" s="1">
        <v>2</v>
      </c>
    </row>
    <row r="1879" spans="1:16" ht="14.25" customHeight="1" x14ac:dyDescent="0.3">
      <c r="A1879" s="1" t="s">
        <v>73</v>
      </c>
      <c r="B1879" s="1">
        <v>8</v>
      </c>
      <c r="C1879" s="1">
        <v>27</v>
      </c>
      <c r="D1879" s="1" t="str">
        <f t="shared" si="29"/>
        <v>Yes</v>
      </c>
      <c r="E1879" s="1">
        <v>8.3000000000000007</v>
      </c>
      <c r="F1879" s="1">
        <v>326</v>
      </c>
      <c r="G1879" s="1" t="s">
        <v>93</v>
      </c>
      <c r="H1879" s="1" t="s">
        <v>95</v>
      </c>
      <c r="I1879" s="1">
        <v>15.5</v>
      </c>
      <c r="J1879" s="1" t="s">
        <v>95</v>
      </c>
      <c r="M1879" s="1" t="s">
        <v>101</v>
      </c>
      <c r="O1879" s="1">
        <v>5</v>
      </c>
    </row>
    <row r="1880" spans="1:16" ht="14.25" customHeight="1" x14ac:dyDescent="0.3">
      <c r="A1880" s="1" t="s">
        <v>73</v>
      </c>
      <c r="B1880" s="1">
        <v>8</v>
      </c>
      <c r="C1880" s="1">
        <v>9</v>
      </c>
      <c r="D1880" s="1" t="str">
        <f t="shared" ref="D1880:D1943" si="30">IF(E1880&gt;12.5, "No", "Yes")</f>
        <v>Yes</v>
      </c>
      <c r="E1880" s="1">
        <v>7.1</v>
      </c>
      <c r="F1880" s="1">
        <v>72</v>
      </c>
      <c r="G1880" s="1" t="s">
        <v>93</v>
      </c>
      <c r="H1880" s="1" t="s">
        <v>95</v>
      </c>
      <c r="I1880" s="1">
        <v>15</v>
      </c>
      <c r="J1880" s="1" t="s">
        <v>101</v>
      </c>
      <c r="M1880" s="1" t="s">
        <v>101</v>
      </c>
      <c r="O1880" s="1">
        <v>5</v>
      </c>
    </row>
    <row r="1881" spans="1:16" ht="14.25" customHeight="1" x14ac:dyDescent="0.3">
      <c r="A1881" s="1" t="s">
        <v>73</v>
      </c>
      <c r="B1881" s="1">
        <v>8</v>
      </c>
      <c r="C1881" s="1">
        <v>23</v>
      </c>
      <c r="D1881" s="1" t="str">
        <f t="shared" si="30"/>
        <v>Yes</v>
      </c>
      <c r="E1881" s="1">
        <v>4.5</v>
      </c>
      <c r="F1881" s="1">
        <v>266</v>
      </c>
      <c r="G1881" s="1" t="s">
        <v>93</v>
      </c>
      <c r="H1881" s="1" t="s">
        <v>95</v>
      </c>
      <c r="I1881" s="1">
        <v>8.1999999999999993</v>
      </c>
      <c r="J1881" s="1" t="s">
        <v>95</v>
      </c>
      <c r="M1881" s="1" t="s">
        <v>101</v>
      </c>
      <c r="O1881" s="1">
        <v>2</v>
      </c>
    </row>
    <row r="1882" spans="1:16" ht="14.25" customHeight="1" x14ac:dyDescent="0.3">
      <c r="A1882" s="1" t="s">
        <v>73</v>
      </c>
      <c r="B1882" s="1">
        <v>8</v>
      </c>
      <c r="C1882" s="1">
        <v>10</v>
      </c>
      <c r="D1882" s="1" t="str">
        <f t="shared" si="30"/>
        <v>Yes</v>
      </c>
      <c r="E1882" s="1">
        <v>10.6</v>
      </c>
      <c r="F1882" s="1">
        <v>77</v>
      </c>
      <c r="G1882" s="1" t="s">
        <v>93</v>
      </c>
      <c r="H1882" s="1" t="s">
        <v>95</v>
      </c>
      <c r="I1882" s="1">
        <v>7.7</v>
      </c>
      <c r="J1882" s="1" t="s">
        <v>95</v>
      </c>
      <c r="M1882" s="1" t="s">
        <v>101</v>
      </c>
      <c r="O1882" s="1">
        <v>2</v>
      </c>
    </row>
    <row r="1883" spans="1:16" ht="14.25" customHeight="1" x14ac:dyDescent="0.3">
      <c r="A1883" s="1" t="s">
        <v>73</v>
      </c>
      <c r="B1883" s="1">
        <v>9</v>
      </c>
      <c r="C1883" s="1">
        <v>13</v>
      </c>
      <c r="D1883" s="1" t="str">
        <f t="shared" si="30"/>
        <v>Yes</v>
      </c>
      <c r="E1883" s="1">
        <v>8</v>
      </c>
      <c r="F1883" s="1">
        <v>175</v>
      </c>
      <c r="G1883" s="1" t="s">
        <v>109</v>
      </c>
      <c r="H1883" s="1" t="s">
        <v>95</v>
      </c>
      <c r="I1883" s="1">
        <v>61.9</v>
      </c>
      <c r="J1883" s="1" t="s">
        <v>95</v>
      </c>
      <c r="M1883" s="1" t="s">
        <v>102</v>
      </c>
      <c r="O1883" s="1">
        <v>1</v>
      </c>
      <c r="P1883" s="1">
        <v>787</v>
      </c>
    </row>
    <row r="1884" spans="1:16" ht="14.25" customHeight="1" x14ac:dyDescent="0.3">
      <c r="A1884" s="1" t="s">
        <v>73</v>
      </c>
      <c r="B1884" s="1">
        <v>9</v>
      </c>
      <c r="C1884" s="1">
        <v>6</v>
      </c>
      <c r="D1884" s="1" t="str">
        <f t="shared" si="30"/>
        <v>Yes</v>
      </c>
      <c r="E1884" s="1">
        <v>6.6</v>
      </c>
      <c r="F1884" s="1">
        <v>57</v>
      </c>
      <c r="G1884" s="1" t="s">
        <v>109</v>
      </c>
      <c r="H1884" s="1" t="s">
        <v>95</v>
      </c>
      <c r="I1884" s="1">
        <v>52.4</v>
      </c>
      <c r="J1884" s="1" t="s">
        <v>95</v>
      </c>
      <c r="M1884" s="1" t="s">
        <v>102</v>
      </c>
      <c r="O1884" s="1">
        <v>1</v>
      </c>
    </row>
    <row r="1885" spans="1:16" ht="14.25" customHeight="1" x14ac:dyDescent="0.3">
      <c r="A1885" s="1" t="s">
        <v>73</v>
      </c>
      <c r="B1885" s="1">
        <v>9</v>
      </c>
      <c r="C1885" s="1">
        <v>15</v>
      </c>
      <c r="D1885" s="1" t="str">
        <f t="shared" si="30"/>
        <v>Yes</v>
      </c>
      <c r="E1885" s="1">
        <v>8.4</v>
      </c>
      <c r="F1885" s="1">
        <v>270</v>
      </c>
      <c r="G1885" s="1" t="s">
        <v>106</v>
      </c>
      <c r="H1885" s="1" t="s">
        <v>95</v>
      </c>
      <c r="I1885" s="1">
        <v>120</v>
      </c>
      <c r="J1885" s="1" t="s">
        <v>101</v>
      </c>
      <c r="M1885" s="1" t="s">
        <v>102</v>
      </c>
      <c r="O1885" s="1">
        <v>5</v>
      </c>
    </row>
    <row r="1886" spans="1:16" ht="14.25" customHeight="1" x14ac:dyDescent="0.3">
      <c r="A1886" s="1" t="s">
        <v>73</v>
      </c>
      <c r="B1886" s="1">
        <v>9</v>
      </c>
      <c r="C1886" s="1">
        <v>4</v>
      </c>
      <c r="D1886" s="1" t="str">
        <f t="shared" si="30"/>
        <v>Yes</v>
      </c>
      <c r="E1886" s="1">
        <v>11.8</v>
      </c>
      <c r="F1886" s="1">
        <v>23</v>
      </c>
      <c r="G1886" s="1" t="s">
        <v>93</v>
      </c>
      <c r="H1886" s="1" t="s">
        <v>95</v>
      </c>
      <c r="I1886" s="1">
        <v>58.3</v>
      </c>
      <c r="J1886" s="1" t="s">
        <v>95</v>
      </c>
      <c r="M1886" s="1" t="s">
        <v>102</v>
      </c>
      <c r="O1886" s="1">
        <v>1</v>
      </c>
    </row>
    <row r="1887" spans="1:16" ht="14.25" customHeight="1" x14ac:dyDescent="0.3">
      <c r="A1887" s="1" t="s">
        <v>73</v>
      </c>
      <c r="B1887" s="1">
        <v>9</v>
      </c>
      <c r="C1887" s="1">
        <v>7</v>
      </c>
      <c r="D1887" s="1" t="str">
        <f t="shared" si="30"/>
        <v>Yes</v>
      </c>
      <c r="E1887" s="1">
        <v>9</v>
      </c>
      <c r="F1887" s="1">
        <v>84</v>
      </c>
      <c r="G1887" s="1" t="s">
        <v>93</v>
      </c>
      <c r="H1887" s="1" t="s">
        <v>95</v>
      </c>
      <c r="I1887" s="17">
        <v>49.8</v>
      </c>
      <c r="J1887" s="1" t="s">
        <v>95</v>
      </c>
      <c r="M1887" s="1" t="s">
        <v>102</v>
      </c>
      <c r="O1887" s="1">
        <v>1</v>
      </c>
    </row>
    <row r="1888" spans="1:16" ht="14.25" customHeight="1" x14ac:dyDescent="0.3">
      <c r="A1888" s="1" t="s">
        <v>73</v>
      </c>
      <c r="B1888" s="1">
        <v>9</v>
      </c>
      <c r="C1888" s="1">
        <v>5</v>
      </c>
      <c r="D1888" s="1" t="str">
        <f t="shared" si="30"/>
        <v>Yes</v>
      </c>
      <c r="E1888" s="1">
        <v>4</v>
      </c>
      <c r="F1888" s="1">
        <v>26</v>
      </c>
      <c r="G1888" s="1" t="s">
        <v>93</v>
      </c>
      <c r="H1888" s="1" t="s">
        <v>95</v>
      </c>
      <c r="I1888" s="1">
        <v>45.7</v>
      </c>
      <c r="J1888" s="1" t="s">
        <v>95</v>
      </c>
      <c r="M1888" s="1" t="s">
        <v>102</v>
      </c>
      <c r="O1888" s="1">
        <v>1</v>
      </c>
      <c r="P1888" s="1">
        <v>786</v>
      </c>
    </row>
    <row r="1889" spans="1:16" ht="14.25" customHeight="1" x14ac:dyDescent="0.3">
      <c r="A1889" s="1" t="s">
        <v>73</v>
      </c>
      <c r="B1889" s="1">
        <v>9</v>
      </c>
      <c r="C1889" s="1">
        <v>1</v>
      </c>
      <c r="D1889" s="1" t="str">
        <f t="shared" si="30"/>
        <v>Yes</v>
      </c>
      <c r="E1889" s="1">
        <v>10</v>
      </c>
      <c r="F1889" s="1">
        <v>2</v>
      </c>
      <c r="G1889" s="1" t="s">
        <v>93</v>
      </c>
      <c r="H1889" s="1" t="s">
        <v>95</v>
      </c>
      <c r="I1889" s="1">
        <v>29.2</v>
      </c>
      <c r="J1889" s="1" t="s">
        <v>95</v>
      </c>
      <c r="M1889" s="1" t="s">
        <v>102</v>
      </c>
      <c r="O1889" s="1">
        <v>1</v>
      </c>
    </row>
    <row r="1890" spans="1:16" ht="14.25" customHeight="1" x14ac:dyDescent="0.3">
      <c r="A1890" s="1" t="s">
        <v>73</v>
      </c>
      <c r="B1890" s="1">
        <v>9</v>
      </c>
      <c r="C1890" s="1">
        <v>16</v>
      </c>
      <c r="D1890" s="1" t="str">
        <f t="shared" si="30"/>
        <v>Yes</v>
      </c>
      <c r="E1890" s="1">
        <v>5.4</v>
      </c>
      <c r="F1890" s="1">
        <v>324</v>
      </c>
      <c r="G1890" s="1" t="s">
        <v>93</v>
      </c>
      <c r="H1890" s="1" t="s">
        <v>95</v>
      </c>
      <c r="I1890" s="1">
        <v>28</v>
      </c>
      <c r="J1890" s="1" t="s">
        <v>95</v>
      </c>
      <c r="M1890" s="1" t="s">
        <v>102</v>
      </c>
      <c r="O1890" s="1">
        <v>1</v>
      </c>
      <c r="P1890" s="1">
        <v>788</v>
      </c>
    </row>
    <row r="1891" spans="1:16" ht="14.25" customHeight="1" x14ac:dyDescent="0.3">
      <c r="A1891" s="1" t="s">
        <v>73</v>
      </c>
      <c r="B1891" s="1">
        <v>9</v>
      </c>
      <c r="C1891" s="1">
        <v>3</v>
      </c>
      <c r="D1891" s="1" t="str">
        <f t="shared" si="30"/>
        <v>Yes</v>
      </c>
      <c r="E1891" s="1">
        <v>11.2</v>
      </c>
      <c r="F1891" s="1">
        <v>19</v>
      </c>
      <c r="G1891" s="1" t="s">
        <v>93</v>
      </c>
      <c r="H1891" s="1" t="s">
        <v>95</v>
      </c>
      <c r="I1891" s="1">
        <v>27.6</v>
      </c>
      <c r="J1891" s="1" t="s">
        <v>95</v>
      </c>
      <c r="M1891" s="1" t="s">
        <v>101</v>
      </c>
      <c r="O1891" s="1">
        <v>5</v>
      </c>
    </row>
    <row r="1892" spans="1:16" ht="14.25" customHeight="1" x14ac:dyDescent="0.3">
      <c r="A1892" s="1" t="s">
        <v>73</v>
      </c>
      <c r="B1892" s="1">
        <v>9</v>
      </c>
      <c r="C1892" s="1">
        <v>8</v>
      </c>
      <c r="D1892" s="1" t="str">
        <f t="shared" si="30"/>
        <v>Yes</v>
      </c>
      <c r="E1892" s="1">
        <v>7.3</v>
      </c>
      <c r="F1892" s="1">
        <v>105</v>
      </c>
      <c r="G1892" s="1" t="s">
        <v>93</v>
      </c>
      <c r="H1892" s="1" t="s">
        <v>95</v>
      </c>
      <c r="I1892" s="1">
        <v>25.7</v>
      </c>
      <c r="J1892" s="1" t="s">
        <v>95</v>
      </c>
      <c r="M1892" s="1" t="s">
        <v>102</v>
      </c>
      <c r="O1892" s="1">
        <v>1</v>
      </c>
    </row>
    <row r="1893" spans="1:16" ht="14.25" customHeight="1" x14ac:dyDescent="0.3">
      <c r="A1893" s="1" t="s">
        <v>73</v>
      </c>
      <c r="B1893" s="1">
        <v>9</v>
      </c>
      <c r="C1893" s="1">
        <v>20</v>
      </c>
      <c r="D1893" s="1" t="str">
        <f t="shared" si="30"/>
        <v>Yes</v>
      </c>
      <c r="E1893" s="1">
        <v>11.3</v>
      </c>
      <c r="F1893" s="1">
        <v>313</v>
      </c>
      <c r="G1893" s="1" t="s">
        <v>93</v>
      </c>
      <c r="H1893" s="1" t="s">
        <v>95</v>
      </c>
      <c r="I1893" s="1">
        <v>24</v>
      </c>
      <c r="J1893" s="1" t="s">
        <v>95</v>
      </c>
      <c r="M1893" s="1" t="s">
        <v>102</v>
      </c>
      <c r="O1893" s="1">
        <v>1</v>
      </c>
    </row>
    <row r="1894" spans="1:16" ht="14.25" customHeight="1" x14ac:dyDescent="0.3">
      <c r="A1894" s="1" t="s">
        <v>73</v>
      </c>
      <c r="B1894" s="1">
        <v>9</v>
      </c>
      <c r="C1894" s="1">
        <v>9</v>
      </c>
      <c r="D1894" s="1" t="str">
        <f t="shared" si="30"/>
        <v>Yes</v>
      </c>
      <c r="E1894" s="1">
        <v>7.4</v>
      </c>
      <c r="F1894" s="1">
        <v>120</v>
      </c>
      <c r="G1894" s="1" t="s">
        <v>93</v>
      </c>
      <c r="H1894" s="1" t="s">
        <v>95</v>
      </c>
      <c r="I1894" s="1">
        <v>20.2</v>
      </c>
      <c r="J1894" s="1" t="s">
        <v>95</v>
      </c>
      <c r="M1894" s="1" t="s">
        <v>102</v>
      </c>
      <c r="O1894" s="1">
        <v>1</v>
      </c>
    </row>
    <row r="1895" spans="1:16" ht="14.25" customHeight="1" x14ac:dyDescent="0.3">
      <c r="A1895" s="1" t="s">
        <v>73</v>
      </c>
      <c r="B1895" s="1">
        <v>9</v>
      </c>
      <c r="C1895" s="1">
        <v>17</v>
      </c>
      <c r="D1895" s="1" t="str">
        <f t="shared" si="30"/>
        <v>Yes</v>
      </c>
      <c r="E1895" s="1">
        <v>6.5</v>
      </c>
      <c r="F1895" s="1">
        <v>320</v>
      </c>
      <c r="G1895" s="1" t="s">
        <v>93</v>
      </c>
      <c r="H1895" s="1" t="s">
        <v>95</v>
      </c>
      <c r="I1895" s="1">
        <v>18.5</v>
      </c>
      <c r="J1895" s="1" t="s">
        <v>95</v>
      </c>
      <c r="M1895" s="1" t="s">
        <v>101</v>
      </c>
      <c r="O1895" s="1">
        <v>1</v>
      </c>
    </row>
    <row r="1896" spans="1:16" ht="14.25" customHeight="1" x14ac:dyDescent="0.3">
      <c r="A1896" s="1" t="s">
        <v>73</v>
      </c>
      <c r="B1896" s="1">
        <v>9</v>
      </c>
      <c r="C1896" s="1">
        <v>14</v>
      </c>
      <c r="D1896" s="1" t="str">
        <f t="shared" si="30"/>
        <v>Yes</v>
      </c>
      <c r="E1896" s="1">
        <v>6.4</v>
      </c>
      <c r="F1896" s="1">
        <v>181</v>
      </c>
      <c r="G1896" s="1" t="s">
        <v>93</v>
      </c>
      <c r="H1896" s="1" t="s">
        <v>95</v>
      </c>
      <c r="I1896" s="1">
        <v>17.399999999999999</v>
      </c>
      <c r="J1896" s="1" t="s">
        <v>95</v>
      </c>
      <c r="M1896" s="1" t="s">
        <v>101</v>
      </c>
      <c r="O1896" s="1">
        <v>1</v>
      </c>
    </row>
    <row r="1897" spans="1:16" ht="14.25" customHeight="1" x14ac:dyDescent="0.3">
      <c r="A1897" s="1" t="s">
        <v>73</v>
      </c>
      <c r="B1897" s="1">
        <v>9</v>
      </c>
      <c r="C1897" s="1">
        <v>2</v>
      </c>
      <c r="D1897" s="1" t="str">
        <f t="shared" si="30"/>
        <v>Yes</v>
      </c>
      <c r="E1897" s="1">
        <v>10.5</v>
      </c>
      <c r="F1897" s="1">
        <v>17</v>
      </c>
      <c r="G1897" s="1" t="s">
        <v>93</v>
      </c>
      <c r="H1897" s="1" t="s">
        <v>95</v>
      </c>
      <c r="I1897" s="1">
        <v>17</v>
      </c>
      <c r="J1897" s="1" t="s">
        <v>95</v>
      </c>
      <c r="M1897" s="1" t="s">
        <v>101</v>
      </c>
      <c r="O1897" s="1">
        <v>5</v>
      </c>
    </row>
    <row r="1898" spans="1:16" ht="14.25" customHeight="1" x14ac:dyDescent="0.3">
      <c r="A1898" s="1" t="s">
        <v>73</v>
      </c>
      <c r="B1898" s="1">
        <v>9</v>
      </c>
      <c r="C1898" s="1">
        <v>18</v>
      </c>
      <c r="D1898" s="1" t="str">
        <f t="shared" si="30"/>
        <v>Yes</v>
      </c>
      <c r="E1898" s="1">
        <v>7.6</v>
      </c>
      <c r="F1898" s="1">
        <v>340</v>
      </c>
      <c r="G1898" s="1" t="s">
        <v>93</v>
      </c>
      <c r="H1898" s="1" t="s">
        <v>95</v>
      </c>
      <c r="I1898" s="1">
        <v>16.600000000000001</v>
      </c>
      <c r="J1898" s="1" t="s">
        <v>95</v>
      </c>
      <c r="M1898" s="1" t="s">
        <v>101</v>
      </c>
      <c r="O1898" s="1">
        <v>1</v>
      </c>
    </row>
    <row r="1899" spans="1:16" ht="14.25" customHeight="1" x14ac:dyDescent="0.3">
      <c r="A1899" s="1" t="s">
        <v>73</v>
      </c>
      <c r="B1899" s="1">
        <v>9</v>
      </c>
      <c r="C1899" s="1">
        <v>11</v>
      </c>
      <c r="D1899" s="1" t="str">
        <f t="shared" si="30"/>
        <v>Yes</v>
      </c>
      <c r="E1899" s="1">
        <v>9.4</v>
      </c>
      <c r="F1899" s="1">
        <v>131</v>
      </c>
      <c r="G1899" s="1" t="s">
        <v>93</v>
      </c>
      <c r="H1899" s="1" t="s">
        <v>95</v>
      </c>
      <c r="I1899" s="1">
        <v>12.8</v>
      </c>
      <c r="J1899" s="1" t="s">
        <v>95</v>
      </c>
      <c r="M1899" s="1" t="s">
        <v>101</v>
      </c>
      <c r="O1899" s="1">
        <v>1</v>
      </c>
    </row>
    <row r="1900" spans="1:16" ht="14.25" customHeight="1" x14ac:dyDescent="0.3">
      <c r="A1900" s="1" t="s">
        <v>73</v>
      </c>
      <c r="B1900" s="1">
        <v>9</v>
      </c>
      <c r="C1900" s="1">
        <v>19</v>
      </c>
      <c r="D1900" s="1" t="str">
        <f t="shared" si="30"/>
        <v>Yes</v>
      </c>
      <c r="E1900" s="1">
        <v>12.2</v>
      </c>
      <c r="F1900" s="1">
        <v>299</v>
      </c>
      <c r="G1900" s="1" t="s">
        <v>93</v>
      </c>
      <c r="H1900" s="1" t="s">
        <v>95</v>
      </c>
      <c r="I1900" s="1">
        <v>12.8</v>
      </c>
      <c r="J1900" s="1" t="s">
        <v>95</v>
      </c>
      <c r="M1900" s="1" t="s">
        <v>101</v>
      </c>
      <c r="O1900" s="1">
        <v>1</v>
      </c>
    </row>
    <row r="1901" spans="1:16" ht="14.25" customHeight="1" x14ac:dyDescent="0.3">
      <c r="A1901" s="1" t="s">
        <v>73</v>
      </c>
      <c r="B1901" s="1">
        <v>9</v>
      </c>
      <c r="C1901" s="1">
        <v>10</v>
      </c>
      <c r="D1901" s="1" t="str">
        <f t="shared" si="30"/>
        <v>Yes</v>
      </c>
      <c r="E1901" s="1">
        <v>8</v>
      </c>
      <c r="F1901" s="1">
        <v>128</v>
      </c>
      <c r="G1901" s="1" t="s">
        <v>93</v>
      </c>
      <c r="H1901" s="1" t="s">
        <v>95</v>
      </c>
      <c r="I1901" s="1">
        <v>10</v>
      </c>
      <c r="J1901" s="1" t="s">
        <v>101</v>
      </c>
      <c r="M1901" s="1" t="s">
        <v>101</v>
      </c>
      <c r="O1901" s="1">
        <v>5</v>
      </c>
    </row>
    <row r="1902" spans="1:16" ht="14.25" customHeight="1" x14ac:dyDescent="0.3">
      <c r="A1902" s="1" t="s">
        <v>73</v>
      </c>
      <c r="B1902" s="1">
        <v>9</v>
      </c>
      <c r="C1902" s="1">
        <v>12</v>
      </c>
      <c r="D1902" s="1" t="str">
        <f t="shared" si="30"/>
        <v>Yes</v>
      </c>
      <c r="E1902" s="1">
        <v>10.9</v>
      </c>
      <c r="F1902" s="1">
        <v>139</v>
      </c>
      <c r="G1902" s="1" t="s">
        <v>93</v>
      </c>
      <c r="H1902" s="1" t="s">
        <v>95</v>
      </c>
      <c r="I1902" s="1">
        <v>9.8000000000000007</v>
      </c>
      <c r="J1902" s="1" t="s">
        <v>95</v>
      </c>
      <c r="M1902" s="1" t="s">
        <v>101</v>
      </c>
      <c r="O1902" s="1">
        <v>1</v>
      </c>
    </row>
    <row r="1903" spans="1:16" ht="14.25" customHeight="1" x14ac:dyDescent="0.3">
      <c r="A1903" s="1" t="s">
        <v>73</v>
      </c>
      <c r="B1903" s="1">
        <v>10</v>
      </c>
      <c r="C1903" s="1">
        <v>24</v>
      </c>
      <c r="D1903" s="1" t="str">
        <f t="shared" si="30"/>
        <v>Yes</v>
      </c>
      <c r="E1903" s="1">
        <v>4.7</v>
      </c>
      <c r="F1903" s="1">
        <v>290</v>
      </c>
      <c r="G1903" s="1" t="s">
        <v>96</v>
      </c>
      <c r="H1903" s="1" t="s">
        <v>95</v>
      </c>
      <c r="I1903" s="1">
        <v>320</v>
      </c>
      <c r="J1903" s="1" t="s">
        <v>101</v>
      </c>
      <c r="M1903" s="1" t="s">
        <v>95</v>
      </c>
      <c r="O1903" s="1">
        <v>5</v>
      </c>
    </row>
    <row r="1904" spans="1:16" ht="14.25" customHeight="1" x14ac:dyDescent="0.3">
      <c r="A1904" s="1" t="s">
        <v>73</v>
      </c>
      <c r="B1904" s="1">
        <v>10</v>
      </c>
      <c r="C1904" s="1">
        <v>9</v>
      </c>
      <c r="D1904" s="1" t="str">
        <f t="shared" si="30"/>
        <v>Yes</v>
      </c>
      <c r="E1904" s="1">
        <v>8.6999999999999993</v>
      </c>
      <c r="F1904" s="1">
        <v>69</v>
      </c>
      <c r="G1904" s="1" t="s">
        <v>184</v>
      </c>
      <c r="H1904" s="1" t="s">
        <v>95</v>
      </c>
      <c r="I1904" s="1">
        <v>10.4</v>
      </c>
      <c r="J1904" s="1" t="s">
        <v>95</v>
      </c>
      <c r="M1904" s="1" t="s">
        <v>101</v>
      </c>
      <c r="O1904" s="1">
        <v>1</v>
      </c>
    </row>
    <row r="1905" spans="1:18" ht="14.25" customHeight="1" x14ac:dyDescent="0.3">
      <c r="A1905" s="1" t="s">
        <v>73</v>
      </c>
      <c r="B1905" s="1">
        <v>10</v>
      </c>
      <c r="C1905" s="1">
        <v>8</v>
      </c>
      <c r="D1905" s="1" t="str">
        <f t="shared" si="30"/>
        <v>Yes</v>
      </c>
      <c r="E1905" s="1">
        <v>6.9</v>
      </c>
      <c r="F1905" s="1">
        <v>57</v>
      </c>
      <c r="G1905" s="1" t="s">
        <v>173</v>
      </c>
      <c r="H1905" s="1" t="s">
        <v>95</v>
      </c>
      <c r="I1905" s="1">
        <v>13.2</v>
      </c>
      <c r="J1905" s="1" t="s">
        <v>95</v>
      </c>
      <c r="M1905" s="1" t="s">
        <v>101</v>
      </c>
      <c r="O1905" s="1">
        <v>1</v>
      </c>
    </row>
    <row r="1906" spans="1:18" ht="14.25" customHeight="1" x14ac:dyDescent="0.3">
      <c r="A1906" s="1" t="s">
        <v>73</v>
      </c>
      <c r="B1906" s="17">
        <v>10</v>
      </c>
      <c r="C1906" s="17">
        <v>7</v>
      </c>
      <c r="D1906" s="1" t="str">
        <f t="shared" si="30"/>
        <v>Yes</v>
      </c>
      <c r="E1906" s="17">
        <v>7.3</v>
      </c>
      <c r="F1906" s="17">
        <v>61</v>
      </c>
      <c r="G1906" s="17" t="s">
        <v>173</v>
      </c>
      <c r="H1906" s="17" t="s">
        <v>95</v>
      </c>
      <c r="I1906" s="17">
        <v>11.6</v>
      </c>
      <c r="J1906" s="17" t="s">
        <v>95</v>
      </c>
      <c r="K1906" s="20"/>
      <c r="L1906" s="20"/>
      <c r="M1906" s="17" t="s">
        <v>101</v>
      </c>
      <c r="N1906" s="20"/>
      <c r="O1906" s="17">
        <v>1</v>
      </c>
      <c r="P1906" s="20"/>
      <c r="Q1906" s="20"/>
      <c r="R1906" s="20"/>
    </row>
    <row r="1907" spans="1:18" ht="14.25" customHeight="1" x14ac:dyDescent="0.3">
      <c r="A1907" s="1" t="s">
        <v>73</v>
      </c>
      <c r="B1907" s="17">
        <v>10</v>
      </c>
      <c r="C1907" s="17">
        <v>23</v>
      </c>
      <c r="D1907" s="1" t="str">
        <f t="shared" si="30"/>
        <v>Yes</v>
      </c>
      <c r="E1907" s="17">
        <v>11.2</v>
      </c>
      <c r="F1907" s="17">
        <v>288</v>
      </c>
      <c r="G1907" s="17" t="s">
        <v>106</v>
      </c>
      <c r="H1907" s="17" t="s">
        <v>95</v>
      </c>
      <c r="I1907" s="17">
        <v>83.2</v>
      </c>
      <c r="J1907" s="17" t="s">
        <v>95</v>
      </c>
      <c r="K1907" s="20"/>
      <c r="L1907" s="20"/>
      <c r="M1907" s="17" t="s">
        <v>102</v>
      </c>
      <c r="N1907" s="20"/>
      <c r="O1907" s="17">
        <v>5</v>
      </c>
      <c r="P1907" s="20"/>
      <c r="Q1907" s="20"/>
      <c r="R1907" s="20"/>
    </row>
    <row r="1908" spans="1:18" ht="14.25" customHeight="1" x14ac:dyDescent="0.3">
      <c r="A1908" s="1" t="s">
        <v>73</v>
      </c>
      <c r="B1908" s="1">
        <v>10</v>
      </c>
      <c r="C1908" s="1">
        <v>22</v>
      </c>
      <c r="D1908" s="1" t="str">
        <f t="shared" si="30"/>
        <v>Yes</v>
      </c>
      <c r="E1908" s="1">
        <v>11.5</v>
      </c>
      <c r="F1908" s="1">
        <v>282</v>
      </c>
      <c r="G1908" s="1" t="s">
        <v>106</v>
      </c>
      <c r="H1908" s="1" t="s">
        <v>95</v>
      </c>
      <c r="I1908" s="1">
        <v>15.3</v>
      </c>
      <c r="J1908" s="1" t="s">
        <v>95</v>
      </c>
      <c r="M1908" s="1" t="s">
        <v>102</v>
      </c>
      <c r="O1908" s="1">
        <v>1</v>
      </c>
    </row>
    <row r="1909" spans="1:18" ht="14.25" customHeight="1" x14ac:dyDescent="0.3">
      <c r="A1909" s="1" t="s">
        <v>73</v>
      </c>
      <c r="B1909" s="1">
        <v>10</v>
      </c>
      <c r="C1909" s="1">
        <v>11</v>
      </c>
      <c r="D1909" s="1" t="str">
        <f t="shared" si="30"/>
        <v>Yes</v>
      </c>
      <c r="E1909" s="1">
        <v>11.4</v>
      </c>
      <c r="F1909" s="1">
        <v>94</v>
      </c>
      <c r="G1909" s="1" t="s">
        <v>106</v>
      </c>
      <c r="H1909" s="1" t="s">
        <v>95</v>
      </c>
      <c r="I1909" s="1">
        <v>14.1</v>
      </c>
      <c r="J1909" s="1" t="s">
        <v>95</v>
      </c>
      <c r="M1909" s="1" t="s">
        <v>101</v>
      </c>
      <c r="O1909" s="1">
        <v>1</v>
      </c>
      <c r="P1909" s="1">
        <v>790</v>
      </c>
    </row>
    <row r="1910" spans="1:18" ht="14.25" customHeight="1" x14ac:dyDescent="0.3">
      <c r="A1910" s="1" t="s">
        <v>73</v>
      </c>
      <c r="B1910" s="1">
        <v>10</v>
      </c>
      <c r="C1910" s="1">
        <v>20</v>
      </c>
      <c r="D1910" s="1" t="str">
        <f t="shared" si="30"/>
        <v>Yes</v>
      </c>
      <c r="E1910" s="1">
        <v>8.1999999999999993</v>
      </c>
      <c r="F1910" s="1">
        <v>257</v>
      </c>
      <c r="G1910" s="1" t="s">
        <v>93</v>
      </c>
      <c r="H1910" s="1" t="s">
        <v>95</v>
      </c>
      <c r="I1910" s="1">
        <v>39.9</v>
      </c>
      <c r="J1910" s="1" t="s">
        <v>95</v>
      </c>
      <c r="M1910" s="1" t="s">
        <v>102</v>
      </c>
      <c r="O1910" s="1">
        <v>1</v>
      </c>
    </row>
    <row r="1911" spans="1:18" ht="14.25" customHeight="1" x14ac:dyDescent="0.3">
      <c r="A1911" s="1" t="s">
        <v>73</v>
      </c>
      <c r="B1911" s="1">
        <v>10</v>
      </c>
      <c r="C1911" s="1">
        <v>4</v>
      </c>
      <c r="D1911" s="1" t="str">
        <f t="shared" si="30"/>
        <v>Yes</v>
      </c>
      <c r="E1911" s="1">
        <v>12</v>
      </c>
      <c r="F1911" s="1">
        <v>17</v>
      </c>
      <c r="G1911" s="1" t="s">
        <v>93</v>
      </c>
      <c r="H1911" s="1" t="s">
        <v>95</v>
      </c>
      <c r="I1911" s="1">
        <v>36</v>
      </c>
      <c r="J1911" s="1" t="s">
        <v>95</v>
      </c>
      <c r="M1911" s="1" t="s">
        <v>102</v>
      </c>
      <c r="O1911" s="1">
        <v>1</v>
      </c>
    </row>
    <row r="1912" spans="1:18" ht="14.25" customHeight="1" x14ac:dyDescent="0.3">
      <c r="A1912" s="1" t="s">
        <v>73</v>
      </c>
      <c r="B1912" s="1">
        <v>10</v>
      </c>
      <c r="C1912" s="1">
        <v>21</v>
      </c>
      <c r="D1912" s="1" t="str">
        <f t="shared" si="30"/>
        <v>Yes</v>
      </c>
      <c r="E1912" s="1">
        <v>10.6</v>
      </c>
      <c r="F1912" s="1">
        <v>262</v>
      </c>
      <c r="G1912" s="1" t="s">
        <v>93</v>
      </c>
      <c r="H1912" s="1" t="s">
        <v>95</v>
      </c>
      <c r="I1912" s="1">
        <v>35.4</v>
      </c>
      <c r="J1912" s="1" t="s">
        <v>95</v>
      </c>
      <c r="M1912" s="1" t="s">
        <v>102</v>
      </c>
      <c r="O1912" s="1">
        <v>1</v>
      </c>
    </row>
    <row r="1913" spans="1:18" ht="14.25" customHeight="1" x14ac:dyDescent="0.3">
      <c r="A1913" s="1" t="s">
        <v>73</v>
      </c>
      <c r="B1913" s="1">
        <v>10</v>
      </c>
      <c r="C1913" s="1">
        <v>5</v>
      </c>
      <c r="D1913" s="1" t="str">
        <f t="shared" si="30"/>
        <v>Yes</v>
      </c>
      <c r="E1913" s="1">
        <v>9.6</v>
      </c>
      <c r="F1913" s="1">
        <v>36</v>
      </c>
      <c r="G1913" s="1" t="s">
        <v>93</v>
      </c>
      <c r="H1913" s="1" t="s">
        <v>95</v>
      </c>
      <c r="I1913" s="1">
        <v>31.1</v>
      </c>
      <c r="J1913" s="1" t="s">
        <v>95</v>
      </c>
      <c r="M1913" s="1" t="s">
        <v>102</v>
      </c>
      <c r="O1913" s="1">
        <v>1</v>
      </c>
    </row>
    <row r="1914" spans="1:18" ht="14.25" customHeight="1" x14ac:dyDescent="0.3">
      <c r="A1914" s="1" t="s">
        <v>73</v>
      </c>
      <c r="B1914" s="1">
        <v>10</v>
      </c>
      <c r="C1914" s="1">
        <v>10</v>
      </c>
      <c r="D1914" s="1" t="str">
        <f t="shared" si="30"/>
        <v>Yes</v>
      </c>
      <c r="E1914" s="1">
        <v>1.7</v>
      </c>
      <c r="F1914" s="1">
        <v>32</v>
      </c>
      <c r="G1914" s="1" t="s">
        <v>93</v>
      </c>
      <c r="H1914" s="1" t="s">
        <v>95</v>
      </c>
      <c r="I1914" s="1">
        <v>20.7</v>
      </c>
      <c r="J1914" s="1" t="s">
        <v>95</v>
      </c>
      <c r="M1914" s="1" t="s">
        <v>101</v>
      </c>
      <c r="O1914" s="1">
        <v>1</v>
      </c>
    </row>
    <row r="1915" spans="1:18" ht="14.25" customHeight="1" x14ac:dyDescent="0.3">
      <c r="A1915" s="1" t="s">
        <v>73</v>
      </c>
      <c r="B1915" s="1">
        <v>10</v>
      </c>
      <c r="C1915" s="1">
        <v>25</v>
      </c>
      <c r="D1915" s="1" t="str">
        <f t="shared" si="30"/>
        <v>Yes</v>
      </c>
      <c r="E1915" s="1">
        <v>10.8</v>
      </c>
      <c r="F1915" s="1">
        <v>358</v>
      </c>
      <c r="G1915" s="1" t="s">
        <v>93</v>
      </c>
      <c r="H1915" s="1" t="s">
        <v>95</v>
      </c>
      <c r="I1915" s="1">
        <v>18.5</v>
      </c>
      <c r="J1915" s="1" t="s">
        <v>95</v>
      </c>
      <c r="M1915" s="1" t="s">
        <v>101</v>
      </c>
      <c r="O1915" s="1">
        <v>1</v>
      </c>
    </row>
    <row r="1916" spans="1:18" ht="14.25" customHeight="1" x14ac:dyDescent="0.3">
      <c r="A1916" s="1" t="s">
        <v>73</v>
      </c>
      <c r="B1916" s="1">
        <v>10</v>
      </c>
      <c r="C1916" s="1">
        <v>3</v>
      </c>
      <c r="D1916" s="1" t="str">
        <f t="shared" si="30"/>
        <v>Yes</v>
      </c>
      <c r="E1916" s="1">
        <v>9.1</v>
      </c>
      <c r="F1916" s="1">
        <v>23</v>
      </c>
      <c r="G1916" s="1" t="s">
        <v>93</v>
      </c>
      <c r="H1916" s="1" t="s">
        <v>95</v>
      </c>
      <c r="I1916" s="1">
        <v>12.8</v>
      </c>
      <c r="J1916" s="1" t="s">
        <v>95</v>
      </c>
      <c r="M1916" s="1" t="s">
        <v>101</v>
      </c>
      <c r="O1916" s="1">
        <v>1</v>
      </c>
    </row>
    <row r="1917" spans="1:18" ht="14.25" customHeight="1" x14ac:dyDescent="0.3">
      <c r="A1917" s="1" t="s">
        <v>73</v>
      </c>
      <c r="B1917" s="1">
        <v>10</v>
      </c>
      <c r="C1917" s="1">
        <v>14</v>
      </c>
      <c r="D1917" s="1" t="str">
        <f t="shared" si="30"/>
        <v>Yes</v>
      </c>
      <c r="E1917" s="1">
        <v>9.1999999999999993</v>
      </c>
      <c r="F1917" s="1">
        <v>171</v>
      </c>
      <c r="G1917" s="1" t="s">
        <v>93</v>
      </c>
      <c r="H1917" s="1" t="s">
        <v>95</v>
      </c>
      <c r="I1917" s="1">
        <v>11.9</v>
      </c>
      <c r="J1917" s="1" t="s">
        <v>95</v>
      </c>
      <c r="M1917" s="1" t="s">
        <v>101</v>
      </c>
      <c r="O1917" s="1">
        <v>1</v>
      </c>
    </row>
    <row r="1918" spans="1:18" ht="14.25" customHeight="1" x14ac:dyDescent="0.3">
      <c r="A1918" s="1" t="s">
        <v>73</v>
      </c>
      <c r="B1918" s="1">
        <v>10</v>
      </c>
      <c r="C1918" s="1">
        <v>2</v>
      </c>
      <c r="D1918" s="1" t="str">
        <f t="shared" si="30"/>
        <v>Yes</v>
      </c>
      <c r="E1918" s="1">
        <v>10.199999999999999</v>
      </c>
      <c r="F1918" s="1">
        <v>3</v>
      </c>
      <c r="G1918" s="1" t="s">
        <v>93</v>
      </c>
      <c r="H1918" s="1" t="s">
        <v>95</v>
      </c>
      <c r="I1918" s="1">
        <v>11.5</v>
      </c>
      <c r="J1918" s="1" t="s">
        <v>95</v>
      </c>
      <c r="M1918" s="1" t="s">
        <v>101</v>
      </c>
      <c r="O1918" s="1">
        <v>1</v>
      </c>
    </row>
    <row r="1919" spans="1:18" ht="14.25" customHeight="1" x14ac:dyDescent="0.3">
      <c r="A1919" s="1" t="s">
        <v>73</v>
      </c>
      <c r="B1919" s="1">
        <v>10</v>
      </c>
      <c r="C1919" s="1">
        <v>15</v>
      </c>
      <c r="D1919" s="1" t="str">
        <f t="shared" si="30"/>
        <v>Yes</v>
      </c>
      <c r="E1919" s="1">
        <v>8.9</v>
      </c>
      <c r="F1919" s="1">
        <v>208</v>
      </c>
      <c r="G1919" s="1" t="s">
        <v>93</v>
      </c>
      <c r="H1919" s="1" t="s">
        <v>95</v>
      </c>
      <c r="I1919" s="1">
        <v>8.9</v>
      </c>
      <c r="J1919" s="1" t="s">
        <v>95</v>
      </c>
      <c r="M1919" s="1" t="s">
        <v>101</v>
      </c>
      <c r="O1919" s="1">
        <v>1</v>
      </c>
    </row>
    <row r="1920" spans="1:18" ht="14.25" customHeight="1" x14ac:dyDescent="0.3">
      <c r="A1920" s="1" t="s">
        <v>73</v>
      </c>
      <c r="B1920" s="1">
        <v>10</v>
      </c>
      <c r="C1920" s="1">
        <v>16</v>
      </c>
      <c r="D1920" s="1" t="str">
        <f t="shared" si="30"/>
        <v>Yes</v>
      </c>
      <c r="E1920" s="1">
        <v>11.3</v>
      </c>
      <c r="F1920" s="1">
        <v>212</v>
      </c>
      <c r="G1920" s="1" t="s">
        <v>93</v>
      </c>
      <c r="H1920" s="1" t="s">
        <v>95</v>
      </c>
      <c r="I1920" s="1">
        <v>7.7</v>
      </c>
      <c r="J1920" s="1" t="s">
        <v>95</v>
      </c>
      <c r="M1920" s="1" t="s">
        <v>101</v>
      </c>
      <c r="O1920" s="1">
        <v>1</v>
      </c>
    </row>
    <row r="1921" spans="1:16" ht="14.25" customHeight="1" x14ac:dyDescent="0.3">
      <c r="A1921" s="1" t="s">
        <v>73</v>
      </c>
      <c r="B1921" s="1">
        <v>10</v>
      </c>
      <c r="C1921" s="1">
        <v>1</v>
      </c>
      <c r="D1921" s="1" t="str">
        <f t="shared" si="30"/>
        <v>Yes</v>
      </c>
      <c r="E1921" s="1">
        <v>7.5</v>
      </c>
      <c r="F1921" s="1">
        <v>12</v>
      </c>
      <c r="G1921" s="1" t="s">
        <v>106</v>
      </c>
      <c r="H1921" s="1" t="s">
        <v>94</v>
      </c>
      <c r="I1921" s="1">
        <v>79.400000000000006</v>
      </c>
      <c r="J1921" s="1" t="s">
        <v>95</v>
      </c>
      <c r="K1921" s="1">
        <v>5</v>
      </c>
      <c r="L1921" s="1">
        <v>5</v>
      </c>
      <c r="M1921" s="1" t="s">
        <v>102</v>
      </c>
      <c r="P1921" s="1">
        <v>789</v>
      </c>
    </row>
    <row r="1922" spans="1:16" ht="14.25" customHeight="1" x14ac:dyDescent="0.3">
      <c r="A1922" s="1" t="s">
        <v>73</v>
      </c>
      <c r="B1922" s="1">
        <v>10</v>
      </c>
      <c r="C1922" s="1">
        <v>18</v>
      </c>
      <c r="D1922" s="1" t="str">
        <f t="shared" si="30"/>
        <v>Yes</v>
      </c>
      <c r="E1922" s="1">
        <v>2.5</v>
      </c>
      <c r="F1922" s="1">
        <v>238</v>
      </c>
      <c r="G1922" s="1" t="s">
        <v>106</v>
      </c>
      <c r="H1922" s="1" t="s">
        <v>94</v>
      </c>
      <c r="I1922" s="1">
        <v>62.5</v>
      </c>
      <c r="J1922" s="1" t="s">
        <v>95</v>
      </c>
      <c r="K1922" s="1">
        <v>1</v>
      </c>
      <c r="L1922" s="1">
        <v>1</v>
      </c>
      <c r="M1922" s="1" t="s">
        <v>102</v>
      </c>
      <c r="N1922" s="1" t="s">
        <v>100</v>
      </c>
      <c r="P1922" s="1">
        <v>791</v>
      </c>
    </row>
    <row r="1923" spans="1:16" ht="14.25" customHeight="1" x14ac:dyDescent="0.3">
      <c r="A1923" s="1" t="s">
        <v>73</v>
      </c>
      <c r="B1923" s="1">
        <v>10</v>
      </c>
      <c r="C1923" s="1">
        <v>17</v>
      </c>
      <c r="D1923" s="1" t="str">
        <f t="shared" si="30"/>
        <v>Yes</v>
      </c>
      <c r="E1923" s="1">
        <v>6.2</v>
      </c>
      <c r="F1923" s="1">
        <v>221</v>
      </c>
      <c r="G1923" s="1" t="s">
        <v>106</v>
      </c>
      <c r="H1923" s="1" t="s">
        <v>94</v>
      </c>
      <c r="I1923" s="1">
        <v>57.8</v>
      </c>
      <c r="J1923" s="1" t="s">
        <v>95</v>
      </c>
      <c r="K1923" s="1">
        <v>5</v>
      </c>
      <c r="L1923" s="1">
        <v>30</v>
      </c>
      <c r="M1923" s="1" t="s">
        <v>102</v>
      </c>
    </row>
    <row r="1924" spans="1:16" ht="14.25" customHeight="1" x14ac:dyDescent="0.3">
      <c r="A1924" s="1" t="s">
        <v>73</v>
      </c>
      <c r="B1924" s="1">
        <v>10</v>
      </c>
      <c r="C1924" s="1">
        <v>12</v>
      </c>
      <c r="D1924" s="1" t="str">
        <f t="shared" si="30"/>
        <v>Yes</v>
      </c>
      <c r="E1924" s="1">
        <v>8</v>
      </c>
      <c r="F1924" s="1">
        <v>139</v>
      </c>
      <c r="G1924" s="1" t="s">
        <v>106</v>
      </c>
      <c r="H1924" s="1" t="s">
        <v>94</v>
      </c>
      <c r="I1924" s="1">
        <v>25.8</v>
      </c>
      <c r="J1924" s="1" t="s">
        <v>95</v>
      </c>
      <c r="K1924" s="1">
        <v>1</v>
      </c>
      <c r="L1924" s="1">
        <v>20</v>
      </c>
      <c r="M1924" s="1" t="s">
        <v>102</v>
      </c>
    </row>
    <row r="1925" spans="1:16" ht="14.25" customHeight="1" x14ac:dyDescent="0.3">
      <c r="A1925" s="1" t="s">
        <v>73</v>
      </c>
      <c r="B1925" s="1">
        <v>10</v>
      </c>
      <c r="C1925" s="1">
        <v>19</v>
      </c>
      <c r="D1925" s="1" t="str">
        <f t="shared" si="30"/>
        <v>Yes</v>
      </c>
      <c r="E1925" s="1">
        <v>9.9</v>
      </c>
      <c r="F1925" s="1">
        <v>220</v>
      </c>
      <c r="G1925" s="1" t="s">
        <v>93</v>
      </c>
      <c r="H1925" s="1" t="s">
        <v>94</v>
      </c>
      <c r="I1925" s="1">
        <v>50.9</v>
      </c>
      <c r="J1925" s="1" t="s">
        <v>95</v>
      </c>
      <c r="K1925" s="1">
        <v>0</v>
      </c>
      <c r="L1925" s="1">
        <v>15</v>
      </c>
      <c r="M1925" s="1" t="s">
        <v>102</v>
      </c>
    </row>
    <row r="1926" spans="1:16" ht="14.25" customHeight="1" x14ac:dyDescent="0.3">
      <c r="A1926" s="1" t="s">
        <v>73</v>
      </c>
      <c r="B1926" s="1">
        <v>10</v>
      </c>
      <c r="C1926" s="1">
        <v>13</v>
      </c>
      <c r="D1926" s="1" t="str">
        <f t="shared" si="30"/>
        <v>Yes</v>
      </c>
      <c r="E1926" s="1">
        <v>8.1999999999999993</v>
      </c>
      <c r="F1926" s="1">
        <v>157</v>
      </c>
      <c r="G1926" s="1" t="s">
        <v>93</v>
      </c>
      <c r="H1926" s="1" t="s">
        <v>94</v>
      </c>
      <c r="I1926" s="1">
        <v>36</v>
      </c>
      <c r="J1926" s="1" t="s">
        <v>95</v>
      </c>
      <c r="M1926" s="1" t="s">
        <v>102</v>
      </c>
      <c r="O1926" s="1">
        <v>1</v>
      </c>
    </row>
    <row r="1927" spans="1:16" ht="14.25" customHeight="1" x14ac:dyDescent="0.3">
      <c r="A1927" s="1" t="s">
        <v>73</v>
      </c>
      <c r="B1927" s="1">
        <v>10</v>
      </c>
      <c r="C1927" s="1">
        <v>6</v>
      </c>
      <c r="D1927" s="1" t="str">
        <f t="shared" si="30"/>
        <v>Yes</v>
      </c>
      <c r="E1927" s="1">
        <v>10.199999999999999</v>
      </c>
      <c r="F1927" s="1">
        <v>62</v>
      </c>
      <c r="G1927" s="1" t="s">
        <v>93</v>
      </c>
      <c r="H1927" s="1" t="s">
        <v>94</v>
      </c>
      <c r="I1927" s="1">
        <v>35.200000000000003</v>
      </c>
      <c r="J1927" s="1" t="s">
        <v>95</v>
      </c>
      <c r="K1927" s="1">
        <v>1</v>
      </c>
      <c r="L1927" s="1">
        <v>20</v>
      </c>
      <c r="M1927" s="1" t="s">
        <v>102</v>
      </c>
      <c r="N1927" s="1" t="s">
        <v>100</v>
      </c>
    </row>
    <row r="1928" spans="1:16" ht="14.25" customHeight="1" x14ac:dyDescent="0.3">
      <c r="A1928" s="1" t="s">
        <v>73</v>
      </c>
      <c r="B1928" s="1">
        <v>13</v>
      </c>
      <c r="C1928" s="1">
        <v>8</v>
      </c>
      <c r="D1928" s="1" t="str">
        <f t="shared" si="30"/>
        <v>No</v>
      </c>
      <c r="E1928" s="1">
        <v>15.9</v>
      </c>
      <c r="F1928" s="1">
        <v>228</v>
      </c>
      <c r="G1928" s="66" t="s">
        <v>93</v>
      </c>
      <c r="H1928" s="1" t="s">
        <v>95</v>
      </c>
      <c r="I1928" s="1">
        <v>98.1</v>
      </c>
      <c r="J1928" s="1" t="s">
        <v>95</v>
      </c>
      <c r="M1928" s="1" t="s">
        <v>102</v>
      </c>
      <c r="O1928" s="1">
        <v>1</v>
      </c>
      <c r="P1928" s="1">
        <v>852</v>
      </c>
    </row>
    <row r="1929" spans="1:16" ht="14.25" customHeight="1" x14ac:dyDescent="0.3">
      <c r="A1929" s="1" t="s">
        <v>73</v>
      </c>
      <c r="B1929" s="1">
        <v>13</v>
      </c>
      <c r="C1929" s="1">
        <v>4</v>
      </c>
      <c r="D1929" s="1" t="str">
        <f t="shared" si="30"/>
        <v>No</v>
      </c>
      <c r="E1929" s="1">
        <v>14.7</v>
      </c>
      <c r="F1929" s="1">
        <v>133</v>
      </c>
      <c r="G1929" s="1" t="s">
        <v>96</v>
      </c>
      <c r="H1929" s="1" t="s">
        <v>94</v>
      </c>
      <c r="I1929" s="1">
        <v>120</v>
      </c>
      <c r="J1929" s="1" t="s">
        <v>95</v>
      </c>
      <c r="K1929" s="1">
        <v>0</v>
      </c>
      <c r="L1929" s="1">
        <v>15</v>
      </c>
      <c r="M1929" s="1" t="s">
        <v>95</v>
      </c>
      <c r="N1929" s="1" t="s">
        <v>100</v>
      </c>
      <c r="P1929" s="1">
        <v>853</v>
      </c>
    </row>
    <row r="1930" spans="1:16" ht="14.25" customHeight="1" x14ac:dyDescent="0.3">
      <c r="A1930" s="1" t="s">
        <v>73</v>
      </c>
      <c r="B1930" s="1">
        <v>13</v>
      </c>
      <c r="C1930" s="1">
        <v>10</v>
      </c>
      <c r="D1930" s="1" t="str">
        <f t="shared" si="30"/>
        <v>No</v>
      </c>
      <c r="E1930" s="1">
        <v>19</v>
      </c>
      <c r="F1930" s="1">
        <v>34</v>
      </c>
      <c r="G1930" s="1" t="s">
        <v>96</v>
      </c>
      <c r="H1930" s="1" t="s">
        <v>94</v>
      </c>
      <c r="I1930" s="1">
        <v>92</v>
      </c>
      <c r="J1930" s="1" t="s">
        <v>95</v>
      </c>
      <c r="K1930" s="1">
        <v>0</v>
      </c>
      <c r="L1930" s="1">
        <v>15</v>
      </c>
      <c r="M1930" s="1" t="s">
        <v>102</v>
      </c>
      <c r="N1930" s="1" t="s">
        <v>100</v>
      </c>
      <c r="P1930" s="1">
        <v>851</v>
      </c>
    </row>
    <row r="1931" spans="1:16" ht="14.25" customHeight="1" x14ac:dyDescent="0.3">
      <c r="A1931" s="1" t="s">
        <v>73</v>
      </c>
      <c r="B1931" s="1">
        <v>13</v>
      </c>
      <c r="C1931" s="1">
        <v>5</v>
      </c>
      <c r="D1931" s="1" t="str">
        <f t="shared" si="30"/>
        <v>Yes</v>
      </c>
      <c r="E1931" s="1">
        <v>4.8</v>
      </c>
      <c r="F1931" s="1">
        <v>149</v>
      </c>
      <c r="G1931" s="1" t="s">
        <v>93</v>
      </c>
      <c r="H1931" s="1" t="s">
        <v>95</v>
      </c>
      <c r="I1931" s="19">
        <v>117.7</v>
      </c>
      <c r="J1931" s="1" t="s">
        <v>95</v>
      </c>
      <c r="M1931" s="1" t="s">
        <v>102</v>
      </c>
      <c r="O1931" s="1">
        <v>1</v>
      </c>
    </row>
    <row r="1932" spans="1:16" ht="14.25" customHeight="1" x14ac:dyDescent="0.3">
      <c r="A1932" s="1" t="s">
        <v>73</v>
      </c>
      <c r="B1932" s="1">
        <v>13</v>
      </c>
      <c r="C1932" s="1">
        <v>1</v>
      </c>
      <c r="D1932" s="1" t="str">
        <f t="shared" si="30"/>
        <v>Yes</v>
      </c>
      <c r="E1932" s="1">
        <v>7.5</v>
      </c>
      <c r="F1932" s="1">
        <v>32</v>
      </c>
      <c r="G1932" s="1" t="s">
        <v>93</v>
      </c>
      <c r="H1932" s="1" t="s">
        <v>95</v>
      </c>
      <c r="I1932" s="1">
        <v>89.3</v>
      </c>
      <c r="J1932" s="1" t="s">
        <v>95</v>
      </c>
      <c r="M1932" s="1" t="s">
        <v>102</v>
      </c>
      <c r="O1932" s="1">
        <v>5</v>
      </c>
    </row>
    <row r="1933" spans="1:16" ht="14.25" customHeight="1" x14ac:dyDescent="0.3">
      <c r="A1933" s="1" t="s">
        <v>73</v>
      </c>
      <c r="B1933" s="1">
        <v>13</v>
      </c>
      <c r="C1933" s="1">
        <v>2</v>
      </c>
      <c r="D1933" s="1" t="str">
        <f t="shared" si="30"/>
        <v>Yes</v>
      </c>
      <c r="E1933" s="1">
        <v>9.5</v>
      </c>
      <c r="F1933" s="1">
        <v>45</v>
      </c>
      <c r="G1933" s="1" t="s">
        <v>93</v>
      </c>
      <c r="H1933" s="1" t="s">
        <v>95</v>
      </c>
      <c r="I1933" s="1">
        <v>85</v>
      </c>
      <c r="J1933" s="1" t="s">
        <v>101</v>
      </c>
      <c r="M1933" s="1" t="s">
        <v>101</v>
      </c>
      <c r="O1933" s="1">
        <v>5</v>
      </c>
    </row>
    <row r="1934" spans="1:16" ht="14.25" customHeight="1" x14ac:dyDescent="0.3">
      <c r="A1934" s="1" t="s">
        <v>73</v>
      </c>
      <c r="B1934" s="1">
        <v>13</v>
      </c>
      <c r="C1934" s="1">
        <v>9</v>
      </c>
      <c r="D1934" s="1" t="str">
        <f t="shared" si="30"/>
        <v>Yes</v>
      </c>
      <c r="E1934" s="1">
        <v>12.4</v>
      </c>
      <c r="F1934" s="1">
        <v>330</v>
      </c>
      <c r="G1934" s="1" t="s">
        <v>93</v>
      </c>
      <c r="H1934" s="1" t="s">
        <v>95</v>
      </c>
      <c r="I1934" s="1">
        <v>78.400000000000006</v>
      </c>
      <c r="J1934" s="1" t="s">
        <v>95</v>
      </c>
      <c r="M1934" s="1" t="s">
        <v>101</v>
      </c>
      <c r="O1934" s="1">
        <v>5</v>
      </c>
    </row>
    <row r="1935" spans="1:16" ht="14.25" customHeight="1" x14ac:dyDescent="0.3">
      <c r="A1935" s="1" t="s">
        <v>73</v>
      </c>
      <c r="B1935" s="1">
        <v>13</v>
      </c>
      <c r="C1935" s="1">
        <v>6</v>
      </c>
      <c r="D1935" s="1" t="str">
        <f t="shared" si="30"/>
        <v>Yes</v>
      </c>
      <c r="E1935" s="1">
        <v>10.8</v>
      </c>
      <c r="F1935" s="1">
        <v>187</v>
      </c>
      <c r="G1935" s="1" t="s">
        <v>93</v>
      </c>
      <c r="H1935" s="1" t="s">
        <v>95</v>
      </c>
      <c r="I1935" s="1">
        <v>70.7</v>
      </c>
      <c r="J1935" s="1" t="s">
        <v>95</v>
      </c>
      <c r="M1935" s="1" t="s">
        <v>102</v>
      </c>
      <c r="O1935" s="1">
        <v>1</v>
      </c>
    </row>
    <row r="1936" spans="1:16" ht="14.25" customHeight="1" x14ac:dyDescent="0.3">
      <c r="A1936" s="1" t="s">
        <v>73</v>
      </c>
      <c r="B1936" s="1">
        <v>13</v>
      </c>
      <c r="C1936" s="1">
        <v>3</v>
      </c>
      <c r="D1936" s="1" t="str">
        <f t="shared" si="30"/>
        <v>Yes</v>
      </c>
      <c r="E1936" s="1">
        <v>6.2</v>
      </c>
      <c r="F1936" s="1">
        <v>87</v>
      </c>
      <c r="G1936" s="1" t="s">
        <v>93</v>
      </c>
      <c r="H1936" s="1" t="s">
        <v>95</v>
      </c>
      <c r="I1936" s="1">
        <v>51.9</v>
      </c>
      <c r="J1936" s="1" t="s">
        <v>95</v>
      </c>
      <c r="M1936" s="1" t="s">
        <v>102</v>
      </c>
      <c r="O1936" s="1">
        <v>1</v>
      </c>
    </row>
    <row r="1937" spans="1:18" ht="14.25" customHeight="1" x14ac:dyDescent="0.3">
      <c r="A1937" s="1" t="s">
        <v>73</v>
      </c>
      <c r="B1937" s="1">
        <v>13</v>
      </c>
      <c r="C1937" s="1">
        <v>7</v>
      </c>
      <c r="D1937" s="1" t="str">
        <f t="shared" si="30"/>
        <v>Yes</v>
      </c>
      <c r="E1937" s="1">
        <v>10.8</v>
      </c>
      <c r="F1937" s="1">
        <v>190</v>
      </c>
      <c r="G1937" s="1" t="s">
        <v>93</v>
      </c>
      <c r="H1937" s="1" t="s">
        <v>95</v>
      </c>
      <c r="I1937" s="1">
        <v>43.9</v>
      </c>
      <c r="J1937" s="1" t="s">
        <v>101</v>
      </c>
      <c r="M1937" s="1" t="s">
        <v>101</v>
      </c>
      <c r="O1937" s="1">
        <v>5</v>
      </c>
    </row>
    <row r="1938" spans="1:18" ht="14.25" customHeight="1" x14ac:dyDescent="0.3">
      <c r="A1938" s="1" t="s">
        <v>73</v>
      </c>
      <c r="B1938" s="1">
        <v>19</v>
      </c>
      <c r="C1938" s="1">
        <v>20</v>
      </c>
      <c r="D1938" s="1" t="str">
        <f t="shared" si="30"/>
        <v>Yes</v>
      </c>
      <c r="E1938" s="1">
        <v>4</v>
      </c>
      <c r="F1938" s="1">
        <v>263</v>
      </c>
      <c r="G1938" s="1" t="s">
        <v>96</v>
      </c>
      <c r="H1938" s="1" t="s">
        <v>95</v>
      </c>
      <c r="I1938" s="1">
        <v>10.6</v>
      </c>
      <c r="J1938" s="1" t="s">
        <v>95</v>
      </c>
      <c r="M1938" s="1" t="s">
        <v>101</v>
      </c>
      <c r="O1938" s="1">
        <v>3</v>
      </c>
      <c r="R1938" s="1"/>
    </row>
    <row r="1939" spans="1:18" ht="14.25" customHeight="1" x14ac:dyDescent="0.3">
      <c r="A1939" s="1" t="s">
        <v>73</v>
      </c>
      <c r="B1939" s="1">
        <v>19</v>
      </c>
      <c r="C1939" s="1">
        <v>24</v>
      </c>
      <c r="D1939" s="1" t="str">
        <f t="shared" si="30"/>
        <v>Yes</v>
      </c>
      <c r="E1939" s="1">
        <v>6.6</v>
      </c>
      <c r="F1939" s="1">
        <v>331</v>
      </c>
      <c r="G1939" s="1" t="s">
        <v>98</v>
      </c>
      <c r="H1939" s="1" t="s">
        <v>95</v>
      </c>
      <c r="I1939" s="1">
        <v>23</v>
      </c>
      <c r="J1939" s="1" t="s">
        <v>95</v>
      </c>
      <c r="M1939" s="1" t="s">
        <v>102</v>
      </c>
      <c r="O1939" s="1">
        <v>5</v>
      </c>
      <c r="Q1939" s="1" t="s">
        <v>162</v>
      </c>
    </row>
    <row r="1940" spans="1:18" ht="14.25" customHeight="1" x14ac:dyDescent="0.3">
      <c r="A1940" s="1" t="s">
        <v>73</v>
      </c>
      <c r="B1940" s="1">
        <v>19</v>
      </c>
      <c r="C1940" s="1">
        <v>17</v>
      </c>
      <c r="D1940" s="1" t="str">
        <f t="shared" si="30"/>
        <v>Yes</v>
      </c>
      <c r="E1940" s="1">
        <v>10.6</v>
      </c>
      <c r="F1940" s="1">
        <v>259</v>
      </c>
      <c r="G1940" s="1" t="s">
        <v>184</v>
      </c>
      <c r="H1940" s="1" t="s">
        <v>95</v>
      </c>
      <c r="I1940" s="1">
        <v>16</v>
      </c>
      <c r="J1940" s="1" t="s">
        <v>101</v>
      </c>
      <c r="M1940" s="1" t="s">
        <v>102</v>
      </c>
      <c r="O1940" s="1">
        <v>5</v>
      </c>
      <c r="Q1940" s="1" t="s">
        <v>191</v>
      </c>
    </row>
    <row r="1941" spans="1:18" ht="14.25" customHeight="1" x14ac:dyDescent="0.3">
      <c r="A1941" s="1" t="s">
        <v>73</v>
      </c>
      <c r="B1941" s="1">
        <v>19</v>
      </c>
      <c r="C1941" s="1">
        <v>9</v>
      </c>
      <c r="D1941" s="1" t="str">
        <f t="shared" si="30"/>
        <v>Yes</v>
      </c>
      <c r="E1941" s="1">
        <v>10.5</v>
      </c>
      <c r="F1941" s="1">
        <v>199</v>
      </c>
      <c r="G1941" s="1" t="s">
        <v>106</v>
      </c>
      <c r="H1941" s="1" t="s">
        <v>95</v>
      </c>
      <c r="I1941" s="1">
        <v>46.5</v>
      </c>
      <c r="J1941" s="1" t="s">
        <v>95</v>
      </c>
      <c r="M1941" s="1" t="s">
        <v>102</v>
      </c>
      <c r="O1941" s="1">
        <v>1</v>
      </c>
    </row>
    <row r="1942" spans="1:18" ht="14.25" customHeight="1" x14ac:dyDescent="0.3">
      <c r="A1942" s="1" t="s">
        <v>73</v>
      </c>
      <c r="B1942" s="1">
        <v>19</v>
      </c>
      <c r="C1942" s="1">
        <v>3</v>
      </c>
      <c r="D1942" s="1" t="str">
        <f t="shared" si="30"/>
        <v>Yes</v>
      </c>
      <c r="E1942" s="1">
        <v>7.5</v>
      </c>
      <c r="F1942" s="1">
        <v>64</v>
      </c>
      <c r="G1942" s="1" t="s">
        <v>106</v>
      </c>
      <c r="H1942" s="1" t="s">
        <v>95</v>
      </c>
      <c r="I1942" s="1">
        <v>33.4</v>
      </c>
      <c r="J1942" s="1" t="s">
        <v>95</v>
      </c>
      <c r="M1942" s="1" t="s">
        <v>102</v>
      </c>
      <c r="O1942" s="1">
        <v>1</v>
      </c>
      <c r="P1942" s="1">
        <v>842</v>
      </c>
    </row>
    <row r="1943" spans="1:18" ht="14.25" customHeight="1" x14ac:dyDescent="0.3">
      <c r="A1943" s="1" t="s">
        <v>73</v>
      </c>
      <c r="B1943" s="1">
        <v>19</v>
      </c>
      <c r="C1943" s="1">
        <v>16</v>
      </c>
      <c r="D1943" s="1" t="str">
        <f t="shared" si="30"/>
        <v>Yes</v>
      </c>
      <c r="E1943" s="1">
        <v>9</v>
      </c>
      <c r="F1943" s="1">
        <v>250</v>
      </c>
      <c r="G1943" s="1" t="s">
        <v>106</v>
      </c>
      <c r="H1943" s="1" t="s">
        <v>95</v>
      </c>
      <c r="I1943" s="1">
        <v>30.6</v>
      </c>
      <c r="J1943" s="1" t="s">
        <v>95</v>
      </c>
      <c r="M1943" s="1" t="s">
        <v>102</v>
      </c>
      <c r="O1943" s="1">
        <v>1</v>
      </c>
    </row>
    <row r="1944" spans="1:18" ht="14.25" customHeight="1" x14ac:dyDescent="0.3">
      <c r="A1944" s="1" t="s">
        <v>73</v>
      </c>
      <c r="B1944" s="1">
        <v>19</v>
      </c>
      <c r="C1944" s="1">
        <v>14</v>
      </c>
      <c r="D1944" s="1" t="str">
        <f t="shared" ref="D1944:D2007" si="31">IF(E1944&gt;12.5, "No", "Yes")</f>
        <v>Yes</v>
      </c>
      <c r="E1944" s="1">
        <v>11.8</v>
      </c>
      <c r="F1944" s="1">
        <v>231</v>
      </c>
      <c r="G1944" s="1" t="s">
        <v>106</v>
      </c>
      <c r="H1944" s="1" t="s">
        <v>95</v>
      </c>
      <c r="I1944" s="1">
        <v>21.4</v>
      </c>
      <c r="J1944" s="1" t="s">
        <v>95</v>
      </c>
      <c r="M1944" s="1" t="s">
        <v>101</v>
      </c>
      <c r="O1944" s="1">
        <v>1</v>
      </c>
      <c r="R1944" s="1"/>
    </row>
    <row r="1945" spans="1:18" ht="14.25" customHeight="1" x14ac:dyDescent="0.3">
      <c r="A1945" s="1" t="s">
        <v>73</v>
      </c>
      <c r="B1945" s="1">
        <v>19</v>
      </c>
      <c r="C1945" s="1">
        <v>8</v>
      </c>
      <c r="D1945" s="1" t="str">
        <f t="shared" si="31"/>
        <v>Yes</v>
      </c>
      <c r="E1945" s="1">
        <v>9</v>
      </c>
      <c r="F1945" s="1">
        <v>183</v>
      </c>
      <c r="G1945" s="1" t="s">
        <v>106</v>
      </c>
      <c r="H1945" s="1" t="s">
        <v>95</v>
      </c>
      <c r="I1945" s="1">
        <v>21.1</v>
      </c>
      <c r="J1945" s="1" t="s">
        <v>95</v>
      </c>
      <c r="M1945" s="1" t="s">
        <v>101</v>
      </c>
      <c r="O1945" s="1">
        <v>1</v>
      </c>
    </row>
    <row r="1946" spans="1:18" ht="14.25" customHeight="1" x14ac:dyDescent="0.3">
      <c r="A1946" s="1" t="s">
        <v>73</v>
      </c>
      <c r="B1946" s="1">
        <v>19</v>
      </c>
      <c r="C1946" s="1">
        <v>12</v>
      </c>
      <c r="D1946" s="1" t="str">
        <f t="shared" si="31"/>
        <v>Yes</v>
      </c>
      <c r="E1946" s="1">
        <v>5.0999999999999996</v>
      </c>
      <c r="F1946" s="1">
        <v>205</v>
      </c>
      <c r="G1946" s="1" t="s">
        <v>106</v>
      </c>
      <c r="H1946" s="1" t="s">
        <v>95</v>
      </c>
      <c r="I1946" s="1">
        <v>21</v>
      </c>
      <c r="J1946" s="1" t="s">
        <v>95</v>
      </c>
      <c r="M1946" s="1" t="s">
        <v>101</v>
      </c>
      <c r="O1946" s="1">
        <v>1</v>
      </c>
    </row>
    <row r="1947" spans="1:18" ht="14.25" customHeight="1" x14ac:dyDescent="0.3">
      <c r="A1947" s="1" t="s">
        <v>73</v>
      </c>
      <c r="B1947" s="1">
        <v>19</v>
      </c>
      <c r="C1947" s="1">
        <v>19</v>
      </c>
      <c r="D1947" s="1" t="str">
        <f t="shared" si="31"/>
        <v>Yes</v>
      </c>
      <c r="E1947" s="1">
        <v>12.5</v>
      </c>
      <c r="F1947" s="1">
        <v>265</v>
      </c>
      <c r="G1947" s="1" t="s">
        <v>106</v>
      </c>
      <c r="H1947" s="1" t="s">
        <v>95</v>
      </c>
      <c r="I1947" s="1">
        <v>17.5</v>
      </c>
      <c r="J1947" s="1" t="s">
        <v>95</v>
      </c>
      <c r="M1947" s="1" t="s">
        <v>101</v>
      </c>
      <c r="O1947" s="1">
        <v>1</v>
      </c>
    </row>
    <row r="1948" spans="1:18" ht="14.25" customHeight="1" x14ac:dyDescent="0.3">
      <c r="A1948" s="1" t="s">
        <v>73</v>
      </c>
      <c r="B1948" s="1">
        <v>19</v>
      </c>
      <c r="C1948" s="1">
        <v>13</v>
      </c>
      <c r="D1948" s="1" t="str">
        <f t="shared" si="31"/>
        <v>Yes</v>
      </c>
      <c r="E1948" s="1">
        <v>12.4</v>
      </c>
      <c r="F1948" s="1">
        <v>202</v>
      </c>
      <c r="G1948" s="1" t="s">
        <v>106</v>
      </c>
      <c r="H1948" s="1" t="s">
        <v>95</v>
      </c>
      <c r="I1948" s="1">
        <v>10.9</v>
      </c>
      <c r="J1948" s="1" t="s">
        <v>95</v>
      </c>
      <c r="M1948" s="1" t="s">
        <v>101</v>
      </c>
      <c r="O1948" s="1">
        <v>1</v>
      </c>
    </row>
    <row r="1949" spans="1:18" ht="14.25" customHeight="1" x14ac:dyDescent="0.3">
      <c r="A1949" s="1" t="s">
        <v>73</v>
      </c>
      <c r="B1949" s="1">
        <v>19</v>
      </c>
      <c r="C1949" s="1">
        <v>4</v>
      </c>
      <c r="D1949" s="1" t="str">
        <f t="shared" si="31"/>
        <v>Yes</v>
      </c>
      <c r="E1949" s="1">
        <v>9.6999999999999993</v>
      </c>
      <c r="F1949" s="1">
        <v>79</v>
      </c>
      <c r="G1949" s="1" t="s">
        <v>93</v>
      </c>
      <c r="H1949" s="1" t="s">
        <v>95</v>
      </c>
      <c r="I1949" s="1">
        <v>58.3</v>
      </c>
      <c r="J1949" s="1" t="s">
        <v>95</v>
      </c>
      <c r="M1949" s="1" t="s">
        <v>97</v>
      </c>
      <c r="O1949" s="1">
        <v>1</v>
      </c>
      <c r="R1949" s="1"/>
    </row>
    <row r="1950" spans="1:18" ht="14.25" customHeight="1" x14ac:dyDescent="0.3">
      <c r="A1950" s="1" t="s">
        <v>73</v>
      </c>
      <c r="B1950" s="1">
        <v>19</v>
      </c>
      <c r="C1950" s="1">
        <v>25</v>
      </c>
      <c r="D1950" s="1" t="str">
        <f t="shared" si="31"/>
        <v>Yes</v>
      </c>
      <c r="E1950" s="1">
        <v>7.6</v>
      </c>
      <c r="F1950" s="1">
        <v>339</v>
      </c>
      <c r="G1950" s="1" t="s">
        <v>93</v>
      </c>
      <c r="H1950" s="1" t="s">
        <v>95</v>
      </c>
      <c r="I1950" s="1">
        <v>56.8</v>
      </c>
      <c r="J1950" s="1" t="s">
        <v>95</v>
      </c>
      <c r="M1950" s="1" t="s">
        <v>97</v>
      </c>
      <c r="O1950" s="1">
        <v>5</v>
      </c>
    </row>
    <row r="1951" spans="1:18" ht="14.25" customHeight="1" x14ac:dyDescent="0.3">
      <c r="A1951" s="1" t="s">
        <v>73</v>
      </c>
      <c r="B1951" s="1">
        <v>19</v>
      </c>
      <c r="C1951" s="1">
        <v>15</v>
      </c>
      <c r="D1951" s="1" t="str">
        <f t="shared" si="31"/>
        <v>Yes</v>
      </c>
      <c r="E1951" s="1">
        <v>7.3</v>
      </c>
      <c r="F1951" s="1">
        <v>245</v>
      </c>
      <c r="G1951" s="1" t="s">
        <v>93</v>
      </c>
      <c r="H1951" s="1" t="s">
        <v>95</v>
      </c>
      <c r="I1951" s="1">
        <v>56.6</v>
      </c>
      <c r="J1951" s="1" t="s">
        <v>95</v>
      </c>
      <c r="M1951" s="1" t="s">
        <v>102</v>
      </c>
      <c r="O1951" s="1">
        <v>5</v>
      </c>
    </row>
    <row r="1952" spans="1:18" ht="14.25" customHeight="1" x14ac:dyDescent="0.3">
      <c r="A1952" s="1" t="s">
        <v>73</v>
      </c>
      <c r="B1952" s="1">
        <v>19</v>
      </c>
      <c r="C1952" s="1">
        <v>11</v>
      </c>
      <c r="D1952" s="1" t="str">
        <f t="shared" si="31"/>
        <v>Yes</v>
      </c>
      <c r="E1952" s="1">
        <v>3.4</v>
      </c>
      <c r="F1952" s="1">
        <v>188</v>
      </c>
      <c r="G1952" s="1" t="s">
        <v>93</v>
      </c>
      <c r="H1952" s="1" t="s">
        <v>95</v>
      </c>
      <c r="I1952" s="1">
        <v>51.2</v>
      </c>
      <c r="J1952" s="1" t="s">
        <v>95</v>
      </c>
      <c r="M1952" s="1" t="s">
        <v>102</v>
      </c>
      <c r="O1952" s="1">
        <v>5</v>
      </c>
    </row>
    <row r="1953" spans="1:18" ht="14.25" customHeight="1" x14ac:dyDescent="0.3">
      <c r="A1953" s="1" t="s">
        <v>73</v>
      </c>
      <c r="B1953" s="1">
        <v>19</v>
      </c>
      <c r="C1953" s="1">
        <v>22</v>
      </c>
      <c r="D1953" s="1" t="str">
        <f t="shared" si="31"/>
        <v>Yes</v>
      </c>
      <c r="E1953" s="1">
        <v>6.2</v>
      </c>
      <c r="F1953" s="1">
        <v>284</v>
      </c>
      <c r="G1953" s="1" t="s">
        <v>93</v>
      </c>
      <c r="H1953" s="1" t="s">
        <v>95</v>
      </c>
      <c r="I1953" s="1">
        <v>44.2</v>
      </c>
      <c r="J1953" s="1" t="s">
        <v>95</v>
      </c>
      <c r="M1953" s="1" t="s">
        <v>97</v>
      </c>
      <c r="O1953" s="1">
        <v>1</v>
      </c>
      <c r="P1953" s="1">
        <v>844</v>
      </c>
    </row>
    <row r="1954" spans="1:18" ht="14.25" customHeight="1" x14ac:dyDescent="0.3">
      <c r="A1954" s="1" t="s">
        <v>73</v>
      </c>
      <c r="B1954" s="1">
        <v>19</v>
      </c>
      <c r="C1954" s="1">
        <v>5</v>
      </c>
      <c r="D1954" s="1" t="str">
        <f t="shared" si="31"/>
        <v>Yes</v>
      </c>
      <c r="E1954" s="1">
        <v>7.3</v>
      </c>
      <c r="F1954" s="1">
        <v>117</v>
      </c>
      <c r="G1954" s="1" t="s">
        <v>93</v>
      </c>
      <c r="H1954" s="1" t="s">
        <v>95</v>
      </c>
      <c r="I1954" s="1">
        <v>40.9</v>
      </c>
      <c r="J1954" s="1" t="s">
        <v>95</v>
      </c>
      <c r="M1954" s="1" t="s">
        <v>102</v>
      </c>
      <c r="O1954" s="1">
        <v>1</v>
      </c>
    </row>
    <row r="1955" spans="1:18" ht="14.25" customHeight="1" x14ac:dyDescent="0.3">
      <c r="A1955" s="1" t="s">
        <v>73</v>
      </c>
      <c r="B1955" s="1">
        <v>19</v>
      </c>
      <c r="C1955" s="1">
        <v>7</v>
      </c>
      <c r="D1955" s="1" t="str">
        <f t="shared" si="31"/>
        <v>Yes</v>
      </c>
      <c r="E1955" s="1">
        <v>10.6</v>
      </c>
      <c r="F1955" s="1">
        <v>131</v>
      </c>
      <c r="G1955" s="1" t="s">
        <v>93</v>
      </c>
      <c r="H1955" s="1" t="s">
        <v>95</v>
      </c>
      <c r="I1955" s="1">
        <v>40</v>
      </c>
      <c r="J1955" s="1" t="s">
        <v>101</v>
      </c>
      <c r="M1955" s="1" t="s">
        <v>102</v>
      </c>
      <c r="O1955" s="1">
        <v>5</v>
      </c>
      <c r="Q1955" s="1" t="s">
        <v>162</v>
      </c>
      <c r="R1955" s="1"/>
    </row>
    <row r="1956" spans="1:18" ht="14.25" customHeight="1" x14ac:dyDescent="0.3">
      <c r="A1956" s="1" t="s">
        <v>73</v>
      </c>
      <c r="B1956" s="1">
        <v>19</v>
      </c>
      <c r="C1956" s="1">
        <v>21</v>
      </c>
      <c r="D1956" s="1" t="str">
        <f t="shared" si="31"/>
        <v>Yes</v>
      </c>
      <c r="E1956" s="1">
        <v>2.9</v>
      </c>
      <c r="F1956" s="1">
        <v>277</v>
      </c>
      <c r="G1956" s="1" t="s">
        <v>93</v>
      </c>
      <c r="H1956" s="1" t="s">
        <v>95</v>
      </c>
      <c r="I1956" s="1">
        <v>37.9</v>
      </c>
      <c r="J1956" s="1" t="s">
        <v>95</v>
      </c>
      <c r="M1956" s="1" t="s">
        <v>102</v>
      </c>
      <c r="O1956" s="1">
        <v>1</v>
      </c>
    </row>
    <row r="1957" spans="1:18" ht="14.25" customHeight="1" x14ac:dyDescent="0.3">
      <c r="A1957" s="1" t="s">
        <v>73</v>
      </c>
      <c r="B1957" s="1">
        <v>19</v>
      </c>
      <c r="C1957" s="1">
        <v>18</v>
      </c>
      <c r="D1957" s="1" t="str">
        <f t="shared" si="31"/>
        <v>Yes</v>
      </c>
      <c r="E1957" s="1">
        <v>11.4</v>
      </c>
      <c r="F1957" s="1">
        <v>260</v>
      </c>
      <c r="G1957" s="1" t="s">
        <v>93</v>
      </c>
      <c r="H1957" s="1" t="s">
        <v>95</v>
      </c>
      <c r="I1957" s="1">
        <v>36.200000000000003</v>
      </c>
      <c r="J1957" s="1" t="s">
        <v>95</v>
      </c>
      <c r="M1957" s="1" t="s">
        <v>102</v>
      </c>
      <c r="O1957" s="1">
        <v>1</v>
      </c>
    </row>
    <row r="1958" spans="1:18" ht="14.25" customHeight="1" x14ac:dyDescent="0.3">
      <c r="A1958" s="1" t="s">
        <v>73</v>
      </c>
      <c r="B1958" s="1">
        <v>19</v>
      </c>
      <c r="C1958" s="1">
        <v>6</v>
      </c>
      <c r="D1958" s="1" t="str">
        <f t="shared" si="31"/>
        <v>Yes</v>
      </c>
      <c r="E1958" s="1">
        <v>6.1</v>
      </c>
      <c r="F1958" s="1">
        <v>131</v>
      </c>
      <c r="G1958" s="1" t="s">
        <v>93</v>
      </c>
      <c r="H1958" s="1" t="s">
        <v>95</v>
      </c>
      <c r="I1958" s="1">
        <v>29.2</v>
      </c>
      <c r="J1958" s="1" t="s">
        <v>95</v>
      </c>
      <c r="M1958" s="1" t="s">
        <v>102</v>
      </c>
      <c r="O1958" s="1">
        <v>1</v>
      </c>
      <c r="P1958" s="1">
        <v>843</v>
      </c>
    </row>
    <row r="1959" spans="1:18" ht="14.25" customHeight="1" x14ac:dyDescent="0.3">
      <c r="A1959" s="1" t="s">
        <v>73</v>
      </c>
      <c r="B1959" s="1">
        <v>19</v>
      </c>
      <c r="C1959" s="1">
        <v>23</v>
      </c>
      <c r="D1959" s="1" t="str">
        <f t="shared" si="31"/>
        <v>Yes</v>
      </c>
      <c r="E1959" s="1">
        <v>7.2</v>
      </c>
      <c r="F1959" s="1">
        <v>283</v>
      </c>
      <c r="G1959" s="1" t="s">
        <v>93</v>
      </c>
      <c r="H1959" s="1" t="s">
        <v>95</v>
      </c>
      <c r="I1959" s="1">
        <v>11.2</v>
      </c>
      <c r="J1959" s="1" t="s">
        <v>95</v>
      </c>
      <c r="M1959" s="1" t="s">
        <v>101</v>
      </c>
      <c r="O1959" s="1">
        <v>3</v>
      </c>
    </row>
    <row r="1960" spans="1:18" ht="14.25" customHeight="1" x14ac:dyDescent="0.3">
      <c r="A1960" s="1" t="s">
        <v>73</v>
      </c>
      <c r="B1960" s="1">
        <v>19</v>
      </c>
      <c r="C1960" s="1">
        <v>1</v>
      </c>
      <c r="D1960" s="1" t="str">
        <f t="shared" si="31"/>
        <v>Yes</v>
      </c>
      <c r="E1960" s="1">
        <v>9.3000000000000007</v>
      </c>
      <c r="F1960" s="1">
        <v>22</v>
      </c>
      <c r="G1960" s="1" t="s">
        <v>93</v>
      </c>
      <c r="H1960" s="1" t="s">
        <v>95</v>
      </c>
      <c r="I1960" s="1">
        <v>11</v>
      </c>
      <c r="J1960" s="1" t="s">
        <v>95</v>
      </c>
      <c r="M1960" s="1" t="s">
        <v>101</v>
      </c>
      <c r="O1960" s="1">
        <v>1</v>
      </c>
    </row>
    <row r="1961" spans="1:18" ht="14.25" customHeight="1" x14ac:dyDescent="0.3">
      <c r="A1961" s="1" t="s">
        <v>73</v>
      </c>
      <c r="B1961" s="1">
        <v>19</v>
      </c>
      <c r="C1961" s="1">
        <v>2</v>
      </c>
      <c r="D1961" s="1" t="str">
        <f t="shared" si="31"/>
        <v>Yes</v>
      </c>
      <c r="E1961" s="1">
        <v>7.8</v>
      </c>
      <c r="F1961" s="1">
        <v>24</v>
      </c>
      <c r="G1961" s="1" t="s">
        <v>93</v>
      </c>
      <c r="H1961" s="1" t="s">
        <v>95</v>
      </c>
      <c r="I1961" s="1">
        <v>8.1</v>
      </c>
      <c r="J1961" s="1" t="s">
        <v>95</v>
      </c>
      <c r="M1961" s="1" t="s">
        <v>101</v>
      </c>
      <c r="O1961" s="1">
        <v>1</v>
      </c>
    </row>
    <row r="1962" spans="1:18" ht="14.25" customHeight="1" x14ac:dyDescent="0.3">
      <c r="A1962" s="1" t="s">
        <v>73</v>
      </c>
      <c r="B1962" s="1">
        <v>19</v>
      </c>
      <c r="C1962" s="1">
        <v>10</v>
      </c>
      <c r="D1962" s="1" t="str">
        <f t="shared" si="31"/>
        <v>Yes</v>
      </c>
      <c r="E1962" s="1">
        <v>7.5</v>
      </c>
      <c r="F1962" s="1">
        <v>193</v>
      </c>
      <c r="G1962" s="1" t="s">
        <v>93</v>
      </c>
      <c r="H1962" s="1" t="s">
        <v>95</v>
      </c>
      <c r="I1962" s="44">
        <v>3</v>
      </c>
      <c r="J1962" s="1" t="s">
        <v>101</v>
      </c>
      <c r="M1962" s="1" t="s">
        <v>102</v>
      </c>
      <c r="O1962" s="1">
        <v>5</v>
      </c>
      <c r="Q1962" s="1" t="s">
        <v>162</v>
      </c>
    </row>
    <row r="1963" spans="1:18" ht="14.25" customHeight="1" x14ac:dyDescent="0.3">
      <c r="A1963" s="1" t="s">
        <v>73</v>
      </c>
      <c r="B1963" s="1">
        <v>23</v>
      </c>
      <c r="C1963" s="1">
        <v>20</v>
      </c>
      <c r="D1963" s="1" t="str">
        <f t="shared" si="31"/>
        <v>Yes</v>
      </c>
      <c r="E1963" s="1">
        <v>12.4</v>
      </c>
      <c r="F1963" s="1">
        <v>14</v>
      </c>
      <c r="G1963" s="1" t="s">
        <v>98</v>
      </c>
      <c r="H1963" s="1" t="s">
        <v>95</v>
      </c>
      <c r="I1963" s="1">
        <v>27.7</v>
      </c>
      <c r="J1963" s="1" t="s">
        <v>95</v>
      </c>
      <c r="M1963" s="1" t="s">
        <v>102</v>
      </c>
      <c r="O1963" s="1">
        <v>1</v>
      </c>
      <c r="Q1963" s="1" t="s">
        <v>188</v>
      </c>
    </row>
    <row r="1964" spans="1:18" ht="14.25" customHeight="1" x14ac:dyDescent="0.3">
      <c r="A1964" s="1" t="s">
        <v>73</v>
      </c>
      <c r="B1964" s="1">
        <v>23</v>
      </c>
      <c r="C1964" s="1">
        <v>19</v>
      </c>
      <c r="D1964" s="1" t="str">
        <f t="shared" si="31"/>
        <v>Yes</v>
      </c>
      <c r="E1964" s="1">
        <v>8.3000000000000007</v>
      </c>
      <c r="F1964" s="1">
        <v>356</v>
      </c>
      <c r="G1964" s="1" t="s">
        <v>98</v>
      </c>
      <c r="H1964" s="1" t="s">
        <v>95</v>
      </c>
      <c r="I1964" s="1">
        <v>19.8</v>
      </c>
      <c r="J1964" s="1" t="s">
        <v>95</v>
      </c>
      <c r="M1964" s="1" t="s">
        <v>102</v>
      </c>
      <c r="O1964" s="1">
        <v>3</v>
      </c>
      <c r="Q1964" s="1" t="s">
        <v>188</v>
      </c>
    </row>
    <row r="1965" spans="1:18" ht="14.25" customHeight="1" x14ac:dyDescent="0.3">
      <c r="A1965" s="1" t="s">
        <v>73</v>
      </c>
      <c r="B1965" s="1">
        <v>23</v>
      </c>
      <c r="C1965" s="1">
        <v>6</v>
      </c>
      <c r="D1965" s="1" t="str">
        <f t="shared" si="31"/>
        <v>Yes</v>
      </c>
      <c r="E1965" s="1">
        <v>11.4</v>
      </c>
      <c r="F1965" s="1">
        <v>260</v>
      </c>
      <c r="G1965" s="1" t="s">
        <v>98</v>
      </c>
      <c r="H1965" s="1" t="s">
        <v>95</v>
      </c>
      <c r="I1965" s="1">
        <v>16.100000000000001</v>
      </c>
      <c r="J1965" s="1" t="s">
        <v>95</v>
      </c>
      <c r="M1965" s="1" t="s">
        <v>101</v>
      </c>
      <c r="O1965" s="1">
        <v>5</v>
      </c>
      <c r="Q1965" s="1" t="s">
        <v>188</v>
      </c>
    </row>
    <row r="1966" spans="1:18" ht="14.25" customHeight="1" x14ac:dyDescent="0.3">
      <c r="A1966" s="1" t="s">
        <v>73</v>
      </c>
      <c r="B1966" s="1">
        <v>23</v>
      </c>
      <c r="C1966" s="1">
        <v>10</v>
      </c>
      <c r="D1966" s="1" t="str">
        <f t="shared" si="31"/>
        <v>Yes</v>
      </c>
      <c r="E1966" s="1">
        <v>2.2000000000000002</v>
      </c>
      <c r="F1966" s="1">
        <v>342</v>
      </c>
      <c r="G1966" s="1" t="s">
        <v>184</v>
      </c>
      <c r="H1966" s="1" t="s">
        <v>95</v>
      </c>
      <c r="I1966" s="1">
        <v>16.3</v>
      </c>
      <c r="J1966" s="1" t="s">
        <v>95</v>
      </c>
      <c r="M1966" s="1" t="s">
        <v>102</v>
      </c>
      <c r="O1966" s="1">
        <v>2</v>
      </c>
      <c r="Q1966" s="1" t="s">
        <v>188</v>
      </c>
    </row>
    <row r="1967" spans="1:18" ht="14.25" customHeight="1" x14ac:dyDescent="0.3">
      <c r="A1967" s="1" t="s">
        <v>73</v>
      </c>
      <c r="B1967" s="1">
        <v>23</v>
      </c>
      <c r="C1967" s="1">
        <v>14</v>
      </c>
      <c r="D1967" s="1" t="str">
        <f t="shared" si="31"/>
        <v>Yes</v>
      </c>
      <c r="E1967" s="1">
        <v>11.6</v>
      </c>
      <c r="F1967" s="1">
        <v>325</v>
      </c>
      <c r="G1967" s="1" t="s">
        <v>109</v>
      </c>
      <c r="H1967" s="1" t="s">
        <v>95</v>
      </c>
      <c r="I1967" s="1">
        <v>75.2</v>
      </c>
      <c r="J1967" s="1" t="s">
        <v>95</v>
      </c>
      <c r="M1967" s="1" t="s">
        <v>102</v>
      </c>
      <c r="O1967" s="1">
        <v>5</v>
      </c>
    </row>
    <row r="1968" spans="1:18" ht="14.25" customHeight="1" x14ac:dyDescent="0.3">
      <c r="A1968" s="1" t="s">
        <v>73</v>
      </c>
      <c r="B1968" s="1">
        <v>23</v>
      </c>
      <c r="C1968" s="1">
        <v>36</v>
      </c>
      <c r="D1968" s="1" t="str">
        <f t="shared" si="31"/>
        <v>Yes</v>
      </c>
      <c r="E1968" s="1">
        <v>9</v>
      </c>
      <c r="F1968" s="1">
        <v>128</v>
      </c>
      <c r="G1968" s="1" t="s">
        <v>109</v>
      </c>
      <c r="H1968" s="1" t="s">
        <v>95</v>
      </c>
      <c r="I1968" s="1">
        <v>25.6</v>
      </c>
      <c r="J1968" s="1" t="s">
        <v>95</v>
      </c>
      <c r="M1968" s="1" t="s">
        <v>102</v>
      </c>
      <c r="O1968" s="1">
        <v>5</v>
      </c>
    </row>
    <row r="1969" spans="1:18" ht="14.25" customHeight="1" x14ac:dyDescent="0.3">
      <c r="A1969" s="1" t="s">
        <v>73</v>
      </c>
      <c r="B1969" s="1">
        <v>23</v>
      </c>
      <c r="C1969" s="1">
        <v>12</v>
      </c>
      <c r="D1969" s="1" t="str">
        <f t="shared" si="31"/>
        <v>Yes</v>
      </c>
      <c r="E1969" s="1">
        <v>4.2</v>
      </c>
      <c r="F1969" s="1">
        <v>335</v>
      </c>
      <c r="G1969" s="1" t="s">
        <v>109</v>
      </c>
      <c r="H1969" s="1" t="s">
        <v>95</v>
      </c>
      <c r="I1969" s="1">
        <v>15.7</v>
      </c>
      <c r="J1969" s="1" t="s">
        <v>95</v>
      </c>
      <c r="M1969" s="1" t="s">
        <v>102</v>
      </c>
      <c r="O1969" s="1">
        <v>1</v>
      </c>
    </row>
    <row r="1970" spans="1:18" ht="14.25" customHeight="1" x14ac:dyDescent="0.3">
      <c r="A1970" s="1" t="s">
        <v>73</v>
      </c>
      <c r="B1970" s="1">
        <v>23</v>
      </c>
      <c r="C1970" s="1">
        <v>2</v>
      </c>
      <c r="D1970" s="1" t="str">
        <f t="shared" si="31"/>
        <v>Yes</v>
      </c>
      <c r="E1970" s="1">
        <v>6.4</v>
      </c>
      <c r="F1970" s="1">
        <v>197</v>
      </c>
      <c r="G1970" s="1" t="s">
        <v>106</v>
      </c>
      <c r="H1970" s="1" t="s">
        <v>95</v>
      </c>
      <c r="I1970" s="1">
        <v>86.5</v>
      </c>
      <c r="J1970" s="1" t="s">
        <v>95</v>
      </c>
      <c r="M1970" s="1" t="s">
        <v>95</v>
      </c>
      <c r="O1970" s="1">
        <v>1</v>
      </c>
      <c r="P1970" s="1">
        <v>825</v>
      </c>
    </row>
    <row r="1971" spans="1:18" ht="14.25" customHeight="1" x14ac:dyDescent="0.3">
      <c r="A1971" s="1" t="s">
        <v>73</v>
      </c>
      <c r="B1971" s="1">
        <v>23</v>
      </c>
      <c r="C1971" s="1">
        <v>8</v>
      </c>
      <c r="D1971" s="1" t="str">
        <f t="shared" si="31"/>
        <v>Yes</v>
      </c>
      <c r="E1971" s="1">
        <v>7.7</v>
      </c>
      <c r="F1971" s="1">
        <v>288</v>
      </c>
      <c r="G1971" s="1" t="s">
        <v>106</v>
      </c>
      <c r="H1971" s="1" t="s">
        <v>95</v>
      </c>
      <c r="I1971" s="1">
        <v>13.1</v>
      </c>
      <c r="J1971" s="1" t="s">
        <v>95</v>
      </c>
      <c r="M1971" s="1" t="s">
        <v>101</v>
      </c>
      <c r="O1971" s="1">
        <v>2</v>
      </c>
    </row>
    <row r="1972" spans="1:18" ht="14.25" customHeight="1" x14ac:dyDescent="0.3">
      <c r="A1972" s="1" t="s">
        <v>73</v>
      </c>
      <c r="B1972" s="1">
        <v>23</v>
      </c>
      <c r="C1972" s="1">
        <v>34</v>
      </c>
      <c r="D1972" s="1" t="str">
        <f t="shared" si="31"/>
        <v>Yes</v>
      </c>
      <c r="E1972" s="1">
        <v>1.6</v>
      </c>
      <c r="F1972" s="1">
        <v>150</v>
      </c>
      <c r="G1972" s="1" t="s">
        <v>106</v>
      </c>
      <c r="H1972" s="1" t="s">
        <v>95</v>
      </c>
      <c r="I1972" s="1">
        <v>12</v>
      </c>
      <c r="J1972" s="1" t="s">
        <v>95</v>
      </c>
      <c r="M1972" s="1" t="s">
        <v>101</v>
      </c>
      <c r="O1972" s="1">
        <v>2</v>
      </c>
    </row>
    <row r="1973" spans="1:18" ht="14.25" customHeight="1" x14ac:dyDescent="0.3">
      <c r="A1973" s="1" t="s">
        <v>73</v>
      </c>
      <c r="B1973" s="1">
        <v>23</v>
      </c>
      <c r="C1973" s="1">
        <v>26</v>
      </c>
      <c r="D1973" s="1" t="str">
        <f t="shared" si="31"/>
        <v>Yes</v>
      </c>
      <c r="E1973" s="1">
        <v>2.2000000000000002</v>
      </c>
      <c r="F1973" s="1">
        <v>45</v>
      </c>
      <c r="G1973" s="1" t="s">
        <v>106</v>
      </c>
      <c r="H1973" s="1" t="s">
        <v>95</v>
      </c>
      <c r="I1973" s="1">
        <v>11</v>
      </c>
      <c r="J1973" s="1" t="s">
        <v>95</v>
      </c>
      <c r="M1973" s="1" t="s">
        <v>101</v>
      </c>
      <c r="O1973" s="1">
        <v>2</v>
      </c>
    </row>
    <row r="1974" spans="1:18" ht="14.25" customHeight="1" x14ac:dyDescent="0.3">
      <c r="A1974" s="1" t="s">
        <v>73</v>
      </c>
      <c r="B1974" s="1">
        <v>23</v>
      </c>
      <c r="C1974" s="1">
        <v>24</v>
      </c>
      <c r="D1974" s="1" t="str">
        <f t="shared" si="31"/>
        <v>Yes</v>
      </c>
      <c r="E1974" s="1">
        <v>2.8</v>
      </c>
      <c r="F1974" s="1">
        <v>18</v>
      </c>
      <c r="G1974" s="1" t="s">
        <v>93</v>
      </c>
      <c r="H1974" s="1" t="s">
        <v>95</v>
      </c>
      <c r="I1974" s="1">
        <v>93.1</v>
      </c>
      <c r="J1974" s="1" t="s">
        <v>95</v>
      </c>
      <c r="M1974" s="1" t="s">
        <v>97</v>
      </c>
      <c r="O1974" s="1">
        <v>5</v>
      </c>
    </row>
    <row r="1975" spans="1:18" ht="14.25" customHeight="1" x14ac:dyDescent="0.3">
      <c r="A1975" s="1" t="s">
        <v>73</v>
      </c>
      <c r="B1975" s="1">
        <v>23</v>
      </c>
      <c r="C1975" s="1">
        <v>15</v>
      </c>
      <c r="D1975" s="1" t="str">
        <f t="shared" si="31"/>
        <v>Yes</v>
      </c>
      <c r="E1975" s="1">
        <v>1.4</v>
      </c>
      <c r="F1975" s="1">
        <v>353</v>
      </c>
      <c r="G1975" s="1" t="s">
        <v>93</v>
      </c>
      <c r="H1975" s="1" t="s">
        <v>95</v>
      </c>
      <c r="I1975" s="1">
        <v>52</v>
      </c>
      <c r="J1975" s="1" t="s">
        <v>101</v>
      </c>
      <c r="M1975" s="1" t="s">
        <v>102</v>
      </c>
      <c r="O1975" s="1">
        <v>5</v>
      </c>
    </row>
    <row r="1976" spans="1:18" ht="14.25" customHeight="1" x14ac:dyDescent="0.3">
      <c r="A1976" s="1" t="s">
        <v>73</v>
      </c>
      <c r="B1976" s="1">
        <v>23</v>
      </c>
      <c r="C1976" s="1">
        <v>30</v>
      </c>
      <c r="D1976" s="1" t="str">
        <f t="shared" si="31"/>
        <v>Yes</v>
      </c>
      <c r="E1976" s="1">
        <v>8.1</v>
      </c>
      <c r="F1976" s="1">
        <v>101</v>
      </c>
      <c r="G1976" s="1" t="s">
        <v>93</v>
      </c>
      <c r="H1976" s="1" t="s">
        <v>95</v>
      </c>
      <c r="I1976" s="1">
        <v>46.1</v>
      </c>
      <c r="J1976" s="1" t="s">
        <v>95</v>
      </c>
      <c r="M1976" s="1" t="s">
        <v>97</v>
      </c>
      <c r="O1976" s="1">
        <v>1</v>
      </c>
      <c r="P1976" s="1">
        <v>824</v>
      </c>
    </row>
    <row r="1977" spans="1:18" ht="14.25" customHeight="1" x14ac:dyDescent="0.3">
      <c r="A1977" s="1" t="s">
        <v>73</v>
      </c>
      <c r="B1977" s="1">
        <v>23</v>
      </c>
      <c r="C1977" s="1">
        <v>23</v>
      </c>
      <c r="D1977" s="1" t="str">
        <f t="shared" si="31"/>
        <v>Yes</v>
      </c>
      <c r="E1977" s="1">
        <v>11.2</v>
      </c>
      <c r="F1977" s="1">
        <v>48</v>
      </c>
      <c r="G1977" s="1" t="s">
        <v>93</v>
      </c>
      <c r="H1977" s="1" t="s">
        <v>95</v>
      </c>
      <c r="I1977" s="1">
        <v>45.7</v>
      </c>
      <c r="J1977" s="1" t="s">
        <v>95</v>
      </c>
      <c r="M1977" s="1" t="s">
        <v>97</v>
      </c>
      <c r="O1977" s="1">
        <v>1</v>
      </c>
    </row>
    <row r="1978" spans="1:18" ht="14.25" customHeight="1" x14ac:dyDescent="0.3">
      <c r="A1978" s="1" t="s">
        <v>73</v>
      </c>
      <c r="B1978" s="1">
        <v>23</v>
      </c>
      <c r="C1978" s="1">
        <v>37</v>
      </c>
      <c r="D1978" s="1" t="str">
        <f t="shared" si="31"/>
        <v>Yes</v>
      </c>
      <c r="E1978" s="1">
        <v>10</v>
      </c>
      <c r="F1978" s="1">
        <v>165</v>
      </c>
      <c r="G1978" s="1" t="s">
        <v>93</v>
      </c>
      <c r="H1978" s="1" t="s">
        <v>95</v>
      </c>
      <c r="I1978" s="1">
        <v>43.9</v>
      </c>
      <c r="J1978" s="1" t="s">
        <v>95</v>
      </c>
      <c r="M1978" s="1" t="s">
        <v>97</v>
      </c>
      <c r="O1978" s="1">
        <v>1</v>
      </c>
    </row>
    <row r="1979" spans="1:18" ht="14.25" customHeight="1" x14ac:dyDescent="0.3">
      <c r="A1979" s="1" t="s">
        <v>73</v>
      </c>
      <c r="B1979" s="1">
        <v>23</v>
      </c>
      <c r="C1979" s="1">
        <v>3</v>
      </c>
      <c r="D1979" s="1" t="str">
        <f t="shared" si="31"/>
        <v>Yes</v>
      </c>
      <c r="E1979" s="1">
        <v>11.2</v>
      </c>
      <c r="F1979" s="1">
        <v>211</v>
      </c>
      <c r="G1979" s="1" t="s">
        <v>93</v>
      </c>
      <c r="H1979" s="1" t="s">
        <v>95</v>
      </c>
      <c r="I1979" s="1">
        <v>31</v>
      </c>
      <c r="J1979" s="1" t="s">
        <v>95</v>
      </c>
      <c r="M1979" s="1" t="s">
        <v>102</v>
      </c>
      <c r="O1979" s="1">
        <v>1</v>
      </c>
    </row>
    <row r="1980" spans="1:18" ht="14.25" customHeight="1" x14ac:dyDescent="0.3">
      <c r="A1980" s="1" t="s">
        <v>73</v>
      </c>
      <c r="B1980" s="1">
        <v>23</v>
      </c>
      <c r="C1980" s="1">
        <v>11</v>
      </c>
      <c r="D1980" s="1" t="str">
        <f t="shared" si="31"/>
        <v>Yes</v>
      </c>
      <c r="E1980" s="1">
        <v>9.4</v>
      </c>
      <c r="F1980" s="1">
        <v>310</v>
      </c>
      <c r="G1980" s="1" t="s">
        <v>93</v>
      </c>
      <c r="H1980" s="1" t="s">
        <v>95</v>
      </c>
      <c r="I1980" s="1">
        <v>27.3</v>
      </c>
      <c r="J1980" s="1" t="s">
        <v>95</v>
      </c>
      <c r="M1980" s="1" t="s">
        <v>102</v>
      </c>
      <c r="O1980" s="1">
        <v>1</v>
      </c>
      <c r="P1980" s="19">
        <v>826</v>
      </c>
    </row>
    <row r="1981" spans="1:18" ht="14.25" customHeight="1" x14ac:dyDescent="0.3">
      <c r="A1981" s="1" t="s">
        <v>73</v>
      </c>
      <c r="B1981" s="1">
        <v>23</v>
      </c>
      <c r="C1981" s="1">
        <v>27</v>
      </c>
      <c r="D1981" s="1" t="str">
        <f t="shared" si="31"/>
        <v>Yes</v>
      </c>
      <c r="E1981" s="1">
        <v>9.9</v>
      </c>
      <c r="F1981" s="1">
        <v>89</v>
      </c>
      <c r="G1981" s="1" t="s">
        <v>93</v>
      </c>
      <c r="H1981" s="1" t="s">
        <v>95</v>
      </c>
      <c r="I1981" s="1">
        <v>25.1</v>
      </c>
      <c r="J1981" s="1" t="s">
        <v>95</v>
      </c>
      <c r="M1981" s="1" t="s">
        <v>102</v>
      </c>
      <c r="O1981" s="1">
        <v>1</v>
      </c>
    </row>
    <row r="1982" spans="1:18" ht="14.25" customHeight="1" x14ac:dyDescent="0.3">
      <c r="A1982" s="1" t="s">
        <v>73</v>
      </c>
      <c r="B1982" s="1">
        <v>23</v>
      </c>
      <c r="C1982" s="1">
        <v>25</v>
      </c>
      <c r="D1982" s="1" t="str">
        <f t="shared" si="31"/>
        <v>Yes</v>
      </c>
      <c r="E1982" s="1">
        <v>10.6</v>
      </c>
      <c r="F1982" s="1">
        <v>51</v>
      </c>
      <c r="G1982" s="1" t="s">
        <v>93</v>
      </c>
      <c r="H1982" s="1" t="s">
        <v>95</v>
      </c>
      <c r="I1982" s="1">
        <v>23.2</v>
      </c>
      <c r="J1982" s="1" t="s">
        <v>95</v>
      </c>
      <c r="M1982" s="1" t="s">
        <v>102</v>
      </c>
      <c r="O1982" s="1">
        <v>1</v>
      </c>
      <c r="R1982" s="1"/>
    </row>
    <row r="1983" spans="1:18" ht="14.25" customHeight="1" x14ac:dyDescent="0.3">
      <c r="A1983" s="1" t="s">
        <v>73</v>
      </c>
      <c r="B1983" s="1">
        <v>23</v>
      </c>
      <c r="C1983" s="1">
        <v>21</v>
      </c>
      <c r="D1983" s="1" t="str">
        <f t="shared" si="31"/>
        <v>Yes</v>
      </c>
      <c r="E1983" s="1">
        <v>6.5</v>
      </c>
      <c r="F1983" s="1">
        <v>18</v>
      </c>
      <c r="G1983" s="1" t="s">
        <v>93</v>
      </c>
      <c r="H1983" s="1" t="s">
        <v>95</v>
      </c>
      <c r="I1983" s="1">
        <v>22</v>
      </c>
      <c r="J1983" s="1" t="s">
        <v>95</v>
      </c>
      <c r="M1983" s="1" t="s">
        <v>102</v>
      </c>
      <c r="O1983" s="1">
        <v>1</v>
      </c>
      <c r="R1983" s="1"/>
    </row>
    <row r="1984" spans="1:18" ht="14.25" customHeight="1" x14ac:dyDescent="0.3">
      <c r="A1984" s="1" t="s">
        <v>73</v>
      </c>
      <c r="B1984" s="1">
        <v>23</v>
      </c>
      <c r="C1984" s="1">
        <v>40</v>
      </c>
      <c r="D1984" s="1" t="str">
        <f t="shared" si="31"/>
        <v>Yes</v>
      </c>
      <c r="E1984" s="1">
        <v>12.4</v>
      </c>
      <c r="F1984" s="1">
        <v>174</v>
      </c>
      <c r="G1984" s="1" t="s">
        <v>93</v>
      </c>
      <c r="H1984" s="1" t="s">
        <v>95</v>
      </c>
      <c r="I1984" s="1">
        <v>21.3</v>
      </c>
      <c r="J1984" s="1" t="s">
        <v>95</v>
      </c>
      <c r="M1984" s="1" t="s">
        <v>102</v>
      </c>
      <c r="O1984" s="1">
        <v>2</v>
      </c>
    </row>
    <row r="1985" spans="1:18" ht="14.25" customHeight="1" x14ac:dyDescent="0.3">
      <c r="A1985" s="1" t="s">
        <v>73</v>
      </c>
      <c r="B1985" s="1">
        <v>23</v>
      </c>
      <c r="C1985" s="1">
        <v>22</v>
      </c>
      <c r="D1985" s="1" t="str">
        <f t="shared" si="31"/>
        <v>Yes</v>
      </c>
      <c r="E1985" s="1">
        <v>10.7</v>
      </c>
      <c r="F1985" s="1">
        <v>36</v>
      </c>
      <c r="G1985" s="1" t="s">
        <v>93</v>
      </c>
      <c r="H1985" s="1" t="s">
        <v>95</v>
      </c>
      <c r="I1985" s="1">
        <v>21.2</v>
      </c>
      <c r="J1985" s="1" t="s">
        <v>95</v>
      </c>
      <c r="M1985" s="1" t="s">
        <v>102</v>
      </c>
      <c r="O1985" s="1">
        <v>1</v>
      </c>
    </row>
    <row r="1986" spans="1:18" ht="14.25" customHeight="1" x14ac:dyDescent="0.3">
      <c r="A1986" s="1" t="s">
        <v>73</v>
      </c>
      <c r="B1986" s="1">
        <v>23</v>
      </c>
      <c r="C1986" s="1">
        <v>17</v>
      </c>
      <c r="D1986" s="1" t="str">
        <f t="shared" si="31"/>
        <v>Yes</v>
      </c>
      <c r="E1986" s="1">
        <v>7.6</v>
      </c>
      <c r="F1986" s="1">
        <v>341</v>
      </c>
      <c r="G1986" s="1" t="s">
        <v>93</v>
      </c>
      <c r="H1986" s="1" t="s">
        <v>95</v>
      </c>
      <c r="I1986" s="1">
        <v>18.2</v>
      </c>
      <c r="J1986" s="1" t="s">
        <v>95</v>
      </c>
      <c r="M1986" s="1" t="s">
        <v>102</v>
      </c>
      <c r="O1986" s="1">
        <v>1</v>
      </c>
    </row>
    <row r="1987" spans="1:18" ht="14.25" customHeight="1" x14ac:dyDescent="0.3">
      <c r="A1987" s="1" t="s">
        <v>73</v>
      </c>
      <c r="B1987" s="1">
        <v>23</v>
      </c>
      <c r="C1987" s="1">
        <v>5</v>
      </c>
      <c r="D1987" s="1" t="str">
        <f t="shared" si="31"/>
        <v>Yes</v>
      </c>
      <c r="E1987" s="1">
        <v>3.2</v>
      </c>
      <c r="F1987" s="1">
        <v>182</v>
      </c>
      <c r="G1987" s="1" t="s">
        <v>93</v>
      </c>
      <c r="H1987" s="1" t="s">
        <v>95</v>
      </c>
      <c r="I1987" s="1">
        <v>17.2</v>
      </c>
      <c r="J1987" s="1" t="s">
        <v>95</v>
      </c>
      <c r="M1987" s="1" t="s">
        <v>101</v>
      </c>
      <c r="O1987" s="1">
        <v>1</v>
      </c>
      <c r="R1987" s="1"/>
    </row>
    <row r="1988" spans="1:18" ht="14.25" customHeight="1" x14ac:dyDescent="0.3">
      <c r="A1988" s="1" t="s">
        <v>73</v>
      </c>
      <c r="B1988" s="1">
        <v>23</v>
      </c>
      <c r="C1988" s="1">
        <v>35</v>
      </c>
      <c r="D1988" s="1" t="str">
        <f t="shared" si="31"/>
        <v>Yes</v>
      </c>
      <c r="E1988" s="1">
        <v>11.5</v>
      </c>
      <c r="F1988" s="1">
        <v>126</v>
      </c>
      <c r="G1988" s="1" t="s">
        <v>93</v>
      </c>
      <c r="H1988" s="1" t="s">
        <v>95</v>
      </c>
      <c r="I1988" s="1">
        <v>16.5</v>
      </c>
      <c r="J1988" s="1" t="s">
        <v>95</v>
      </c>
      <c r="M1988" s="1" t="s">
        <v>102</v>
      </c>
      <c r="O1988" s="1">
        <v>2</v>
      </c>
    </row>
    <row r="1989" spans="1:18" ht="14.25" customHeight="1" x14ac:dyDescent="0.3">
      <c r="A1989" s="1" t="s">
        <v>73</v>
      </c>
      <c r="B1989" s="1">
        <v>23</v>
      </c>
      <c r="C1989" s="1">
        <v>16</v>
      </c>
      <c r="D1989" s="1" t="str">
        <f t="shared" si="31"/>
        <v>Yes</v>
      </c>
      <c r="E1989" s="1">
        <v>9.6</v>
      </c>
      <c r="F1989" s="1">
        <v>336</v>
      </c>
      <c r="G1989" s="1" t="s">
        <v>93</v>
      </c>
      <c r="H1989" s="1" t="s">
        <v>95</v>
      </c>
      <c r="I1989" s="1">
        <v>14.6</v>
      </c>
      <c r="J1989" s="1" t="s">
        <v>95</v>
      </c>
      <c r="M1989" s="1" t="s">
        <v>101</v>
      </c>
      <c r="O1989" s="1">
        <v>1</v>
      </c>
    </row>
    <row r="1990" spans="1:18" ht="14.25" customHeight="1" x14ac:dyDescent="0.3">
      <c r="A1990" s="1" t="s">
        <v>73</v>
      </c>
      <c r="B1990" s="1">
        <v>23</v>
      </c>
      <c r="C1990" s="1">
        <v>18</v>
      </c>
      <c r="D1990" s="1" t="str">
        <f t="shared" si="31"/>
        <v>Yes</v>
      </c>
      <c r="E1990" s="1">
        <v>10.9</v>
      </c>
      <c r="F1990" s="1">
        <v>356</v>
      </c>
      <c r="G1990" s="1" t="s">
        <v>93</v>
      </c>
      <c r="H1990" s="1" t="s">
        <v>95</v>
      </c>
      <c r="I1990" s="1">
        <v>14.1</v>
      </c>
      <c r="J1990" s="1" t="s">
        <v>95</v>
      </c>
      <c r="M1990" s="1" t="s">
        <v>101</v>
      </c>
      <c r="O1990" s="1">
        <v>1</v>
      </c>
    </row>
    <row r="1991" spans="1:18" ht="14.25" customHeight="1" x14ac:dyDescent="0.3">
      <c r="A1991" s="1" t="s">
        <v>73</v>
      </c>
      <c r="B1991" s="1">
        <v>23</v>
      </c>
      <c r="C1991" s="1">
        <v>1</v>
      </c>
      <c r="D1991" s="1" t="str">
        <f t="shared" si="31"/>
        <v>Yes</v>
      </c>
      <c r="E1991" s="1">
        <v>11.4</v>
      </c>
      <c r="F1991" s="1">
        <v>184</v>
      </c>
      <c r="G1991" s="1" t="s">
        <v>93</v>
      </c>
      <c r="H1991" s="1" t="s">
        <v>95</v>
      </c>
      <c r="I1991" s="1">
        <v>13.7</v>
      </c>
      <c r="J1991" s="1" t="s">
        <v>95</v>
      </c>
      <c r="M1991" s="1" t="s">
        <v>101</v>
      </c>
      <c r="O1991" s="1">
        <v>5</v>
      </c>
    </row>
    <row r="1992" spans="1:18" ht="14.25" customHeight="1" x14ac:dyDescent="0.3">
      <c r="A1992" s="1" t="s">
        <v>73</v>
      </c>
      <c r="B1992" s="1">
        <v>23</v>
      </c>
      <c r="C1992" s="1">
        <v>33</v>
      </c>
      <c r="D1992" s="1" t="str">
        <f t="shared" si="31"/>
        <v>Yes</v>
      </c>
      <c r="E1992" s="1">
        <v>9.4</v>
      </c>
      <c r="F1992" s="1">
        <v>121</v>
      </c>
      <c r="G1992" s="1" t="s">
        <v>93</v>
      </c>
      <c r="H1992" s="1" t="s">
        <v>95</v>
      </c>
      <c r="I1992" s="1">
        <v>12</v>
      </c>
      <c r="J1992" s="1" t="s">
        <v>101</v>
      </c>
      <c r="M1992" s="1" t="s">
        <v>101</v>
      </c>
      <c r="O1992" s="1">
        <v>5</v>
      </c>
    </row>
    <row r="1993" spans="1:18" ht="14.25" customHeight="1" x14ac:dyDescent="0.3">
      <c r="A1993" s="1" t="s">
        <v>73</v>
      </c>
      <c r="B1993" s="1">
        <v>23</v>
      </c>
      <c r="C1993" s="1">
        <v>38</v>
      </c>
      <c r="D1993" s="1" t="str">
        <f t="shared" si="31"/>
        <v>Yes</v>
      </c>
      <c r="E1993" s="1">
        <v>8.8000000000000007</v>
      </c>
      <c r="F1993" s="1">
        <v>132</v>
      </c>
      <c r="G1993" s="1" t="s">
        <v>93</v>
      </c>
      <c r="H1993" s="1" t="s">
        <v>95</v>
      </c>
      <c r="I1993" s="1">
        <v>12</v>
      </c>
      <c r="J1993" s="1" t="s">
        <v>101</v>
      </c>
      <c r="M1993" s="1" t="s">
        <v>101</v>
      </c>
      <c r="O1993" s="1">
        <v>5</v>
      </c>
    </row>
    <row r="1994" spans="1:18" ht="14.25" customHeight="1" x14ac:dyDescent="0.3">
      <c r="A1994" s="1" t="s">
        <v>73</v>
      </c>
      <c r="B1994" s="1">
        <v>23</v>
      </c>
      <c r="C1994" s="1">
        <v>41</v>
      </c>
      <c r="D1994" s="1" t="str">
        <f t="shared" si="31"/>
        <v>Yes</v>
      </c>
      <c r="E1994" s="1">
        <v>10.6</v>
      </c>
      <c r="F1994" s="1">
        <v>139</v>
      </c>
      <c r="G1994" s="1" t="s">
        <v>93</v>
      </c>
      <c r="H1994" s="1" t="s">
        <v>95</v>
      </c>
      <c r="I1994" s="1">
        <v>12</v>
      </c>
      <c r="J1994" s="1" t="s">
        <v>101</v>
      </c>
      <c r="M1994" s="1" t="s">
        <v>101</v>
      </c>
      <c r="O1994" s="1">
        <v>5</v>
      </c>
    </row>
    <row r="1995" spans="1:18" ht="14.25" customHeight="1" x14ac:dyDescent="0.3">
      <c r="A1995" s="1" t="s">
        <v>73</v>
      </c>
      <c r="B1995" s="1">
        <v>23</v>
      </c>
      <c r="C1995" s="1">
        <v>13</v>
      </c>
      <c r="D1995" s="1" t="str">
        <f t="shared" si="31"/>
        <v>Yes</v>
      </c>
      <c r="E1995" s="1">
        <v>11.6</v>
      </c>
      <c r="F1995" s="1">
        <v>321</v>
      </c>
      <c r="G1995" s="1" t="s">
        <v>93</v>
      </c>
      <c r="H1995" s="1" t="s">
        <v>95</v>
      </c>
      <c r="I1995" s="1">
        <v>11.7</v>
      </c>
      <c r="J1995" s="1" t="s">
        <v>95</v>
      </c>
      <c r="M1995" s="1" t="s">
        <v>101</v>
      </c>
      <c r="O1995" s="1">
        <v>2</v>
      </c>
      <c r="R1995" s="1"/>
    </row>
    <row r="1996" spans="1:18" ht="14.25" customHeight="1" x14ac:dyDescent="0.3">
      <c r="A1996" s="1" t="s">
        <v>73</v>
      </c>
      <c r="B1996" s="1">
        <v>23</v>
      </c>
      <c r="C1996" s="1">
        <v>39</v>
      </c>
      <c r="D1996" s="1" t="str">
        <f t="shared" si="31"/>
        <v>Yes</v>
      </c>
      <c r="E1996" s="1">
        <v>9.6999999999999993</v>
      </c>
      <c r="F1996" s="1">
        <v>132</v>
      </c>
      <c r="G1996" s="1" t="s">
        <v>93</v>
      </c>
      <c r="H1996" s="1" t="s">
        <v>95</v>
      </c>
      <c r="I1996" s="1">
        <v>11</v>
      </c>
      <c r="J1996" s="1" t="s">
        <v>101</v>
      </c>
      <c r="M1996" s="1" t="s">
        <v>101</v>
      </c>
      <c r="O1996" s="1">
        <v>5</v>
      </c>
    </row>
    <row r="1997" spans="1:18" ht="14.25" customHeight="1" x14ac:dyDescent="0.3">
      <c r="A1997" s="1" t="s">
        <v>73</v>
      </c>
      <c r="B1997" s="1">
        <v>23</v>
      </c>
      <c r="C1997" s="1">
        <v>4</v>
      </c>
      <c r="D1997" s="1" t="str">
        <f t="shared" si="31"/>
        <v>Yes</v>
      </c>
      <c r="E1997" s="1">
        <v>8.1999999999999993</v>
      </c>
      <c r="F1997" s="1">
        <v>195</v>
      </c>
      <c r="G1997" s="1" t="s">
        <v>93</v>
      </c>
      <c r="H1997" s="1" t="s">
        <v>95</v>
      </c>
      <c r="I1997" s="1">
        <v>10.4</v>
      </c>
      <c r="J1997" s="1" t="s">
        <v>95</v>
      </c>
      <c r="M1997" s="1" t="s">
        <v>101</v>
      </c>
      <c r="O1997" s="1">
        <v>2</v>
      </c>
    </row>
    <row r="1998" spans="1:18" ht="14.25" customHeight="1" x14ac:dyDescent="0.3">
      <c r="A1998" s="1" t="s">
        <v>73</v>
      </c>
      <c r="B1998" s="1">
        <v>23</v>
      </c>
      <c r="C1998" s="1">
        <v>29</v>
      </c>
      <c r="D1998" s="1" t="str">
        <f t="shared" si="31"/>
        <v>Yes</v>
      </c>
      <c r="E1998" s="1">
        <v>7</v>
      </c>
      <c r="F1998" s="1">
        <v>87</v>
      </c>
      <c r="G1998" s="1" t="s">
        <v>93</v>
      </c>
      <c r="H1998" s="1" t="s">
        <v>95</v>
      </c>
      <c r="I1998" s="1">
        <v>10.3</v>
      </c>
      <c r="J1998" s="1" t="s">
        <v>95</v>
      </c>
      <c r="M1998" s="1" t="s">
        <v>101</v>
      </c>
      <c r="O1998" s="1">
        <v>2</v>
      </c>
    </row>
    <row r="1999" spans="1:18" ht="14.25" customHeight="1" x14ac:dyDescent="0.3">
      <c r="A1999" s="1" t="s">
        <v>73</v>
      </c>
      <c r="B1999" s="1">
        <v>23</v>
      </c>
      <c r="C1999" s="1">
        <v>28</v>
      </c>
      <c r="D1999" s="1" t="str">
        <f t="shared" si="31"/>
        <v>Yes</v>
      </c>
      <c r="E1999" s="1">
        <v>4.5</v>
      </c>
      <c r="F1999" s="1">
        <v>62</v>
      </c>
      <c r="G1999" s="1" t="s">
        <v>93</v>
      </c>
      <c r="H1999" s="1" t="s">
        <v>95</v>
      </c>
      <c r="I1999" s="1">
        <v>10</v>
      </c>
      <c r="J1999" s="1" t="s">
        <v>95</v>
      </c>
      <c r="M1999" s="1" t="s">
        <v>101</v>
      </c>
      <c r="O1999" s="1">
        <v>5</v>
      </c>
    </row>
    <row r="2000" spans="1:18" ht="14.25" customHeight="1" x14ac:dyDescent="0.3">
      <c r="A2000" s="1" t="s">
        <v>73</v>
      </c>
      <c r="B2000" s="1">
        <v>23</v>
      </c>
      <c r="C2000" s="1">
        <v>32</v>
      </c>
      <c r="D2000" s="1" t="str">
        <f t="shared" si="31"/>
        <v>Yes</v>
      </c>
      <c r="E2000" s="1">
        <v>7.3</v>
      </c>
      <c r="F2000" s="1">
        <v>124</v>
      </c>
      <c r="G2000" s="1" t="s">
        <v>93</v>
      </c>
      <c r="H2000" s="1" t="s">
        <v>95</v>
      </c>
      <c r="I2000" s="1">
        <v>9.5</v>
      </c>
      <c r="J2000" s="1" t="s">
        <v>95</v>
      </c>
      <c r="M2000" s="1" t="s">
        <v>102</v>
      </c>
      <c r="O2000" s="1">
        <v>5</v>
      </c>
    </row>
    <row r="2001" spans="1:18" ht="14.25" customHeight="1" x14ac:dyDescent="0.3">
      <c r="A2001" s="1" t="s">
        <v>73</v>
      </c>
      <c r="B2001" s="1">
        <v>23</v>
      </c>
      <c r="C2001" s="1">
        <v>31</v>
      </c>
      <c r="D2001" s="1" t="str">
        <f t="shared" si="31"/>
        <v>Yes</v>
      </c>
      <c r="E2001" s="1">
        <v>8.9</v>
      </c>
      <c r="F2001" s="1">
        <v>101</v>
      </c>
      <c r="G2001" s="1" t="s">
        <v>93</v>
      </c>
      <c r="H2001" s="1" t="s">
        <v>95</v>
      </c>
      <c r="I2001" s="1">
        <v>9.4</v>
      </c>
      <c r="J2001" s="1" t="s">
        <v>95</v>
      </c>
      <c r="M2001" s="1" t="s">
        <v>101</v>
      </c>
      <c r="O2001" s="1">
        <v>5</v>
      </c>
    </row>
    <row r="2002" spans="1:18" ht="14.25" customHeight="1" x14ac:dyDescent="0.3">
      <c r="A2002" s="1" t="s">
        <v>73</v>
      </c>
      <c r="B2002" s="1">
        <v>23</v>
      </c>
      <c r="C2002" s="1">
        <v>9</v>
      </c>
      <c r="D2002" s="1" t="str">
        <f t="shared" si="31"/>
        <v>Yes</v>
      </c>
      <c r="E2002" s="1">
        <v>10.6</v>
      </c>
      <c r="F2002" s="1">
        <v>295</v>
      </c>
      <c r="G2002" s="1" t="s">
        <v>93</v>
      </c>
      <c r="H2002" s="1" t="s">
        <v>95</v>
      </c>
      <c r="I2002" s="1">
        <v>9</v>
      </c>
      <c r="J2002" s="1" t="s">
        <v>95</v>
      </c>
      <c r="M2002" s="1" t="s">
        <v>101</v>
      </c>
      <c r="O2002" s="1">
        <v>2</v>
      </c>
    </row>
    <row r="2003" spans="1:18" ht="14.25" customHeight="1" x14ac:dyDescent="0.3">
      <c r="A2003" s="1" t="s">
        <v>73</v>
      </c>
      <c r="B2003" s="1">
        <v>23</v>
      </c>
      <c r="C2003" s="1">
        <v>7</v>
      </c>
      <c r="D2003" s="1" t="str">
        <f t="shared" si="31"/>
        <v>Yes</v>
      </c>
      <c r="E2003" s="1">
        <v>4.0999999999999996</v>
      </c>
      <c r="F2003" s="1">
        <v>255</v>
      </c>
      <c r="G2003" s="1" t="s">
        <v>93</v>
      </c>
      <c r="H2003" s="1" t="s">
        <v>95</v>
      </c>
      <c r="I2003" s="1">
        <v>8.5</v>
      </c>
      <c r="J2003" s="1" t="s">
        <v>95</v>
      </c>
      <c r="M2003" s="1" t="s">
        <v>101</v>
      </c>
      <c r="O2003" s="1">
        <v>2</v>
      </c>
    </row>
    <row r="2004" spans="1:18" ht="14.25" customHeight="1" x14ac:dyDescent="0.3">
      <c r="A2004" s="1" t="s">
        <v>73</v>
      </c>
      <c r="B2004" s="1">
        <v>24</v>
      </c>
      <c r="C2004" s="1">
        <v>15</v>
      </c>
      <c r="D2004" s="1" t="str">
        <f t="shared" si="31"/>
        <v>Yes</v>
      </c>
      <c r="E2004" s="1">
        <v>7.6</v>
      </c>
      <c r="F2004" s="1">
        <v>109</v>
      </c>
      <c r="G2004" s="1" t="s">
        <v>106</v>
      </c>
      <c r="H2004" s="1" t="s">
        <v>95</v>
      </c>
      <c r="I2004" s="1">
        <v>33.200000000000003</v>
      </c>
      <c r="J2004" s="1" t="s">
        <v>95</v>
      </c>
      <c r="M2004" s="1" t="s">
        <v>102</v>
      </c>
      <c r="O2004" s="1">
        <v>1</v>
      </c>
    </row>
    <row r="2005" spans="1:18" ht="14.25" customHeight="1" x14ac:dyDescent="0.3">
      <c r="A2005" s="1" t="s">
        <v>73</v>
      </c>
      <c r="B2005" s="1">
        <v>24</v>
      </c>
      <c r="C2005" s="1">
        <v>4</v>
      </c>
      <c r="D2005" s="1" t="str">
        <f t="shared" si="31"/>
        <v>Yes</v>
      </c>
      <c r="E2005" s="1">
        <v>4.5</v>
      </c>
      <c r="F2005" s="1">
        <v>69</v>
      </c>
      <c r="G2005" s="1" t="s">
        <v>106</v>
      </c>
      <c r="H2005" s="1" t="s">
        <v>95</v>
      </c>
      <c r="I2005" s="1">
        <v>24.1</v>
      </c>
      <c r="J2005" s="1" t="s">
        <v>95</v>
      </c>
      <c r="M2005" s="1" t="s">
        <v>102</v>
      </c>
      <c r="O2005" s="1">
        <v>1</v>
      </c>
      <c r="R2005" s="1"/>
    </row>
    <row r="2006" spans="1:18" ht="14.25" customHeight="1" x14ac:dyDescent="0.3">
      <c r="A2006" s="1" t="s">
        <v>73</v>
      </c>
      <c r="B2006" s="1">
        <v>24</v>
      </c>
      <c r="C2006" s="1">
        <v>21</v>
      </c>
      <c r="D2006" s="1" t="str">
        <f t="shared" si="31"/>
        <v>Yes</v>
      </c>
      <c r="E2006" s="1">
        <v>7.3</v>
      </c>
      <c r="F2006" s="1">
        <v>231</v>
      </c>
      <c r="G2006" s="1" t="s">
        <v>106</v>
      </c>
      <c r="H2006" s="1" t="s">
        <v>95</v>
      </c>
      <c r="I2006" s="1">
        <v>21.2</v>
      </c>
      <c r="J2006" s="1" t="s">
        <v>95</v>
      </c>
      <c r="M2006" s="1" t="s">
        <v>101</v>
      </c>
      <c r="O2006" s="1">
        <v>1</v>
      </c>
    </row>
    <row r="2007" spans="1:18" ht="14.25" customHeight="1" x14ac:dyDescent="0.3">
      <c r="A2007" s="1" t="s">
        <v>73</v>
      </c>
      <c r="B2007" s="1">
        <v>24</v>
      </c>
      <c r="C2007" s="1">
        <v>2</v>
      </c>
      <c r="D2007" s="1" t="str">
        <f t="shared" si="31"/>
        <v>Yes</v>
      </c>
      <c r="E2007" s="1">
        <v>2.4</v>
      </c>
      <c r="F2007" s="1">
        <v>62</v>
      </c>
      <c r="G2007" s="1" t="s">
        <v>106</v>
      </c>
      <c r="H2007" s="1" t="s">
        <v>95</v>
      </c>
      <c r="I2007" s="1">
        <v>19</v>
      </c>
      <c r="J2007" s="1" t="s">
        <v>95</v>
      </c>
      <c r="M2007" s="1" t="s">
        <v>102</v>
      </c>
      <c r="O2007" s="1">
        <v>1</v>
      </c>
    </row>
    <row r="2008" spans="1:18" ht="14.25" customHeight="1" x14ac:dyDescent="0.3">
      <c r="A2008" s="1" t="s">
        <v>73</v>
      </c>
      <c r="B2008" s="1">
        <v>24</v>
      </c>
      <c r="C2008" s="1">
        <v>24</v>
      </c>
      <c r="D2008" s="1" t="str">
        <f t="shared" ref="D2008:D2071" si="32">IF(E2008&gt;12.5, "No", "Yes")</f>
        <v>Yes</v>
      </c>
      <c r="E2008" s="1">
        <v>11</v>
      </c>
      <c r="F2008" s="1">
        <v>241</v>
      </c>
      <c r="G2008" s="1" t="s">
        <v>106</v>
      </c>
      <c r="H2008" s="1" t="s">
        <v>95</v>
      </c>
      <c r="I2008" s="1">
        <v>17.8</v>
      </c>
      <c r="J2008" s="1" t="s">
        <v>95</v>
      </c>
      <c r="M2008" s="1" t="s">
        <v>101</v>
      </c>
      <c r="O2008" s="1">
        <v>1</v>
      </c>
    </row>
    <row r="2009" spans="1:18" ht="14.25" customHeight="1" x14ac:dyDescent="0.3">
      <c r="A2009" s="1" t="s">
        <v>73</v>
      </c>
      <c r="B2009" s="1">
        <v>24</v>
      </c>
      <c r="C2009" s="1">
        <v>1</v>
      </c>
      <c r="D2009" s="1" t="str">
        <f t="shared" si="32"/>
        <v>Yes</v>
      </c>
      <c r="E2009" s="1">
        <v>1.1000000000000001</v>
      </c>
      <c r="F2009" s="1">
        <v>17</v>
      </c>
      <c r="G2009" s="1" t="s">
        <v>106</v>
      </c>
      <c r="H2009" s="1" t="s">
        <v>95</v>
      </c>
      <c r="I2009" s="1">
        <v>16</v>
      </c>
      <c r="J2009" s="1" t="s">
        <v>95</v>
      </c>
      <c r="M2009" s="1" t="s">
        <v>101</v>
      </c>
      <c r="O2009" s="1">
        <v>1</v>
      </c>
    </row>
    <row r="2010" spans="1:18" ht="14.25" customHeight="1" x14ac:dyDescent="0.3">
      <c r="A2010" s="1" t="s">
        <v>73</v>
      </c>
      <c r="B2010" s="1">
        <v>24</v>
      </c>
      <c r="C2010" s="1">
        <v>7</v>
      </c>
      <c r="D2010" s="1" t="str">
        <f t="shared" si="32"/>
        <v>Yes</v>
      </c>
      <c r="E2010" s="1">
        <v>6.9</v>
      </c>
      <c r="F2010" s="1">
        <v>69</v>
      </c>
      <c r="G2010" s="1" t="s">
        <v>106</v>
      </c>
      <c r="H2010" s="1" t="s">
        <v>95</v>
      </c>
      <c r="I2010" s="1">
        <v>15.3</v>
      </c>
      <c r="J2010" s="1" t="s">
        <v>95</v>
      </c>
      <c r="M2010" s="1" t="s">
        <v>101</v>
      </c>
      <c r="O2010" s="1">
        <v>1</v>
      </c>
    </row>
    <row r="2011" spans="1:18" ht="14.25" customHeight="1" x14ac:dyDescent="0.3">
      <c r="A2011" s="1" t="s">
        <v>73</v>
      </c>
      <c r="B2011" s="1">
        <v>24</v>
      </c>
      <c r="C2011" s="1">
        <v>31</v>
      </c>
      <c r="D2011" s="1" t="str">
        <f t="shared" si="32"/>
        <v>Yes</v>
      </c>
      <c r="E2011" s="1">
        <v>10.6</v>
      </c>
      <c r="F2011" s="1">
        <v>37</v>
      </c>
      <c r="G2011" s="1" t="s">
        <v>106</v>
      </c>
      <c r="H2011" s="1" t="s">
        <v>95</v>
      </c>
      <c r="I2011" s="1">
        <v>12.6</v>
      </c>
      <c r="J2011" s="1" t="s">
        <v>95</v>
      </c>
      <c r="M2011" s="1" t="s">
        <v>101</v>
      </c>
      <c r="O2011" s="1">
        <v>1</v>
      </c>
      <c r="P2011" s="20"/>
    </row>
    <row r="2012" spans="1:18" ht="14.25" customHeight="1" x14ac:dyDescent="0.3">
      <c r="A2012" s="1" t="s">
        <v>73</v>
      </c>
      <c r="B2012" s="1">
        <v>24</v>
      </c>
      <c r="C2012" s="1">
        <v>6</v>
      </c>
      <c r="D2012" s="1" t="str">
        <f t="shared" si="32"/>
        <v>Yes</v>
      </c>
      <c r="E2012" s="1">
        <v>5.4</v>
      </c>
      <c r="F2012" s="1">
        <v>70</v>
      </c>
      <c r="G2012" s="1" t="s">
        <v>106</v>
      </c>
      <c r="H2012" s="1" t="s">
        <v>95</v>
      </c>
      <c r="I2012" s="1">
        <v>12</v>
      </c>
      <c r="J2012" s="1" t="s">
        <v>95</v>
      </c>
      <c r="M2012" s="1" t="s">
        <v>101</v>
      </c>
      <c r="O2012" s="1">
        <v>1</v>
      </c>
    </row>
    <row r="2013" spans="1:18" ht="14.25" customHeight="1" x14ac:dyDescent="0.3">
      <c r="A2013" s="1" t="s">
        <v>73</v>
      </c>
      <c r="B2013" s="1">
        <v>24</v>
      </c>
      <c r="C2013" s="1">
        <v>8</v>
      </c>
      <c r="D2013" s="1" t="str">
        <f t="shared" si="32"/>
        <v>Yes</v>
      </c>
      <c r="E2013" s="1">
        <v>8.6</v>
      </c>
      <c r="F2013" s="1">
        <v>74</v>
      </c>
      <c r="G2013" s="1" t="s">
        <v>106</v>
      </c>
      <c r="H2013" s="1" t="s">
        <v>95</v>
      </c>
      <c r="I2013" s="1">
        <v>11</v>
      </c>
      <c r="J2013" s="1" t="s">
        <v>95</v>
      </c>
      <c r="M2013" s="1" t="s">
        <v>101</v>
      </c>
      <c r="O2013" s="1">
        <v>1</v>
      </c>
    </row>
    <row r="2014" spans="1:18" ht="14.25" customHeight="1" x14ac:dyDescent="0.3">
      <c r="A2014" s="1" t="s">
        <v>73</v>
      </c>
      <c r="B2014" s="1">
        <v>24</v>
      </c>
      <c r="C2014" s="1">
        <v>9</v>
      </c>
      <c r="D2014" s="1" t="str">
        <f t="shared" si="32"/>
        <v>Yes</v>
      </c>
      <c r="E2014" s="1">
        <v>10.8</v>
      </c>
      <c r="F2014" s="1">
        <v>83</v>
      </c>
      <c r="G2014" s="1" t="s">
        <v>106</v>
      </c>
      <c r="H2014" s="1" t="s">
        <v>95</v>
      </c>
      <c r="I2014" s="1">
        <v>11</v>
      </c>
      <c r="J2014" s="1" t="s">
        <v>95</v>
      </c>
      <c r="M2014" s="1" t="s">
        <v>101</v>
      </c>
      <c r="O2014" s="1">
        <v>1</v>
      </c>
    </row>
    <row r="2015" spans="1:18" ht="14.25" customHeight="1" x14ac:dyDescent="0.3">
      <c r="A2015" s="1" t="s">
        <v>73</v>
      </c>
      <c r="B2015" s="1">
        <v>24</v>
      </c>
      <c r="C2015" s="1">
        <v>3</v>
      </c>
      <c r="D2015" s="1" t="str">
        <f t="shared" si="32"/>
        <v>Yes</v>
      </c>
      <c r="E2015" s="1">
        <v>3.4</v>
      </c>
      <c r="F2015" s="1">
        <v>39</v>
      </c>
      <c r="G2015" s="1" t="s">
        <v>106</v>
      </c>
      <c r="H2015" s="1" t="s">
        <v>95</v>
      </c>
      <c r="I2015" s="1">
        <v>10.7</v>
      </c>
      <c r="J2015" s="1" t="s">
        <v>95</v>
      </c>
      <c r="M2015" s="1" t="s">
        <v>101</v>
      </c>
      <c r="O2015" s="1">
        <v>1</v>
      </c>
    </row>
    <row r="2016" spans="1:18" ht="14.25" customHeight="1" x14ac:dyDescent="0.3">
      <c r="A2016" s="1" t="s">
        <v>73</v>
      </c>
      <c r="B2016" s="1">
        <v>24</v>
      </c>
      <c r="C2016" s="1">
        <v>28</v>
      </c>
      <c r="D2016" s="1" t="str">
        <f t="shared" si="32"/>
        <v>Yes</v>
      </c>
      <c r="E2016" s="1">
        <v>12.3</v>
      </c>
      <c r="F2016" s="1">
        <v>4</v>
      </c>
      <c r="G2016" s="1" t="s">
        <v>106</v>
      </c>
      <c r="H2016" s="1" t="s">
        <v>95</v>
      </c>
      <c r="I2016" s="1">
        <v>10.7</v>
      </c>
      <c r="J2016" s="1" t="s">
        <v>95</v>
      </c>
      <c r="M2016" s="1" t="s">
        <v>101</v>
      </c>
      <c r="O2016" s="1">
        <v>1</v>
      </c>
    </row>
    <row r="2017" spans="1:17" ht="14.25" customHeight="1" x14ac:dyDescent="0.3">
      <c r="A2017" s="1" t="s">
        <v>73</v>
      </c>
      <c r="B2017" s="1">
        <v>24</v>
      </c>
      <c r="C2017" s="1">
        <v>14</v>
      </c>
      <c r="D2017" s="1" t="str">
        <f t="shared" si="32"/>
        <v>Yes</v>
      </c>
      <c r="E2017" s="1">
        <v>9.4</v>
      </c>
      <c r="F2017" s="1">
        <v>118</v>
      </c>
      <c r="G2017" s="1" t="s">
        <v>106</v>
      </c>
      <c r="H2017" s="1" t="s">
        <v>95</v>
      </c>
      <c r="I2017" s="1">
        <v>10.1</v>
      </c>
      <c r="J2017" s="1" t="s">
        <v>95</v>
      </c>
      <c r="M2017" s="1" t="s">
        <v>101</v>
      </c>
      <c r="O2017" s="1">
        <v>5</v>
      </c>
      <c r="Q2017" s="1" t="s">
        <v>224</v>
      </c>
    </row>
    <row r="2018" spans="1:17" ht="14.25" customHeight="1" x14ac:dyDescent="0.3">
      <c r="A2018" s="1" t="s">
        <v>73</v>
      </c>
      <c r="B2018" s="1">
        <v>24</v>
      </c>
      <c r="C2018" s="1">
        <v>26</v>
      </c>
      <c r="D2018" s="1" t="str">
        <f t="shared" si="32"/>
        <v>Yes</v>
      </c>
      <c r="E2018" s="1">
        <v>9.4</v>
      </c>
      <c r="F2018" s="1">
        <v>322</v>
      </c>
      <c r="G2018" s="1" t="s">
        <v>93</v>
      </c>
      <c r="H2018" s="1" t="s">
        <v>95</v>
      </c>
      <c r="I2018" s="1">
        <v>51.1</v>
      </c>
      <c r="J2018" s="1" t="s">
        <v>95</v>
      </c>
      <c r="M2018" s="1" t="s">
        <v>102</v>
      </c>
      <c r="O2018" s="1">
        <v>1</v>
      </c>
      <c r="P2018" s="1">
        <v>829</v>
      </c>
    </row>
    <row r="2019" spans="1:17" ht="14.25" customHeight="1" x14ac:dyDescent="0.3">
      <c r="A2019" s="1" t="s">
        <v>73</v>
      </c>
      <c r="B2019" s="1">
        <v>24</v>
      </c>
      <c r="C2019" s="1">
        <v>18</v>
      </c>
      <c r="D2019" s="1" t="str">
        <f t="shared" si="32"/>
        <v>Yes</v>
      </c>
      <c r="E2019" s="1">
        <v>10.9</v>
      </c>
      <c r="F2019" s="1">
        <v>189</v>
      </c>
      <c r="G2019" s="1" t="s">
        <v>93</v>
      </c>
      <c r="H2019" s="1" t="s">
        <v>95</v>
      </c>
      <c r="I2019" s="1">
        <v>22.7</v>
      </c>
      <c r="J2019" s="1" t="s">
        <v>95</v>
      </c>
      <c r="M2019" s="1" t="s">
        <v>102</v>
      </c>
      <c r="O2019" s="1">
        <v>5</v>
      </c>
    </row>
    <row r="2020" spans="1:17" ht="14.25" customHeight="1" x14ac:dyDescent="0.3">
      <c r="A2020" s="1" t="s">
        <v>73</v>
      </c>
      <c r="B2020" s="1">
        <v>24</v>
      </c>
      <c r="C2020" s="1">
        <v>29</v>
      </c>
      <c r="D2020" s="1" t="str">
        <f t="shared" si="32"/>
        <v>Yes</v>
      </c>
      <c r="E2020" s="1">
        <v>10.199999999999999</v>
      </c>
      <c r="F2020" s="1">
        <v>14</v>
      </c>
      <c r="G2020" s="1" t="s">
        <v>93</v>
      </c>
      <c r="H2020" s="1" t="s">
        <v>95</v>
      </c>
      <c r="I2020" s="1">
        <v>21.7</v>
      </c>
      <c r="J2020" s="1" t="s">
        <v>95</v>
      </c>
      <c r="M2020" s="1" t="s">
        <v>101</v>
      </c>
      <c r="O2020" s="1">
        <v>1</v>
      </c>
    </row>
    <row r="2021" spans="1:17" ht="14.25" customHeight="1" x14ac:dyDescent="0.3">
      <c r="A2021" s="1" t="s">
        <v>73</v>
      </c>
      <c r="B2021" s="1">
        <v>24</v>
      </c>
      <c r="C2021" s="1">
        <v>17</v>
      </c>
      <c r="D2021" s="1" t="str">
        <f t="shared" si="32"/>
        <v>Yes</v>
      </c>
      <c r="E2021" s="1">
        <v>12.4</v>
      </c>
      <c r="F2021" s="1">
        <v>162</v>
      </c>
      <c r="G2021" s="1" t="s">
        <v>93</v>
      </c>
      <c r="H2021" s="1" t="s">
        <v>95</v>
      </c>
      <c r="I2021" s="1">
        <v>17.600000000000001</v>
      </c>
      <c r="J2021" s="1" t="s">
        <v>95</v>
      </c>
      <c r="M2021" s="1" t="s">
        <v>101</v>
      </c>
      <c r="O2021" s="1">
        <v>1</v>
      </c>
    </row>
    <row r="2022" spans="1:17" ht="14.25" customHeight="1" x14ac:dyDescent="0.3">
      <c r="A2022" s="1" t="s">
        <v>73</v>
      </c>
      <c r="B2022" s="1">
        <v>24</v>
      </c>
      <c r="C2022" s="1">
        <v>22</v>
      </c>
      <c r="D2022" s="1" t="str">
        <f t="shared" si="32"/>
        <v>Yes</v>
      </c>
      <c r="E2022" s="1">
        <v>7.8</v>
      </c>
      <c r="F2022" s="1">
        <v>250</v>
      </c>
      <c r="G2022" s="1" t="s">
        <v>93</v>
      </c>
      <c r="H2022" s="1" t="s">
        <v>95</v>
      </c>
      <c r="I2022" s="1">
        <v>15.5</v>
      </c>
      <c r="J2022" s="1" t="s">
        <v>95</v>
      </c>
      <c r="M2022" s="1" t="s">
        <v>101</v>
      </c>
      <c r="O2022" s="1">
        <v>1</v>
      </c>
    </row>
    <row r="2023" spans="1:17" ht="14.25" customHeight="1" x14ac:dyDescent="0.3">
      <c r="A2023" s="1" t="s">
        <v>73</v>
      </c>
      <c r="B2023" s="1">
        <v>24</v>
      </c>
      <c r="C2023" s="1">
        <v>19</v>
      </c>
      <c r="D2023" s="1" t="str">
        <f t="shared" si="32"/>
        <v>Yes</v>
      </c>
      <c r="E2023" s="1">
        <v>4.4000000000000004</v>
      </c>
      <c r="F2023" s="1">
        <v>179</v>
      </c>
      <c r="G2023" s="1" t="s">
        <v>93</v>
      </c>
      <c r="H2023" s="1" t="s">
        <v>95</v>
      </c>
      <c r="I2023" s="1">
        <v>14</v>
      </c>
      <c r="J2023" s="1" t="s">
        <v>95</v>
      </c>
      <c r="M2023" s="1" t="s">
        <v>101</v>
      </c>
      <c r="O2023" s="1">
        <v>1</v>
      </c>
    </row>
    <row r="2024" spans="1:17" ht="14.25" customHeight="1" x14ac:dyDescent="0.3">
      <c r="A2024" s="1" t="s">
        <v>73</v>
      </c>
      <c r="B2024" s="1">
        <v>24</v>
      </c>
      <c r="C2024" s="1">
        <v>20</v>
      </c>
      <c r="D2024" s="1" t="str">
        <f t="shared" si="32"/>
        <v>Yes</v>
      </c>
      <c r="E2024" s="1">
        <v>9</v>
      </c>
      <c r="F2024" s="1">
        <v>203</v>
      </c>
      <c r="G2024" s="1" t="s">
        <v>93</v>
      </c>
      <c r="H2024" s="1" t="s">
        <v>95</v>
      </c>
      <c r="I2024" s="1">
        <v>13.8</v>
      </c>
      <c r="J2024" s="1" t="s">
        <v>95</v>
      </c>
      <c r="M2024" s="1" t="s">
        <v>101</v>
      </c>
      <c r="O2024" s="1">
        <v>1</v>
      </c>
    </row>
    <row r="2025" spans="1:17" ht="14.25" customHeight="1" x14ac:dyDescent="0.3">
      <c r="A2025" s="1" t="s">
        <v>73</v>
      </c>
      <c r="B2025" s="1">
        <v>24</v>
      </c>
      <c r="C2025" s="1">
        <v>27</v>
      </c>
      <c r="D2025" s="1" t="str">
        <f t="shared" si="32"/>
        <v>Yes</v>
      </c>
      <c r="E2025" s="1">
        <v>11.4</v>
      </c>
      <c r="F2025" s="1">
        <v>332</v>
      </c>
      <c r="G2025" s="1" t="s">
        <v>93</v>
      </c>
      <c r="H2025" s="1" t="s">
        <v>95</v>
      </c>
      <c r="I2025" s="1">
        <v>12.3</v>
      </c>
      <c r="J2025" s="1" t="s">
        <v>95</v>
      </c>
      <c r="M2025" s="1" t="s">
        <v>101</v>
      </c>
      <c r="O2025" s="1">
        <v>1</v>
      </c>
    </row>
    <row r="2026" spans="1:17" ht="14.25" customHeight="1" x14ac:dyDescent="0.3">
      <c r="A2026" s="1" t="s">
        <v>73</v>
      </c>
      <c r="B2026" s="1">
        <v>24</v>
      </c>
      <c r="C2026" s="1">
        <v>23</v>
      </c>
      <c r="D2026" s="1" t="str">
        <f t="shared" si="32"/>
        <v>Yes</v>
      </c>
      <c r="E2026" s="1">
        <v>10.5</v>
      </c>
      <c r="F2026" s="1">
        <v>236</v>
      </c>
      <c r="G2026" s="1" t="s">
        <v>93</v>
      </c>
      <c r="H2026" s="1" t="s">
        <v>95</v>
      </c>
      <c r="I2026" s="1">
        <v>11.5</v>
      </c>
      <c r="J2026" s="1" t="s">
        <v>95</v>
      </c>
      <c r="M2026" s="1" t="s">
        <v>101</v>
      </c>
      <c r="O2026" s="1">
        <v>1</v>
      </c>
    </row>
    <row r="2027" spans="1:17" ht="14.25" customHeight="1" x14ac:dyDescent="0.3">
      <c r="A2027" s="1" t="s">
        <v>73</v>
      </c>
      <c r="B2027" s="1">
        <v>24</v>
      </c>
      <c r="C2027" s="1">
        <v>13</v>
      </c>
      <c r="D2027" s="1" t="str">
        <f t="shared" si="32"/>
        <v>Yes</v>
      </c>
      <c r="E2027" s="1">
        <v>7.4</v>
      </c>
      <c r="F2027" s="1">
        <v>107</v>
      </c>
      <c r="G2027" s="1" t="s">
        <v>93</v>
      </c>
      <c r="H2027" s="1" t="s">
        <v>95</v>
      </c>
      <c r="I2027" s="1">
        <v>8</v>
      </c>
      <c r="J2027" s="1" t="s">
        <v>95</v>
      </c>
      <c r="M2027" s="1" t="s">
        <v>101</v>
      </c>
    </row>
    <row r="2028" spans="1:17" ht="14.25" customHeight="1" x14ac:dyDescent="0.3">
      <c r="A2028" s="1" t="s">
        <v>73</v>
      </c>
      <c r="B2028" s="1">
        <v>24</v>
      </c>
      <c r="C2028" s="1">
        <v>10</v>
      </c>
      <c r="D2028" s="1" t="str">
        <f t="shared" si="32"/>
        <v>Yes</v>
      </c>
      <c r="E2028" s="1">
        <v>9.1999999999999993</v>
      </c>
      <c r="F2028" s="1">
        <v>56</v>
      </c>
      <c r="G2028" s="1" t="s">
        <v>106</v>
      </c>
      <c r="H2028" s="1" t="s">
        <v>94</v>
      </c>
      <c r="I2028" s="1">
        <v>26.5</v>
      </c>
      <c r="J2028" s="1" t="s">
        <v>95</v>
      </c>
      <c r="K2028" s="1">
        <v>0</v>
      </c>
      <c r="L2028" s="1">
        <v>1</v>
      </c>
      <c r="M2028" s="1" t="s">
        <v>101</v>
      </c>
    </row>
    <row r="2029" spans="1:17" ht="14.25" customHeight="1" x14ac:dyDescent="0.3">
      <c r="A2029" s="1" t="s">
        <v>73</v>
      </c>
      <c r="B2029" s="1">
        <v>24</v>
      </c>
      <c r="C2029" s="1">
        <v>12</v>
      </c>
      <c r="D2029" s="1" t="str">
        <f t="shared" si="32"/>
        <v>Yes</v>
      </c>
      <c r="E2029" s="1">
        <v>12</v>
      </c>
      <c r="F2029" s="1">
        <v>94</v>
      </c>
      <c r="G2029" s="1" t="s">
        <v>106</v>
      </c>
      <c r="H2029" s="1" t="s">
        <v>94</v>
      </c>
      <c r="I2029" s="1">
        <v>26.1</v>
      </c>
      <c r="J2029" s="1" t="s">
        <v>95</v>
      </c>
      <c r="K2029" s="1">
        <v>1</v>
      </c>
      <c r="L2029" s="1">
        <v>10</v>
      </c>
      <c r="M2029" s="1" t="s">
        <v>101</v>
      </c>
    </row>
    <row r="2030" spans="1:17" ht="14.25" customHeight="1" x14ac:dyDescent="0.3">
      <c r="A2030" s="1" t="s">
        <v>73</v>
      </c>
      <c r="B2030" s="1">
        <v>24</v>
      </c>
      <c r="C2030" s="1">
        <v>5</v>
      </c>
      <c r="D2030" s="1" t="str">
        <f t="shared" si="32"/>
        <v>Yes</v>
      </c>
      <c r="E2030" s="1">
        <v>8.5</v>
      </c>
      <c r="F2030" s="1">
        <v>74</v>
      </c>
      <c r="G2030" s="1" t="s">
        <v>106</v>
      </c>
      <c r="H2030" s="1" t="s">
        <v>94</v>
      </c>
      <c r="I2030" s="1">
        <v>23.2</v>
      </c>
      <c r="J2030" s="1" t="s">
        <v>95</v>
      </c>
      <c r="K2030" s="1">
        <v>0</v>
      </c>
      <c r="L2030" s="1">
        <v>15</v>
      </c>
      <c r="M2030" s="1" t="s">
        <v>102</v>
      </c>
    </row>
    <row r="2031" spans="1:17" ht="14.25" customHeight="1" x14ac:dyDescent="0.3">
      <c r="A2031" s="1" t="s">
        <v>73</v>
      </c>
      <c r="B2031" s="1">
        <v>24</v>
      </c>
      <c r="C2031" s="1">
        <v>30</v>
      </c>
      <c r="D2031" s="1" t="str">
        <f t="shared" si="32"/>
        <v>Yes</v>
      </c>
      <c r="E2031" s="1">
        <v>8</v>
      </c>
      <c r="F2031" s="1">
        <v>35</v>
      </c>
      <c r="G2031" s="1" t="s">
        <v>106</v>
      </c>
      <c r="H2031" s="1" t="s">
        <v>94</v>
      </c>
      <c r="I2031" s="1">
        <v>15.9</v>
      </c>
      <c r="J2031" s="1" t="s">
        <v>95</v>
      </c>
      <c r="K2031" s="1">
        <v>0</v>
      </c>
      <c r="L2031" s="1">
        <v>50</v>
      </c>
      <c r="M2031" s="1" t="s">
        <v>101</v>
      </c>
    </row>
    <row r="2032" spans="1:17" ht="14.25" customHeight="1" x14ac:dyDescent="0.3">
      <c r="A2032" s="1" t="s">
        <v>73</v>
      </c>
      <c r="B2032" s="1">
        <v>24</v>
      </c>
      <c r="C2032" s="1">
        <v>11</v>
      </c>
      <c r="D2032" s="1" t="str">
        <f t="shared" si="32"/>
        <v>Yes</v>
      </c>
      <c r="E2032" s="1">
        <v>11.1</v>
      </c>
      <c r="F2032" s="1">
        <v>67</v>
      </c>
      <c r="G2032" s="1" t="s">
        <v>106</v>
      </c>
      <c r="H2032" s="1" t="s">
        <v>94</v>
      </c>
      <c r="I2032" s="1">
        <v>15.7</v>
      </c>
      <c r="J2032" s="1" t="s">
        <v>95</v>
      </c>
      <c r="K2032" s="1">
        <v>0</v>
      </c>
      <c r="L2032" s="1">
        <v>1</v>
      </c>
      <c r="M2032" s="1" t="s">
        <v>101</v>
      </c>
    </row>
    <row r="2033" spans="1:18" ht="14.25" customHeight="1" x14ac:dyDescent="0.3">
      <c r="A2033" s="1" t="s">
        <v>73</v>
      </c>
      <c r="B2033" s="1">
        <v>24</v>
      </c>
      <c r="C2033" s="1">
        <v>25</v>
      </c>
      <c r="D2033" s="1" t="str">
        <f t="shared" si="32"/>
        <v>Yes</v>
      </c>
      <c r="E2033" s="1">
        <v>12.2</v>
      </c>
      <c r="F2033" s="1">
        <v>294</v>
      </c>
      <c r="G2033" s="1" t="s">
        <v>93</v>
      </c>
      <c r="H2033" s="1" t="s">
        <v>94</v>
      </c>
      <c r="I2033" s="1">
        <v>59.6</v>
      </c>
      <c r="J2033" s="1" t="s">
        <v>95</v>
      </c>
      <c r="K2033" s="1">
        <v>0</v>
      </c>
      <c r="L2033" s="1">
        <v>20</v>
      </c>
      <c r="M2033" s="1" t="s">
        <v>102</v>
      </c>
      <c r="N2033" s="1" t="s">
        <v>100</v>
      </c>
      <c r="P2033" s="1">
        <v>828</v>
      </c>
    </row>
    <row r="2034" spans="1:18" ht="14.25" customHeight="1" x14ac:dyDescent="0.3">
      <c r="A2034" s="1" t="s">
        <v>73</v>
      </c>
      <c r="B2034" s="1">
        <v>24</v>
      </c>
      <c r="C2034" s="1">
        <v>16</v>
      </c>
      <c r="D2034" s="1" t="str">
        <f t="shared" si="32"/>
        <v>Yes</v>
      </c>
      <c r="E2034" s="1">
        <v>6.8</v>
      </c>
      <c r="F2034" s="1">
        <v>124</v>
      </c>
      <c r="G2034" s="1" t="s">
        <v>93</v>
      </c>
      <c r="H2034" s="1" t="s">
        <v>94</v>
      </c>
      <c r="I2034" s="1">
        <v>45.4</v>
      </c>
      <c r="J2034" s="1" t="s">
        <v>95</v>
      </c>
      <c r="K2034" s="1">
        <v>1</v>
      </c>
      <c r="L2034" s="1">
        <v>20</v>
      </c>
      <c r="M2034" s="1" t="s">
        <v>97</v>
      </c>
      <c r="N2034" s="1" t="s">
        <v>100</v>
      </c>
      <c r="P2034" s="1">
        <v>827</v>
      </c>
    </row>
    <row r="2035" spans="1:18" ht="14.25" customHeight="1" x14ac:dyDescent="0.3">
      <c r="A2035" s="1" t="s">
        <v>73</v>
      </c>
      <c r="B2035" s="1">
        <v>25</v>
      </c>
      <c r="C2035" s="1">
        <v>12</v>
      </c>
      <c r="D2035" s="1" t="str">
        <f t="shared" si="32"/>
        <v>Yes</v>
      </c>
      <c r="E2035" s="1">
        <v>5.2</v>
      </c>
      <c r="F2035" s="1">
        <v>272</v>
      </c>
      <c r="G2035" s="1" t="s">
        <v>106</v>
      </c>
      <c r="H2035" s="1" t="s">
        <v>95</v>
      </c>
      <c r="I2035" s="1">
        <v>95.2</v>
      </c>
      <c r="J2035" s="1" t="s">
        <v>95</v>
      </c>
      <c r="M2035" s="1" t="s">
        <v>102</v>
      </c>
      <c r="O2035" s="1">
        <v>5</v>
      </c>
    </row>
    <row r="2036" spans="1:18" ht="14.25" customHeight="1" x14ac:dyDescent="0.3">
      <c r="A2036" s="1" t="s">
        <v>73</v>
      </c>
      <c r="B2036" s="1">
        <v>25</v>
      </c>
      <c r="C2036" s="1">
        <v>1</v>
      </c>
      <c r="D2036" s="1" t="str">
        <f t="shared" si="32"/>
        <v>Yes</v>
      </c>
      <c r="E2036" s="1">
        <v>1.8</v>
      </c>
      <c r="F2036" s="1">
        <v>113</v>
      </c>
      <c r="G2036" s="1" t="s">
        <v>106</v>
      </c>
      <c r="H2036" s="1" t="s">
        <v>95</v>
      </c>
      <c r="I2036" s="1">
        <v>46.2</v>
      </c>
      <c r="J2036" s="1" t="s">
        <v>95</v>
      </c>
      <c r="M2036" s="1" t="s">
        <v>102</v>
      </c>
      <c r="O2036" s="1">
        <v>5</v>
      </c>
      <c r="R2036" s="1"/>
    </row>
    <row r="2037" spans="1:18" ht="14.25" customHeight="1" x14ac:dyDescent="0.3">
      <c r="A2037" s="1" t="s">
        <v>73</v>
      </c>
      <c r="B2037" s="1">
        <v>25</v>
      </c>
      <c r="C2037" s="1">
        <v>20</v>
      </c>
      <c r="D2037" s="1" t="str">
        <f t="shared" si="32"/>
        <v>Yes</v>
      </c>
      <c r="E2037" s="1">
        <v>11.8</v>
      </c>
      <c r="F2037" s="1">
        <v>7</v>
      </c>
      <c r="G2037" s="1" t="s">
        <v>106</v>
      </c>
      <c r="H2037" s="1" t="s">
        <v>95</v>
      </c>
      <c r="I2037" s="1">
        <v>8</v>
      </c>
      <c r="J2037" s="1" t="s">
        <v>95</v>
      </c>
      <c r="M2037" s="1" t="s">
        <v>101</v>
      </c>
      <c r="O2037" s="1">
        <v>1</v>
      </c>
    </row>
    <row r="2038" spans="1:18" ht="14.25" customHeight="1" x14ac:dyDescent="0.3">
      <c r="A2038" s="1" t="s">
        <v>73</v>
      </c>
      <c r="B2038" s="1">
        <v>25</v>
      </c>
      <c r="C2038" s="1">
        <v>4</v>
      </c>
      <c r="D2038" s="1" t="str">
        <f t="shared" si="32"/>
        <v>Yes</v>
      </c>
      <c r="E2038" s="1">
        <v>5.2</v>
      </c>
      <c r="F2038" s="1">
        <v>137</v>
      </c>
      <c r="G2038" s="10" t="s">
        <v>93</v>
      </c>
      <c r="H2038" s="1" t="s">
        <v>95</v>
      </c>
      <c r="I2038" s="1">
        <v>65.8</v>
      </c>
      <c r="J2038" s="1" t="s">
        <v>95</v>
      </c>
      <c r="M2038" s="1" t="s">
        <v>102</v>
      </c>
      <c r="O2038" s="1">
        <v>5</v>
      </c>
      <c r="P2038" s="1">
        <v>831</v>
      </c>
    </row>
    <row r="2039" spans="1:18" ht="14.25" customHeight="1" x14ac:dyDescent="0.3">
      <c r="A2039" s="1" t="s">
        <v>73</v>
      </c>
      <c r="B2039" s="1">
        <v>25</v>
      </c>
      <c r="C2039" s="1">
        <v>16</v>
      </c>
      <c r="D2039" s="1" t="str">
        <f t="shared" si="32"/>
        <v>Yes</v>
      </c>
      <c r="E2039" s="1">
        <v>1.8</v>
      </c>
      <c r="F2039" s="1">
        <v>320</v>
      </c>
      <c r="G2039" s="1" t="s">
        <v>93</v>
      </c>
      <c r="H2039" s="1" t="s">
        <v>95</v>
      </c>
      <c r="I2039" s="1">
        <v>54.3</v>
      </c>
      <c r="J2039" s="1" t="s">
        <v>95</v>
      </c>
      <c r="M2039" s="1" t="s">
        <v>102</v>
      </c>
      <c r="O2039" s="1">
        <v>5</v>
      </c>
    </row>
    <row r="2040" spans="1:18" ht="14.25" customHeight="1" x14ac:dyDescent="0.3">
      <c r="A2040" s="1" t="s">
        <v>73</v>
      </c>
      <c r="B2040" s="1">
        <v>25</v>
      </c>
      <c r="C2040" s="1">
        <v>18</v>
      </c>
      <c r="D2040" s="1" t="str">
        <f t="shared" si="32"/>
        <v>Yes</v>
      </c>
      <c r="E2040" s="1">
        <v>6</v>
      </c>
      <c r="F2040" s="1">
        <v>84</v>
      </c>
      <c r="G2040" s="10" t="s">
        <v>93</v>
      </c>
      <c r="H2040" s="1" t="s">
        <v>95</v>
      </c>
      <c r="I2040" s="1">
        <v>46.8</v>
      </c>
      <c r="J2040" s="1" t="s">
        <v>95</v>
      </c>
      <c r="M2040" s="1" t="s">
        <v>102</v>
      </c>
      <c r="O2040" s="1">
        <v>5</v>
      </c>
    </row>
    <row r="2041" spans="1:18" ht="14.25" customHeight="1" x14ac:dyDescent="0.3">
      <c r="A2041" s="1" t="s">
        <v>73</v>
      </c>
      <c r="B2041" s="1">
        <v>25</v>
      </c>
      <c r="C2041" s="1">
        <v>8</v>
      </c>
      <c r="D2041" s="1" t="str">
        <f t="shared" si="32"/>
        <v>Yes</v>
      </c>
      <c r="E2041" s="1">
        <v>10.3</v>
      </c>
      <c r="F2041" s="1">
        <v>223</v>
      </c>
      <c r="G2041" s="10" t="s">
        <v>93</v>
      </c>
      <c r="H2041" s="1" t="s">
        <v>95</v>
      </c>
      <c r="I2041" s="1">
        <v>40</v>
      </c>
      <c r="J2041" s="1" t="s">
        <v>97</v>
      </c>
      <c r="M2041" s="1" t="s">
        <v>101</v>
      </c>
      <c r="O2041" s="1">
        <v>5</v>
      </c>
      <c r="Q2041" s="1" t="s">
        <v>162</v>
      </c>
    </row>
    <row r="2042" spans="1:18" ht="14.25" customHeight="1" x14ac:dyDescent="0.3">
      <c r="A2042" s="1" t="s">
        <v>73</v>
      </c>
      <c r="B2042" s="1">
        <v>25</v>
      </c>
      <c r="C2042" s="1">
        <v>14</v>
      </c>
      <c r="D2042" s="1" t="str">
        <f t="shared" si="32"/>
        <v>Yes</v>
      </c>
      <c r="E2042" s="1">
        <v>12.1</v>
      </c>
      <c r="F2042" s="1">
        <v>328</v>
      </c>
      <c r="G2042" s="1" t="s">
        <v>93</v>
      </c>
      <c r="H2042" s="1" t="s">
        <v>95</v>
      </c>
      <c r="I2042" s="1">
        <v>34</v>
      </c>
      <c r="J2042" s="1" t="s">
        <v>97</v>
      </c>
      <c r="M2042" s="1" t="s">
        <v>102</v>
      </c>
      <c r="O2042" s="1">
        <v>5</v>
      </c>
    </row>
    <row r="2043" spans="1:18" ht="14.25" customHeight="1" x14ac:dyDescent="0.3">
      <c r="A2043" s="1" t="s">
        <v>73</v>
      </c>
      <c r="B2043" s="1">
        <v>25</v>
      </c>
      <c r="C2043" s="1">
        <v>3</v>
      </c>
      <c r="D2043" s="1" t="str">
        <f t="shared" si="32"/>
        <v>Yes</v>
      </c>
      <c r="E2043" s="1">
        <v>9.6</v>
      </c>
      <c r="F2043" s="1">
        <v>139</v>
      </c>
      <c r="G2043" s="10" t="s">
        <v>93</v>
      </c>
      <c r="H2043" s="1" t="s">
        <v>95</v>
      </c>
      <c r="I2043" s="1">
        <v>33.299999999999997</v>
      </c>
      <c r="J2043" s="1" t="s">
        <v>95</v>
      </c>
      <c r="M2043" s="1" t="s">
        <v>102</v>
      </c>
      <c r="O2043" s="1">
        <v>5</v>
      </c>
    </row>
    <row r="2044" spans="1:18" ht="14.25" customHeight="1" x14ac:dyDescent="0.3">
      <c r="A2044" s="1" t="s">
        <v>73</v>
      </c>
      <c r="B2044" s="1">
        <v>25</v>
      </c>
      <c r="C2044" s="1">
        <v>6</v>
      </c>
      <c r="D2044" s="1" t="str">
        <f t="shared" si="32"/>
        <v>Yes</v>
      </c>
      <c r="E2044" s="1">
        <v>9.1</v>
      </c>
      <c r="F2044" s="1">
        <v>208</v>
      </c>
      <c r="G2044" s="10" t="s">
        <v>93</v>
      </c>
      <c r="H2044" s="1" t="s">
        <v>95</v>
      </c>
      <c r="I2044" s="1">
        <v>29</v>
      </c>
      <c r="J2044" s="1" t="s">
        <v>95</v>
      </c>
      <c r="M2044" s="1" t="s">
        <v>101</v>
      </c>
      <c r="O2044" s="1">
        <v>5</v>
      </c>
    </row>
    <row r="2045" spans="1:18" ht="14.25" customHeight="1" x14ac:dyDescent="0.3">
      <c r="A2045" s="1" t="s">
        <v>73</v>
      </c>
      <c r="B2045" s="1">
        <v>25</v>
      </c>
      <c r="C2045" s="1">
        <v>5</v>
      </c>
      <c r="D2045" s="1" t="str">
        <f t="shared" si="32"/>
        <v>Yes</v>
      </c>
      <c r="E2045" s="1">
        <v>8.1</v>
      </c>
      <c r="F2045" s="1">
        <v>143</v>
      </c>
      <c r="G2045" s="10" t="s">
        <v>93</v>
      </c>
      <c r="H2045" s="1" t="s">
        <v>95</v>
      </c>
      <c r="I2045" s="1">
        <v>28</v>
      </c>
      <c r="J2045" s="1" t="s">
        <v>95</v>
      </c>
      <c r="M2045" s="1" t="s">
        <v>102</v>
      </c>
      <c r="O2045" s="1">
        <v>5</v>
      </c>
    </row>
    <row r="2046" spans="1:18" ht="14.25" customHeight="1" x14ac:dyDescent="0.3">
      <c r="A2046" s="1" t="s">
        <v>73</v>
      </c>
      <c r="B2046" s="1">
        <v>25</v>
      </c>
      <c r="C2046" s="1">
        <v>19</v>
      </c>
      <c r="D2046" s="1" t="str">
        <f t="shared" si="32"/>
        <v>Yes</v>
      </c>
      <c r="E2046" s="1">
        <v>3</v>
      </c>
      <c r="F2046" s="1">
        <v>8</v>
      </c>
      <c r="G2046" s="10" t="s">
        <v>93</v>
      </c>
      <c r="H2046" s="1" t="s">
        <v>95</v>
      </c>
      <c r="I2046" s="1">
        <v>27.5</v>
      </c>
      <c r="J2046" s="1" t="s">
        <v>95</v>
      </c>
      <c r="M2046" s="1" t="s">
        <v>101</v>
      </c>
      <c r="O2046" s="1">
        <v>5</v>
      </c>
    </row>
    <row r="2047" spans="1:18" ht="14.25" customHeight="1" x14ac:dyDescent="0.3">
      <c r="A2047" s="1" t="s">
        <v>73</v>
      </c>
      <c r="B2047" s="1">
        <v>25</v>
      </c>
      <c r="C2047" s="1">
        <v>2</v>
      </c>
      <c r="D2047" s="1" t="str">
        <f t="shared" si="32"/>
        <v>Yes</v>
      </c>
      <c r="E2047" s="1">
        <v>9.1999999999999993</v>
      </c>
      <c r="F2047" s="1">
        <v>132</v>
      </c>
      <c r="G2047" s="10" t="s">
        <v>93</v>
      </c>
      <c r="H2047" s="1" t="s">
        <v>95</v>
      </c>
      <c r="I2047" s="1">
        <v>22.5</v>
      </c>
      <c r="J2047" s="1" t="s">
        <v>95</v>
      </c>
      <c r="M2047" s="1" t="s">
        <v>102</v>
      </c>
      <c r="O2047" s="1">
        <v>5</v>
      </c>
      <c r="R2047" s="1"/>
    </row>
    <row r="2048" spans="1:18" ht="14.25" customHeight="1" x14ac:dyDescent="0.3">
      <c r="A2048" s="1" t="s">
        <v>73</v>
      </c>
      <c r="B2048" s="1">
        <v>25</v>
      </c>
      <c r="C2048" s="1">
        <v>21</v>
      </c>
      <c r="D2048" s="1" t="str">
        <f t="shared" si="32"/>
        <v>Yes</v>
      </c>
      <c r="E2048" s="1">
        <v>12.1</v>
      </c>
      <c r="F2048" s="1">
        <v>48</v>
      </c>
      <c r="G2048" s="10" t="s">
        <v>93</v>
      </c>
      <c r="H2048" s="1" t="s">
        <v>95</v>
      </c>
      <c r="I2048" s="1">
        <v>22.3</v>
      </c>
      <c r="J2048" s="1" t="s">
        <v>95</v>
      </c>
      <c r="M2048" s="1" t="s">
        <v>101</v>
      </c>
      <c r="O2048" s="1">
        <v>1</v>
      </c>
    </row>
    <row r="2049" spans="1:18" ht="14.25" customHeight="1" x14ac:dyDescent="0.3">
      <c r="A2049" s="1" t="s">
        <v>73</v>
      </c>
      <c r="B2049" s="1">
        <v>25</v>
      </c>
      <c r="C2049" s="1">
        <v>10</v>
      </c>
      <c r="D2049" s="1" t="str">
        <f t="shared" si="32"/>
        <v>Yes</v>
      </c>
      <c r="E2049" s="1">
        <v>11.2</v>
      </c>
      <c r="F2049" s="1">
        <v>279</v>
      </c>
      <c r="G2049" s="1" t="s">
        <v>93</v>
      </c>
      <c r="H2049" s="1" t="s">
        <v>95</v>
      </c>
      <c r="I2049" s="1">
        <v>21.1</v>
      </c>
      <c r="J2049" s="1" t="s">
        <v>95</v>
      </c>
      <c r="M2049" s="1" t="s">
        <v>101</v>
      </c>
      <c r="O2049" s="1">
        <v>1</v>
      </c>
    </row>
    <row r="2050" spans="1:18" ht="14.25" customHeight="1" x14ac:dyDescent="0.3">
      <c r="A2050" s="1" t="s">
        <v>73</v>
      </c>
      <c r="B2050" s="1">
        <v>25</v>
      </c>
      <c r="C2050" s="1">
        <v>13</v>
      </c>
      <c r="D2050" s="1" t="str">
        <f t="shared" si="32"/>
        <v>Yes</v>
      </c>
      <c r="E2050" s="1">
        <v>10.4</v>
      </c>
      <c r="F2050" s="1">
        <v>304</v>
      </c>
      <c r="G2050" s="1" t="s">
        <v>93</v>
      </c>
      <c r="H2050" s="1" t="s">
        <v>95</v>
      </c>
      <c r="I2050" s="1">
        <v>18.3</v>
      </c>
      <c r="J2050" s="1" t="s">
        <v>95</v>
      </c>
      <c r="M2050" s="1" t="s">
        <v>101</v>
      </c>
      <c r="O2050" s="1">
        <v>1</v>
      </c>
    </row>
    <row r="2051" spans="1:18" ht="14.25" customHeight="1" x14ac:dyDescent="0.3">
      <c r="A2051" s="1" t="s">
        <v>73</v>
      </c>
      <c r="B2051" s="1">
        <v>25</v>
      </c>
      <c r="C2051" s="1">
        <v>9</v>
      </c>
      <c r="D2051" s="1" t="str">
        <f t="shared" si="32"/>
        <v>Yes</v>
      </c>
      <c r="E2051" s="1">
        <v>11.6</v>
      </c>
      <c r="F2051" s="1">
        <v>245</v>
      </c>
      <c r="G2051" s="10" t="s">
        <v>93</v>
      </c>
      <c r="H2051" s="1" t="s">
        <v>95</v>
      </c>
      <c r="I2051" s="1">
        <v>17.5</v>
      </c>
      <c r="J2051" s="1" t="s">
        <v>95</v>
      </c>
      <c r="M2051" s="1" t="s">
        <v>101</v>
      </c>
      <c r="O2051" s="1">
        <v>5</v>
      </c>
    </row>
    <row r="2052" spans="1:18" ht="14.25" customHeight="1" x14ac:dyDescent="0.3">
      <c r="A2052" s="1" t="s">
        <v>73</v>
      </c>
      <c r="B2052" s="1">
        <v>25</v>
      </c>
      <c r="C2052" s="1">
        <v>7</v>
      </c>
      <c r="D2052" s="1" t="str">
        <f t="shared" si="32"/>
        <v>Yes</v>
      </c>
      <c r="E2052" s="1">
        <v>10.3</v>
      </c>
      <c r="F2052" s="1">
        <v>185</v>
      </c>
      <c r="G2052" s="10" t="s">
        <v>93</v>
      </c>
      <c r="H2052" s="1" t="s">
        <v>95</v>
      </c>
      <c r="I2052" s="1">
        <v>15</v>
      </c>
      <c r="J2052" s="1" t="s">
        <v>101</v>
      </c>
      <c r="M2052" s="1" t="s">
        <v>101</v>
      </c>
      <c r="O2052" s="1">
        <v>5</v>
      </c>
      <c r="Q2052" s="1" t="s">
        <v>162</v>
      </c>
    </row>
    <row r="2053" spans="1:18" ht="14.25" customHeight="1" x14ac:dyDescent="0.3">
      <c r="A2053" s="1" t="s">
        <v>73</v>
      </c>
      <c r="B2053" s="1">
        <v>25</v>
      </c>
      <c r="C2053" s="1">
        <v>17</v>
      </c>
      <c r="D2053" s="1" t="str">
        <f t="shared" si="32"/>
        <v>Yes</v>
      </c>
      <c r="E2053" s="1">
        <v>7.5</v>
      </c>
      <c r="F2053" s="1">
        <v>24</v>
      </c>
      <c r="G2053" s="1" t="s">
        <v>96</v>
      </c>
      <c r="H2053" s="1" t="s">
        <v>94</v>
      </c>
      <c r="I2053" s="19">
        <v>8.3000000000000007</v>
      </c>
      <c r="J2053" s="1" t="s">
        <v>95</v>
      </c>
      <c r="K2053" s="1">
        <v>0</v>
      </c>
      <c r="L2053" s="1">
        <v>5</v>
      </c>
      <c r="M2053" s="1" t="s">
        <v>95</v>
      </c>
      <c r="N2053" s="1" t="s">
        <v>186</v>
      </c>
      <c r="P2053" s="1">
        <v>830</v>
      </c>
    </row>
    <row r="2054" spans="1:18" ht="14.25" customHeight="1" x14ac:dyDescent="0.3">
      <c r="A2054" s="1" t="s">
        <v>73</v>
      </c>
      <c r="B2054" s="1">
        <v>25</v>
      </c>
      <c r="C2054" s="1">
        <v>15</v>
      </c>
      <c r="D2054" s="1" t="str">
        <f t="shared" si="32"/>
        <v>Yes</v>
      </c>
      <c r="E2054" s="1">
        <v>8.5</v>
      </c>
      <c r="F2054" s="1">
        <v>353</v>
      </c>
      <c r="G2054" s="1" t="s">
        <v>93</v>
      </c>
      <c r="H2054" s="1" t="s">
        <v>94</v>
      </c>
      <c r="I2054" s="1">
        <v>62</v>
      </c>
      <c r="J2054" s="1" t="s">
        <v>95</v>
      </c>
      <c r="K2054" s="1">
        <v>0</v>
      </c>
      <c r="L2054" s="1">
        <v>25</v>
      </c>
      <c r="M2054" s="1" t="s">
        <v>101</v>
      </c>
      <c r="P2054" s="1">
        <v>832</v>
      </c>
    </row>
    <row r="2055" spans="1:18" ht="14.25" customHeight="1" x14ac:dyDescent="0.3">
      <c r="A2055" s="1" t="s">
        <v>73</v>
      </c>
      <c r="B2055" s="1">
        <v>25</v>
      </c>
      <c r="C2055" s="1">
        <v>11</v>
      </c>
      <c r="D2055" s="1" t="str">
        <f t="shared" si="32"/>
        <v>Yes</v>
      </c>
      <c r="E2055" s="1">
        <v>10.6</v>
      </c>
      <c r="F2055" s="1">
        <v>302</v>
      </c>
      <c r="G2055" s="1" t="s">
        <v>93</v>
      </c>
      <c r="H2055" s="1" t="s">
        <v>94</v>
      </c>
      <c r="I2055" s="1">
        <v>37.299999999999997</v>
      </c>
      <c r="J2055" s="1" t="s">
        <v>95</v>
      </c>
      <c r="K2055" s="1">
        <v>0</v>
      </c>
      <c r="L2055" s="1">
        <v>55</v>
      </c>
      <c r="M2055" s="1" t="s">
        <v>102</v>
      </c>
      <c r="N2055" s="1" t="s">
        <v>100</v>
      </c>
    </row>
    <row r="2056" spans="1:18" ht="14.25" customHeight="1" x14ac:dyDescent="0.3">
      <c r="A2056" s="1" t="s">
        <v>73</v>
      </c>
      <c r="B2056" s="1">
        <v>26</v>
      </c>
      <c r="C2056" s="1">
        <v>3</v>
      </c>
      <c r="D2056" s="1" t="str">
        <f t="shared" si="32"/>
        <v>Yes</v>
      </c>
      <c r="E2056" s="1">
        <v>4.3</v>
      </c>
      <c r="F2056" s="1">
        <v>26</v>
      </c>
      <c r="G2056" s="1" t="s">
        <v>96</v>
      </c>
      <c r="H2056" s="1" t="s">
        <v>95</v>
      </c>
      <c r="I2056" s="1">
        <v>16.399999999999999</v>
      </c>
      <c r="J2056" s="1" t="s">
        <v>95</v>
      </c>
      <c r="M2056" s="1" t="s">
        <v>101</v>
      </c>
      <c r="O2056" s="1">
        <v>1</v>
      </c>
    </row>
    <row r="2057" spans="1:18" ht="14.25" customHeight="1" x14ac:dyDescent="0.3">
      <c r="A2057" s="1" t="s">
        <v>73</v>
      </c>
      <c r="B2057" s="1">
        <v>26</v>
      </c>
      <c r="C2057" s="1">
        <v>11</v>
      </c>
      <c r="D2057" s="1" t="str">
        <f t="shared" si="32"/>
        <v>Yes</v>
      </c>
      <c r="E2057" s="1">
        <v>8.6999999999999993</v>
      </c>
      <c r="F2057" s="1">
        <v>104</v>
      </c>
      <c r="G2057" s="1" t="s">
        <v>96</v>
      </c>
      <c r="H2057" s="1" t="s">
        <v>95</v>
      </c>
      <c r="I2057" s="1">
        <v>15.3</v>
      </c>
      <c r="J2057" s="1" t="s">
        <v>95</v>
      </c>
      <c r="M2057" s="1" t="s">
        <v>101</v>
      </c>
      <c r="O2057" s="1">
        <v>1</v>
      </c>
    </row>
    <row r="2058" spans="1:18" ht="14.25" customHeight="1" x14ac:dyDescent="0.3">
      <c r="A2058" s="1" t="s">
        <v>73</v>
      </c>
      <c r="B2058" s="1">
        <v>26</v>
      </c>
      <c r="C2058" s="1">
        <v>23</v>
      </c>
      <c r="D2058" s="1" t="str">
        <f t="shared" si="32"/>
        <v>Yes</v>
      </c>
      <c r="E2058" s="1">
        <v>6.9</v>
      </c>
      <c r="F2058" s="1">
        <v>245</v>
      </c>
      <c r="G2058" s="1" t="s">
        <v>109</v>
      </c>
      <c r="H2058" s="1" t="s">
        <v>95</v>
      </c>
      <c r="I2058" s="1">
        <v>21.6</v>
      </c>
      <c r="J2058" s="1" t="s">
        <v>95</v>
      </c>
      <c r="M2058" s="1" t="s">
        <v>102</v>
      </c>
      <c r="O2058" s="1">
        <v>1</v>
      </c>
    </row>
    <row r="2059" spans="1:18" ht="14.25" customHeight="1" x14ac:dyDescent="0.3">
      <c r="A2059" s="1" t="s">
        <v>73</v>
      </c>
      <c r="B2059" s="1">
        <v>26</v>
      </c>
      <c r="C2059" s="1">
        <v>2</v>
      </c>
      <c r="D2059" s="1" t="str">
        <f t="shared" si="32"/>
        <v>Yes</v>
      </c>
      <c r="E2059" s="1">
        <v>8.4</v>
      </c>
      <c r="F2059" s="1">
        <v>4</v>
      </c>
      <c r="G2059" s="1" t="s">
        <v>109</v>
      </c>
      <c r="H2059" s="1" t="s">
        <v>95</v>
      </c>
      <c r="I2059" s="1">
        <v>9.5</v>
      </c>
      <c r="J2059" s="1" t="s">
        <v>95</v>
      </c>
      <c r="M2059" s="1" t="s">
        <v>101</v>
      </c>
      <c r="O2059" s="1">
        <v>1</v>
      </c>
      <c r="R2059" s="1"/>
    </row>
    <row r="2060" spans="1:18" ht="14.25" customHeight="1" x14ac:dyDescent="0.3">
      <c r="A2060" s="1" t="s">
        <v>73</v>
      </c>
      <c r="B2060" s="1">
        <v>26</v>
      </c>
      <c r="C2060" s="1">
        <v>25</v>
      </c>
      <c r="D2060" s="1" t="str">
        <f t="shared" si="32"/>
        <v>Yes</v>
      </c>
      <c r="E2060" s="1">
        <v>7.3</v>
      </c>
      <c r="F2060" s="1">
        <v>255</v>
      </c>
      <c r="G2060" s="1" t="s">
        <v>106</v>
      </c>
      <c r="H2060" s="1" t="s">
        <v>95</v>
      </c>
      <c r="I2060" s="1">
        <v>37.4</v>
      </c>
      <c r="J2060" s="1" t="s">
        <v>95</v>
      </c>
      <c r="M2060" s="1" t="s">
        <v>101</v>
      </c>
      <c r="O2060" s="1">
        <v>1</v>
      </c>
    </row>
    <row r="2061" spans="1:18" ht="14.25" customHeight="1" x14ac:dyDescent="0.3">
      <c r="A2061" s="1" t="s">
        <v>73</v>
      </c>
      <c r="B2061" s="1">
        <v>26</v>
      </c>
      <c r="C2061" s="1">
        <v>29</v>
      </c>
      <c r="D2061" s="1" t="str">
        <f t="shared" si="32"/>
        <v>Yes</v>
      </c>
      <c r="E2061" s="1">
        <v>6.7</v>
      </c>
      <c r="F2061" s="1">
        <v>307</v>
      </c>
      <c r="G2061" s="1" t="s">
        <v>106</v>
      </c>
      <c r="H2061" s="1" t="s">
        <v>95</v>
      </c>
      <c r="I2061" s="1">
        <v>24.3</v>
      </c>
      <c r="J2061" s="1" t="s">
        <v>95</v>
      </c>
      <c r="M2061" s="1" t="s">
        <v>101</v>
      </c>
      <c r="O2061" s="1">
        <v>1</v>
      </c>
    </row>
    <row r="2062" spans="1:18" ht="14.25" customHeight="1" x14ac:dyDescent="0.3">
      <c r="A2062" s="1" t="s">
        <v>73</v>
      </c>
      <c r="B2062" s="1">
        <v>26</v>
      </c>
      <c r="C2062" s="1">
        <v>20</v>
      </c>
      <c r="D2062" s="1" t="str">
        <f t="shared" si="32"/>
        <v>Yes</v>
      </c>
      <c r="E2062" s="1">
        <v>12.4</v>
      </c>
      <c r="F2062" s="1">
        <v>206</v>
      </c>
      <c r="G2062" s="1" t="s">
        <v>106</v>
      </c>
      <c r="H2062" s="1" t="s">
        <v>95</v>
      </c>
      <c r="I2062" s="1">
        <v>22.5</v>
      </c>
      <c r="J2062" s="1" t="s">
        <v>95</v>
      </c>
      <c r="M2062" s="1" t="s">
        <v>101</v>
      </c>
      <c r="O2062" s="1">
        <v>1</v>
      </c>
    </row>
    <row r="2063" spans="1:18" ht="14.25" customHeight="1" x14ac:dyDescent="0.3">
      <c r="A2063" s="1" t="s">
        <v>73</v>
      </c>
      <c r="B2063" s="1">
        <v>26</v>
      </c>
      <c r="C2063" s="1">
        <v>9</v>
      </c>
      <c r="D2063" s="1" t="str">
        <f t="shared" si="32"/>
        <v>Yes</v>
      </c>
      <c r="E2063" s="1">
        <v>5.8</v>
      </c>
      <c r="F2063" s="1">
        <v>89</v>
      </c>
      <c r="G2063" s="1" t="s">
        <v>106</v>
      </c>
      <c r="H2063" s="1" t="s">
        <v>95</v>
      </c>
      <c r="I2063" s="1">
        <v>12.3</v>
      </c>
      <c r="J2063" s="1" t="s">
        <v>95</v>
      </c>
      <c r="M2063" s="1" t="s">
        <v>101</v>
      </c>
      <c r="O2063" s="1">
        <v>1</v>
      </c>
    </row>
    <row r="2064" spans="1:18" ht="14.25" customHeight="1" x14ac:dyDescent="0.3">
      <c r="A2064" s="1" t="s">
        <v>73</v>
      </c>
      <c r="B2064" s="1">
        <v>26</v>
      </c>
      <c r="C2064" s="1">
        <v>24</v>
      </c>
      <c r="D2064" s="1" t="str">
        <f t="shared" si="32"/>
        <v>Yes</v>
      </c>
      <c r="E2064" s="1">
        <v>9.8000000000000007</v>
      </c>
      <c r="F2064" s="1">
        <v>211</v>
      </c>
      <c r="G2064" s="1" t="s">
        <v>106</v>
      </c>
      <c r="H2064" s="1" t="s">
        <v>95</v>
      </c>
      <c r="I2064" s="1">
        <v>9.1</v>
      </c>
      <c r="J2064" s="1" t="s">
        <v>95</v>
      </c>
      <c r="M2064" s="1" t="s">
        <v>101</v>
      </c>
      <c r="O2064" s="1">
        <v>1</v>
      </c>
    </row>
    <row r="2065" spans="1:18" ht="14.25" customHeight="1" x14ac:dyDescent="0.3">
      <c r="A2065" s="1" t="s">
        <v>73</v>
      </c>
      <c r="B2065" s="1">
        <v>26</v>
      </c>
      <c r="C2065" s="1">
        <v>28</v>
      </c>
      <c r="D2065" s="1" t="str">
        <f t="shared" si="32"/>
        <v>Yes</v>
      </c>
      <c r="E2065" s="1">
        <v>9.4</v>
      </c>
      <c r="F2065" s="1">
        <v>275</v>
      </c>
      <c r="G2065" s="1" t="s">
        <v>93</v>
      </c>
      <c r="H2065" s="1" t="s">
        <v>95</v>
      </c>
      <c r="I2065" s="1">
        <v>96.5</v>
      </c>
      <c r="J2065" s="1" t="s">
        <v>95</v>
      </c>
      <c r="M2065" s="1" t="s">
        <v>97</v>
      </c>
      <c r="O2065" s="1">
        <v>4</v>
      </c>
    </row>
    <row r="2066" spans="1:18" ht="14.25" customHeight="1" x14ac:dyDescent="0.3">
      <c r="A2066" s="1" t="s">
        <v>73</v>
      </c>
      <c r="B2066" s="1">
        <v>26</v>
      </c>
      <c r="C2066" s="1">
        <v>32</v>
      </c>
      <c r="D2066" s="1" t="str">
        <f t="shared" si="32"/>
        <v>Yes</v>
      </c>
      <c r="E2066" s="1">
        <v>9.5</v>
      </c>
      <c r="F2066" s="1">
        <v>291</v>
      </c>
      <c r="G2066" s="1" t="s">
        <v>93</v>
      </c>
      <c r="H2066" s="1" t="s">
        <v>95</v>
      </c>
      <c r="I2066" s="1">
        <v>91.1</v>
      </c>
      <c r="J2066" s="1" t="s">
        <v>95</v>
      </c>
      <c r="M2066" s="1" t="s">
        <v>97</v>
      </c>
      <c r="O2066" s="1">
        <v>2</v>
      </c>
      <c r="R2066" s="1"/>
    </row>
    <row r="2067" spans="1:18" ht="14.25" customHeight="1" x14ac:dyDescent="0.3">
      <c r="A2067" s="1" t="s">
        <v>73</v>
      </c>
      <c r="B2067" s="1">
        <v>26</v>
      </c>
      <c r="C2067" s="1">
        <v>31</v>
      </c>
      <c r="D2067" s="1" t="str">
        <f t="shared" si="32"/>
        <v>Yes</v>
      </c>
      <c r="E2067" s="1">
        <v>10.3</v>
      </c>
      <c r="F2067" s="1">
        <v>281</v>
      </c>
      <c r="G2067" s="1" t="s">
        <v>93</v>
      </c>
      <c r="H2067" s="1" t="s">
        <v>95</v>
      </c>
      <c r="I2067" s="1">
        <v>78.599999999999994</v>
      </c>
      <c r="J2067" s="1" t="s">
        <v>101</v>
      </c>
      <c r="M2067" s="1" t="s">
        <v>97</v>
      </c>
      <c r="O2067" s="1">
        <v>5</v>
      </c>
    </row>
    <row r="2068" spans="1:18" ht="14.25" customHeight="1" x14ac:dyDescent="0.3">
      <c r="A2068" s="1" t="s">
        <v>73</v>
      </c>
      <c r="B2068" s="1">
        <v>26</v>
      </c>
      <c r="C2068" s="1">
        <v>5</v>
      </c>
      <c r="D2068" s="1" t="str">
        <f t="shared" si="32"/>
        <v>Yes</v>
      </c>
      <c r="E2068" s="1">
        <v>11.5</v>
      </c>
      <c r="F2068" s="1">
        <v>39</v>
      </c>
      <c r="G2068" s="1" t="s">
        <v>93</v>
      </c>
      <c r="H2068" s="1" t="s">
        <v>95</v>
      </c>
      <c r="I2068" s="19">
        <v>77</v>
      </c>
      <c r="J2068" s="1" t="s">
        <v>95</v>
      </c>
      <c r="M2068" s="1" t="s">
        <v>102</v>
      </c>
      <c r="O2068" s="1">
        <v>1</v>
      </c>
    </row>
    <row r="2069" spans="1:18" ht="14.25" customHeight="1" x14ac:dyDescent="0.3">
      <c r="A2069" s="1" t="s">
        <v>73</v>
      </c>
      <c r="B2069" s="1">
        <v>26</v>
      </c>
      <c r="C2069" s="1">
        <v>14</v>
      </c>
      <c r="D2069" s="1" t="str">
        <f t="shared" si="32"/>
        <v>Yes</v>
      </c>
      <c r="E2069" s="1">
        <v>7.6</v>
      </c>
      <c r="F2069" s="1">
        <v>177</v>
      </c>
      <c r="G2069" s="1" t="s">
        <v>93</v>
      </c>
      <c r="H2069" s="1" t="s">
        <v>95</v>
      </c>
      <c r="I2069" s="1">
        <v>62.2</v>
      </c>
      <c r="J2069" s="1" t="s">
        <v>95</v>
      </c>
      <c r="M2069" s="1" t="s">
        <v>101</v>
      </c>
      <c r="O2069" s="1">
        <v>1</v>
      </c>
    </row>
    <row r="2070" spans="1:18" ht="14.25" customHeight="1" x14ac:dyDescent="0.3">
      <c r="A2070" s="1" t="s">
        <v>73</v>
      </c>
      <c r="B2070" s="1">
        <v>26</v>
      </c>
      <c r="C2070" s="1">
        <v>7</v>
      </c>
      <c r="D2070" s="1" t="str">
        <f t="shared" si="32"/>
        <v>Yes</v>
      </c>
      <c r="E2070" s="1">
        <v>6.4</v>
      </c>
      <c r="F2070" s="1">
        <v>51</v>
      </c>
      <c r="G2070" s="1" t="s">
        <v>93</v>
      </c>
      <c r="H2070" s="1" t="s">
        <v>95</v>
      </c>
      <c r="I2070" s="1">
        <v>51.5</v>
      </c>
      <c r="J2070" s="1" t="s">
        <v>95</v>
      </c>
      <c r="M2070" s="1" t="s">
        <v>102</v>
      </c>
      <c r="O2070" s="1">
        <v>1</v>
      </c>
      <c r="P2070" s="1">
        <v>833</v>
      </c>
    </row>
    <row r="2071" spans="1:18" ht="14.25" customHeight="1" x14ac:dyDescent="0.3">
      <c r="A2071" s="1" t="s">
        <v>73</v>
      </c>
      <c r="B2071" s="1">
        <v>26</v>
      </c>
      <c r="C2071" s="1">
        <v>12</v>
      </c>
      <c r="D2071" s="1" t="str">
        <f t="shared" si="32"/>
        <v>Yes</v>
      </c>
      <c r="E2071" s="1">
        <v>10.8</v>
      </c>
      <c r="F2071" s="1">
        <v>112</v>
      </c>
      <c r="G2071" s="1" t="s">
        <v>93</v>
      </c>
      <c r="H2071" s="1" t="s">
        <v>95</v>
      </c>
      <c r="I2071" s="1">
        <v>36.799999999999997</v>
      </c>
      <c r="J2071" s="1" t="s">
        <v>95</v>
      </c>
      <c r="M2071" s="1" t="s">
        <v>102</v>
      </c>
      <c r="O2071" s="1">
        <v>1</v>
      </c>
    </row>
    <row r="2072" spans="1:18" ht="14.25" customHeight="1" x14ac:dyDescent="0.3">
      <c r="A2072" s="1" t="s">
        <v>73</v>
      </c>
      <c r="B2072" s="1">
        <v>26</v>
      </c>
      <c r="C2072" s="1">
        <v>18</v>
      </c>
      <c r="D2072" s="1" t="str">
        <f t="shared" ref="D2072:D2135" si="33">IF(E2072&gt;12.5, "No", "Yes")</f>
        <v>Yes</v>
      </c>
      <c r="E2072" s="1">
        <v>10</v>
      </c>
      <c r="F2072" s="1">
        <v>190</v>
      </c>
      <c r="G2072" s="1" t="s">
        <v>93</v>
      </c>
      <c r="H2072" s="1" t="s">
        <v>95</v>
      </c>
      <c r="I2072" s="1">
        <v>36.700000000000003</v>
      </c>
      <c r="J2072" s="1" t="s">
        <v>95</v>
      </c>
      <c r="M2072" s="1" t="s">
        <v>101</v>
      </c>
      <c r="O2072" s="1">
        <v>1</v>
      </c>
    </row>
    <row r="2073" spans="1:18" ht="14.25" customHeight="1" x14ac:dyDescent="0.3">
      <c r="A2073" s="1" t="s">
        <v>73</v>
      </c>
      <c r="B2073" s="1">
        <v>26</v>
      </c>
      <c r="C2073" s="1">
        <v>22</v>
      </c>
      <c r="D2073" s="1" t="str">
        <f t="shared" si="33"/>
        <v>Yes</v>
      </c>
      <c r="E2073" s="1">
        <v>11.2</v>
      </c>
      <c r="F2073" s="1">
        <v>209</v>
      </c>
      <c r="G2073" s="1" t="s">
        <v>93</v>
      </c>
      <c r="H2073" s="1" t="s">
        <v>95</v>
      </c>
      <c r="I2073" s="1">
        <v>35.9</v>
      </c>
      <c r="J2073" s="1" t="s">
        <v>95</v>
      </c>
      <c r="M2073" s="1" t="s">
        <v>102</v>
      </c>
      <c r="O2073" s="1">
        <v>1</v>
      </c>
    </row>
    <row r="2074" spans="1:18" ht="14.25" customHeight="1" x14ac:dyDescent="0.3">
      <c r="A2074" s="1" t="s">
        <v>73</v>
      </c>
      <c r="B2074" s="1">
        <v>26</v>
      </c>
      <c r="C2074" s="1">
        <v>17</v>
      </c>
      <c r="D2074" s="1" t="str">
        <f t="shared" si="33"/>
        <v>Yes</v>
      </c>
      <c r="E2074" s="1">
        <v>12</v>
      </c>
      <c r="F2074" s="1">
        <v>145</v>
      </c>
      <c r="G2074" s="1" t="s">
        <v>93</v>
      </c>
      <c r="H2074" s="1" t="s">
        <v>95</v>
      </c>
      <c r="I2074" s="1">
        <v>35.700000000000003</v>
      </c>
      <c r="J2074" s="1" t="s">
        <v>95</v>
      </c>
      <c r="M2074" s="1" t="s">
        <v>102</v>
      </c>
      <c r="O2074" s="1">
        <v>1</v>
      </c>
    </row>
    <row r="2075" spans="1:18" ht="14.25" customHeight="1" x14ac:dyDescent="0.3">
      <c r="A2075" s="1" t="s">
        <v>73</v>
      </c>
      <c r="B2075" s="1">
        <v>26</v>
      </c>
      <c r="C2075" s="1">
        <v>15</v>
      </c>
      <c r="D2075" s="1" t="str">
        <f t="shared" si="33"/>
        <v>Yes</v>
      </c>
      <c r="E2075" s="1">
        <v>11</v>
      </c>
      <c r="F2075" s="1">
        <v>131</v>
      </c>
      <c r="G2075" s="1" t="s">
        <v>93</v>
      </c>
      <c r="H2075" s="1" t="s">
        <v>95</v>
      </c>
      <c r="I2075" s="1">
        <v>33.200000000000003</v>
      </c>
      <c r="J2075" s="1" t="s">
        <v>95</v>
      </c>
      <c r="M2075" s="1" t="s">
        <v>101</v>
      </c>
      <c r="O2075" s="1">
        <v>1</v>
      </c>
    </row>
    <row r="2076" spans="1:18" ht="14.25" customHeight="1" x14ac:dyDescent="0.3">
      <c r="A2076" s="1" t="s">
        <v>73</v>
      </c>
      <c r="B2076" s="1">
        <v>26</v>
      </c>
      <c r="C2076" s="1">
        <v>19</v>
      </c>
      <c r="D2076" s="1" t="str">
        <f t="shared" si="33"/>
        <v>Yes</v>
      </c>
      <c r="E2076" s="1">
        <v>7</v>
      </c>
      <c r="F2076" s="1">
        <v>188</v>
      </c>
      <c r="G2076" s="1" t="s">
        <v>93</v>
      </c>
      <c r="H2076" s="1" t="s">
        <v>95</v>
      </c>
      <c r="I2076" s="1">
        <v>30</v>
      </c>
      <c r="J2076" s="1" t="s">
        <v>95</v>
      </c>
      <c r="M2076" s="1" t="s">
        <v>101</v>
      </c>
      <c r="O2076" s="1">
        <v>1</v>
      </c>
    </row>
    <row r="2077" spans="1:18" ht="14.25" customHeight="1" x14ac:dyDescent="0.3">
      <c r="A2077" s="1" t="s">
        <v>73</v>
      </c>
      <c r="B2077" s="1">
        <v>26</v>
      </c>
      <c r="C2077" s="1">
        <v>37</v>
      </c>
      <c r="D2077" s="1" t="str">
        <f t="shared" si="33"/>
        <v>Yes</v>
      </c>
      <c r="E2077" s="1">
        <v>9</v>
      </c>
      <c r="F2077" s="1">
        <v>353</v>
      </c>
      <c r="G2077" s="1" t="s">
        <v>93</v>
      </c>
      <c r="H2077" s="1" t="s">
        <v>95</v>
      </c>
      <c r="I2077" s="1">
        <v>29.5</v>
      </c>
      <c r="J2077" s="1" t="s">
        <v>95</v>
      </c>
      <c r="M2077" s="1" t="s">
        <v>101</v>
      </c>
      <c r="O2077" s="1">
        <v>1</v>
      </c>
      <c r="Q2077" t="s">
        <v>983</v>
      </c>
    </row>
    <row r="2078" spans="1:18" ht="14.25" customHeight="1" x14ac:dyDescent="0.3">
      <c r="A2078" s="1" t="s">
        <v>73</v>
      </c>
      <c r="B2078" s="1">
        <v>26</v>
      </c>
      <c r="C2078" s="1">
        <v>36</v>
      </c>
      <c r="D2078" s="1" t="str">
        <f t="shared" si="33"/>
        <v>Yes</v>
      </c>
      <c r="E2078" s="1">
        <v>12.3</v>
      </c>
      <c r="F2078" s="1">
        <v>317</v>
      </c>
      <c r="G2078" s="1" t="s">
        <v>93</v>
      </c>
      <c r="H2078" s="1" t="s">
        <v>95</v>
      </c>
      <c r="I2078" s="1">
        <v>29.2</v>
      </c>
      <c r="J2078" s="1" t="s">
        <v>95</v>
      </c>
      <c r="M2078" s="1" t="s">
        <v>101</v>
      </c>
      <c r="O2078" s="1">
        <v>1</v>
      </c>
    </row>
    <row r="2079" spans="1:18" ht="14.25" customHeight="1" x14ac:dyDescent="0.3">
      <c r="A2079" s="1" t="s">
        <v>73</v>
      </c>
      <c r="B2079" s="1">
        <v>26</v>
      </c>
      <c r="C2079" s="1">
        <v>27</v>
      </c>
      <c r="D2079" s="1" t="str">
        <f t="shared" si="33"/>
        <v>Yes</v>
      </c>
      <c r="E2079" s="1">
        <v>10.5</v>
      </c>
      <c r="F2079" s="1">
        <v>275</v>
      </c>
      <c r="G2079" s="1" t="s">
        <v>93</v>
      </c>
      <c r="H2079" s="1" t="s">
        <v>95</v>
      </c>
      <c r="I2079" s="1">
        <v>26.3</v>
      </c>
      <c r="J2079" s="1" t="s">
        <v>95</v>
      </c>
      <c r="M2079" s="1" t="s">
        <v>101</v>
      </c>
      <c r="O2079" s="1">
        <v>5</v>
      </c>
    </row>
    <row r="2080" spans="1:18" ht="14.25" customHeight="1" x14ac:dyDescent="0.3">
      <c r="A2080" s="1" t="s">
        <v>73</v>
      </c>
      <c r="B2080" s="1">
        <v>26</v>
      </c>
      <c r="C2080" s="1">
        <v>4</v>
      </c>
      <c r="D2080" s="1" t="str">
        <f t="shared" si="33"/>
        <v>Yes</v>
      </c>
      <c r="E2080" s="1">
        <v>10.5</v>
      </c>
      <c r="F2080" s="1">
        <v>37</v>
      </c>
      <c r="G2080" s="1" t="s">
        <v>93</v>
      </c>
      <c r="H2080" s="1" t="s">
        <v>95</v>
      </c>
      <c r="I2080" s="1">
        <v>22.3</v>
      </c>
      <c r="J2080" s="1" t="s">
        <v>95</v>
      </c>
      <c r="M2080" s="1" t="s">
        <v>101</v>
      </c>
      <c r="O2080" s="1">
        <v>1</v>
      </c>
    </row>
    <row r="2081" spans="1:17" ht="14.25" customHeight="1" x14ac:dyDescent="0.3">
      <c r="A2081" s="1" t="s">
        <v>73</v>
      </c>
      <c r="B2081" s="1">
        <v>26</v>
      </c>
      <c r="C2081" s="1">
        <v>13</v>
      </c>
      <c r="D2081" s="1" t="str">
        <f t="shared" si="33"/>
        <v>Yes</v>
      </c>
      <c r="E2081" s="1">
        <v>7.1</v>
      </c>
      <c r="F2081" s="1">
        <v>177</v>
      </c>
      <c r="G2081" s="1" t="s">
        <v>93</v>
      </c>
      <c r="H2081" s="1" t="s">
        <v>95</v>
      </c>
      <c r="I2081" s="1">
        <v>20.100000000000001</v>
      </c>
      <c r="J2081" s="1" t="s">
        <v>95</v>
      </c>
      <c r="M2081" s="1" t="s">
        <v>101</v>
      </c>
      <c r="O2081" s="1">
        <v>1</v>
      </c>
    </row>
    <row r="2082" spans="1:17" ht="14.25" customHeight="1" x14ac:dyDescent="0.3">
      <c r="A2082" s="1" t="s">
        <v>73</v>
      </c>
      <c r="B2082" s="1">
        <v>26</v>
      </c>
      <c r="C2082" s="1">
        <v>10</v>
      </c>
      <c r="D2082" s="1" t="str">
        <f t="shared" si="33"/>
        <v>Yes</v>
      </c>
      <c r="E2082" s="1">
        <v>6.7</v>
      </c>
      <c r="F2082" s="1">
        <v>101</v>
      </c>
      <c r="G2082" s="1" t="s">
        <v>93</v>
      </c>
      <c r="H2082" s="1" t="s">
        <v>95</v>
      </c>
      <c r="I2082" s="1">
        <v>19.100000000000001</v>
      </c>
      <c r="J2082" s="1" t="s">
        <v>95</v>
      </c>
      <c r="M2082" s="1" t="s">
        <v>101</v>
      </c>
      <c r="O2082" s="1">
        <v>1</v>
      </c>
    </row>
    <row r="2083" spans="1:17" ht="14.25" customHeight="1" x14ac:dyDescent="0.3">
      <c r="A2083" s="1" t="s">
        <v>73</v>
      </c>
      <c r="B2083" s="1">
        <v>26</v>
      </c>
      <c r="C2083" s="1">
        <v>16</v>
      </c>
      <c r="D2083" s="1" t="str">
        <f t="shared" si="33"/>
        <v>Yes</v>
      </c>
      <c r="E2083" s="1">
        <v>9.1</v>
      </c>
      <c r="F2083" s="1">
        <v>173</v>
      </c>
      <c r="G2083" s="1" t="s">
        <v>93</v>
      </c>
      <c r="H2083" s="1" t="s">
        <v>95</v>
      </c>
      <c r="I2083" s="1">
        <v>18</v>
      </c>
      <c r="J2083" s="1" t="s">
        <v>101</v>
      </c>
      <c r="M2083" s="1" t="s">
        <v>101</v>
      </c>
      <c r="O2083" s="1">
        <v>5</v>
      </c>
      <c r="Q2083" s="1" t="s">
        <v>162</v>
      </c>
    </row>
    <row r="2084" spans="1:17" ht="14.25" customHeight="1" x14ac:dyDescent="0.3">
      <c r="A2084" s="1" t="s">
        <v>73</v>
      </c>
      <c r="B2084" s="1">
        <v>26</v>
      </c>
      <c r="C2084" s="1">
        <v>26</v>
      </c>
      <c r="D2084" s="1" t="str">
        <f t="shared" si="33"/>
        <v>Yes</v>
      </c>
      <c r="E2084" s="1">
        <v>10.1</v>
      </c>
      <c r="F2084" s="1">
        <v>217</v>
      </c>
      <c r="G2084" s="1" t="s">
        <v>93</v>
      </c>
      <c r="H2084" s="1" t="s">
        <v>95</v>
      </c>
      <c r="I2084" s="1">
        <v>18</v>
      </c>
      <c r="J2084" s="1" t="s">
        <v>95</v>
      </c>
      <c r="M2084" s="1" t="s">
        <v>101</v>
      </c>
      <c r="O2084" s="1">
        <v>1</v>
      </c>
    </row>
    <row r="2085" spans="1:17" ht="14.25" customHeight="1" x14ac:dyDescent="0.3">
      <c r="A2085" s="1" t="s">
        <v>73</v>
      </c>
      <c r="B2085" s="1">
        <v>26</v>
      </c>
      <c r="C2085" s="1">
        <v>1</v>
      </c>
      <c r="D2085" s="1" t="str">
        <f t="shared" si="33"/>
        <v>Yes</v>
      </c>
      <c r="E2085" s="1">
        <v>6.9</v>
      </c>
      <c r="F2085" s="1">
        <v>7</v>
      </c>
      <c r="G2085" s="10" t="s">
        <v>93</v>
      </c>
      <c r="H2085" s="1" t="s">
        <v>95</v>
      </c>
      <c r="I2085" s="1">
        <v>16.100000000000001</v>
      </c>
      <c r="J2085" s="1" t="s">
        <v>95</v>
      </c>
      <c r="M2085" s="1" t="s">
        <v>101</v>
      </c>
      <c r="O2085" s="1">
        <v>1</v>
      </c>
    </row>
    <row r="2086" spans="1:17" ht="14.25" customHeight="1" x14ac:dyDescent="0.3">
      <c r="A2086" s="1" t="s">
        <v>73</v>
      </c>
      <c r="B2086" s="1">
        <v>26</v>
      </c>
      <c r="C2086" s="1">
        <v>8</v>
      </c>
      <c r="D2086" s="1" t="str">
        <f t="shared" si="33"/>
        <v>Yes</v>
      </c>
      <c r="E2086" s="1">
        <v>4.5</v>
      </c>
      <c r="F2086" s="1">
        <v>89</v>
      </c>
      <c r="G2086" s="1" t="s">
        <v>93</v>
      </c>
      <c r="H2086" s="1" t="s">
        <v>95</v>
      </c>
      <c r="I2086" s="1">
        <v>13.7</v>
      </c>
      <c r="J2086" s="1" t="s">
        <v>95</v>
      </c>
      <c r="M2086" s="1" t="s">
        <v>101</v>
      </c>
      <c r="O2086" s="1">
        <v>1</v>
      </c>
    </row>
    <row r="2087" spans="1:17" ht="14.25" customHeight="1" x14ac:dyDescent="0.3">
      <c r="A2087" s="1" t="s">
        <v>73</v>
      </c>
      <c r="B2087" s="1">
        <v>26</v>
      </c>
      <c r="C2087" s="1">
        <v>35</v>
      </c>
      <c r="D2087" s="1" t="str">
        <f t="shared" si="33"/>
        <v>Yes</v>
      </c>
      <c r="E2087" s="1">
        <v>1.1000000000000001</v>
      </c>
      <c r="F2087" s="1">
        <v>342</v>
      </c>
      <c r="G2087" s="1" t="s">
        <v>93</v>
      </c>
      <c r="H2087" s="1" t="s">
        <v>95</v>
      </c>
      <c r="I2087" s="1">
        <v>12.1</v>
      </c>
      <c r="J2087" s="1" t="s">
        <v>95</v>
      </c>
      <c r="M2087" s="1" t="s">
        <v>101</v>
      </c>
      <c r="O2087" s="1">
        <v>1</v>
      </c>
    </row>
    <row r="2088" spans="1:17" ht="14.25" customHeight="1" x14ac:dyDescent="0.3">
      <c r="A2088" s="1" t="s">
        <v>73</v>
      </c>
      <c r="B2088" s="1">
        <v>26</v>
      </c>
      <c r="C2088" s="1">
        <v>6</v>
      </c>
      <c r="D2088" s="1" t="str">
        <f t="shared" si="33"/>
        <v>Yes</v>
      </c>
      <c r="E2088" s="1">
        <v>11.7</v>
      </c>
      <c r="F2088" s="1">
        <v>46</v>
      </c>
      <c r="G2088" s="1" t="s">
        <v>93</v>
      </c>
      <c r="H2088" s="1" t="s">
        <v>95</v>
      </c>
      <c r="I2088" s="1">
        <v>12</v>
      </c>
      <c r="J2088" s="1" t="s">
        <v>101</v>
      </c>
      <c r="M2088" s="1" t="s">
        <v>101</v>
      </c>
      <c r="O2088" s="1">
        <v>5</v>
      </c>
      <c r="Q2088" s="1" t="s">
        <v>162</v>
      </c>
    </row>
    <row r="2089" spans="1:17" ht="14.25" customHeight="1" x14ac:dyDescent="0.3">
      <c r="A2089" s="1" t="s">
        <v>73</v>
      </c>
      <c r="B2089" s="1">
        <v>26</v>
      </c>
      <c r="C2089" s="1">
        <v>34</v>
      </c>
      <c r="D2089" s="1" t="str">
        <f t="shared" si="33"/>
        <v>Yes</v>
      </c>
      <c r="E2089" s="1">
        <v>7.4</v>
      </c>
      <c r="F2089" s="1">
        <v>272</v>
      </c>
      <c r="G2089" s="1" t="s">
        <v>93</v>
      </c>
      <c r="H2089" s="1" t="s">
        <v>95</v>
      </c>
      <c r="I2089" s="1">
        <v>11</v>
      </c>
      <c r="J2089" s="1" t="s">
        <v>95</v>
      </c>
      <c r="M2089" s="1" t="s">
        <v>101</v>
      </c>
      <c r="O2089" s="1">
        <v>1</v>
      </c>
    </row>
    <row r="2090" spans="1:17" ht="14.25" customHeight="1" x14ac:dyDescent="0.3">
      <c r="A2090" s="1" t="s">
        <v>73</v>
      </c>
      <c r="B2090" s="1">
        <v>26</v>
      </c>
      <c r="C2090" s="1">
        <v>21</v>
      </c>
      <c r="D2090" s="1" t="str">
        <f t="shared" si="33"/>
        <v>Yes</v>
      </c>
      <c r="E2090" s="1">
        <v>10.8</v>
      </c>
      <c r="F2090" s="1">
        <v>235</v>
      </c>
      <c r="G2090" s="1" t="s">
        <v>109</v>
      </c>
      <c r="H2090" s="1" t="s">
        <v>94</v>
      </c>
      <c r="I2090" s="1">
        <v>52.1</v>
      </c>
      <c r="J2090" s="1" t="s">
        <v>95</v>
      </c>
      <c r="K2090" s="1">
        <v>0</v>
      </c>
      <c r="L2090" s="1">
        <v>45</v>
      </c>
      <c r="M2090" s="1" t="s">
        <v>97</v>
      </c>
      <c r="P2090" s="1">
        <v>834</v>
      </c>
    </row>
    <row r="2091" spans="1:17" ht="14.25" customHeight="1" x14ac:dyDescent="0.3">
      <c r="A2091" s="1" t="s">
        <v>73</v>
      </c>
      <c r="B2091" s="1">
        <v>26</v>
      </c>
      <c r="C2091" s="1">
        <v>30</v>
      </c>
      <c r="D2091" s="1" t="str">
        <f t="shared" si="33"/>
        <v>Yes</v>
      </c>
      <c r="E2091" s="1">
        <v>7.7</v>
      </c>
      <c r="F2091" s="1">
        <v>310</v>
      </c>
      <c r="G2091" s="1" t="s">
        <v>109</v>
      </c>
      <c r="H2091" s="1" t="s">
        <v>94</v>
      </c>
      <c r="I2091" s="1">
        <v>36.4</v>
      </c>
      <c r="J2091" s="1" t="s">
        <v>95</v>
      </c>
      <c r="K2091" s="1">
        <v>0</v>
      </c>
      <c r="L2091" s="1">
        <v>60</v>
      </c>
      <c r="M2091" s="1" t="s">
        <v>101</v>
      </c>
      <c r="P2091" s="1">
        <v>835</v>
      </c>
    </row>
    <row r="2092" spans="1:17" ht="14.25" customHeight="1" x14ac:dyDescent="0.3">
      <c r="A2092" s="1" t="s">
        <v>73</v>
      </c>
      <c r="B2092" s="1">
        <v>26</v>
      </c>
      <c r="C2092" s="1">
        <v>33</v>
      </c>
      <c r="D2092" s="1" t="str">
        <f t="shared" si="33"/>
        <v>Yes</v>
      </c>
      <c r="E2092" s="1">
        <v>4.3</v>
      </c>
      <c r="F2092" s="1">
        <v>329</v>
      </c>
      <c r="G2092" s="1" t="s">
        <v>106</v>
      </c>
      <c r="H2092" s="1" t="s">
        <v>94</v>
      </c>
      <c r="I2092" s="1">
        <v>27</v>
      </c>
      <c r="J2092" s="1" t="s">
        <v>95</v>
      </c>
      <c r="K2092" s="1">
        <v>0</v>
      </c>
      <c r="L2092" s="1">
        <v>75</v>
      </c>
      <c r="M2092" s="1" t="s">
        <v>101</v>
      </c>
    </row>
    <row r="2093" spans="1:17" ht="14.25" customHeight="1" x14ac:dyDescent="0.3">
      <c r="A2093" s="1" t="s">
        <v>73</v>
      </c>
      <c r="B2093" s="1">
        <v>27</v>
      </c>
      <c r="C2093" s="1">
        <v>3</v>
      </c>
      <c r="D2093" s="1" t="str">
        <f t="shared" si="33"/>
        <v>No</v>
      </c>
      <c r="E2093" s="1">
        <v>12.6</v>
      </c>
      <c r="F2093" s="1">
        <v>53</v>
      </c>
      <c r="G2093" s="1" t="s">
        <v>93</v>
      </c>
      <c r="H2093" s="1" t="s">
        <v>95</v>
      </c>
      <c r="I2093" s="1">
        <v>25.1</v>
      </c>
      <c r="J2093" s="1" t="s">
        <v>95</v>
      </c>
      <c r="M2093" s="1" t="s">
        <v>102</v>
      </c>
      <c r="O2093" s="1">
        <v>1</v>
      </c>
    </row>
    <row r="2094" spans="1:17" ht="14.25" customHeight="1" x14ac:dyDescent="0.3">
      <c r="A2094" s="1" t="s">
        <v>73</v>
      </c>
      <c r="B2094" s="1">
        <v>27</v>
      </c>
      <c r="C2094" s="1">
        <v>16</v>
      </c>
      <c r="D2094" s="1" t="str">
        <f t="shared" si="33"/>
        <v>Yes</v>
      </c>
      <c r="E2094" s="1">
        <v>3.6</v>
      </c>
      <c r="F2094" s="1">
        <v>153</v>
      </c>
      <c r="G2094" s="1" t="s">
        <v>109</v>
      </c>
      <c r="H2094" s="1" t="s">
        <v>95</v>
      </c>
      <c r="I2094" s="1">
        <v>130</v>
      </c>
      <c r="J2094" s="1" t="s">
        <v>97</v>
      </c>
      <c r="M2094" s="1" t="s">
        <v>97</v>
      </c>
      <c r="O2094" s="1">
        <v>5</v>
      </c>
    </row>
    <row r="2095" spans="1:17" ht="14.25" customHeight="1" x14ac:dyDescent="0.3">
      <c r="A2095" s="1" t="s">
        <v>73</v>
      </c>
      <c r="B2095" s="1">
        <v>27</v>
      </c>
      <c r="C2095" s="1">
        <v>15</v>
      </c>
      <c r="D2095" s="1" t="str">
        <f t="shared" si="33"/>
        <v>Yes</v>
      </c>
      <c r="E2095" s="1">
        <v>7.4</v>
      </c>
      <c r="F2095" s="1">
        <v>237</v>
      </c>
      <c r="G2095" s="1" t="s">
        <v>109</v>
      </c>
      <c r="H2095" s="1" t="s">
        <v>95</v>
      </c>
      <c r="I2095" s="1">
        <v>120</v>
      </c>
      <c r="J2095" s="1" t="s">
        <v>97</v>
      </c>
      <c r="M2095" s="1" t="s">
        <v>97</v>
      </c>
      <c r="O2095" s="1">
        <v>5</v>
      </c>
    </row>
    <row r="2096" spans="1:17" ht="14.25" customHeight="1" x14ac:dyDescent="0.3">
      <c r="A2096" s="1" t="s">
        <v>73</v>
      </c>
      <c r="B2096" s="1">
        <v>27</v>
      </c>
      <c r="C2096" s="1">
        <v>1</v>
      </c>
      <c r="D2096" s="1" t="str">
        <f t="shared" si="33"/>
        <v>Yes</v>
      </c>
      <c r="E2096" s="1">
        <v>7.3</v>
      </c>
      <c r="F2096" s="1">
        <v>41</v>
      </c>
      <c r="G2096" s="1" t="s">
        <v>109</v>
      </c>
      <c r="H2096" s="1" t="s">
        <v>95</v>
      </c>
      <c r="I2096" s="1">
        <v>58</v>
      </c>
      <c r="J2096" s="1" t="s">
        <v>95</v>
      </c>
      <c r="M2096" s="1" t="s">
        <v>102</v>
      </c>
      <c r="O2096" s="1">
        <v>5</v>
      </c>
    </row>
    <row r="2097" spans="1:18" ht="14.25" customHeight="1" x14ac:dyDescent="0.3">
      <c r="A2097" s="1" t="s">
        <v>73</v>
      </c>
      <c r="B2097" s="1">
        <v>27</v>
      </c>
      <c r="C2097" s="1">
        <v>20</v>
      </c>
      <c r="D2097" s="1" t="str">
        <f t="shared" si="33"/>
        <v>Yes</v>
      </c>
      <c r="E2097" s="1">
        <v>5.3</v>
      </c>
      <c r="F2097" s="1">
        <v>310</v>
      </c>
      <c r="G2097" s="1" t="s">
        <v>109</v>
      </c>
      <c r="H2097" s="1" t="s">
        <v>95</v>
      </c>
      <c r="I2097" s="1">
        <v>40</v>
      </c>
      <c r="J2097" s="1" t="s">
        <v>101</v>
      </c>
      <c r="M2097" s="1" t="s">
        <v>102</v>
      </c>
      <c r="O2097" s="1">
        <v>5</v>
      </c>
      <c r="Q2097" s="1" t="s">
        <v>162</v>
      </c>
    </row>
    <row r="2098" spans="1:18" ht="14.25" customHeight="1" x14ac:dyDescent="0.3">
      <c r="A2098" s="1" t="s">
        <v>73</v>
      </c>
      <c r="B2098" s="1">
        <v>27</v>
      </c>
      <c r="C2098" s="1">
        <v>10</v>
      </c>
      <c r="D2098" s="1" t="str">
        <f t="shared" si="33"/>
        <v>Yes</v>
      </c>
      <c r="E2098" s="1">
        <v>5.0999999999999996</v>
      </c>
      <c r="F2098" s="1">
        <v>151</v>
      </c>
      <c r="G2098" s="1" t="s">
        <v>173</v>
      </c>
      <c r="H2098" s="1" t="s">
        <v>95</v>
      </c>
      <c r="I2098" s="1">
        <v>11</v>
      </c>
      <c r="J2098" s="1" t="s">
        <v>95</v>
      </c>
      <c r="M2098" s="1" t="s">
        <v>101</v>
      </c>
      <c r="O2098" s="1">
        <v>5</v>
      </c>
    </row>
    <row r="2099" spans="1:18" ht="14.25" customHeight="1" x14ac:dyDescent="0.3">
      <c r="A2099" s="1" t="s">
        <v>73</v>
      </c>
      <c r="B2099" s="1">
        <v>27</v>
      </c>
      <c r="C2099" s="1">
        <v>11</v>
      </c>
      <c r="D2099" s="1" t="str">
        <f t="shared" si="33"/>
        <v>Yes</v>
      </c>
      <c r="E2099" s="1">
        <v>4.5999999999999996</v>
      </c>
      <c r="F2099" s="1">
        <v>155</v>
      </c>
      <c r="G2099" s="1" t="s">
        <v>173</v>
      </c>
      <c r="H2099" s="1" t="s">
        <v>95</v>
      </c>
      <c r="I2099" s="1">
        <v>11</v>
      </c>
      <c r="J2099" s="1" t="s">
        <v>95</v>
      </c>
      <c r="M2099" s="1" t="s">
        <v>101</v>
      </c>
      <c r="O2099" s="1">
        <v>5</v>
      </c>
    </row>
    <row r="2100" spans="1:18" ht="14.25" customHeight="1" x14ac:dyDescent="0.3">
      <c r="A2100" s="1" t="s">
        <v>73</v>
      </c>
      <c r="B2100" s="1">
        <v>27</v>
      </c>
      <c r="C2100" s="1">
        <v>9</v>
      </c>
      <c r="D2100" s="1" t="str">
        <f t="shared" si="33"/>
        <v>Yes</v>
      </c>
      <c r="E2100" s="1">
        <v>4.5999999999999996</v>
      </c>
      <c r="F2100" s="1">
        <v>149</v>
      </c>
      <c r="G2100" s="1" t="s">
        <v>173</v>
      </c>
      <c r="H2100" s="1" t="s">
        <v>95</v>
      </c>
      <c r="I2100" s="1">
        <v>10</v>
      </c>
      <c r="J2100" s="1" t="s">
        <v>95</v>
      </c>
      <c r="M2100" s="1" t="s">
        <v>101</v>
      </c>
      <c r="O2100" s="1">
        <v>5</v>
      </c>
    </row>
    <row r="2101" spans="1:18" ht="14.25" customHeight="1" x14ac:dyDescent="0.3">
      <c r="A2101" s="1" t="s">
        <v>73</v>
      </c>
      <c r="B2101" s="1">
        <v>27</v>
      </c>
      <c r="C2101" s="1">
        <v>12</v>
      </c>
      <c r="D2101" s="1" t="str">
        <f t="shared" si="33"/>
        <v>Yes</v>
      </c>
      <c r="E2101" s="1">
        <v>5</v>
      </c>
      <c r="F2101" s="1">
        <v>156</v>
      </c>
      <c r="G2101" s="1" t="s">
        <v>173</v>
      </c>
      <c r="H2101" s="1" t="s">
        <v>95</v>
      </c>
      <c r="I2101" s="1">
        <v>8</v>
      </c>
      <c r="J2101" s="1" t="s">
        <v>95</v>
      </c>
      <c r="M2101" s="1" t="s">
        <v>101</v>
      </c>
      <c r="O2101" s="1">
        <v>5</v>
      </c>
    </row>
    <row r="2102" spans="1:18" ht="14.25" customHeight="1" x14ac:dyDescent="0.3">
      <c r="A2102" s="1" t="s">
        <v>73</v>
      </c>
      <c r="B2102" s="1">
        <v>27</v>
      </c>
      <c r="C2102" s="1">
        <v>14</v>
      </c>
      <c r="D2102" s="1" t="str">
        <f t="shared" si="33"/>
        <v>Yes</v>
      </c>
      <c r="E2102" s="1">
        <v>11.8</v>
      </c>
      <c r="F2102" s="1">
        <v>191</v>
      </c>
      <c r="G2102" s="1" t="s">
        <v>93</v>
      </c>
      <c r="H2102" s="1" t="s">
        <v>95</v>
      </c>
      <c r="I2102" s="1">
        <v>67</v>
      </c>
      <c r="J2102" s="1" t="s">
        <v>95</v>
      </c>
      <c r="M2102" s="1" t="s">
        <v>101</v>
      </c>
      <c r="O2102" s="1">
        <v>1</v>
      </c>
    </row>
    <row r="2103" spans="1:18" ht="14.25" customHeight="1" x14ac:dyDescent="0.3">
      <c r="A2103" s="1" t="s">
        <v>73</v>
      </c>
      <c r="B2103" s="1">
        <v>27</v>
      </c>
      <c r="C2103" s="1">
        <v>17</v>
      </c>
      <c r="D2103" s="1" t="str">
        <f t="shared" si="33"/>
        <v>Yes</v>
      </c>
      <c r="E2103" s="1">
        <v>1.6</v>
      </c>
      <c r="F2103" s="1">
        <v>206</v>
      </c>
      <c r="G2103" s="1" t="s">
        <v>93</v>
      </c>
      <c r="H2103" s="1" t="s">
        <v>95</v>
      </c>
      <c r="I2103" s="1">
        <v>40</v>
      </c>
      <c r="J2103" s="1" t="s">
        <v>97</v>
      </c>
      <c r="M2103" s="1" t="s">
        <v>102</v>
      </c>
      <c r="O2103" s="1">
        <v>5</v>
      </c>
    </row>
    <row r="2104" spans="1:18" ht="14.25" customHeight="1" x14ac:dyDescent="0.3">
      <c r="A2104" s="1" t="s">
        <v>73</v>
      </c>
      <c r="B2104" s="1">
        <v>27</v>
      </c>
      <c r="C2104" s="1">
        <v>2</v>
      </c>
      <c r="D2104" s="1" t="str">
        <f t="shared" si="33"/>
        <v>Yes</v>
      </c>
      <c r="E2104" s="1">
        <v>7.4</v>
      </c>
      <c r="F2104" s="1">
        <v>73</v>
      </c>
      <c r="G2104" s="1" t="s">
        <v>93</v>
      </c>
      <c r="H2104" s="1" t="s">
        <v>95</v>
      </c>
      <c r="I2104" s="1">
        <v>32</v>
      </c>
      <c r="J2104" s="1" t="s">
        <v>95</v>
      </c>
      <c r="M2104" s="1" t="s">
        <v>102</v>
      </c>
      <c r="O2104" s="1">
        <v>1</v>
      </c>
      <c r="P2104" s="1">
        <v>840</v>
      </c>
    </row>
    <row r="2105" spans="1:18" ht="14.25" customHeight="1" x14ac:dyDescent="0.3">
      <c r="A2105" s="1" t="s">
        <v>73</v>
      </c>
      <c r="B2105" s="1">
        <v>27</v>
      </c>
      <c r="C2105" s="1">
        <v>18</v>
      </c>
      <c r="D2105" s="1" t="str">
        <f t="shared" si="33"/>
        <v>Yes</v>
      </c>
      <c r="E2105" s="1">
        <v>8.6999999999999993</v>
      </c>
      <c r="F2105" s="1">
        <v>232</v>
      </c>
      <c r="G2105" s="1" t="s">
        <v>93</v>
      </c>
      <c r="H2105" s="1" t="s">
        <v>95</v>
      </c>
      <c r="I2105" s="1">
        <v>31</v>
      </c>
      <c r="J2105" s="1" t="s">
        <v>97</v>
      </c>
      <c r="M2105" s="1" t="s">
        <v>102</v>
      </c>
      <c r="O2105" s="1">
        <v>5</v>
      </c>
    </row>
    <row r="2106" spans="1:18" ht="14.25" customHeight="1" x14ac:dyDescent="0.3">
      <c r="A2106" s="1" t="s">
        <v>73</v>
      </c>
      <c r="B2106" s="1">
        <v>27</v>
      </c>
      <c r="C2106" s="1">
        <v>26</v>
      </c>
      <c r="D2106" s="1" t="str">
        <f t="shared" si="33"/>
        <v>Yes</v>
      </c>
      <c r="E2106" s="1">
        <v>10</v>
      </c>
      <c r="F2106" s="1">
        <v>353</v>
      </c>
      <c r="G2106" s="1" t="s">
        <v>93</v>
      </c>
      <c r="H2106" s="1" t="s">
        <v>95</v>
      </c>
      <c r="I2106" s="1">
        <v>30.4</v>
      </c>
      <c r="J2106" s="1" t="s">
        <v>95</v>
      </c>
      <c r="M2106" s="1" t="s">
        <v>102</v>
      </c>
      <c r="O2106" s="1">
        <v>1</v>
      </c>
      <c r="P2106" s="1">
        <v>841</v>
      </c>
    </row>
    <row r="2107" spans="1:18" ht="14.25" customHeight="1" x14ac:dyDescent="0.3">
      <c r="A2107" s="1" t="s">
        <v>73</v>
      </c>
      <c r="B2107" s="1">
        <v>27</v>
      </c>
      <c r="C2107" s="1">
        <v>7</v>
      </c>
      <c r="D2107" s="1" t="str">
        <f t="shared" si="33"/>
        <v>Yes</v>
      </c>
      <c r="E2107" s="1">
        <v>6.9</v>
      </c>
      <c r="F2107" s="1">
        <v>129</v>
      </c>
      <c r="G2107" s="1" t="s">
        <v>93</v>
      </c>
      <c r="H2107" s="1" t="s">
        <v>95</v>
      </c>
      <c r="I2107" s="1">
        <v>28</v>
      </c>
      <c r="J2107" s="1" t="s">
        <v>95</v>
      </c>
      <c r="M2107" s="1" t="s">
        <v>101</v>
      </c>
      <c r="O2107" s="1">
        <v>1</v>
      </c>
    </row>
    <row r="2108" spans="1:18" ht="14.25" customHeight="1" x14ac:dyDescent="0.3">
      <c r="A2108" s="1" t="s">
        <v>73</v>
      </c>
      <c r="B2108" s="1">
        <v>27</v>
      </c>
      <c r="C2108" s="1">
        <v>4</v>
      </c>
      <c r="D2108" s="1" t="str">
        <f t="shared" si="33"/>
        <v>Yes</v>
      </c>
      <c r="E2108" s="1">
        <v>11.7</v>
      </c>
      <c r="F2108" s="1">
        <v>104</v>
      </c>
      <c r="G2108" s="1" t="s">
        <v>93</v>
      </c>
      <c r="H2108" s="1" t="s">
        <v>95</v>
      </c>
      <c r="I2108" s="1">
        <v>19.8</v>
      </c>
      <c r="J2108" s="1" t="s">
        <v>95</v>
      </c>
      <c r="M2108" s="1" t="s">
        <v>101</v>
      </c>
      <c r="O2108" s="1">
        <v>1</v>
      </c>
    </row>
    <row r="2109" spans="1:18" ht="14.25" customHeight="1" x14ac:dyDescent="0.3">
      <c r="A2109" s="1" t="s">
        <v>73</v>
      </c>
      <c r="B2109" s="1">
        <v>27</v>
      </c>
      <c r="C2109" s="1">
        <v>13</v>
      </c>
      <c r="D2109" s="1" t="str">
        <f t="shared" si="33"/>
        <v>Yes</v>
      </c>
      <c r="E2109" s="1">
        <v>11.2</v>
      </c>
      <c r="F2109" s="1">
        <v>173</v>
      </c>
      <c r="G2109" s="1" t="s">
        <v>93</v>
      </c>
      <c r="H2109" s="1" t="s">
        <v>95</v>
      </c>
      <c r="I2109" s="1">
        <v>18.899999999999999</v>
      </c>
      <c r="J2109" s="1" t="s">
        <v>95</v>
      </c>
      <c r="M2109" s="1" t="s">
        <v>101</v>
      </c>
      <c r="O2109" s="1">
        <v>1</v>
      </c>
    </row>
    <row r="2110" spans="1:18" ht="14.25" customHeight="1" x14ac:dyDescent="0.3">
      <c r="A2110" s="1" t="s">
        <v>73</v>
      </c>
      <c r="B2110" s="1">
        <v>27</v>
      </c>
      <c r="C2110" s="1">
        <v>8</v>
      </c>
      <c r="D2110" s="1" t="str">
        <f t="shared" si="33"/>
        <v>Yes</v>
      </c>
      <c r="E2110" s="1">
        <v>4.9000000000000004</v>
      </c>
      <c r="F2110" s="1">
        <v>100</v>
      </c>
      <c r="G2110" s="1" t="s">
        <v>93</v>
      </c>
      <c r="H2110" s="1" t="s">
        <v>95</v>
      </c>
      <c r="I2110" s="1">
        <v>18</v>
      </c>
      <c r="J2110" s="1" t="s">
        <v>95</v>
      </c>
      <c r="M2110" s="1" t="s">
        <v>101</v>
      </c>
      <c r="O2110" s="1">
        <v>5</v>
      </c>
    </row>
    <row r="2111" spans="1:18" ht="14.25" customHeight="1" x14ac:dyDescent="0.3">
      <c r="A2111" s="1" t="s">
        <v>73</v>
      </c>
      <c r="B2111" s="1">
        <v>27</v>
      </c>
      <c r="C2111" s="1">
        <v>19</v>
      </c>
      <c r="D2111" s="1" t="str">
        <f t="shared" si="33"/>
        <v>Yes</v>
      </c>
      <c r="E2111" s="1">
        <v>9</v>
      </c>
      <c r="F2111" s="1">
        <v>297</v>
      </c>
      <c r="G2111" s="1" t="s">
        <v>93</v>
      </c>
      <c r="H2111" s="1" t="s">
        <v>95</v>
      </c>
      <c r="I2111" s="1">
        <v>17.8</v>
      </c>
      <c r="J2111" s="1" t="s">
        <v>95</v>
      </c>
      <c r="M2111" s="1" t="s">
        <v>102</v>
      </c>
      <c r="O2111" s="1">
        <v>1</v>
      </c>
    </row>
    <row r="2112" spans="1:18" ht="14.25" customHeight="1" x14ac:dyDescent="0.3">
      <c r="A2112" s="1" t="s">
        <v>73</v>
      </c>
      <c r="B2112" s="1">
        <v>27</v>
      </c>
      <c r="C2112" s="1">
        <v>25</v>
      </c>
      <c r="D2112" s="1" t="str">
        <f t="shared" si="33"/>
        <v>Yes</v>
      </c>
      <c r="E2112" s="1">
        <v>6</v>
      </c>
      <c r="F2112" s="1">
        <v>333</v>
      </c>
      <c r="G2112" s="1" t="s">
        <v>93</v>
      </c>
      <c r="H2112" s="1" t="s">
        <v>95</v>
      </c>
      <c r="I2112" s="1">
        <v>15.8</v>
      </c>
      <c r="J2112" s="1" t="s">
        <v>95</v>
      </c>
      <c r="M2112" s="1" t="s">
        <v>101</v>
      </c>
      <c r="O2112" s="1">
        <v>1</v>
      </c>
      <c r="R2112" s="1"/>
    </row>
    <row r="2113" spans="1:18" ht="14.25" customHeight="1" x14ac:dyDescent="0.3">
      <c r="A2113" s="1" t="s">
        <v>73</v>
      </c>
      <c r="B2113" s="1">
        <v>27</v>
      </c>
      <c r="C2113" s="1">
        <v>22</v>
      </c>
      <c r="D2113" s="1" t="str">
        <f t="shared" si="33"/>
        <v>Yes</v>
      </c>
      <c r="E2113" s="1">
        <v>7.4</v>
      </c>
      <c r="F2113" s="1">
        <v>311</v>
      </c>
      <c r="G2113" s="1" t="s">
        <v>93</v>
      </c>
      <c r="H2113" s="1" t="s">
        <v>95</v>
      </c>
      <c r="I2113" s="1">
        <v>13.2</v>
      </c>
      <c r="J2113" s="1" t="s">
        <v>95</v>
      </c>
      <c r="M2113" s="1" t="s">
        <v>102</v>
      </c>
      <c r="O2113" s="1">
        <v>1</v>
      </c>
    </row>
    <row r="2114" spans="1:18" ht="14.25" customHeight="1" x14ac:dyDescent="0.3">
      <c r="A2114" s="1" t="s">
        <v>73</v>
      </c>
      <c r="B2114" s="1">
        <v>27</v>
      </c>
      <c r="C2114" s="1">
        <v>24</v>
      </c>
      <c r="D2114" s="1" t="str">
        <f t="shared" si="33"/>
        <v>Yes</v>
      </c>
      <c r="E2114" s="1">
        <v>9.9</v>
      </c>
      <c r="F2114" s="1">
        <v>314</v>
      </c>
      <c r="G2114" s="1" t="s">
        <v>93</v>
      </c>
      <c r="H2114" s="1" t="s">
        <v>95</v>
      </c>
      <c r="I2114" s="1">
        <v>11</v>
      </c>
      <c r="J2114" s="1" t="s">
        <v>95</v>
      </c>
      <c r="M2114" s="1" t="s">
        <v>101</v>
      </c>
      <c r="O2114" s="1">
        <v>1</v>
      </c>
    </row>
    <row r="2115" spans="1:18" ht="14.25" customHeight="1" x14ac:dyDescent="0.3">
      <c r="A2115" s="1" t="s">
        <v>73</v>
      </c>
      <c r="B2115" s="1">
        <v>27</v>
      </c>
      <c r="C2115" s="1">
        <v>6</v>
      </c>
      <c r="D2115" s="1" t="str">
        <f t="shared" si="33"/>
        <v>Yes</v>
      </c>
      <c r="E2115" s="1">
        <v>7.3</v>
      </c>
      <c r="F2115" s="1">
        <v>115</v>
      </c>
      <c r="G2115" s="1" t="s">
        <v>93</v>
      </c>
      <c r="H2115" s="1" t="s">
        <v>95</v>
      </c>
      <c r="I2115" s="1">
        <v>9.1</v>
      </c>
      <c r="J2115" s="1" t="s">
        <v>95</v>
      </c>
      <c r="M2115" s="1" t="s">
        <v>101</v>
      </c>
      <c r="O2115" s="1">
        <v>1</v>
      </c>
    </row>
    <row r="2116" spans="1:18" ht="14.25" customHeight="1" x14ac:dyDescent="0.3">
      <c r="A2116" s="1" t="s">
        <v>73</v>
      </c>
      <c r="B2116" s="1">
        <v>27</v>
      </c>
      <c r="C2116" s="1">
        <v>21</v>
      </c>
      <c r="D2116" s="1" t="str">
        <f t="shared" si="33"/>
        <v>Yes</v>
      </c>
      <c r="E2116" s="1">
        <v>11.6</v>
      </c>
      <c r="F2116" s="1">
        <v>305</v>
      </c>
      <c r="G2116" s="1" t="s">
        <v>93</v>
      </c>
      <c r="H2116" s="1" t="s">
        <v>95</v>
      </c>
      <c r="I2116" s="1">
        <v>7.7</v>
      </c>
      <c r="J2116" s="1" t="s">
        <v>95</v>
      </c>
      <c r="M2116" s="1" t="s">
        <v>101</v>
      </c>
      <c r="O2116" s="1">
        <v>1</v>
      </c>
    </row>
    <row r="2117" spans="1:18" ht="14.25" customHeight="1" x14ac:dyDescent="0.3">
      <c r="A2117" s="1" t="s">
        <v>73</v>
      </c>
      <c r="B2117" s="1">
        <v>27</v>
      </c>
      <c r="C2117" s="1">
        <v>5</v>
      </c>
      <c r="D2117" s="1" t="str">
        <f t="shared" si="33"/>
        <v>Yes</v>
      </c>
      <c r="E2117" s="1">
        <v>7.3</v>
      </c>
      <c r="F2117" s="1">
        <v>111</v>
      </c>
      <c r="G2117" s="1" t="s">
        <v>93</v>
      </c>
      <c r="H2117" s="1" t="s">
        <v>94</v>
      </c>
      <c r="I2117" s="1">
        <v>45</v>
      </c>
      <c r="J2117" s="1" t="s">
        <v>95</v>
      </c>
      <c r="K2117" s="1">
        <v>1</v>
      </c>
      <c r="L2117" s="1">
        <v>60</v>
      </c>
      <c r="M2117" s="1" t="s">
        <v>102</v>
      </c>
      <c r="N2117" s="1" t="s">
        <v>100</v>
      </c>
      <c r="P2117" s="1">
        <v>839</v>
      </c>
    </row>
    <row r="2118" spans="1:18" ht="14.25" customHeight="1" x14ac:dyDescent="0.3">
      <c r="A2118" s="1" t="s">
        <v>73</v>
      </c>
      <c r="B2118" s="1">
        <v>27</v>
      </c>
      <c r="C2118" s="1">
        <v>23</v>
      </c>
      <c r="D2118" s="1" t="str">
        <f t="shared" si="33"/>
        <v>Yes</v>
      </c>
      <c r="E2118" s="1">
        <v>11.8</v>
      </c>
      <c r="F2118" s="1">
        <v>315</v>
      </c>
      <c r="G2118" s="1" t="s">
        <v>93</v>
      </c>
      <c r="H2118" s="1" t="s">
        <v>94</v>
      </c>
      <c r="I2118" s="1">
        <v>31.1</v>
      </c>
      <c r="J2118" s="1" t="s">
        <v>95</v>
      </c>
      <c r="K2118" s="1">
        <v>0</v>
      </c>
      <c r="L2118" s="1">
        <v>5</v>
      </c>
      <c r="M2118" s="1" t="s">
        <v>102</v>
      </c>
    </row>
    <row r="2119" spans="1:18" ht="14.25" customHeight="1" x14ac:dyDescent="0.3">
      <c r="A2119" s="1" t="s">
        <v>73</v>
      </c>
      <c r="B2119" s="1">
        <v>30</v>
      </c>
      <c r="C2119" s="1">
        <v>16</v>
      </c>
      <c r="D2119" s="1" t="str">
        <f t="shared" si="33"/>
        <v>Yes</v>
      </c>
      <c r="E2119" s="1">
        <v>9.4</v>
      </c>
      <c r="F2119" s="1">
        <v>237</v>
      </c>
      <c r="G2119" s="1" t="s">
        <v>109</v>
      </c>
      <c r="H2119" s="1" t="s">
        <v>95</v>
      </c>
      <c r="I2119" s="1">
        <v>29</v>
      </c>
      <c r="J2119" s="1" t="s">
        <v>95</v>
      </c>
      <c r="M2119" s="1" t="s">
        <v>101</v>
      </c>
      <c r="O2119" s="1">
        <v>5</v>
      </c>
      <c r="R2119" s="1"/>
    </row>
    <row r="2120" spans="1:18" ht="14.25" customHeight="1" x14ac:dyDescent="0.3">
      <c r="A2120" s="1" t="s">
        <v>73</v>
      </c>
      <c r="B2120" s="1">
        <v>30</v>
      </c>
      <c r="C2120" s="1">
        <v>10</v>
      </c>
      <c r="D2120" s="1" t="str">
        <f t="shared" si="33"/>
        <v>Yes</v>
      </c>
      <c r="E2120" s="1">
        <v>1</v>
      </c>
      <c r="F2120" s="1">
        <v>149</v>
      </c>
      <c r="G2120" s="1" t="s">
        <v>106</v>
      </c>
      <c r="H2120" s="1" t="s">
        <v>95</v>
      </c>
      <c r="I2120" s="1">
        <v>27.8</v>
      </c>
      <c r="J2120" s="1" t="s">
        <v>95</v>
      </c>
      <c r="M2120" s="1" t="s">
        <v>101</v>
      </c>
      <c r="O2120" s="1">
        <v>1</v>
      </c>
      <c r="P2120" s="1">
        <v>849</v>
      </c>
    </row>
    <row r="2121" spans="1:18" ht="14.25" customHeight="1" x14ac:dyDescent="0.3">
      <c r="A2121" s="1" t="s">
        <v>73</v>
      </c>
      <c r="B2121" s="1">
        <v>30</v>
      </c>
      <c r="C2121" s="1">
        <v>12</v>
      </c>
      <c r="D2121" s="1" t="str">
        <f t="shared" si="33"/>
        <v>Yes</v>
      </c>
      <c r="E2121" s="1">
        <v>4.5</v>
      </c>
      <c r="F2121" s="1">
        <v>189</v>
      </c>
      <c r="G2121" s="1" t="s">
        <v>106</v>
      </c>
      <c r="H2121" s="1" t="s">
        <v>95</v>
      </c>
      <c r="I2121" s="1">
        <v>23</v>
      </c>
      <c r="J2121" s="1" t="s">
        <v>95</v>
      </c>
      <c r="M2121" s="1" t="s">
        <v>101</v>
      </c>
      <c r="O2121" s="1">
        <v>1</v>
      </c>
    </row>
    <row r="2122" spans="1:18" ht="14.25" customHeight="1" x14ac:dyDescent="0.3">
      <c r="A2122" s="1" t="s">
        <v>73</v>
      </c>
      <c r="B2122" s="1">
        <v>30</v>
      </c>
      <c r="C2122" s="1">
        <v>17</v>
      </c>
      <c r="D2122" s="1" t="str">
        <f t="shared" si="33"/>
        <v>Yes</v>
      </c>
      <c r="E2122" s="1">
        <v>7.7</v>
      </c>
      <c r="F2122" s="1">
        <v>272</v>
      </c>
      <c r="G2122" s="1" t="s">
        <v>106</v>
      </c>
      <c r="H2122" s="1" t="s">
        <v>95</v>
      </c>
      <c r="I2122" s="1">
        <v>20</v>
      </c>
      <c r="J2122" s="1" t="s">
        <v>95</v>
      </c>
      <c r="M2122" s="1" t="s">
        <v>101</v>
      </c>
      <c r="O2122" s="1">
        <v>1</v>
      </c>
    </row>
    <row r="2123" spans="1:18" ht="14.25" customHeight="1" x14ac:dyDescent="0.3">
      <c r="A2123" s="1" t="s">
        <v>73</v>
      </c>
      <c r="B2123" s="1">
        <v>30</v>
      </c>
      <c r="C2123" s="1">
        <v>9</v>
      </c>
      <c r="D2123" s="1" t="str">
        <f t="shared" si="33"/>
        <v>Yes</v>
      </c>
      <c r="E2123" s="1">
        <v>9.9</v>
      </c>
      <c r="F2123" s="1">
        <v>169</v>
      </c>
      <c r="G2123" s="1" t="s">
        <v>106</v>
      </c>
      <c r="H2123" s="1" t="s">
        <v>95</v>
      </c>
      <c r="I2123" s="1">
        <v>16</v>
      </c>
      <c r="J2123" s="1" t="s">
        <v>95</v>
      </c>
      <c r="M2123" s="1" t="s">
        <v>101</v>
      </c>
      <c r="O2123" s="1">
        <v>1</v>
      </c>
    </row>
    <row r="2124" spans="1:18" ht="14.25" customHeight="1" x14ac:dyDescent="0.3">
      <c r="A2124" s="1" t="s">
        <v>73</v>
      </c>
      <c r="B2124" s="1">
        <v>30</v>
      </c>
      <c r="C2124" s="1">
        <v>21</v>
      </c>
      <c r="D2124" s="1" t="str">
        <f t="shared" si="33"/>
        <v>Yes</v>
      </c>
      <c r="E2124" s="1">
        <v>12.1</v>
      </c>
      <c r="F2124" s="1">
        <v>311</v>
      </c>
      <c r="G2124" s="1" t="s">
        <v>106</v>
      </c>
      <c r="H2124" s="1" t="s">
        <v>95</v>
      </c>
      <c r="I2124" s="1">
        <v>12.9</v>
      </c>
      <c r="J2124" s="1" t="s">
        <v>95</v>
      </c>
      <c r="M2124" s="1" t="s">
        <v>101</v>
      </c>
      <c r="O2124" s="1">
        <v>1</v>
      </c>
      <c r="Q2124" s="1" t="s">
        <v>223</v>
      </c>
      <c r="R2124" s="1"/>
    </row>
    <row r="2125" spans="1:18" ht="14.25" customHeight="1" x14ac:dyDescent="0.3">
      <c r="A2125" s="1" t="s">
        <v>73</v>
      </c>
      <c r="B2125" s="1">
        <v>30</v>
      </c>
      <c r="C2125" s="1">
        <v>22</v>
      </c>
      <c r="D2125" s="1" t="str">
        <f t="shared" si="33"/>
        <v>Yes</v>
      </c>
      <c r="E2125" s="1">
        <v>8</v>
      </c>
      <c r="F2125" s="1">
        <v>330</v>
      </c>
      <c r="G2125" s="1" t="s">
        <v>106</v>
      </c>
      <c r="H2125" s="1" t="s">
        <v>95</v>
      </c>
      <c r="I2125" s="1">
        <v>10.4</v>
      </c>
      <c r="J2125" s="1" t="s">
        <v>95</v>
      </c>
      <c r="M2125" s="1" t="s">
        <v>101</v>
      </c>
      <c r="O2125" s="1">
        <v>1</v>
      </c>
      <c r="Q2125" s="1" t="s">
        <v>223</v>
      </c>
    </row>
    <row r="2126" spans="1:18" ht="14.25" customHeight="1" x14ac:dyDescent="0.3">
      <c r="A2126" s="1" t="s">
        <v>73</v>
      </c>
      <c r="B2126" s="1">
        <v>30</v>
      </c>
      <c r="C2126" s="1">
        <v>20</v>
      </c>
      <c r="D2126" s="1" t="str">
        <f t="shared" si="33"/>
        <v>Yes</v>
      </c>
      <c r="E2126" s="1">
        <v>9.6</v>
      </c>
      <c r="F2126" s="1">
        <v>314</v>
      </c>
      <c r="G2126" s="1" t="s">
        <v>106</v>
      </c>
      <c r="H2126" s="1" t="s">
        <v>95</v>
      </c>
      <c r="I2126" s="1">
        <v>9.1</v>
      </c>
      <c r="J2126" s="1" t="s">
        <v>95</v>
      </c>
      <c r="M2126" s="1" t="s">
        <v>101</v>
      </c>
      <c r="O2126" s="1">
        <v>1</v>
      </c>
    </row>
    <row r="2127" spans="1:18" ht="14.25" customHeight="1" x14ac:dyDescent="0.3">
      <c r="A2127" s="1" t="s">
        <v>73</v>
      </c>
      <c r="B2127" s="1">
        <v>30</v>
      </c>
      <c r="C2127" s="1">
        <v>25</v>
      </c>
      <c r="D2127" s="1" t="str">
        <f t="shared" si="33"/>
        <v>Yes</v>
      </c>
      <c r="E2127" s="1">
        <v>6.8</v>
      </c>
      <c r="F2127" s="1">
        <v>348</v>
      </c>
      <c r="G2127" s="1" t="s">
        <v>106</v>
      </c>
      <c r="H2127" s="1" t="s">
        <v>95</v>
      </c>
      <c r="I2127" s="1">
        <v>8.1</v>
      </c>
      <c r="J2127" s="1" t="s">
        <v>95</v>
      </c>
      <c r="M2127" s="1" t="s">
        <v>101</v>
      </c>
      <c r="O2127" s="1">
        <v>1</v>
      </c>
      <c r="P2127" s="1">
        <v>850</v>
      </c>
      <c r="R2127" s="1"/>
    </row>
    <row r="2128" spans="1:18" ht="14.25" customHeight="1" x14ac:dyDescent="0.3">
      <c r="A2128" s="1" t="s">
        <v>73</v>
      </c>
      <c r="B2128" s="1">
        <v>30</v>
      </c>
      <c r="C2128" s="1">
        <v>23</v>
      </c>
      <c r="D2128" s="1" t="str">
        <f t="shared" si="33"/>
        <v>Yes</v>
      </c>
      <c r="E2128" s="1">
        <v>8.8000000000000007</v>
      </c>
      <c r="F2128" s="1">
        <v>340</v>
      </c>
      <c r="G2128" s="1" t="s">
        <v>93</v>
      </c>
      <c r="H2128" s="1" t="s">
        <v>95</v>
      </c>
      <c r="I2128" s="1">
        <v>61.4</v>
      </c>
      <c r="J2128" s="1" t="s">
        <v>95</v>
      </c>
      <c r="M2128" s="1" t="s">
        <v>102</v>
      </c>
      <c r="O2128" s="1">
        <v>5</v>
      </c>
    </row>
    <row r="2129" spans="1:18" ht="14.25" customHeight="1" x14ac:dyDescent="0.3">
      <c r="A2129" s="1" t="s">
        <v>73</v>
      </c>
      <c r="B2129" s="1">
        <v>30</v>
      </c>
      <c r="C2129" s="1">
        <v>3</v>
      </c>
      <c r="D2129" s="1" t="str">
        <f t="shared" si="33"/>
        <v>Yes</v>
      </c>
      <c r="E2129" s="1">
        <v>7.4</v>
      </c>
      <c r="F2129" s="1">
        <v>63</v>
      </c>
      <c r="G2129" s="1" t="s">
        <v>93</v>
      </c>
      <c r="H2129" s="1" t="s">
        <v>95</v>
      </c>
      <c r="I2129" s="1">
        <v>46.4</v>
      </c>
      <c r="J2129" s="1" t="s">
        <v>95</v>
      </c>
      <c r="M2129" s="1" t="s">
        <v>102</v>
      </c>
      <c r="O2129" s="1">
        <v>5</v>
      </c>
    </row>
    <row r="2130" spans="1:18" ht="14.25" customHeight="1" x14ac:dyDescent="0.3">
      <c r="A2130" s="1" t="s">
        <v>73</v>
      </c>
      <c r="B2130" s="1">
        <v>30</v>
      </c>
      <c r="C2130" s="1">
        <v>1</v>
      </c>
      <c r="D2130" s="1" t="str">
        <f t="shared" si="33"/>
        <v>Yes</v>
      </c>
      <c r="E2130" s="1">
        <v>7.9</v>
      </c>
      <c r="F2130" s="1">
        <v>4</v>
      </c>
      <c r="G2130" s="1" t="s">
        <v>93</v>
      </c>
      <c r="H2130" s="1" t="s">
        <v>95</v>
      </c>
      <c r="I2130" s="1">
        <v>37.799999999999997</v>
      </c>
      <c r="J2130" s="1" t="s">
        <v>95</v>
      </c>
      <c r="M2130" s="1" t="s">
        <v>102</v>
      </c>
      <c r="O2130" s="1">
        <v>5</v>
      </c>
    </row>
    <row r="2131" spans="1:18" ht="14.25" customHeight="1" x14ac:dyDescent="0.3">
      <c r="A2131" s="1" t="s">
        <v>73</v>
      </c>
      <c r="B2131" s="1">
        <v>30</v>
      </c>
      <c r="C2131" s="1">
        <v>11</v>
      </c>
      <c r="D2131" s="1" t="str">
        <f t="shared" si="33"/>
        <v>Yes</v>
      </c>
      <c r="E2131" s="1">
        <v>8</v>
      </c>
      <c r="F2131" s="1">
        <v>185</v>
      </c>
      <c r="G2131" s="1" t="s">
        <v>93</v>
      </c>
      <c r="H2131" s="1" t="s">
        <v>95</v>
      </c>
      <c r="I2131" s="1">
        <v>25.9</v>
      </c>
      <c r="J2131" s="1" t="s">
        <v>95</v>
      </c>
      <c r="M2131" s="1" t="s">
        <v>101</v>
      </c>
      <c r="O2131" s="1">
        <v>1</v>
      </c>
    </row>
    <row r="2132" spans="1:18" ht="14.25" customHeight="1" x14ac:dyDescent="0.3">
      <c r="A2132" s="1" t="s">
        <v>73</v>
      </c>
      <c r="B2132" s="1">
        <v>30</v>
      </c>
      <c r="C2132" s="1">
        <v>4</v>
      </c>
      <c r="D2132" s="1" t="str">
        <f t="shared" si="33"/>
        <v>Yes</v>
      </c>
      <c r="E2132" s="1">
        <v>7.3</v>
      </c>
      <c r="F2132" s="1">
        <v>98</v>
      </c>
      <c r="G2132" s="1" t="s">
        <v>93</v>
      </c>
      <c r="H2132" s="1" t="s">
        <v>95</v>
      </c>
      <c r="I2132" s="1">
        <v>24.1</v>
      </c>
      <c r="J2132" s="1" t="s">
        <v>95</v>
      </c>
      <c r="M2132" s="1" t="s">
        <v>101</v>
      </c>
      <c r="O2132" s="1">
        <v>1</v>
      </c>
      <c r="R2132" s="1"/>
    </row>
    <row r="2133" spans="1:18" ht="14.25" customHeight="1" x14ac:dyDescent="0.3">
      <c r="A2133" s="1" t="s">
        <v>73</v>
      </c>
      <c r="B2133" s="1">
        <v>30</v>
      </c>
      <c r="C2133" s="1">
        <v>14</v>
      </c>
      <c r="D2133" s="1" t="str">
        <f t="shared" si="33"/>
        <v>Yes</v>
      </c>
      <c r="E2133" s="1">
        <v>11.7</v>
      </c>
      <c r="F2133" s="1">
        <v>197</v>
      </c>
      <c r="G2133" s="1" t="s">
        <v>93</v>
      </c>
      <c r="H2133" s="1" t="s">
        <v>95</v>
      </c>
      <c r="I2133" s="1">
        <v>23.4</v>
      </c>
      <c r="J2133" s="1" t="s">
        <v>95</v>
      </c>
      <c r="M2133" s="1" t="s">
        <v>101</v>
      </c>
      <c r="O2133" s="1">
        <v>1</v>
      </c>
    </row>
    <row r="2134" spans="1:18" ht="14.25" customHeight="1" x14ac:dyDescent="0.3">
      <c r="A2134" s="1" t="s">
        <v>73</v>
      </c>
      <c r="B2134" s="1">
        <v>30</v>
      </c>
      <c r="C2134" s="1">
        <v>8</v>
      </c>
      <c r="D2134" s="1" t="str">
        <f t="shared" si="33"/>
        <v>Yes</v>
      </c>
      <c r="E2134" s="1">
        <v>7.8</v>
      </c>
      <c r="F2134" s="1">
        <v>145</v>
      </c>
      <c r="G2134" s="1" t="s">
        <v>93</v>
      </c>
      <c r="H2134" s="1" t="s">
        <v>95</v>
      </c>
      <c r="I2134" s="1">
        <v>19</v>
      </c>
      <c r="J2134" s="1" t="s">
        <v>101</v>
      </c>
      <c r="M2134" s="1" t="s">
        <v>101</v>
      </c>
      <c r="O2134" s="1">
        <v>5</v>
      </c>
      <c r="Q2134" s="1" t="s">
        <v>162</v>
      </c>
    </row>
    <row r="2135" spans="1:18" ht="14.25" customHeight="1" x14ac:dyDescent="0.3">
      <c r="A2135" s="1" t="s">
        <v>73</v>
      </c>
      <c r="B2135" s="1">
        <v>30</v>
      </c>
      <c r="C2135" s="1">
        <v>5</v>
      </c>
      <c r="D2135" s="1" t="str">
        <f t="shared" si="33"/>
        <v>Yes</v>
      </c>
      <c r="E2135" s="1">
        <v>12.2</v>
      </c>
      <c r="F2135" s="1">
        <v>116</v>
      </c>
      <c r="G2135" s="1" t="s">
        <v>93</v>
      </c>
      <c r="H2135" s="1" t="s">
        <v>95</v>
      </c>
      <c r="I2135" s="1">
        <v>17.5</v>
      </c>
      <c r="J2135" s="1" t="s">
        <v>95</v>
      </c>
      <c r="M2135" s="1" t="s">
        <v>101</v>
      </c>
      <c r="O2135" s="1">
        <v>1</v>
      </c>
    </row>
    <row r="2136" spans="1:18" ht="14.25" customHeight="1" x14ac:dyDescent="0.3">
      <c r="A2136" s="1" t="s">
        <v>73</v>
      </c>
      <c r="B2136" s="1">
        <v>30</v>
      </c>
      <c r="C2136" s="1">
        <v>7</v>
      </c>
      <c r="D2136" s="1" t="str">
        <f t="shared" ref="D2136:D2199" si="34">IF(E2136&gt;12.5, "No", "Yes")</f>
        <v>Yes</v>
      </c>
      <c r="E2136" s="1">
        <v>8.6</v>
      </c>
      <c r="F2136" s="1">
        <v>150</v>
      </c>
      <c r="G2136" s="1" t="s">
        <v>93</v>
      </c>
      <c r="H2136" s="1" t="s">
        <v>95</v>
      </c>
      <c r="I2136" s="1">
        <v>16.2</v>
      </c>
      <c r="J2136" s="1" t="s">
        <v>95</v>
      </c>
      <c r="M2136" s="1" t="s">
        <v>102</v>
      </c>
      <c r="O2136" s="1">
        <v>1</v>
      </c>
    </row>
    <row r="2137" spans="1:18" ht="14.25" customHeight="1" x14ac:dyDescent="0.3">
      <c r="A2137" s="1" t="s">
        <v>73</v>
      </c>
      <c r="B2137" s="1">
        <v>30</v>
      </c>
      <c r="C2137" s="1">
        <v>15</v>
      </c>
      <c r="D2137" s="1" t="str">
        <f t="shared" si="34"/>
        <v>Yes</v>
      </c>
      <c r="E2137" s="1">
        <v>10.4</v>
      </c>
      <c r="F2137" s="1">
        <v>250</v>
      </c>
      <c r="G2137" s="1" t="s">
        <v>93</v>
      </c>
      <c r="H2137" s="1" t="s">
        <v>95</v>
      </c>
      <c r="I2137" s="1">
        <v>13.8</v>
      </c>
      <c r="J2137" s="1" t="s">
        <v>95</v>
      </c>
      <c r="M2137" s="1" t="s">
        <v>101</v>
      </c>
      <c r="O2137" s="1">
        <v>1</v>
      </c>
    </row>
    <row r="2138" spans="1:18" ht="14.25" customHeight="1" x14ac:dyDescent="0.3">
      <c r="A2138" s="1" t="s">
        <v>73</v>
      </c>
      <c r="B2138" s="1">
        <v>30</v>
      </c>
      <c r="C2138" s="1">
        <v>19</v>
      </c>
      <c r="D2138" s="1" t="str">
        <f t="shared" si="34"/>
        <v>Yes</v>
      </c>
      <c r="E2138" s="1">
        <v>8.8000000000000007</v>
      </c>
      <c r="F2138" s="1">
        <v>318</v>
      </c>
      <c r="G2138" s="1" t="s">
        <v>93</v>
      </c>
      <c r="H2138" s="1" t="s">
        <v>95</v>
      </c>
      <c r="I2138" s="1">
        <v>12.7</v>
      </c>
      <c r="J2138" s="1" t="s">
        <v>95</v>
      </c>
      <c r="M2138" s="1" t="s">
        <v>101</v>
      </c>
      <c r="O2138" s="1">
        <v>1</v>
      </c>
    </row>
    <row r="2139" spans="1:18" ht="14.25" customHeight="1" x14ac:dyDescent="0.3">
      <c r="A2139" s="1" t="s">
        <v>73</v>
      </c>
      <c r="B2139" s="1">
        <v>30</v>
      </c>
      <c r="C2139" s="1">
        <v>6</v>
      </c>
      <c r="D2139" s="1" t="str">
        <f t="shared" si="34"/>
        <v>Yes</v>
      </c>
      <c r="E2139" s="1">
        <v>10.6</v>
      </c>
      <c r="F2139" s="1">
        <v>127</v>
      </c>
      <c r="G2139" s="1" t="s">
        <v>93</v>
      </c>
      <c r="H2139" s="1" t="s">
        <v>95</v>
      </c>
      <c r="I2139" s="1">
        <v>12</v>
      </c>
      <c r="J2139" s="1" t="s">
        <v>95</v>
      </c>
      <c r="M2139" s="1" t="s">
        <v>101</v>
      </c>
      <c r="O2139" s="1">
        <v>1</v>
      </c>
    </row>
    <row r="2140" spans="1:18" ht="14.25" customHeight="1" x14ac:dyDescent="0.3">
      <c r="A2140" s="1" t="s">
        <v>73</v>
      </c>
      <c r="B2140" s="1">
        <v>30</v>
      </c>
      <c r="C2140" s="1">
        <v>18</v>
      </c>
      <c r="D2140" s="1" t="str">
        <f t="shared" si="34"/>
        <v>Yes</v>
      </c>
      <c r="E2140" s="1">
        <v>7.7</v>
      </c>
      <c r="F2140" s="1">
        <v>308</v>
      </c>
      <c r="G2140" s="1" t="s">
        <v>93</v>
      </c>
      <c r="H2140" s="1" t="s">
        <v>95</v>
      </c>
      <c r="I2140" s="1">
        <v>10.1</v>
      </c>
      <c r="J2140" s="1" t="s">
        <v>95</v>
      </c>
      <c r="M2140" s="1" t="s">
        <v>101</v>
      </c>
      <c r="O2140" s="1">
        <v>1</v>
      </c>
    </row>
    <row r="2141" spans="1:18" ht="14.25" customHeight="1" x14ac:dyDescent="0.3">
      <c r="A2141" s="1" t="s">
        <v>73</v>
      </c>
      <c r="B2141" s="1">
        <v>30</v>
      </c>
      <c r="C2141" s="1">
        <v>13</v>
      </c>
      <c r="D2141" s="1" t="str">
        <f t="shared" si="34"/>
        <v>Yes</v>
      </c>
      <c r="E2141" s="1">
        <v>4.0999999999999996</v>
      </c>
      <c r="F2141" s="1">
        <v>211</v>
      </c>
      <c r="G2141" s="1" t="s">
        <v>93</v>
      </c>
      <c r="H2141" s="1" t="s">
        <v>95</v>
      </c>
      <c r="I2141" s="1">
        <v>8.6999999999999993</v>
      </c>
      <c r="J2141" s="1" t="s">
        <v>95</v>
      </c>
      <c r="M2141" s="1" t="s">
        <v>101</v>
      </c>
      <c r="O2141" s="1">
        <v>1</v>
      </c>
    </row>
    <row r="2142" spans="1:18" ht="14.25" customHeight="1" x14ac:dyDescent="0.3">
      <c r="A2142" s="1" t="s">
        <v>73</v>
      </c>
      <c r="B2142" s="1">
        <v>30</v>
      </c>
      <c r="C2142" s="1">
        <v>24</v>
      </c>
      <c r="D2142" s="1" t="str">
        <f t="shared" si="34"/>
        <v>Yes</v>
      </c>
      <c r="E2142" s="1">
        <v>7.3</v>
      </c>
      <c r="F2142" s="1">
        <v>345</v>
      </c>
      <c r="G2142" s="1" t="s">
        <v>93</v>
      </c>
      <c r="H2142" s="1" t="s">
        <v>95</v>
      </c>
      <c r="I2142" s="45">
        <v>2.7</v>
      </c>
      <c r="J2142" s="1" t="s">
        <v>101</v>
      </c>
      <c r="M2142" s="1" t="s">
        <v>101</v>
      </c>
      <c r="O2142" s="1">
        <v>5</v>
      </c>
      <c r="Q2142" s="1" t="s">
        <v>162</v>
      </c>
    </row>
    <row r="2143" spans="1:18" ht="14.25" customHeight="1" x14ac:dyDescent="0.3">
      <c r="A2143" s="1" t="s">
        <v>73</v>
      </c>
      <c r="B2143" s="1">
        <v>30</v>
      </c>
      <c r="C2143" s="1">
        <v>26</v>
      </c>
      <c r="D2143" s="1" t="str">
        <f t="shared" si="34"/>
        <v>Yes</v>
      </c>
      <c r="E2143" s="1">
        <v>4.2</v>
      </c>
      <c r="F2143" s="1">
        <v>355</v>
      </c>
      <c r="G2143" s="1" t="s">
        <v>106</v>
      </c>
      <c r="H2143" s="1" t="s">
        <v>94</v>
      </c>
      <c r="I2143" s="1">
        <v>28.6</v>
      </c>
      <c r="J2143" s="1" t="s">
        <v>95</v>
      </c>
      <c r="K2143" s="1">
        <v>1</v>
      </c>
      <c r="L2143" s="1">
        <v>90</v>
      </c>
      <c r="M2143" s="1" t="s">
        <v>101</v>
      </c>
    </row>
    <row r="2144" spans="1:18" ht="14.25" customHeight="1" x14ac:dyDescent="0.3">
      <c r="A2144" s="1" t="s">
        <v>73</v>
      </c>
      <c r="B2144" s="1">
        <v>30</v>
      </c>
      <c r="C2144" s="1">
        <v>2</v>
      </c>
      <c r="D2144" s="1" t="str">
        <f t="shared" si="34"/>
        <v>Yes</v>
      </c>
      <c r="E2144" s="1">
        <v>8.4</v>
      </c>
      <c r="F2144" s="1">
        <v>29</v>
      </c>
      <c r="G2144" s="1" t="s">
        <v>93</v>
      </c>
      <c r="H2144" s="1" t="s">
        <v>94</v>
      </c>
      <c r="I2144" s="1">
        <v>50</v>
      </c>
      <c r="J2144" s="1" t="s">
        <v>95</v>
      </c>
      <c r="K2144" s="1">
        <v>1</v>
      </c>
      <c r="L2144" s="1">
        <v>10</v>
      </c>
      <c r="M2144" s="1" t="s">
        <v>102</v>
      </c>
      <c r="N2144" s="1" t="s">
        <v>100</v>
      </c>
      <c r="P2144" s="1">
        <v>848</v>
      </c>
    </row>
    <row r="2145" spans="1:18" ht="14.25" customHeight="1" x14ac:dyDescent="0.3">
      <c r="A2145" s="1" t="s">
        <v>73</v>
      </c>
      <c r="B2145" s="1">
        <v>31</v>
      </c>
      <c r="C2145" s="1">
        <v>7</v>
      </c>
      <c r="D2145" s="1" t="str">
        <f t="shared" si="34"/>
        <v>Yes</v>
      </c>
      <c r="E2145" s="1">
        <v>12.2</v>
      </c>
      <c r="F2145" s="1">
        <v>194</v>
      </c>
      <c r="G2145" s="1" t="s">
        <v>96</v>
      </c>
      <c r="H2145" s="1" t="s">
        <v>95</v>
      </c>
      <c r="I2145" s="1">
        <v>140</v>
      </c>
      <c r="J2145" s="1" t="s">
        <v>101</v>
      </c>
      <c r="M2145" s="1" t="s">
        <v>102</v>
      </c>
      <c r="O2145" s="1">
        <v>5</v>
      </c>
      <c r="Q2145" s="1" t="s">
        <v>162</v>
      </c>
    </row>
    <row r="2146" spans="1:18" ht="14.25" customHeight="1" x14ac:dyDescent="0.3">
      <c r="A2146" s="1" t="s">
        <v>73</v>
      </c>
      <c r="B2146" s="1">
        <v>31</v>
      </c>
      <c r="C2146" s="1">
        <v>9</v>
      </c>
      <c r="D2146" s="1" t="str">
        <f t="shared" si="34"/>
        <v>Yes</v>
      </c>
      <c r="E2146" s="1">
        <v>5</v>
      </c>
      <c r="F2146" s="1">
        <v>219</v>
      </c>
      <c r="G2146" s="1" t="s">
        <v>93</v>
      </c>
      <c r="H2146" s="1" t="s">
        <v>95</v>
      </c>
      <c r="I2146" s="1">
        <v>114.4</v>
      </c>
      <c r="J2146" s="1" t="s">
        <v>95</v>
      </c>
      <c r="M2146" s="1" t="s">
        <v>97</v>
      </c>
      <c r="O2146" s="1">
        <v>3</v>
      </c>
    </row>
    <row r="2147" spans="1:18" ht="14.25" customHeight="1" x14ac:dyDescent="0.3">
      <c r="A2147" s="1" t="s">
        <v>73</v>
      </c>
      <c r="B2147" s="1">
        <v>31</v>
      </c>
      <c r="C2147" s="1">
        <v>2</v>
      </c>
      <c r="D2147" s="1" t="str">
        <f t="shared" si="34"/>
        <v>Yes</v>
      </c>
      <c r="E2147" s="1">
        <v>12.4</v>
      </c>
      <c r="F2147" s="1">
        <v>48</v>
      </c>
      <c r="G2147" s="1" t="s">
        <v>93</v>
      </c>
      <c r="H2147" s="1" t="s">
        <v>95</v>
      </c>
      <c r="I2147" s="1">
        <v>83.3</v>
      </c>
      <c r="J2147" s="1" t="s">
        <v>95</v>
      </c>
      <c r="M2147" s="1" t="s">
        <v>97</v>
      </c>
      <c r="O2147" s="1">
        <v>5</v>
      </c>
    </row>
    <row r="2148" spans="1:18" ht="14.25" customHeight="1" x14ac:dyDescent="0.3">
      <c r="A2148" s="1" t="s">
        <v>73</v>
      </c>
      <c r="B2148" s="1">
        <v>31</v>
      </c>
      <c r="C2148" s="1">
        <v>5</v>
      </c>
      <c r="D2148" s="1" t="str">
        <f t="shared" si="34"/>
        <v>Yes</v>
      </c>
      <c r="E2148" s="1">
        <v>11.1</v>
      </c>
      <c r="F2148" s="1">
        <v>154</v>
      </c>
      <c r="G2148" s="1" t="s">
        <v>93</v>
      </c>
      <c r="H2148" s="1" t="s">
        <v>95</v>
      </c>
      <c r="I2148" s="1">
        <v>45.1</v>
      </c>
      <c r="J2148" s="1" t="s">
        <v>95</v>
      </c>
      <c r="M2148" s="1" t="s">
        <v>102</v>
      </c>
      <c r="O2148" s="1">
        <v>1</v>
      </c>
      <c r="P2148" s="1">
        <v>846</v>
      </c>
    </row>
    <row r="2149" spans="1:18" ht="14.25" customHeight="1" x14ac:dyDescent="0.3">
      <c r="A2149" s="1" t="s">
        <v>73</v>
      </c>
      <c r="B2149" s="1">
        <v>31</v>
      </c>
      <c r="C2149" s="1">
        <v>4</v>
      </c>
      <c r="D2149" s="1" t="str">
        <f t="shared" si="34"/>
        <v>Yes</v>
      </c>
      <c r="E2149" s="1">
        <v>9.1</v>
      </c>
      <c r="F2149" s="1">
        <v>147</v>
      </c>
      <c r="G2149" s="1" t="s">
        <v>93</v>
      </c>
      <c r="H2149" s="1" t="s">
        <v>95</v>
      </c>
      <c r="I2149" s="1">
        <v>42.1</v>
      </c>
      <c r="J2149" s="1" t="s">
        <v>95</v>
      </c>
      <c r="M2149" s="1" t="s">
        <v>101</v>
      </c>
      <c r="O2149" s="1">
        <v>1</v>
      </c>
    </row>
    <row r="2150" spans="1:18" ht="14.25" customHeight="1" x14ac:dyDescent="0.3">
      <c r="A2150" s="1" t="s">
        <v>73</v>
      </c>
      <c r="B2150" s="1">
        <v>31</v>
      </c>
      <c r="C2150" s="1">
        <v>3</v>
      </c>
      <c r="D2150" s="1" t="str">
        <f t="shared" si="34"/>
        <v>Yes</v>
      </c>
      <c r="E2150" s="1">
        <v>8.6999999999999993</v>
      </c>
      <c r="F2150" s="1">
        <v>107</v>
      </c>
      <c r="G2150" s="1" t="s">
        <v>93</v>
      </c>
      <c r="H2150" s="1" t="s">
        <v>95</v>
      </c>
      <c r="I2150" s="1">
        <v>30.5</v>
      </c>
      <c r="J2150" s="1" t="s">
        <v>101</v>
      </c>
      <c r="M2150" s="1" t="s">
        <v>102</v>
      </c>
      <c r="O2150" s="1">
        <v>5</v>
      </c>
      <c r="Q2150" s="1" t="s">
        <v>225</v>
      </c>
    </row>
    <row r="2151" spans="1:18" ht="14.25" customHeight="1" x14ac:dyDescent="0.3">
      <c r="A2151" s="1" t="s">
        <v>73</v>
      </c>
      <c r="B2151" s="1">
        <v>31</v>
      </c>
      <c r="C2151" s="1">
        <v>11</v>
      </c>
      <c r="D2151" s="1" t="str">
        <f t="shared" si="34"/>
        <v>Yes</v>
      </c>
      <c r="E2151" s="1">
        <v>11.8</v>
      </c>
      <c r="F2151" s="1">
        <v>219</v>
      </c>
      <c r="G2151" s="1" t="s">
        <v>93</v>
      </c>
      <c r="H2151" s="1" t="s">
        <v>95</v>
      </c>
      <c r="I2151" s="1">
        <v>28</v>
      </c>
      <c r="J2151" s="1" t="s">
        <v>95</v>
      </c>
      <c r="M2151" s="1" t="s">
        <v>102</v>
      </c>
      <c r="O2151" s="1">
        <v>1</v>
      </c>
    </row>
    <row r="2152" spans="1:18" ht="14.25" customHeight="1" x14ac:dyDescent="0.3">
      <c r="A2152" s="1" t="s">
        <v>73</v>
      </c>
      <c r="B2152" s="1">
        <v>31</v>
      </c>
      <c r="C2152" s="1">
        <v>8</v>
      </c>
      <c r="D2152" s="1" t="str">
        <f t="shared" si="34"/>
        <v>Yes</v>
      </c>
      <c r="E2152" s="1">
        <v>10.1</v>
      </c>
      <c r="F2152" s="1">
        <v>194</v>
      </c>
      <c r="G2152" s="1" t="s">
        <v>93</v>
      </c>
      <c r="H2152" s="1" t="s">
        <v>95</v>
      </c>
      <c r="I2152" s="1">
        <v>24</v>
      </c>
      <c r="J2152" s="1" t="s">
        <v>95</v>
      </c>
      <c r="M2152" s="1" t="s">
        <v>102</v>
      </c>
      <c r="O2152" s="1">
        <v>1</v>
      </c>
      <c r="R2152" s="1"/>
    </row>
    <row r="2153" spans="1:18" ht="14.25" customHeight="1" x14ac:dyDescent="0.3">
      <c r="A2153" s="1" t="s">
        <v>73</v>
      </c>
      <c r="B2153" s="1">
        <v>31</v>
      </c>
      <c r="C2153" s="1">
        <v>12</v>
      </c>
      <c r="D2153" s="1" t="str">
        <f t="shared" si="34"/>
        <v>Yes</v>
      </c>
      <c r="E2153" s="1">
        <v>9.6</v>
      </c>
      <c r="F2153" s="1">
        <v>294</v>
      </c>
      <c r="G2153" s="1" t="s">
        <v>93</v>
      </c>
      <c r="H2153" s="1" t="s">
        <v>95</v>
      </c>
      <c r="I2153" s="1">
        <v>21</v>
      </c>
      <c r="J2153" s="1" t="s">
        <v>97</v>
      </c>
      <c r="M2153" s="1" t="s">
        <v>101</v>
      </c>
      <c r="O2153" s="1">
        <v>5</v>
      </c>
    </row>
    <row r="2154" spans="1:18" ht="14.25" customHeight="1" x14ac:dyDescent="0.3">
      <c r="A2154" s="1" t="s">
        <v>73</v>
      </c>
      <c r="B2154" s="1">
        <v>31</v>
      </c>
      <c r="C2154" s="1">
        <v>6</v>
      </c>
      <c r="D2154" s="1" t="str">
        <f t="shared" si="34"/>
        <v>Yes</v>
      </c>
      <c r="E2154" s="1">
        <v>6.8</v>
      </c>
      <c r="F2154" s="1">
        <v>139</v>
      </c>
      <c r="G2154" s="1" t="s">
        <v>93</v>
      </c>
      <c r="H2154" s="1" t="s">
        <v>95</v>
      </c>
      <c r="I2154" s="1">
        <v>14.1</v>
      </c>
      <c r="J2154" s="1" t="s">
        <v>101</v>
      </c>
      <c r="M2154" s="1" t="s">
        <v>101</v>
      </c>
      <c r="O2154" s="1">
        <v>3</v>
      </c>
    </row>
    <row r="2155" spans="1:18" ht="14.25" customHeight="1" x14ac:dyDescent="0.3">
      <c r="A2155" s="1" t="s">
        <v>73</v>
      </c>
      <c r="B2155" s="1">
        <v>31</v>
      </c>
      <c r="C2155" s="1">
        <v>16</v>
      </c>
      <c r="D2155" s="1" t="str">
        <f t="shared" si="34"/>
        <v>Yes</v>
      </c>
      <c r="E2155" s="1">
        <v>12</v>
      </c>
      <c r="F2155" s="1">
        <v>320</v>
      </c>
      <c r="G2155" s="1" t="s">
        <v>93</v>
      </c>
      <c r="H2155" s="1" t="s">
        <v>95</v>
      </c>
      <c r="I2155" s="1">
        <v>10.8</v>
      </c>
      <c r="J2155" s="1" t="s">
        <v>95</v>
      </c>
      <c r="M2155" s="1" t="s">
        <v>101</v>
      </c>
      <c r="O2155" s="1">
        <v>1</v>
      </c>
    </row>
    <row r="2156" spans="1:18" ht="14.25" customHeight="1" x14ac:dyDescent="0.3">
      <c r="A2156" s="1" t="s">
        <v>73</v>
      </c>
      <c r="B2156" s="1">
        <v>31</v>
      </c>
      <c r="C2156" s="1">
        <v>10</v>
      </c>
      <c r="D2156" s="1" t="str">
        <f t="shared" si="34"/>
        <v>Yes</v>
      </c>
      <c r="E2156" s="1">
        <v>7.9</v>
      </c>
      <c r="F2156" s="1">
        <v>221</v>
      </c>
      <c r="G2156" s="1" t="s">
        <v>93</v>
      </c>
      <c r="H2156" s="1" t="s">
        <v>95</v>
      </c>
      <c r="I2156" s="1">
        <v>10.4</v>
      </c>
      <c r="J2156" s="1" t="s">
        <v>95</v>
      </c>
      <c r="M2156" s="1" t="s">
        <v>101</v>
      </c>
      <c r="O2156" s="1">
        <v>1</v>
      </c>
    </row>
    <row r="2157" spans="1:18" ht="14.25" customHeight="1" x14ac:dyDescent="0.3">
      <c r="A2157" s="1" t="s">
        <v>73</v>
      </c>
      <c r="B2157" s="1">
        <v>31</v>
      </c>
      <c r="C2157" s="1">
        <v>13</v>
      </c>
      <c r="D2157" s="1" t="str">
        <f t="shared" si="34"/>
        <v>Yes</v>
      </c>
      <c r="E2157" s="1">
        <v>9.3000000000000007</v>
      </c>
      <c r="F2157" s="1">
        <v>298</v>
      </c>
      <c r="G2157" s="1" t="s">
        <v>93</v>
      </c>
      <c r="H2157" s="1" t="s">
        <v>95</v>
      </c>
      <c r="I2157" s="1">
        <v>10</v>
      </c>
      <c r="J2157" s="1" t="s">
        <v>97</v>
      </c>
      <c r="M2157" s="1" t="s">
        <v>101</v>
      </c>
      <c r="O2157" s="1">
        <v>5</v>
      </c>
      <c r="R2157" s="1"/>
    </row>
    <row r="2158" spans="1:18" ht="14.25" customHeight="1" x14ac:dyDescent="0.3">
      <c r="A2158" s="1" t="s">
        <v>73</v>
      </c>
      <c r="B2158" s="1">
        <v>31</v>
      </c>
      <c r="C2158" s="1">
        <v>18</v>
      </c>
      <c r="D2158" s="1" t="str">
        <f t="shared" si="34"/>
        <v>Yes</v>
      </c>
      <c r="E2158" s="1">
        <v>8.8000000000000007</v>
      </c>
      <c r="F2158" s="1">
        <v>341</v>
      </c>
      <c r="G2158" s="1" t="s">
        <v>93</v>
      </c>
      <c r="H2158" s="1" t="s">
        <v>94</v>
      </c>
      <c r="I2158" s="1">
        <v>60</v>
      </c>
      <c r="J2158" s="1" t="s">
        <v>95</v>
      </c>
      <c r="K2158" s="1">
        <v>1</v>
      </c>
      <c r="L2158" s="1">
        <v>1</v>
      </c>
      <c r="M2158" s="1" t="s">
        <v>97</v>
      </c>
      <c r="P2158" s="1">
        <v>847</v>
      </c>
    </row>
    <row r="2159" spans="1:18" ht="14.25" customHeight="1" x14ac:dyDescent="0.3">
      <c r="A2159" s="1" t="s">
        <v>73</v>
      </c>
      <c r="B2159" s="1">
        <v>31</v>
      </c>
      <c r="C2159" s="1">
        <v>14</v>
      </c>
      <c r="D2159" s="1" t="str">
        <f t="shared" si="34"/>
        <v>Yes</v>
      </c>
      <c r="E2159" s="1">
        <v>9.9</v>
      </c>
      <c r="F2159" s="1">
        <v>311</v>
      </c>
      <c r="G2159" s="1" t="s">
        <v>93</v>
      </c>
      <c r="H2159" s="1" t="s">
        <v>94</v>
      </c>
      <c r="I2159" s="1">
        <v>58</v>
      </c>
      <c r="J2159" s="1" t="s">
        <v>95</v>
      </c>
      <c r="K2159" s="1">
        <v>1</v>
      </c>
      <c r="L2159" s="1">
        <v>0</v>
      </c>
      <c r="M2159" s="1" t="s">
        <v>102</v>
      </c>
      <c r="N2159" s="1" t="s">
        <v>100</v>
      </c>
    </row>
    <row r="2160" spans="1:18" ht="14.25" customHeight="1" x14ac:dyDescent="0.3">
      <c r="A2160" s="1" t="s">
        <v>73</v>
      </c>
      <c r="B2160" s="1">
        <v>31</v>
      </c>
      <c r="C2160" s="1">
        <v>1</v>
      </c>
      <c r="D2160" s="1" t="str">
        <f t="shared" si="34"/>
        <v>Yes</v>
      </c>
      <c r="E2160" s="1">
        <v>6.6</v>
      </c>
      <c r="F2160" s="1">
        <v>38</v>
      </c>
      <c r="G2160" s="1" t="s">
        <v>93</v>
      </c>
      <c r="H2160" s="1" t="s">
        <v>94</v>
      </c>
      <c r="I2160" s="1">
        <v>35.799999999999997</v>
      </c>
      <c r="J2160" s="1" t="s">
        <v>95</v>
      </c>
      <c r="K2160" s="1">
        <v>1</v>
      </c>
      <c r="L2160" s="1">
        <v>45</v>
      </c>
      <c r="M2160" s="1" t="s">
        <v>102</v>
      </c>
      <c r="P2160" s="1">
        <v>845</v>
      </c>
    </row>
    <row r="2161" spans="1:18" ht="14.25" customHeight="1" x14ac:dyDescent="0.3">
      <c r="A2161" s="1" t="s">
        <v>73</v>
      </c>
      <c r="B2161" s="1">
        <v>31</v>
      </c>
      <c r="C2161" s="1">
        <v>15</v>
      </c>
      <c r="D2161" s="1" t="str">
        <f t="shared" si="34"/>
        <v>Yes</v>
      </c>
      <c r="E2161" s="1">
        <v>9.6</v>
      </c>
      <c r="F2161" s="1">
        <v>316</v>
      </c>
      <c r="G2161" s="1" t="s">
        <v>93</v>
      </c>
      <c r="H2161" s="1" t="s">
        <v>94</v>
      </c>
      <c r="I2161" s="1">
        <v>31</v>
      </c>
      <c r="J2161" s="1" t="s">
        <v>95</v>
      </c>
      <c r="K2161" s="1">
        <v>0</v>
      </c>
      <c r="L2161" s="1">
        <v>0</v>
      </c>
      <c r="M2161" s="1" t="s">
        <v>102</v>
      </c>
      <c r="N2161" s="1" t="s">
        <v>100</v>
      </c>
    </row>
    <row r="2162" spans="1:18" ht="14.25" customHeight="1" x14ac:dyDescent="0.3">
      <c r="A2162" s="1" t="s">
        <v>73</v>
      </c>
      <c r="B2162" s="1">
        <v>31</v>
      </c>
      <c r="C2162" s="1">
        <v>19</v>
      </c>
      <c r="D2162" s="1" t="str">
        <f t="shared" si="34"/>
        <v>Yes</v>
      </c>
      <c r="E2162" s="1">
        <v>9.3000000000000007</v>
      </c>
      <c r="F2162" s="1">
        <v>349</v>
      </c>
      <c r="G2162" s="1" t="s">
        <v>93</v>
      </c>
      <c r="H2162" s="1" t="s">
        <v>94</v>
      </c>
      <c r="I2162" s="1">
        <v>13.8</v>
      </c>
      <c r="J2162" s="1" t="s">
        <v>95</v>
      </c>
      <c r="K2162" s="1">
        <v>0</v>
      </c>
      <c r="L2162" s="1">
        <v>35</v>
      </c>
      <c r="M2162" s="1" t="s">
        <v>101</v>
      </c>
    </row>
    <row r="2163" spans="1:18" ht="14.25" customHeight="1" x14ac:dyDescent="0.3">
      <c r="A2163" s="1" t="s">
        <v>73</v>
      </c>
      <c r="B2163" s="1">
        <v>31</v>
      </c>
      <c r="C2163" s="1">
        <v>17</v>
      </c>
      <c r="D2163" s="1" t="str">
        <f t="shared" si="34"/>
        <v>Yes</v>
      </c>
      <c r="E2163" s="1">
        <v>9</v>
      </c>
      <c r="F2163" s="1">
        <v>322</v>
      </c>
      <c r="G2163" s="1" t="s">
        <v>93</v>
      </c>
      <c r="H2163" s="1" t="s">
        <v>94</v>
      </c>
      <c r="I2163" s="1">
        <v>11.6</v>
      </c>
      <c r="J2163" s="1" t="s">
        <v>95</v>
      </c>
      <c r="K2163" s="1">
        <v>0</v>
      </c>
      <c r="L2163" s="1">
        <v>95</v>
      </c>
      <c r="M2163" s="1" t="s">
        <v>101</v>
      </c>
    </row>
    <row r="2164" spans="1:18" ht="14.25" customHeight="1" x14ac:dyDescent="0.3">
      <c r="A2164" s="1" t="s">
        <v>73</v>
      </c>
      <c r="B2164" s="1">
        <v>33</v>
      </c>
      <c r="C2164" s="1">
        <v>3</v>
      </c>
      <c r="D2164" s="1" t="str">
        <f t="shared" si="34"/>
        <v>No</v>
      </c>
      <c r="E2164" s="1">
        <v>13</v>
      </c>
      <c r="F2164" s="1">
        <v>254</v>
      </c>
      <c r="G2164" s="1" t="s">
        <v>93</v>
      </c>
      <c r="H2164" s="1" t="s">
        <v>94</v>
      </c>
      <c r="I2164" s="1">
        <v>77.2</v>
      </c>
      <c r="J2164" s="1" t="s">
        <v>95</v>
      </c>
      <c r="K2164" s="1">
        <v>1</v>
      </c>
      <c r="L2164" s="1">
        <v>25</v>
      </c>
      <c r="M2164" s="1" t="s">
        <v>95</v>
      </c>
      <c r="N2164" s="1" t="s">
        <v>118</v>
      </c>
    </row>
    <row r="2165" spans="1:18" ht="14.25" customHeight="1" x14ac:dyDescent="0.3">
      <c r="A2165" s="1" t="s">
        <v>73</v>
      </c>
      <c r="B2165" s="1">
        <v>33</v>
      </c>
      <c r="C2165" s="1">
        <v>10</v>
      </c>
      <c r="D2165" s="1" t="str">
        <f t="shared" si="34"/>
        <v>Yes</v>
      </c>
      <c r="E2165" s="1">
        <v>10.6</v>
      </c>
      <c r="F2165" s="1">
        <v>77</v>
      </c>
      <c r="G2165" s="1" t="s">
        <v>109</v>
      </c>
      <c r="H2165" s="1" t="s">
        <v>95</v>
      </c>
      <c r="I2165" s="1">
        <v>28.2</v>
      </c>
      <c r="J2165" s="1" t="s">
        <v>95</v>
      </c>
      <c r="M2165" s="1" t="s">
        <v>101</v>
      </c>
      <c r="O2165" s="1">
        <v>1</v>
      </c>
    </row>
    <row r="2166" spans="1:18" ht="14.25" customHeight="1" x14ac:dyDescent="0.3">
      <c r="A2166" s="1" t="s">
        <v>73</v>
      </c>
      <c r="B2166" s="1">
        <v>33</v>
      </c>
      <c r="C2166" s="1">
        <v>19</v>
      </c>
      <c r="D2166" s="1" t="str">
        <f t="shared" si="34"/>
        <v>Yes</v>
      </c>
      <c r="E2166" s="1">
        <v>6.3</v>
      </c>
      <c r="F2166" s="1">
        <v>127</v>
      </c>
      <c r="G2166" s="1" t="s">
        <v>173</v>
      </c>
      <c r="H2166" s="1" t="s">
        <v>95</v>
      </c>
      <c r="I2166" s="1">
        <v>13.4</v>
      </c>
      <c r="J2166" s="1" t="s">
        <v>95</v>
      </c>
      <c r="M2166" s="1" t="s">
        <v>101</v>
      </c>
      <c r="O2166" s="1">
        <v>1</v>
      </c>
      <c r="Q2166" s="1" t="s">
        <v>188</v>
      </c>
    </row>
    <row r="2167" spans="1:18" ht="14.25" customHeight="1" x14ac:dyDescent="0.3">
      <c r="A2167" s="1" t="s">
        <v>73</v>
      </c>
      <c r="B2167" s="1">
        <v>33</v>
      </c>
      <c r="C2167" s="1">
        <v>20</v>
      </c>
      <c r="D2167" s="1" t="str">
        <f t="shared" si="34"/>
        <v>Yes</v>
      </c>
      <c r="E2167" s="1">
        <v>6.8</v>
      </c>
      <c r="F2167" s="1">
        <v>130</v>
      </c>
      <c r="G2167" s="1" t="s">
        <v>173</v>
      </c>
      <c r="H2167" s="1" t="s">
        <v>95</v>
      </c>
      <c r="I2167" s="1">
        <v>13.1</v>
      </c>
      <c r="J2167" s="1" t="s">
        <v>95</v>
      </c>
      <c r="M2167" s="1" t="s">
        <v>101</v>
      </c>
      <c r="O2167" s="1">
        <v>1</v>
      </c>
      <c r="Q2167" s="1" t="s">
        <v>188</v>
      </c>
      <c r="R2167" s="1"/>
    </row>
    <row r="2168" spans="1:18" ht="14.25" customHeight="1" x14ac:dyDescent="0.3">
      <c r="A2168" s="1" t="s">
        <v>73</v>
      </c>
      <c r="B2168" s="1">
        <v>33</v>
      </c>
      <c r="C2168" s="1">
        <v>17</v>
      </c>
      <c r="D2168" s="1" t="str">
        <f t="shared" si="34"/>
        <v>Yes</v>
      </c>
      <c r="E2168" s="1">
        <v>7.7</v>
      </c>
      <c r="F2168" s="1">
        <v>123</v>
      </c>
      <c r="G2168" s="1" t="s">
        <v>173</v>
      </c>
      <c r="H2168" s="1" t="s">
        <v>95</v>
      </c>
      <c r="I2168" s="1">
        <v>12.2</v>
      </c>
      <c r="J2168" s="1" t="s">
        <v>95</v>
      </c>
      <c r="M2168" s="1" t="s">
        <v>101</v>
      </c>
      <c r="O2168" s="1">
        <v>1</v>
      </c>
      <c r="Q2168" s="1" t="s">
        <v>188</v>
      </c>
    </row>
    <row r="2169" spans="1:18" ht="14.25" customHeight="1" x14ac:dyDescent="0.3">
      <c r="A2169" s="1" t="s">
        <v>73</v>
      </c>
      <c r="B2169" s="1">
        <v>33</v>
      </c>
      <c r="C2169" s="1">
        <v>16</v>
      </c>
      <c r="D2169" s="1" t="str">
        <f t="shared" si="34"/>
        <v>Yes</v>
      </c>
      <c r="E2169" s="1">
        <v>8.4</v>
      </c>
      <c r="F2169" s="1">
        <v>127</v>
      </c>
      <c r="G2169" s="1" t="s">
        <v>173</v>
      </c>
      <c r="H2169" s="1" t="s">
        <v>95</v>
      </c>
      <c r="I2169" s="1">
        <v>11.6</v>
      </c>
      <c r="J2169" s="1" t="s">
        <v>95</v>
      </c>
      <c r="M2169" s="1" t="s">
        <v>101</v>
      </c>
      <c r="O2169" s="1">
        <v>1</v>
      </c>
      <c r="Q2169" s="1" t="s">
        <v>188</v>
      </c>
    </row>
    <row r="2170" spans="1:18" ht="14.25" customHeight="1" x14ac:dyDescent="0.3">
      <c r="A2170" s="1" t="s">
        <v>73</v>
      </c>
      <c r="B2170" s="1">
        <v>33</v>
      </c>
      <c r="C2170" s="1">
        <v>18</v>
      </c>
      <c r="D2170" s="1" t="str">
        <f t="shared" si="34"/>
        <v>Yes</v>
      </c>
      <c r="E2170" s="1">
        <v>7.7</v>
      </c>
      <c r="F2170" s="1">
        <v>126</v>
      </c>
      <c r="G2170" s="1" t="s">
        <v>173</v>
      </c>
      <c r="H2170" s="1" t="s">
        <v>95</v>
      </c>
      <c r="I2170" s="1">
        <v>11</v>
      </c>
      <c r="J2170" s="1" t="s">
        <v>95</v>
      </c>
      <c r="M2170" s="1" t="s">
        <v>101</v>
      </c>
      <c r="O2170" s="1">
        <v>1</v>
      </c>
      <c r="Q2170" s="1" t="s">
        <v>188</v>
      </c>
      <c r="R2170" s="1"/>
    </row>
    <row r="2171" spans="1:18" ht="14.25" customHeight="1" x14ac:dyDescent="0.3">
      <c r="A2171" s="1" t="s">
        <v>73</v>
      </c>
      <c r="B2171" s="1">
        <v>33</v>
      </c>
      <c r="C2171" s="1">
        <v>15</v>
      </c>
      <c r="D2171" s="1" t="str">
        <f t="shared" si="34"/>
        <v>Yes</v>
      </c>
      <c r="E2171" s="1">
        <v>9.6999999999999993</v>
      </c>
      <c r="F2171" s="1">
        <v>120</v>
      </c>
      <c r="G2171" s="1" t="s">
        <v>173</v>
      </c>
      <c r="H2171" s="1" t="s">
        <v>95</v>
      </c>
      <c r="I2171" s="1">
        <v>8.5</v>
      </c>
      <c r="J2171" s="1" t="s">
        <v>95</v>
      </c>
      <c r="M2171" s="1" t="s">
        <v>101</v>
      </c>
      <c r="O2171" s="1">
        <v>1</v>
      </c>
      <c r="P2171" s="1">
        <v>836</v>
      </c>
      <c r="R2171" s="1"/>
    </row>
    <row r="2172" spans="1:18" ht="14.25" customHeight="1" x14ac:dyDescent="0.3">
      <c r="A2172" s="1" t="s">
        <v>73</v>
      </c>
      <c r="B2172" s="1">
        <v>33</v>
      </c>
      <c r="C2172" s="1">
        <v>13</v>
      </c>
      <c r="D2172" s="1" t="str">
        <f t="shared" si="34"/>
        <v>Yes</v>
      </c>
      <c r="E2172" s="1">
        <v>9.1999999999999993</v>
      </c>
      <c r="F2172" s="1">
        <v>116</v>
      </c>
      <c r="G2172" s="1" t="s">
        <v>173</v>
      </c>
      <c r="H2172" s="1" t="s">
        <v>95</v>
      </c>
      <c r="I2172" s="1">
        <v>7.6</v>
      </c>
      <c r="J2172" s="1" t="s">
        <v>95</v>
      </c>
      <c r="M2172" s="1" t="s">
        <v>101</v>
      </c>
      <c r="O2172" s="1">
        <v>1</v>
      </c>
      <c r="R2172" s="1"/>
    </row>
    <row r="2173" spans="1:18" ht="14.25" customHeight="1" x14ac:dyDescent="0.3">
      <c r="A2173" s="1" t="s">
        <v>73</v>
      </c>
      <c r="B2173" s="1">
        <v>33</v>
      </c>
      <c r="C2173" s="1">
        <v>21</v>
      </c>
      <c r="D2173" s="1" t="str">
        <f t="shared" si="34"/>
        <v>Yes</v>
      </c>
      <c r="E2173" s="1">
        <v>6.2</v>
      </c>
      <c r="F2173" s="1">
        <v>127</v>
      </c>
      <c r="G2173" s="1" t="s">
        <v>173</v>
      </c>
      <c r="H2173" s="1" t="s">
        <v>95</v>
      </c>
      <c r="I2173" s="1">
        <v>7.6</v>
      </c>
      <c r="J2173" s="1" t="s">
        <v>95</v>
      </c>
      <c r="M2173" s="1" t="s">
        <v>101</v>
      </c>
      <c r="O2173" s="1">
        <v>1</v>
      </c>
      <c r="Q2173" s="1" t="s">
        <v>188</v>
      </c>
      <c r="R2173" s="1"/>
    </row>
    <row r="2174" spans="1:18" ht="14.25" customHeight="1" x14ac:dyDescent="0.3">
      <c r="A2174" s="1" t="s">
        <v>73</v>
      </c>
      <c r="B2174" s="1">
        <v>33</v>
      </c>
      <c r="C2174" s="1">
        <v>5</v>
      </c>
      <c r="D2174" s="1" t="str">
        <f t="shared" si="34"/>
        <v>Yes</v>
      </c>
      <c r="E2174" s="1">
        <v>11.8</v>
      </c>
      <c r="F2174" s="1">
        <v>23</v>
      </c>
      <c r="G2174" s="1" t="s">
        <v>106</v>
      </c>
      <c r="H2174" s="1" t="s">
        <v>95</v>
      </c>
      <c r="I2174" s="1">
        <v>33.9</v>
      </c>
      <c r="J2174" s="1" t="s">
        <v>95</v>
      </c>
      <c r="M2174" s="1" t="s">
        <v>101</v>
      </c>
      <c r="O2174" s="1">
        <v>1</v>
      </c>
      <c r="R2174" s="1"/>
    </row>
    <row r="2175" spans="1:18" ht="14.25" customHeight="1" x14ac:dyDescent="0.3">
      <c r="A2175" s="1" t="s">
        <v>73</v>
      </c>
      <c r="B2175" s="1">
        <v>33</v>
      </c>
      <c r="C2175" s="1">
        <v>11</v>
      </c>
      <c r="D2175" s="1" t="str">
        <f t="shared" si="34"/>
        <v>Yes</v>
      </c>
      <c r="E2175" s="1">
        <v>11.2</v>
      </c>
      <c r="F2175" s="1">
        <v>91</v>
      </c>
      <c r="G2175" s="1" t="s">
        <v>93</v>
      </c>
      <c r="H2175" s="1" t="s">
        <v>95</v>
      </c>
      <c r="I2175" s="1">
        <v>105</v>
      </c>
      <c r="J2175" s="1" t="s">
        <v>95</v>
      </c>
      <c r="M2175" s="1" t="s">
        <v>97</v>
      </c>
      <c r="O2175" s="1">
        <v>1</v>
      </c>
      <c r="R2175" s="1"/>
    </row>
    <row r="2176" spans="1:18" ht="14.25" customHeight="1" x14ac:dyDescent="0.3">
      <c r="A2176" s="1" t="s">
        <v>73</v>
      </c>
      <c r="B2176" s="1">
        <v>33</v>
      </c>
      <c r="C2176" s="1">
        <v>7</v>
      </c>
      <c r="D2176" s="1" t="str">
        <f t="shared" si="34"/>
        <v>Yes</v>
      </c>
      <c r="E2176" s="1">
        <v>11.6</v>
      </c>
      <c r="F2176" s="1">
        <v>43</v>
      </c>
      <c r="G2176" s="1" t="s">
        <v>93</v>
      </c>
      <c r="H2176" s="1" t="s">
        <v>95</v>
      </c>
      <c r="I2176" s="1">
        <v>49.6</v>
      </c>
      <c r="J2176" s="1" t="s">
        <v>95</v>
      </c>
      <c r="M2176" s="1" t="s">
        <v>102</v>
      </c>
      <c r="O2176" s="1">
        <v>1</v>
      </c>
    </row>
    <row r="2177" spans="1:17" ht="14.25" customHeight="1" x14ac:dyDescent="0.3">
      <c r="A2177" s="1" t="s">
        <v>73</v>
      </c>
      <c r="B2177" s="1">
        <v>33</v>
      </c>
      <c r="C2177" s="1">
        <v>9</v>
      </c>
      <c r="D2177" s="1" t="str">
        <f t="shared" si="34"/>
        <v>Yes</v>
      </c>
      <c r="E2177" s="1">
        <v>10.199999999999999</v>
      </c>
      <c r="F2177" s="1">
        <v>46</v>
      </c>
      <c r="G2177" s="1" t="s">
        <v>93</v>
      </c>
      <c r="H2177" s="1" t="s">
        <v>95</v>
      </c>
      <c r="I2177" s="1">
        <v>16.899999999999999</v>
      </c>
      <c r="J2177" s="1" t="s">
        <v>95</v>
      </c>
      <c r="M2177" s="1" t="s">
        <v>101</v>
      </c>
      <c r="O2177" s="1">
        <v>1</v>
      </c>
    </row>
    <row r="2178" spans="1:17" ht="14.25" customHeight="1" x14ac:dyDescent="0.3">
      <c r="A2178" s="1" t="s">
        <v>73</v>
      </c>
      <c r="B2178" s="1">
        <v>33</v>
      </c>
      <c r="C2178" s="1">
        <v>6</v>
      </c>
      <c r="D2178" s="1" t="str">
        <f t="shared" si="34"/>
        <v>Yes</v>
      </c>
      <c r="E2178" s="1">
        <v>11</v>
      </c>
      <c r="F2178" s="1">
        <v>28</v>
      </c>
      <c r="G2178" s="1" t="s">
        <v>93</v>
      </c>
      <c r="H2178" s="1" t="s">
        <v>95</v>
      </c>
      <c r="I2178" s="1">
        <v>15.3</v>
      </c>
      <c r="J2178" s="1" t="s">
        <v>95</v>
      </c>
      <c r="M2178" s="1" t="s">
        <v>101</v>
      </c>
      <c r="O2178" s="1">
        <v>1</v>
      </c>
    </row>
    <row r="2179" spans="1:17" ht="14.25" customHeight="1" x14ac:dyDescent="0.3">
      <c r="A2179" s="1" t="s">
        <v>73</v>
      </c>
      <c r="B2179" s="1">
        <v>33</v>
      </c>
      <c r="C2179" s="1">
        <v>2</v>
      </c>
      <c r="D2179" s="1" t="str">
        <f t="shared" si="34"/>
        <v>Yes</v>
      </c>
      <c r="E2179" s="1">
        <v>7.3</v>
      </c>
      <c r="F2179" s="1">
        <v>243</v>
      </c>
      <c r="G2179" s="1" t="s">
        <v>93</v>
      </c>
      <c r="H2179" s="1" t="s">
        <v>95</v>
      </c>
      <c r="I2179" s="1">
        <v>12.4</v>
      </c>
      <c r="J2179" s="1" t="s">
        <v>95</v>
      </c>
      <c r="M2179" s="1" t="s">
        <v>101</v>
      </c>
      <c r="O2179" s="1">
        <v>1</v>
      </c>
      <c r="Q2179" s="1" t="s">
        <v>227</v>
      </c>
    </row>
    <row r="2180" spans="1:17" ht="14.25" customHeight="1" x14ac:dyDescent="0.3">
      <c r="A2180" s="1" t="s">
        <v>73</v>
      </c>
      <c r="B2180" s="1">
        <v>33</v>
      </c>
      <c r="C2180" s="1">
        <v>8</v>
      </c>
      <c r="D2180" s="1" t="str">
        <f t="shared" si="34"/>
        <v>Yes</v>
      </c>
      <c r="E2180" s="1">
        <v>10.199999999999999</v>
      </c>
      <c r="F2180" s="1">
        <v>46</v>
      </c>
      <c r="G2180" s="1" t="s">
        <v>93</v>
      </c>
      <c r="H2180" s="1" t="s">
        <v>95</v>
      </c>
      <c r="I2180" s="1">
        <v>8.1999999999999993</v>
      </c>
      <c r="J2180" s="1" t="s">
        <v>95</v>
      </c>
      <c r="M2180" s="1" t="s">
        <v>101</v>
      </c>
      <c r="O2180" s="1">
        <v>5</v>
      </c>
    </row>
    <row r="2181" spans="1:17" ht="14.25" customHeight="1" x14ac:dyDescent="0.3">
      <c r="A2181" s="1" t="s">
        <v>73</v>
      </c>
      <c r="B2181" s="1">
        <v>33</v>
      </c>
      <c r="C2181" s="1">
        <v>4</v>
      </c>
      <c r="D2181" s="1" t="str">
        <f t="shared" si="34"/>
        <v>Yes</v>
      </c>
      <c r="E2181" s="1">
        <v>11.2</v>
      </c>
      <c r="F2181" s="1">
        <v>11</v>
      </c>
      <c r="G2181" s="1" t="s">
        <v>93</v>
      </c>
      <c r="H2181" s="1" t="s">
        <v>95</v>
      </c>
      <c r="I2181" s="1">
        <v>7.6</v>
      </c>
      <c r="J2181" s="1" t="s">
        <v>95</v>
      </c>
      <c r="M2181" s="1" t="s">
        <v>101</v>
      </c>
      <c r="O2181" s="1">
        <v>1</v>
      </c>
    </row>
    <row r="2182" spans="1:17" ht="14.25" customHeight="1" x14ac:dyDescent="0.3">
      <c r="A2182" s="1" t="s">
        <v>73</v>
      </c>
      <c r="B2182" s="1">
        <v>33</v>
      </c>
      <c r="C2182" s="1">
        <v>1</v>
      </c>
      <c r="D2182" s="1" t="str">
        <f t="shared" si="34"/>
        <v>Yes</v>
      </c>
      <c r="E2182" s="1">
        <v>4</v>
      </c>
      <c r="F2182" s="1">
        <v>253</v>
      </c>
      <c r="G2182" s="1" t="s">
        <v>98</v>
      </c>
      <c r="H2182" s="1" t="s">
        <v>94</v>
      </c>
      <c r="I2182" s="1">
        <v>13.1</v>
      </c>
      <c r="J2182" s="1" t="s">
        <v>95</v>
      </c>
      <c r="K2182" s="1">
        <v>0</v>
      </c>
      <c r="L2182" s="1">
        <v>1</v>
      </c>
      <c r="M2182" s="1" t="s">
        <v>102</v>
      </c>
      <c r="P2182" s="1">
        <v>838</v>
      </c>
    </row>
    <row r="2183" spans="1:17" ht="14.25" customHeight="1" x14ac:dyDescent="0.3">
      <c r="A2183" s="1" t="s">
        <v>73</v>
      </c>
      <c r="B2183" s="1">
        <v>33</v>
      </c>
      <c r="C2183" s="1">
        <v>14</v>
      </c>
      <c r="D2183" s="1" t="str">
        <f t="shared" si="34"/>
        <v>Yes</v>
      </c>
      <c r="E2183" s="1">
        <v>10.8</v>
      </c>
      <c r="F2183" s="1">
        <v>125</v>
      </c>
      <c r="G2183" s="1" t="s">
        <v>109</v>
      </c>
      <c r="H2183" s="1" t="s">
        <v>94</v>
      </c>
      <c r="I2183" s="1">
        <v>50.5</v>
      </c>
      <c r="J2183" s="1" t="s">
        <v>95</v>
      </c>
      <c r="K2183" s="1">
        <v>1</v>
      </c>
      <c r="L2183" s="1">
        <v>1</v>
      </c>
      <c r="M2183" s="1" t="s">
        <v>102</v>
      </c>
    </row>
    <row r="2184" spans="1:17" ht="14.25" customHeight="1" x14ac:dyDescent="0.3">
      <c r="A2184" s="1" t="s">
        <v>73</v>
      </c>
      <c r="B2184" s="1">
        <v>33</v>
      </c>
      <c r="C2184" s="1">
        <v>22</v>
      </c>
      <c r="D2184" s="1" t="str">
        <f t="shared" si="34"/>
        <v>Yes</v>
      </c>
      <c r="E2184" s="1">
        <v>8.1</v>
      </c>
      <c r="F2184" s="1">
        <v>165</v>
      </c>
      <c r="G2184" s="1" t="s">
        <v>93</v>
      </c>
      <c r="H2184" s="1" t="s">
        <v>94</v>
      </c>
      <c r="I2184" s="17">
        <v>44.7</v>
      </c>
      <c r="J2184" s="1" t="s">
        <v>95</v>
      </c>
      <c r="K2184" s="1">
        <v>0</v>
      </c>
      <c r="L2184" s="1">
        <v>20</v>
      </c>
      <c r="M2184" s="1" t="s">
        <v>102</v>
      </c>
      <c r="P2184" s="1">
        <v>837</v>
      </c>
    </row>
    <row r="2185" spans="1:17" ht="14.25" customHeight="1" x14ac:dyDescent="0.3">
      <c r="A2185" s="1" t="s">
        <v>73</v>
      </c>
      <c r="B2185" s="1">
        <v>33</v>
      </c>
      <c r="C2185" s="1">
        <v>12</v>
      </c>
      <c r="D2185" s="1" t="str">
        <f t="shared" si="34"/>
        <v>Yes</v>
      </c>
      <c r="E2185" s="1">
        <v>11.4</v>
      </c>
      <c r="F2185" s="1">
        <v>113</v>
      </c>
      <c r="G2185" s="1" t="s">
        <v>93</v>
      </c>
      <c r="H2185" s="1" t="s">
        <v>94</v>
      </c>
      <c r="I2185" s="1">
        <v>36.6</v>
      </c>
      <c r="J2185" s="1" t="s">
        <v>95</v>
      </c>
      <c r="K2185" s="1">
        <v>1</v>
      </c>
      <c r="L2185" s="1">
        <v>60</v>
      </c>
      <c r="M2185" s="1" t="s">
        <v>102</v>
      </c>
      <c r="N2185" s="1" t="s">
        <v>100</v>
      </c>
    </row>
    <row r="2186" spans="1:17" ht="14.25" customHeight="1" x14ac:dyDescent="0.3">
      <c r="A2186" s="1" t="s">
        <v>73</v>
      </c>
      <c r="B2186" s="1">
        <v>34</v>
      </c>
      <c r="C2186" s="1">
        <v>18</v>
      </c>
      <c r="D2186" s="1" t="str">
        <f t="shared" si="34"/>
        <v>Yes</v>
      </c>
      <c r="E2186" s="1">
        <v>4.4000000000000004</v>
      </c>
      <c r="F2186" s="1">
        <v>166</v>
      </c>
      <c r="G2186" s="1" t="s">
        <v>109</v>
      </c>
      <c r="H2186" s="1" t="s">
        <v>95</v>
      </c>
      <c r="I2186" s="1">
        <v>220</v>
      </c>
      <c r="J2186" s="1" t="s">
        <v>101</v>
      </c>
      <c r="M2186" s="1" t="s">
        <v>95</v>
      </c>
      <c r="O2186" s="1">
        <v>5</v>
      </c>
      <c r="Q2186" s="1" t="s">
        <v>162</v>
      </c>
    </row>
    <row r="2187" spans="1:17" ht="14.25" customHeight="1" x14ac:dyDescent="0.3">
      <c r="A2187" s="1" t="s">
        <v>73</v>
      </c>
      <c r="B2187" s="1">
        <v>34</v>
      </c>
      <c r="C2187" s="1">
        <v>2</v>
      </c>
      <c r="D2187" s="1" t="str">
        <f t="shared" si="34"/>
        <v>Yes</v>
      </c>
      <c r="E2187" s="1">
        <v>9.8000000000000007</v>
      </c>
      <c r="F2187" s="1">
        <v>29</v>
      </c>
      <c r="G2187" s="1" t="s">
        <v>106</v>
      </c>
      <c r="H2187" s="1" t="s">
        <v>95</v>
      </c>
      <c r="I2187" s="1">
        <v>53</v>
      </c>
      <c r="J2187" s="1" t="s">
        <v>95</v>
      </c>
      <c r="M2187" s="1" t="s">
        <v>102</v>
      </c>
      <c r="O2187" s="1">
        <v>1</v>
      </c>
      <c r="P2187" s="1">
        <v>860</v>
      </c>
    </row>
    <row r="2188" spans="1:17" ht="14.25" customHeight="1" x14ac:dyDescent="0.3">
      <c r="A2188" s="1" t="s">
        <v>73</v>
      </c>
      <c r="B2188" s="1">
        <v>34</v>
      </c>
      <c r="C2188" s="1">
        <v>5</v>
      </c>
      <c r="D2188" s="1" t="str">
        <f t="shared" si="34"/>
        <v>Yes</v>
      </c>
      <c r="E2188" s="1">
        <v>8.4</v>
      </c>
      <c r="F2188" s="1">
        <v>82</v>
      </c>
      <c r="G2188" s="1" t="s">
        <v>106</v>
      </c>
      <c r="H2188" s="1" t="s">
        <v>95</v>
      </c>
      <c r="I2188" s="1">
        <v>49.3</v>
      </c>
      <c r="J2188" s="1" t="s">
        <v>95</v>
      </c>
      <c r="M2188" s="1" t="s">
        <v>102</v>
      </c>
      <c r="O2188" s="1">
        <v>1</v>
      </c>
    </row>
    <row r="2189" spans="1:17" ht="14.25" customHeight="1" x14ac:dyDescent="0.3">
      <c r="A2189" s="1" t="s">
        <v>73</v>
      </c>
      <c r="B2189" s="1">
        <v>34</v>
      </c>
      <c r="C2189" s="1">
        <v>24</v>
      </c>
      <c r="D2189" s="1" t="str">
        <f t="shared" si="34"/>
        <v>Yes</v>
      </c>
      <c r="E2189" s="1">
        <v>8.3000000000000007</v>
      </c>
      <c r="F2189" s="1">
        <v>217</v>
      </c>
      <c r="G2189" s="1" t="s">
        <v>106</v>
      </c>
      <c r="H2189" s="1" t="s">
        <v>95</v>
      </c>
      <c r="I2189" s="1">
        <v>46</v>
      </c>
      <c r="J2189" s="1" t="s">
        <v>95</v>
      </c>
      <c r="M2189" s="1" t="s">
        <v>102</v>
      </c>
      <c r="O2189" s="1">
        <v>1</v>
      </c>
    </row>
    <row r="2190" spans="1:17" ht="14.25" customHeight="1" x14ac:dyDescent="0.3">
      <c r="A2190" s="1" t="s">
        <v>73</v>
      </c>
      <c r="B2190" s="1">
        <v>34</v>
      </c>
      <c r="C2190" s="1">
        <v>20</v>
      </c>
      <c r="D2190" s="1" t="str">
        <f t="shared" si="34"/>
        <v>Yes</v>
      </c>
      <c r="E2190" s="1">
        <v>11.3</v>
      </c>
      <c r="F2190" s="1">
        <v>165</v>
      </c>
      <c r="G2190" s="1" t="s">
        <v>106</v>
      </c>
      <c r="H2190" s="1" t="s">
        <v>95</v>
      </c>
      <c r="I2190" s="1">
        <v>45.5</v>
      </c>
      <c r="J2190" s="1" t="s">
        <v>95</v>
      </c>
      <c r="M2190" s="1" t="s">
        <v>102</v>
      </c>
      <c r="O2190" s="1">
        <v>1</v>
      </c>
    </row>
    <row r="2191" spans="1:17" ht="14.25" customHeight="1" x14ac:dyDescent="0.3">
      <c r="A2191" s="1" t="s">
        <v>73</v>
      </c>
      <c r="B2191" s="1">
        <v>34</v>
      </c>
      <c r="C2191" s="1">
        <v>17</v>
      </c>
      <c r="D2191" s="1" t="str">
        <f t="shared" si="34"/>
        <v>Yes</v>
      </c>
      <c r="E2191" s="1">
        <v>6.5</v>
      </c>
      <c r="F2191" s="1">
        <v>136</v>
      </c>
      <c r="G2191" s="1" t="s">
        <v>106</v>
      </c>
      <c r="H2191" s="1" t="s">
        <v>95</v>
      </c>
      <c r="I2191" s="1">
        <v>43.5</v>
      </c>
      <c r="J2191" s="1" t="s">
        <v>95</v>
      </c>
      <c r="M2191" s="1" t="s">
        <v>102</v>
      </c>
      <c r="O2191" s="1">
        <v>1</v>
      </c>
      <c r="P2191" s="1">
        <v>861</v>
      </c>
    </row>
    <row r="2192" spans="1:17" ht="14.25" customHeight="1" x14ac:dyDescent="0.3">
      <c r="A2192" s="1" t="s">
        <v>73</v>
      </c>
      <c r="B2192" s="1">
        <v>34</v>
      </c>
      <c r="C2192" s="1">
        <v>9</v>
      </c>
      <c r="D2192" s="1" t="str">
        <f t="shared" si="34"/>
        <v>Yes</v>
      </c>
      <c r="E2192" s="1">
        <v>11.2</v>
      </c>
      <c r="F2192" s="1">
        <v>63</v>
      </c>
      <c r="G2192" s="1" t="s">
        <v>106</v>
      </c>
      <c r="H2192" s="1" t="s">
        <v>95</v>
      </c>
      <c r="I2192" s="1">
        <v>32</v>
      </c>
      <c r="J2192" s="1" t="s">
        <v>95</v>
      </c>
      <c r="M2192" s="1" t="s">
        <v>102</v>
      </c>
      <c r="O2192" s="1">
        <v>1</v>
      </c>
    </row>
    <row r="2193" spans="1:18" ht="14.25" customHeight="1" x14ac:dyDescent="0.3">
      <c r="A2193" s="1" t="s">
        <v>73</v>
      </c>
      <c r="B2193" s="1">
        <v>34</v>
      </c>
      <c r="C2193" s="1">
        <v>21</v>
      </c>
      <c r="D2193" s="1" t="str">
        <f t="shared" si="34"/>
        <v>Yes</v>
      </c>
      <c r="E2193" s="1">
        <v>11</v>
      </c>
      <c r="F2193" s="1">
        <v>179</v>
      </c>
      <c r="G2193" s="1" t="s">
        <v>106</v>
      </c>
      <c r="H2193" s="1" t="s">
        <v>95</v>
      </c>
      <c r="I2193" s="1">
        <v>30.3</v>
      </c>
      <c r="J2193" s="1" t="s">
        <v>95</v>
      </c>
      <c r="M2193" s="1" t="s">
        <v>101</v>
      </c>
      <c r="O2193" s="1">
        <v>1</v>
      </c>
    </row>
    <row r="2194" spans="1:18" ht="14.25" customHeight="1" x14ac:dyDescent="0.3">
      <c r="A2194" s="1" t="s">
        <v>73</v>
      </c>
      <c r="B2194" s="1">
        <v>34</v>
      </c>
      <c r="C2194" s="1">
        <v>12</v>
      </c>
      <c r="D2194" s="1" t="str">
        <f t="shared" si="34"/>
        <v>Yes</v>
      </c>
      <c r="E2194" s="1">
        <v>11.2</v>
      </c>
      <c r="F2194" s="1">
        <v>105</v>
      </c>
      <c r="G2194" s="1" t="s">
        <v>106</v>
      </c>
      <c r="H2194" s="1" t="s">
        <v>95</v>
      </c>
      <c r="I2194" s="1">
        <v>29.9</v>
      </c>
      <c r="J2194" s="1" t="s">
        <v>95</v>
      </c>
      <c r="M2194" s="1" t="s">
        <v>101</v>
      </c>
      <c r="O2194" s="1">
        <v>5</v>
      </c>
    </row>
    <row r="2195" spans="1:18" ht="14.25" customHeight="1" x14ac:dyDescent="0.3">
      <c r="A2195" s="1" t="s">
        <v>73</v>
      </c>
      <c r="B2195" s="1">
        <v>34</v>
      </c>
      <c r="C2195" s="1">
        <v>22</v>
      </c>
      <c r="D2195" s="1" t="str">
        <f t="shared" si="34"/>
        <v>Yes</v>
      </c>
      <c r="E2195" s="1">
        <v>7.5</v>
      </c>
      <c r="F2195" s="1">
        <v>196</v>
      </c>
      <c r="G2195" s="1" t="s">
        <v>106</v>
      </c>
      <c r="H2195" s="1" t="s">
        <v>95</v>
      </c>
      <c r="I2195" s="1">
        <v>28.3</v>
      </c>
      <c r="J2195" s="1" t="s">
        <v>95</v>
      </c>
      <c r="M2195" s="1" t="s">
        <v>102</v>
      </c>
      <c r="O2195" s="1">
        <v>1</v>
      </c>
    </row>
    <row r="2196" spans="1:18" ht="14.25" customHeight="1" x14ac:dyDescent="0.3">
      <c r="A2196" s="1" t="s">
        <v>73</v>
      </c>
      <c r="B2196" s="1">
        <v>34</v>
      </c>
      <c r="C2196" s="1">
        <v>3</v>
      </c>
      <c r="D2196" s="1" t="str">
        <f t="shared" si="34"/>
        <v>Yes</v>
      </c>
      <c r="E2196" s="1">
        <v>7.3</v>
      </c>
      <c r="F2196" s="1">
        <v>22</v>
      </c>
      <c r="G2196" s="1" t="s">
        <v>106</v>
      </c>
      <c r="H2196" s="1" t="s">
        <v>95</v>
      </c>
      <c r="I2196" s="1">
        <v>28.1</v>
      </c>
      <c r="J2196" s="1" t="s">
        <v>95</v>
      </c>
      <c r="M2196" s="1" t="s">
        <v>101</v>
      </c>
      <c r="O2196" s="1">
        <v>1</v>
      </c>
    </row>
    <row r="2197" spans="1:18" ht="14.25" customHeight="1" x14ac:dyDescent="0.3">
      <c r="A2197" s="1" t="s">
        <v>73</v>
      </c>
      <c r="B2197" s="1">
        <v>34</v>
      </c>
      <c r="C2197" s="1">
        <v>13</v>
      </c>
      <c r="D2197" s="1" t="str">
        <f t="shared" si="34"/>
        <v>Yes</v>
      </c>
      <c r="E2197" s="1">
        <v>11.1</v>
      </c>
      <c r="F2197" s="1">
        <v>126</v>
      </c>
      <c r="G2197" s="1" t="s">
        <v>106</v>
      </c>
      <c r="H2197" s="1" t="s">
        <v>95</v>
      </c>
      <c r="I2197" s="1">
        <v>27.7</v>
      </c>
      <c r="J2197" s="1" t="s">
        <v>95</v>
      </c>
      <c r="M2197" s="1" t="s">
        <v>101</v>
      </c>
      <c r="O2197" s="1">
        <v>1</v>
      </c>
    </row>
    <row r="2198" spans="1:18" ht="14.25" customHeight="1" x14ac:dyDescent="0.3">
      <c r="A2198" s="1" t="s">
        <v>73</v>
      </c>
      <c r="B2198" s="1">
        <v>34</v>
      </c>
      <c r="C2198" s="1">
        <v>23</v>
      </c>
      <c r="D2198" s="1" t="str">
        <f t="shared" si="34"/>
        <v>Yes</v>
      </c>
      <c r="E2198" s="1">
        <v>5.5</v>
      </c>
      <c r="F2198" s="1">
        <v>202</v>
      </c>
      <c r="G2198" s="1" t="s">
        <v>106</v>
      </c>
      <c r="H2198" s="1" t="s">
        <v>95</v>
      </c>
      <c r="I2198" s="1">
        <v>26.2</v>
      </c>
      <c r="J2198" s="1" t="s">
        <v>95</v>
      </c>
      <c r="M2198" s="1" t="s">
        <v>102</v>
      </c>
      <c r="O2198" s="1">
        <v>1</v>
      </c>
    </row>
    <row r="2199" spans="1:18" ht="14.25" customHeight="1" x14ac:dyDescent="0.3">
      <c r="A2199" s="1" t="s">
        <v>73</v>
      </c>
      <c r="B2199" s="1">
        <v>34</v>
      </c>
      <c r="C2199" s="1">
        <v>7</v>
      </c>
      <c r="D2199" s="1" t="str">
        <f t="shared" si="34"/>
        <v>Yes</v>
      </c>
      <c r="E2199" s="1">
        <v>9</v>
      </c>
      <c r="F2199" s="1">
        <v>68</v>
      </c>
      <c r="G2199" s="1" t="s">
        <v>106</v>
      </c>
      <c r="H2199" s="1" t="s">
        <v>95</v>
      </c>
      <c r="I2199" s="1">
        <v>25.9</v>
      </c>
      <c r="J2199" s="1" t="s">
        <v>95</v>
      </c>
      <c r="M2199" s="1" t="s">
        <v>101</v>
      </c>
      <c r="O2199" s="1">
        <v>1</v>
      </c>
    </row>
    <row r="2200" spans="1:18" ht="14.25" customHeight="1" x14ac:dyDescent="0.3">
      <c r="A2200" s="1" t="s">
        <v>73</v>
      </c>
      <c r="B2200" s="1">
        <v>34</v>
      </c>
      <c r="C2200" s="1">
        <v>6</v>
      </c>
      <c r="D2200" s="1" t="str">
        <f t="shared" ref="D2200:D2263" si="35">IF(E2200&gt;12.5, "No", "Yes")</f>
        <v>Yes</v>
      </c>
      <c r="E2200" s="1">
        <v>8.8000000000000007</v>
      </c>
      <c r="F2200" s="1">
        <v>71</v>
      </c>
      <c r="G2200" s="1" t="s">
        <v>106</v>
      </c>
      <c r="H2200" s="1" t="s">
        <v>95</v>
      </c>
      <c r="I2200" s="1">
        <v>24.2</v>
      </c>
      <c r="J2200" s="1" t="s">
        <v>95</v>
      </c>
      <c r="M2200" s="1" t="s">
        <v>101</v>
      </c>
      <c r="O2200" s="1">
        <v>1</v>
      </c>
      <c r="R2200" s="1"/>
    </row>
    <row r="2201" spans="1:18" ht="14.25" customHeight="1" x14ac:dyDescent="0.3">
      <c r="A2201" s="1" t="s">
        <v>73</v>
      </c>
      <c r="B2201" s="1">
        <v>34</v>
      </c>
      <c r="C2201" s="1">
        <v>16</v>
      </c>
      <c r="D2201" s="1" t="str">
        <f t="shared" si="35"/>
        <v>Yes</v>
      </c>
      <c r="E2201" s="1">
        <v>8.5</v>
      </c>
      <c r="F2201" s="1">
        <v>127</v>
      </c>
      <c r="G2201" s="1" t="s">
        <v>106</v>
      </c>
      <c r="H2201" s="1" t="s">
        <v>95</v>
      </c>
      <c r="I2201" s="1">
        <v>23.3</v>
      </c>
      <c r="J2201" s="1" t="s">
        <v>95</v>
      </c>
      <c r="M2201" s="1" t="s">
        <v>101</v>
      </c>
      <c r="O2201" s="1">
        <v>1</v>
      </c>
    </row>
    <row r="2202" spans="1:18" ht="14.25" customHeight="1" x14ac:dyDescent="0.3">
      <c r="A2202" s="1" t="s">
        <v>73</v>
      </c>
      <c r="B2202" s="1">
        <v>34</v>
      </c>
      <c r="C2202" s="1">
        <v>15</v>
      </c>
      <c r="D2202" s="1" t="str">
        <f t="shared" si="35"/>
        <v>Yes</v>
      </c>
      <c r="E2202" s="1">
        <v>11.4</v>
      </c>
      <c r="F2202" s="1">
        <v>130</v>
      </c>
      <c r="G2202" s="1" t="s">
        <v>106</v>
      </c>
      <c r="H2202" s="1" t="s">
        <v>95</v>
      </c>
      <c r="I2202" s="1">
        <v>21.8</v>
      </c>
      <c r="J2202" s="1" t="s">
        <v>95</v>
      </c>
      <c r="M2202" s="1" t="s">
        <v>101</v>
      </c>
      <c r="O2202" s="1">
        <v>1</v>
      </c>
    </row>
    <row r="2203" spans="1:18" ht="14.25" customHeight="1" x14ac:dyDescent="0.3">
      <c r="A2203" s="1" t="s">
        <v>73</v>
      </c>
      <c r="B2203" s="1">
        <v>34</v>
      </c>
      <c r="C2203" s="1">
        <v>8</v>
      </c>
      <c r="D2203" s="1" t="str">
        <f t="shared" si="35"/>
        <v>Yes</v>
      </c>
      <c r="E2203" s="1">
        <v>11.7</v>
      </c>
      <c r="F2203" s="1">
        <v>71</v>
      </c>
      <c r="G2203" s="1" t="s">
        <v>106</v>
      </c>
      <c r="H2203" s="1" t="s">
        <v>95</v>
      </c>
      <c r="I2203" s="1">
        <v>20.7</v>
      </c>
      <c r="J2203" s="1" t="s">
        <v>95</v>
      </c>
      <c r="M2203" s="1" t="s">
        <v>101</v>
      </c>
      <c r="O2203" s="1">
        <v>1</v>
      </c>
    </row>
    <row r="2204" spans="1:18" ht="14.25" customHeight="1" x14ac:dyDescent="0.3">
      <c r="A2204" s="1" t="s">
        <v>73</v>
      </c>
      <c r="B2204" s="1">
        <v>34</v>
      </c>
      <c r="C2204" s="1">
        <v>19</v>
      </c>
      <c r="D2204" s="1" t="str">
        <f t="shared" si="35"/>
        <v>Yes</v>
      </c>
      <c r="E2204" s="1">
        <v>9.9</v>
      </c>
      <c r="F2204" s="1">
        <v>138</v>
      </c>
      <c r="G2204" s="1" t="s">
        <v>106</v>
      </c>
      <c r="H2204" s="1" t="s">
        <v>95</v>
      </c>
      <c r="I2204" s="1">
        <v>17.5</v>
      </c>
      <c r="J2204" s="1" t="s">
        <v>95</v>
      </c>
      <c r="M2204" s="1" t="s">
        <v>101</v>
      </c>
      <c r="O2204" s="1">
        <v>1</v>
      </c>
    </row>
    <row r="2205" spans="1:18" ht="14.25" customHeight="1" x14ac:dyDescent="0.3">
      <c r="A2205" s="1" t="s">
        <v>73</v>
      </c>
      <c r="B2205" s="1">
        <v>34</v>
      </c>
      <c r="C2205" s="1">
        <v>10</v>
      </c>
      <c r="D2205" s="1" t="str">
        <f t="shared" si="35"/>
        <v>Yes</v>
      </c>
      <c r="E2205" s="1">
        <v>12</v>
      </c>
      <c r="F2205" s="1">
        <v>93</v>
      </c>
      <c r="G2205" s="1" t="s">
        <v>106</v>
      </c>
      <c r="H2205" s="1" t="s">
        <v>95</v>
      </c>
      <c r="I2205" s="1">
        <v>15.1</v>
      </c>
      <c r="J2205" s="1" t="s">
        <v>95</v>
      </c>
      <c r="M2205" s="1" t="s">
        <v>101</v>
      </c>
      <c r="O2205" s="1">
        <v>1</v>
      </c>
    </row>
    <row r="2206" spans="1:18" ht="14.25" customHeight="1" x14ac:dyDescent="0.3">
      <c r="A2206" s="1" t="s">
        <v>73</v>
      </c>
      <c r="B2206" s="1">
        <v>34</v>
      </c>
      <c r="C2206" s="1">
        <v>14</v>
      </c>
      <c r="D2206" s="1" t="str">
        <f t="shared" si="35"/>
        <v>Yes</v>
      </c>
      <c r="E2206" s="1">
        <v>12</v>
      </c>
      <c r="F2206" s="1">
        <v>126</v>
      </c>
      <c r="G2206" s="1" t="s">
        <v>106</v>
      </c>
      <c r="H2206" s="1" t="s">
        <v>95</v>
      </c>
      <c r="I2206" s="1">
        <v>11.4</v>
      </c>
      <c r="J2206" s="1" t="s">
        <v>95</v>
      </c>
      <c r="M2206" s="1" t="s">
        <v>101</v>
      </c>
      <c r="O2206" s="1">
        <v>1</v>
      </c>
    </row>
    <row r="2207" spans="1:18" ht="14.25" customHeight="1" x14ac:dyDescent="0.3">
      <c r="A2207" s="1" t="s">
        <v>73</v>
      </c>
      <c r="B2207" s="1">
        <v>34</v>
      </c>
      <c r="C2207" s="1">
        <v>1</v>
      </c>
      <c r="D2207" s="1" t="str">
        <f t="shared" si="35"/>
        <v>Yes</v>
      </c>
      <c r="E2207" s="1">
        <v>12</v>
      </c>
      <c r="F2207" s="1">
        <v>2</v>
      </c>
      <c r="G2207" s="1" t="s">
        <v>93</v>
      </c>
      <c r="H2207" s="1" t="s">
        <v>95</v>
      </c>
      <c r="I2207" s="1">
        <v>60</v>
      </c>
      <c r="J2207" s="1" t="s">
        <v>101</v>
      </c>
      <c r="M2207" s="1" t="s">
        <v>102</v>
      </c>
      <c r="O2207" s="1">
        <v>5</v>
      </c>
    </row>
    <row r="2208" spans="1:18" ht="14.25" customHeight="1" x14ac:dyDescent="0.3">
      <c r="A2208" s="1" t="s">
        <v>73</v>
      </c>
      <c r="B2208" s="1">
        <v>34</v>
      </c>
      <c r="C2208" s="1">
        <v>28</v>
      </c>
      <c r="D2208" s="1" t="str">
        <f t="shared" si="35"/>
        <v>Yes</v>
      </c>
      <c r="E2208" s="1">
        <v>5.9</v>
      </c>
      <c r="F2208" s="1">
        <v>239</v>
      </c>
      <c r="G2208" s="1" t="s">
        <v>93</v>
      </c>
      <c r="H2208" s="1" t="s">
        <v>95</v>
      </c>
      <c r="I2208" s="1">
        <v>54.9</v>
      </c>
      <c r="J2208" s="1" t="s">
        <v>95</v>
      </c>
      <c r="M2208" s="1" t="s">
        <v>97</v>
      </c>
      <c r="O2208" s="1">
        <v>5</v>
      </c>
      <c r="P2208" s="1">
        <v>862</v>
      </c>
    </row>
    <row r="2209" spans="1:18" ht="14.25" customHeight="1" x14ac:dyDescent="0.3">
      <c r="A2209" s="1" t="s">
        <v>73</v>
      </c>
      <c r="B2209" s="1">
        <v>34</v>
      </c>
      <c r="C2209" s="1">
        <v>25</v>
      </c>
      <c r="D2209" s="1" t="str">
        <f t="shared" si="35"/>
        <v>Yes</v>
      </c>
      <c r="E2209" s="1">
        <v>7.1</v>
      </c>
      <c r="F2209" s="1">
        <v>222</v>
      </c>
      <c r="G2209" s="1" t="s">
        <v>93</v>
      </c>
      <c r="H2209" s="1" t="s">
        <v>95</v>
      </c>
      <c r="I2209" s="1">
        <v>32.6</v>
      </c>
      <c r="J2209" s="1" t="s">
        <v>95</v>
      </c>
      <c r="M2209" s="1" t="s">
        <v>102</v>
      </c>
      <c r="O2209" s="1">
        <v>1</v>
      </c>
    </row>
    <row r="2210" spans="1:18" ht="14.25" customHeight="1" x14ac:dyDescent="0.3">
      <c r="A2210" s="1" t="s">
        <v>73</v>
      </c>
      <c r="B2210" s="1">
        <v>34</v>
      </c>
      <c r="C2210" s="1">
        <v>37</v>
      </c>
      <c r="D2210" s="1" t="str">
        <f t="shared" si="35"/>
        <v>Yes</v>
      </c>
      <c r="E2210" s="1">
        <v>10.8</v>
      </c>
      <c r="F2210" s="1">
        <v>285</v>
      </c>
      <c r="G2210" s="1" t="s">
        <v>93</v>
      </c>
      <c r="H2210" s="1" t="s">
        <v>95</v>
      </c>
      <c r="I2210" s="1">
        <v>27.5</v>
      </c>
      <c r="J2210" s="1" t="s">
        <v>95</v>
      </c>
      <c r="M2210" s="1" t="s">
        <v>102</v>
      </c>
      <c r="O2210" s="1">
        <v>1</v>
      </c>
    </row>
    <row r="2211" spans="1:18" ht="14.25" customHeight="1" x14ac:dyDescent="0.3">
      <c r="A2211" s="1" t="s">
        <v>73</v>
      </c>
      <c r="B2211" s="1">
        <v>34</v>
      </c>
      <c r="C2211" s="1">
        <v>11</v>
      </c>
      <c r="D2211" s="1" t="str">
        <f t="shared" si="35"/>
        <v>Yes</v>
      </c>
      <c r="E2211" s="1">
        <v>11.1</v>
      </c>
      <c r="F2211" s="1">
        <v>101</v>
      </c>
      <c r="G2211" s="1" t="s">
        <v>93</v>
      </c>
      <c r="H2211" s="1" t="s">
        <v>95</v>
      </c>
      <c r="I2211" s="1">
        <v>19</v>
      </c>
      <c r="J2211" s="1" t="s">
        <v>101</v>
      </c>
      <c r="M2211" s="1" t="s">
        <v>101</v>
      </c>
      <c r="O2211" s="1">
        <v>5</v>
      </c>
      <c r="Q2211" s="1" t="s">
        <v>162</v>
      </c>
    </row>
    <row r="2212" spans="1:18" ht="14.25" customHeight="1" x14ac:dyDescent="0.3">
      <c r="A2212" s="1" t="s">
        <v>73</v>
      </c>
      <c r="B2212" s="1">
        <v>34</v>
      </c>
      <c r="C2212" s="1">
        <v>32</v>
      </c>
      <c r="D2212" s="1" t="str">
        <f t="shared" si="35"/>
        <v>Yes</v>
      </c>
      <c r="E2212" s="1">
        <v>11.1</v>
      </c>
      <c r="F2212" s="1">
        <v>230</v>
      </c>
      <c r="G2212" s="1" t="s">
        <v>93</v>
      </c>
      <c r="H2212" s="1" t="s">
        <v>95</v>
      </c>
      <c r="I2212" s="1">
        <v>16.100000000000001</v>
      </c>
      <c r="J2212" s="1" t="s">
        <v>95</v>
      </c>
      <c r="M2212" s="1" t="s">
        <v>101</v>
      </c>
      <c r="O2212" s="1">
        <v>1</v>
      </c>
    </row>
    <row r="2213" spans="1:18" ht="14.25" customHeight="1" x14ac:dyDescent="0.3">
      <c r="A2213" s="1" t="s">
        <v>73</v>
      </c>
      <c r="B2213" s="1">
        <v>34</v>
      </c>
      <c r="C2213" s="1">
        <v>27</v>
      </c>
      <c r="D2213" s="1" t="str">
        <f t="shared" si="35"/>
        <v>Yes</v>
      </c>
      <c r="E2213" s="1">
        <v>7.4</v>
      </c>
      <c r="F2213" s="1">
        <v>234</v>
      </c>
      <c r="G2213" s="1" t="s">
        <v>93</v>
      </c>
      <c r="H2213" s="1" t="s">
        <v>95</v>
      </c>
      <c r="I2213" s="1">
        <v>15.7</v>
      </c>
      <c r="J2213" s="1" t="s">
        <v>95</v>
      </c>
      <c r="M2213" s="1" t="s">
        <v>101</v>
      </c>
      <c r="O2213" s="1">
        <v>1</v>
      </c>
    </row>
    <row r="2214" spans="1:18" ht="14.25" customHeight="1" x14ac:dyDescent="0.3">
      <c r="A2214" s="1" t="s">
        <v>73</v>
      </c>
      <c r="B2214" s="1">
        <v>34</v>
      </c>
      <c r="C2214" s="1">
        <v>36</v>
      </c>
      <c r="D2214" s="1" t="str">
        <f t="shared" si="35"/>
        <v>Yes</v>
      </c>
      <c r="E2214" s="1">
        <v>10.7</v>
      </c>
      <c r="F2214" s="1">
        <v>276</v>
      </c>
      <c r="G2214" s="1" t="s">
        <v>93</v>
      </c>
      <c r="H2214" s="1" t="s">
        <v>95</v>
      </c>
      <c r="I2214" s="1">
        <v>14.3</v>
      </c>
      <c r="J2214" s="1" t="s">
        <v>95</v>
      </c>
      <c r="M2214" s="1" t="s">
        <v>101</v>
      </c>
      <c r="O2214" s="1">
        <v>1</v>
      </c>
    </row>
    <row r="2215" spans="1:18" ht="14.25" customHeight="1" x14ac:dyDescent="0.3">
      <c r="A2215" s="1" t="s">
        <v>73</v>
      </c>
      <c r="B2215" s="1">
        <v>34</v>
      </c>
      <c r="C2215" s="1">
        <v>29</v>
      </c>
      <c r="D2215" s="1" t="str">
        <f t="shared" si="35"/>
        <v>Yes</v>
      </c>
      <c r="E2215" s="1">
        <v>11.2</v>
      </c>
      <c r="F2215" s="1">
        <v>221</v>
      </c>
      <c r="G2215" s="1" t="s">
        <v>93</v>
      </c>
      <c r="H2215" s="1" t="s">
        <v>95</v>
      </c>
      <c r="I2215" s="1">
        <v>13.6</v>
      </c>
      <c r="J2215" s="1" t="s">
        <v>95</v>
      </c>
      <c r="M2215" s="1" t="s">
        <v>101</v>
      </c>
      <c r="O2215" s="1">
        <v>1</v>
      </c>
    </row>
    <row r="2216" spans="1:18" ht="14.25" customHeight="1" x14ac:dyDescent="0.3">
      <c r="A2216" s="1" t="s">
        <v>73</v>
      </c>
      <c r="B2216" s="1">
        <v>34</v>
      </c>
      <c r="C2216" s="1">
        <v>4</v>
      </c>
      <c r="D2216" s="1" t="str">
        <f t="shared" si="35"/>
        <v>Yes</v>
      </c>
      <c r="E2216" s="1">
        <v>6.6</v>
      </c>
      <c r="F2216" s="1">
        <v>77</v>
      </c>
      <c r="G2216" s="1" t="s">
        <v>93</v>
      </c>
      <c r="H2216" s="1" t="s">
        <v>95</v>
      </c>
      <c r="I2216" s="1">
        <v>11.2</v>
      </c>
      <c r="J2216" s="1" t="s">
        <v>95</v>
      </c>
      <c r="M2216" s="1" t="s">
        <v>101</v>
      </c>
      <c r="O2216" s="1">
        <v>1</v>
      </c>
    </row>
    <row r="2217" spans="1:18" ht="14.25" customHeight="1" x14ac:dyDescent="0.3">
      <c r="A2217" s="1" t="s">
        <v>73</v>
      </c>
      <c r="B2217" s="1">
        <v>34</v>
      </c>
      <c r="C2217" s="1">
        <v>26</v>
      </c>
      <c r="D2217" s="1" t="str">
        <f t="shared" si="35"/>
        <v>Yes</v>
      </c>
      <c r="E2217" s="1">
        <v>6.5</v>
      </c>
      <c r="F2217" s="1">
        <v>233</v>
      </c>
      <c r="G2217" s="1" t="s">
        <v>93</v>
      </c>
      <c r="H2217" s="1" t="s">
        <v>95</v>
      </c>
      <c r="I2217" s="1">
        <v>10.9</v>
      </c>
      <c r="J2217" s="1" t="s">
        <v>95</v>
      </c>
      <c r="M2217" s="1" t="s">
        <v>101</v>
      </c>
      <c r="O2217" s="1">
        <v>1</v>
      </c>
    </row>
    <row r="2218" spans="1:18" ht="14.25" customHeight="1" x14ac:dyDescent="0.3">
      <c r="A2218" s="1" t="s">
        <v>73</v>
      </c>
      <c r="B2218" s="1">
        <v>34</v>
      </c>
      <c r="C2218" s="1">
        <v>30</v>
      </c>
      <c r="D2218" s="1" t="str">
        <f t="shared" si="35"/>
        <v>Yes</v>
      </c>
      <c r="E2218" s="1">
        <v>11.7</v>
      </c>
      <c r="F2218" s="1">
        <v>220</v>
      </c>
      <c r="G2218" s="1" t="s">
        <v>93</v>
      </c>
      <c r="H2218" s="1" t="s">
        <v>95</v>
      </c>
      <c r="I2218" s="1">
        <v>9.3000000000000007</v>
      </c>
      <c r="J2218" s="1" t="s">
        <v>95</v>
      </c>
      <c r="M2218" s="1" t="s">
        <v>101</v>
      </c>
      <c r="O2218" s="1">
        <v>1</v>
      </c>
    </row>
    <row r="2219" spans="1:18" ht="14.25" customHeight="1" x14ac:dyDescent="0.3">
      <c r="A2219" s="1" t="s">
        <v>73</v>
      </c>
      <c r="B2219" s="1">
        <v>34</v>
      </c>
      <c r="C2219" s="1">
        <v>33</v>
      </c>
      <c r="D2219" s="1" t="str">
        <f t="shared" si="35"/>
        <v>Yes</v>
      </c>
      <c r="E2219" s="1">
        <v>9.5</v>
      </c>
      <c r="F2219" s="1">
        <v>238</v>
      </c>
      <c r="G2219" s="1" t="s">
        <v>93</v>
      </c>
      <c r="H2219" s="1" t="s">
        <v>95</v>
      </c>
      <c r="I2219" s="17">
        <v>9.3000000000000007</v>
      </c>
      <c r="J2219" s="1" t="s">
        <v>95</v>
      </c>
      <c r="M2219" s="1" t="s">
        <v>101</v>
      </c>
      <c r="O2219" s="1">
        <v>2</v>
      </c>
    </row>
    <row r="2220" spans="1:18" ht="14.25" customHeight="1" x14ac:dyDescent="0.3">
      <c r="A2220" s="1" t="s">
        <v>73</v>
      </c>
      <c r="B2220" s="1">
        <v>34</v>
      </c>
      <c r="C2220" s="1">
        <v>34</v>
      </c>
      <c r="D2220" s="1" t="str">
        <f t="shared" si="35"/>
        <v>Yes</v>
      </c>
      <c r="E2220" s="1">
        <v>10.4</v>
      </c>
      <c r="F2220" s="1">
        <v>256</v>
      </c>
      <c r="G2220" s="1" t="s">
        <v>93</v>
      </c>
      <c r="H2220" s="1" t="s">
        <v>95</v>
      </c>
      <c r="I2220" s="1">
        <v>8.9</v>
      </c>
      <c r="J2220" s="1" t="s">
        <v>95</v>
      </c>
      <c r="M2220" s="1" t="s">
        <v>101</v>
      </c>
      <c r="O2220" s="1">
        <v>2</v>
      </c>
    </row>
    <row r="2221" spans="1:18" ht="14.25" customHeight="1" x14ac:dyDescent="0.3">
      <c r="A2221" s="1" t="s">
        <v>73</v>
      </c>
      <c r="B2221" s="1">
        <v>34</v>
      </c>
      <c r="C2221" s="1">
        <v>31</v>
      </c>
      <c r="D2221" s="1" t="str">
        <f t="shared" si="35"/>
        <v>Yes</v>
      </c>
      <c r="E2221" s="1">
        <v>9</v>
      </c>
      <c r="F2221" s="1">
        <v>216</v>
      </c>
      <c r="G2221" s="1" t="s">
        <v>93</v>
      </c>
      <c r="H2221" s="1" t="s">
        <v>95</v>
      </c>
      <c r="I2221" s="1">
        <v>8.8000000000000007</v>
      </c>
      <c r="J2221" s="1" t="s">
        <v>95</v>
      </c>
      <c r="M2221" s="1" t="s">
        <v>101</v>
      </c>
      <c r="O2221" s="1">
        <v>1</v>
      </c>
    </row>
    <row r="2222" spans="1:18" ht="14.25" customHeight="1" x14ac:dyDescent="0.3">
      <c r="A2222" s="1" t="s">
        <v>73</v>
      </c>
      <c r="B2222" s="1">
        <v>34</v>
      </c>
      <c r="C2222" s="1">
        <v>35</v>
      </c>
      <c r="D2222" s="1" t="str">
        <f t="shared" si="35"/>
        <v>Yes</v>
      </c>
      <c r="E2222" s="1">
        <v>9.5</v>
      </c>
      <c r="F2222" s="1">
        <v>273</v>
      </c>
      <c r="G2222" s="1" t="s">
        <v>93</v>
      </c>
      <c r="H2222" s="1" t="s">
        <v>95</v>
      </c>
      <c r="I2222" s="1">
        <v>7.7</v>
      </c>
      <c r="J2222" s="1" t="s">
        <v>95</v>
      </c>
      <c r="M2222" s="1" t="s">
        <v>101</v>
      </c>
      <c r="O2222" s="1">
        <v>1</v>
      </c>
      <c r="R2222" s="1"/>
    </row>
    <row r="2223" spans="1:18" ht="14.25" customHeight="1" x14ac:dyDescent="0.3">
      <c r="A2223" s="1" t="s">
        <v>73</v>
      </c>
      <c r="B2223" s="1">
        <v>35</v>
      </c>
      <c r="C2223" s="1">
        <v>14</v>
      </c>
      <c r="D2223" s="1" t="str">
        <f t="shared" si="35"/>
        <v>Yes</v>
      </c>
      <c r="E2223" s="1">
        <v>9.6</v>
      </c>
      <c r="F2223" s="1">
        <v>299</v>
      </c>
      <c r="G2223" s="1" t="s">
        <v>96</v>
      </c>
      <c r="H2223" s="1" t="s">
        <v>95</v>
      </c>
      <c r="I2223" s="1">
        <v>44.8</v>
      </c>
      <c r="J2223" s="1" t="s">
        <v>95</v>
      </c>
      <c r="M2223" s="1" t="s">
        <v>101</v>
      </c>
      <c r="O2223" s="1">
        <v>1</v>
      </c>
    </row>
    <row r="2224" spans="1:18" ht="14.25" customHeight="1" x14ac:dyDescent="0.3">
      <c r="A2224" s="1" t="s">
        <v>73</v>
      </c>
      <c r="B2224" s="1">
        <v>35</v>
      </c>
      <c r="C2224" s="1">
        <v>23</v>
      </c>
      <c r="D2224" s="1" t="str">
        <f t="shared" si="35"/>
        <v>Yes</v>
      </c>
      <c r="E2224" s="1">
        <v>0.6</v>
      </c>
      <c r="F2224" s="1">
        <v>299</v>
      </c>
      <c r="G2224" s="1" t="s">
        <v>106</v>
      </c>
      <c r="H2224" s="1" t="s">
        <v>95</v>
      </c>
      <c r="I2224" s="1">
        <v>14.3</v>
      </c>
      <c r="J2224" s="1" t="s">
        <v>101</v>
      </c>
      <c r="M2224" s="1" t="s">
        <v>101</v>
      </c>
      <c r="O2224" s="1">
        <v>5</v>
      </c>
    </row>
    <row r="2225" spans="1:18" ht="14.25" customHeight="1" x14ac:dyDescent="0.3">
      <c r="A2225" s="1" t="s">
        <v>73</v>
      </c>
      <c r="B2225" s="1">
        <v>35</v>
      </c>
      <c r="C2225" s="1">
        <v>21</v>
      </c>
      <c r="D2225" s="1" t="str">
        <f t="shared" si="35"/>
        <v>Yes</v>
      </c>
      <c r="E2225" s="1">
        <v>6.3</v>
      </c>
      <c r="F2225" s="1">
        <v>351</v>
      </c>
      <c r="G2225" s="1" t="s">
        <v>106</v>
      </c>
      <c r="H2225" s="1" t="s">
        <v>95</v>
      </c>
      <c r="I2225" s="1">
        <v>13.5</v>
      </c>
      <c r="J2225" s="1" t="s">
        <v>95</v>
      </c>
      <c r="M2225" s="1" t="s">
        <v>101</v>
      </c>
      <c r="O2225" s="1">
        <v>1</v>
      </c>
    </row>
    <row r="2226" spans="1:18" ht="14.25" customHeight="1" x14ac:dyDescent="0.3">
      <c r="A2226" s="1" t="s">
        <v>73</v>
      </c>
      <c r="B2226" s="1">
        <v>35</v>
      </c>
      <c r="C2226" s="1">
        <v>5</v>
      </c>
      <c r="D2226" s="1" t="str">
        <f t="shared" si="35"/>
        <v>Yes</v>
      </c>
      <c r="E2226" s="1">
        <v>8.6</v>
      </c>
      <c r="F2226" s="1">
        <v>62</v>
      </c>
      <c r="G2226" s="1" t="s">
        <v>106</v>
      </c>
      <c r="H2226" s="1" t="s">
        <v>95</v>
      </c>
      <c r="I2226" s="1">
        <v>12.7</v>
      </c>
      <c r="J2226" s="1" t="s">
        <v>95</v>
      </c>
      <c r="M2226" s="1" t="s">
        <v>101</v>
      </c>
      <c r="O2226" s="1">
        <v>1</v>
      </c>
    </row>
    <row r="2227" spans="1:18" ht="14.25" customHeight="1" x14ac:dyDescent="0.3">
      <c r="A2227" s="1" t="s">
        <v>73</v>
      </c>
      <c r="B2227" s="1">
        <v>35</v>
      </c>
      <c r="C2227" s="1">
        <v>3</v>
      </c>
      <c r="D2227" s="1" t="str">
        <f t="shared" si="35"/>
        <v>Yes</v>
      </c>
      <c r="E2227" s="1">
        <v>8.8000000000000007</v>
      </c>
      <c r="F2227" s="1">
        <v>27</v>
      </c>
      <c r="G2227" s="1" t="s">
        <v>93</v>
      </c>
      <c r="H2227" s="1" t="s">
        <v>95</v>
      </c>
      <c r="I2227" s="1">
        <v>53.7</v>
      </c>
      <c r="J2227" s="1" t="s">
        <v>95</v>
      </c>
      <c r="M2227" s="1" t="s">
        <v>102</v>
      </c>
      <c r="O2227" s="1">
        <v>3</v>
      </c>
    </row>
    <row r="2228" spans="1:18" ht="14.25" customHeight="1" x14ac:dyDescent="0.3">
      <c r="A2228" s="1" t="s">
        <v>73</v>
      </c>
      <c r="B2228" s="1">
        <v>35</v>
      </c>
      <c r="C2228" s="1">
        <v>9</v>
      </c>
      <c r="D2228" s="1" t="str">
        <f t="shared" si="35"/>
        <v>Yes</v>
      </c>
      <c r="E2228" s="1">
        <v>11.4</v>
      </c>
      <c r="F2228" s="1">
        <v>209</v>
      </c>
      <c r="G2228" s="1" t="s">
        <v>93</v>
      </c>
      <c r="H2228" s="1" t="s">
        <v>95</v>
      </c>
      <c r="I2228" s="1">
        <v>51.9</v>
      </c>
      <c r="J2228" s="1" t="s">
        <v>95</v>
      </c>
      <c r="M2228" s="1" t="s">
        <v>102</v>
      </c>
      <c r="O2228" s="1">
        <v>5</v>
      </c>
    </row>
    <row r="2229" spans="1:18" ht="14.25" customHeight="1" x14ac:dyDescent="0.3">
      <c r="A2229" s="1" t="s">
        <v>73</v>
      </c>
      <c r="B2229" s="1">
        <v>35</v>
      </c>
      <c r="C2229" s="1">
        <v>7</v>
      </c>
      <c r="D2229" s="1" t="str">
        <f t="shared" si="35"/>
        <v>Yes</v>
      </c>
      <c r="E2229" s="1">
        <v>11.1</v>
      </c>
      <c r="F2229" s="1">
        <v>143</v>
      </c>
      <c r="G2229" s="1" t="s">
        <v>93</v>
      </c>
      <c r="H2229" s="1" t="s">
        <v>95</v>
      </c>
      <c r="I2229" s="1">
        <v>42.7</v>
      </c>
      <c r="J2229" s="1" t="s">
        <v>95</v>
      </c>
      <c r="M2229" s="1" t="s">
        <v>101</v>
      </c>
      <c r="O2229" s="1">
        <v>1</v>
      </c>
    </row>
    <row r="2230" spans="1:18" ht="14.25" customHeight="1" x14ac:dyDescent="0.3">
      <c r="A2230" s="1" t="s">
        <v>73</v>
      </c>
      <c r="B2230" s="1">
        <v>35</v>
      </c>
      <c r="C2230" s="1">
        <v>11</v>
      </c>
      <c r="D2230" s="1" t="str">
        <f t="shared" si="35"/>
        <v>Yes</v>
      </c>
      <c r="E2230" s="1">
        <v>4.3</v>
      </c>
      <c r="F2230" s="1">
        <v>262</v>
      </c>
      <c r="G2230" s="1" t="s">
        <v>93</v>
      </c>
      <c r="H2230" s="1" t="s">
        <v>95</v>
      </c>
      <c r="I2230" s="1">
        <v>35.9</v>
      </c>
      <c r="J2230" s="1" t="s">
        <v>95</v>
      </c>
      <c r="M2230" s="1" t="s">
        <v>101</v>
      </c>
      <c r="O2230" s="1">
        <v>1</v>
      </c>
      <c r="P2230" s="1">
        <v>858</v>
      </c>
    </row>
    <row r="2231" spans="1:18" ht="14.25" customHeight="1" x14ac:dyDescent="0.3">
      <c r="A2231" s="1" t="s">
        <v>73</v>
      </c>
      <c r="B2231" s="1">
        <v>35</v>
      </c>
      <c r="C2231" s="1">
        <v>13</v>
      </c>
      <c r="D2231" s="1" t="str">
        <f t="shared" si="35"/>
        <v>Yes</v>
      </c>
      <c r="E2231" s="1">
        <v>5.9</v>
      </c>
      <c r="F2231" s="1">
        <v>271</v>
      </c>
      <c r="G2231" s="1" t="s">
        <v>93</v>
      </c>
      <c r="H2231" s="1" t="s">
        <v>95</v>
      </c>
      <c r="I2231" s="1">
        <v>25</v>
      </c>
      <c r="J2231" s="1" t="s">
        <v>101</v>
      </c>
      <c r="M2231" s="1" t="s">
        <v>101</v>
      </c>
      <c r="O2231" s="1">
        <v>5</v>
      </c>
      <c r="Q2231" s="1" t="s">
        <v>162</v>
      </c>
      <c r="R2231" s="1"/>
    </row>
    <row r="2232" spans="1:18" ht="14.25" customHeight="1" x14ac:dyDescent="0.3">
      <c r="A2232" s="1" t="s">
        <v>73</v>
      </c>
      <c r="B2232" s="1">
        <v>35</v>
      </c>
      <c r="C2232" s="1">
        <v>2</v>
      </c>
      <c r="D2232" s="1" t="str">
        <f t="shared" si="35"/>
        <v>Yes</v>
      </c>
      <c r="E2232" s="1">
        <v>5.4</v>
      </c>
      <c r="F2232" s="1">
        <v>17</v>
      </c>
      <c r="G2232" s="1" t="s">
        <v>93</v>
      </c>
      <c r="H2232" s="1" t="s">
        <v>95</v>
      </c>
      <c r="I2232" s="1">
        <v>22.4</v>
      </c>
      <c r="J2232" s="1" t="s">
        <v>95</v>
      </c>
      <c r="M2232" s="1" t="s">
        <v>101</v>
      </c>
      <c r="O2232" s="1">
        <v>5</v>
      </c>
    </row>
    <row r="2233" spans="1:18" ht="14.25" customHeight="1" x14ac:dyDescent="0.3">
      <c r="A2233" s="1" t="s">
        <v>73</v>
      </c>
      <c r="B2233" s="1">
        <v>35</v>
      </c>
      <c r="C2233" s="1">
        <v>22</v>
      </c>
      <c r="D2233" s="1" t="str">
        <f t="shared" si="35"/>
        <v>Yes</v>
      </c>
      <c r="E2233" s="1">
        <v>3.7</v>
      </c>
      <c r="F2233" s="1">
        <v>315</v>
      </c>
      <c r="G2233" s="1" t="s">
        <v>93</v>
      </c>
      <c r="H2233" s="1" t="s">
        <v>95</v>
      </c>
      <c r="I2233" s="1">
        <v>18.100000000000001</v>
      </c>
      <c r="J2233" s="1" t="s">
        <v>95</v>
      </c>
      <c r="M2233" s="1" t="s">
        <v>101</v>
      </c>
      <c r="O2233" s="1">
        <v>5</v>
      </c>
    </row>
    <row r="2234" spans="1:18" ht="14.25" customHeight="1" x14ac:dyDescent="0.3">
      <c r="A2234" s="1" t="s">
        <v>73</v>
      </c>
      <c r="B2234" s="1">
        <v>35</v>
      </c>
      <c r="C2234" s="1">
        <v>12</v>
      </c>
      <c r="D2234" s="1" t="str">
        <f t="shared" si="35"/>
        <v>Yes</v>
      </c>
      <c r="E2234" s="1">
        <v>6.3</v>
      </c>
      <c r="F2234" s="1">
        <v>257</v>
      </c>
      <c r="G2234" s="1" t="s">
        <v>93</v>
      </c>
      <c r="H2234" s="1" t="s">
        <v>95</v>
      </c>
      <c r="I2234" s="1">
        <v>14.7</v>
      </c>
      <c r="J2234" s="1" t="s">
        <v>95</v>
      </c>
      <c r="M2234" s="1" t="s">
        <v>101</v>
      </c>
      <c r="O2234" s="1">
        <v>5</v>
      </c>
    </row>
    <row r="2235" spans="1:18" ht="14.25" customHeight="1" x14ac:dyDescent="0.3">
      <c r="A2235" s="1" t="s">
        <v>73</v>
      </c>
      <c r="B2235" s="1">
        <v>35</v>
      </c>
      <c r="C2235" s="1">
        <v>18</v>
      </c>
      <c r="D2235" s="1" t="str">
        <f t="shared" si="35"/>
        <v>Yes</v>
      </c>
      <c r="E2235" s="1">
        <v>12.2</v>
      </c>
      <c r="F2235" s="1">
        <v>325</v>
      </c>
      <c r="G2235" s="1" t="s">
        <v>93</v>
      </c>
      <c r="H2235" s="1" t="s">
        <v>95</v>
      </c>
      <c r="I2235" s="1">
        <v>14.5</v>
      </c>
      <c r="J2235" s="1" t="s">
        <v>95</v>
      </c>
      <c r="M2235" s="1" t="s">
        <v>101</v>
      </c>
      <c r="O2235" s="1">
        <v>1</v>
      </c>
    </row>
    <row r="2236" spans="1:18" ht="14.25" customHeight="1" x14ac:dyDescent="0.3">
      <c r="A2236" s="1" t="s">
        <v>73</v>
      </c>
      <c r="B2236" s="1">
        <v>35</v>
      </c>
      <c r="C2236" s="1">
        <v>1</v>
      </c>
      <c r="D2236" s="1" t="str">
        <f t="shared" si="35"/>
        <v>Yes</v>
      </c>
      <c r="E2236" s="1">
        <v>8.4</v>
      </c>
      <c r="F2236" s="1">
        <v>3</v>
      </c>
      <c r="G2236" s="1" t="s">
        <v>93</v>
      </c>
      <c r="H2236" s="1" t="s">
        <v>95</v>
      </c>
      <c r="I2236" s="1">
        <v>14</v>
      </c>
      <c r="J2236" s="1" t="s">
        <v>95</v>
      </c>
      <c r="M2236" s="1" t="s">
        <v>101</v>
      </c>
      <c r="O2236" s="1">
        <v>5</v>
      </c>
      <c r="Q2236" s="1" t="s">
        <v>162</v>
      </c>
    </row>
    <row r="2237" spans="1:18" ht="14.25" customHeight="1" x14ac:dyDescent="0.3">
      <c r="A2237" s="1" t="s">
        <v>73</v>
      </c>
      <c r="B2237" s="1">
        <v>35</v>
      </c>
      <c r="C2237" s="1">
        <v>10</v>
      </c>
      <c r="D2237" s="1" t="str">
        <f t="shared" si="35"/>
        <v>Yes</v>
      </c>
      <c r="E2237" s="1">
        <v>3.3</v>
      </c>
      <c r="F2237" s="1">
        <v>232</v>
      </c>
      <c r="G2237" s="1" t="s">
        <v>93</v>
      </c>
      <c r="H2237" s="1" t="s">
        <v>95</v>
      </c>
      <c r="I2237" s="1">
        <v>13.6</v>
      </c>
      <c r="J2237" s="1" t="s">
        <v>95</v>
      </c>
      <c r="M2237" s="1" t="s">
        <v>101</v>
      </c>
      <c r="O2237" s="1">
        <v>1</v>
      </c>
      <c r="R2237" s="1"/>
    </row>
    <row r="2238" spans="1:18" ht="14.25" customHeight="1" x14ac:dyDescent="0.3">
      <c r="A2238" s="1" t="s">
        <v>73</v>
      </c>
      <c r="B2238" s="1">
        <v>35</v>
      </c>
      <c r="C2238" s="1">
        <v>17</v>
      </c>
      <c r="D2238" s="1" t="str">
        <f t="shared" si="35"/>
        <v>Yes</v>
      </c>
      <c r="E2238" s="1">
        <v>12.2</v>
      </c>
      <c r="F2238" s="1">
        <v>324</v>
      </c>
      <c r="G2238" s="1" t="s">
        <v>93</v>
      </c>
      <c r="H2238" s="1" t="s">
        <v>95</v>
      </c>
      <c r="I2238" s="1">
        <v>13.2</v>
      </c>
      <c r="J2238" s="1" t="s">
        <v>95</v>
      </c>
      <c r="M2238" s="1" t="s">
        <v>101</v>
      </c>
      <c r="O2238" s="1">
        <v>1</v>
      </c>
    </row>
    <row r="2239" spans="1:18" ht="14.25" customHeight="1" x14ac:dyDescent="0.3">
      <c r="A2239" s="1" t="s">
        <v>73</v>
      </c>
      <c r="B2239" s="1">
        <v>35</v>
      </c>
      <c r="C2239" s="1">
        <v>20</v>
      </c>
      <c r="D2239" s="1" t="str">
        <f t="shared" si="35"/>
        <v>Yes</v>
      </c>
      <c r="E2239" s="1">
        <v>10.4</v>
      </c>
      <c r="F2239" s="1">
        <v>335</v>
      </c>
      <c r="G2239" s="1" t="s">
        <v>93</v>
      </c>
      <c r="H2239" s="1" t="s">
        <v>95</v>
      </c>
      <c r="I2239" s="1">
        <v>13</v>
      </c>
      <c r="J2239" s="1" t="s">
        <v>95</v>
      </c>
      <c r="M2239" s="1" t="s">
        <v>101</v>
      </c>
      <c r="O2239" s="1">
        <v>1</v>
      </c>
    </row>
    <row r="2240" spans="1:18" ht="14.25" customHeight="1" x14ac:dyDescent="0.3">
      <c r="A2240" s="1" t="s">
        <v>73</v>
      </c>
      <c r="B2240" s="1">
        <v>35</v>
      </c>
      <c r="C2240" s="1">
        <v>4</v>
      </c>
      <c r="D2240" s="1" t="str">
        <f t="shared" si="35"/>
        <v>Yes</v>
      </c>
      <c r="E2240" s="1">
        <v>8.1</v>
      </c>
      <c r="F2240" s="1">
        <v>33</v>
      </c>
      <c r="G2240" s="1" t="s">
        <v>93</v>
      </c>
      <c r="H2240" s="1" t="s">
        <v>95</v>
      </c>
      <c r="I2240" s="1">
        <v>12.7</v>
      </c>
      <c r="J2240" s="1" t="s">
        <v>101</v>
      </c>
      <c r="M2240" s="1" t="s">
        <v>101</v>
      </c>
      <c r="O2240" s="1">
        <v>5</v>
      </c>
    </row>
    <row r="2241" spans="1:17" ht="14.25" customHeight="1" x14ac:dyDescent="0.3">
      <c r="A2241" s="1" t="s">
        <v>73</v>
      </c>
      <c r="B2241" s="1">
        <v>35</v>
      </c>
      <c r="C2241" s="1">
        <v>8</v>
      </c>
      <c r="D2241" s="1" t="str">
        <f t="shared" si="35"/>
        <v>Yes</v>
      </c>
      <c r="E2241" s="1">
        <v>9.9</v>
      </c>
      <c r="F2241" s="1">
        <v>201</v>
      </c>
      <c r="G2241" s="1" t="s">
        <v>93</v>
      </c>
      <c r="H2241" s="1" t="s">
        <v>95</v>
      </c>
      <c r="I2241" s="1">
        <v>12.2</v>
      </c>
      <c r="J2241" s="1" t="s">
        <v>95</v>
      </c>
      <c r="M2241" s="1" t="s">
        <v>101</v>
      </c>
      <c r="O2241" s="1">
        <v>5</v>
      </c>
    </row>
    <row r="2242" spans="1:17" ht="14.25" customHeight="1" x14ac:dyDescent="0.3">
      <c r="A2242" s="1" t="s">
        <v>73</v>
      </c>
      <c r="B2242" s="1">
        <v>35</v>
      </c>
      <c r="C2242" s="1">
        <v>19</v>
      </c>
      <c r="D2242" s="1" t="str">
        <f t="shared" si="35"/>
        <v>Yes</v>
      </c>
      <c r="E2242" s="1">
        <v>12</v>
      </c>
      <c r="F2242" s="1">
        <v>330</v>
      </c>
      <c r="G2242" s="1" t="s">
        <v>93</v>
      </c>
      <c r="H2242" s="1" t="s">
        <v>95</v>
      </c>
      <c r="I2242" s="1">
        <v>10</v>
      </c>
      <c r="J2242" s="1" t="s">
        <v>101</v>
      </c>
      <c r="M2242" s="1" t="s">
        <v>101</v>
      </c>
      <c r="O2242" s="1">
        <v>5</v>
      </c>
    </row>
    <row r="2243" spans="1:17" ht="14.25" customHeight="1" x14ac:dyDescent="0.3">
      <c r="A2243" s="1" t="s">
        <v>73</v>
      </c>
      <c r="B2243" s="1">
        <v>35</v>
      </c>
      <c r="C2243" s="1">
        <v>16</v>
      </c>
      <c r="D2243" s="1" t="str">
        <f t="shared" si="35"/>
        <v>Yes</v>
      </c>
      <c r="E2243" s="1">
        <v>9.6999999999999993</v>
      </c>
      <c r="F2243" s="1">
        <v>313</v>
      </c>
      <c r="G2243" s="1" t="s">
        <v>96</v>
      </c>
      <c r="H2243" s="1" t="s">
        <v>94</v>
      </c>
      <c r="I2243" s="1">
        <v>76.5</v>
      </c>
      <c r="J2243" s="1" t="s">
        <v>95</v>
      </c>
      <c r="K2243" s="1">
        <v>1</v>
      </c>
      <c r="L2243" s="1">
        <v>95</v>
      </c>
      <c r="M2243" s="1" t="s">
        <v>102</v>
      </c>
      <c r="N2243" s="1" t="s">
        <v>100</v>
      </c>
    </row>
    <row r="2244" spans="1:17" ht="14.25" customHeight="1" x14ac:dyDescent="0.3">
      <c r="A2244" s="1" t="s">
        <v>73</v>
      </c>
      <c r="B2244" s="1">
        <v>35</v>
      </c>
      <c r="C2244" s="1">
        <v>15</v>
      </c>
      <c r="D2244" s="1" t="str">
        <f t="shared" si="35"/>
        <v>Yes</v>
      </c>
      <c r="E2244" s="1">
        <v>9.6</v>
      </c>
      <c r="F2244" s="1">
        <v>305</v>
      </c>
      <c r="G2244" s="1" t="s">
        <v>96</v>
      </c>
      <c r="H2244" s="1" t="s">
        <v>94</v>
      </c>
      <c r="I2244" s="1">
        <v>50.3</v>
      </c>
      <c r="J2244" s="1" t="s">
        <v>95</v>
      </c>
      <c r="K2244" s="1">
        <v>0</v>
      </c>
      <c r="L2244" s="1">
        <v>99</v>
      </c>
      <c r="M2244" s="1" t="s">
        <v>102</v>
      </c>
      <c r="N2244" s="1" t="s">
        <v>100</v>
      </c>
    </row>
    <row r="2245" spans="1:17" ht="14.25" customHeight="1" x14ac:dyDescent="0.3">
      <c r="A2245" s="1" t="s">
        <v>73</v>
      </c>
      <c r="B2245" s="1">
        <v>35</v>
      </c>
      <c r="C2245" s="1">
        <v>6</v>
      </c>
      <c r="D2245" s="1" t="str">
        <f t="shared" si="35"/>
        <v>Yes</v>
      </c>
      <c r="E2245" s="1">
        <v>4.2</v>
      </c>
      <c r="F2245" s="1">
        <v>120</v>
      </c>
      <c r="G2245" s="1" t="s">
        <v>96</v>
      </c>
      <c r="H2245" s="1" t="s">
        <v>94</v>
      </c>
      <c r="I2245" s="21">
        <v>37.700000000000003</v>
      </c>
      <c r="J2245" s="1" t="s">
        <v>95</v>
      </c>
      <c r="K2245" s="1">
        <v>0</v>
      </c>
      <c r="L2245" s="1">
        <v>25</v>
      </c>
      <c r="M2245" s="1" t="s">
        <v>95</v>
      </c>
      <c r="P2245" s="1">
        <v>857</v>
      </c>
      <c r="Q2245" t="s">
        <v>786</v>
      </c>
    </row>
    <row r="2246" spans="1:17" ht="14.25" customHeight="1" x14ac:dyDescent="0.3">
      <c r="A2246" s="1" t="s">
        <v>73</v>
      </c>
      <c r="B2246" s="1">
        <v>36</v>
      </c>
      <c r="C2246" s="1">
        <v>19</v>
      </c>
      <c r="D2246" s="1" t="str">
        <f t="shared" si="35"/>
        <v>No</v>
      </c>
      <c r="E2246" s="1">
        <v>13.3</v>
      </c>
      <c r="F2246" s="1">
        <v>272</v>
      </c>
      <c r="G2246" s="17" t="s">
        <v>93</v>
      </c>
      <c r="H2246" s="1" t="s">
        <v>94</v>
      </c>
      <c r="I2246" s="1">
        <v>90.8</v>
      </c>
      <c r="J2246" s="1" t="s">
        <v>95</v>
      </c>
      <c r="K2246" s="1">
        <v>0</v>
      </c>
      <c r="L2246" s="1">
        <v>10</v>
      </c>
      <c r="M2246" s="1" t="s">
        <v>102</v>
      </c>
      <c r="N2246" s="1" t="s">
        <v>100</v>
      </c>
      <c r="P2246" s="1">
        <v>855</v>
      </c>
    </row>
    <row r="2247" spans="1:17" ht="14.25" customHeight="1" x14ac:dyDescent="0.3">
      <c r="A2247" s="1" t="s">
        <v>73</v>
      </c>
      <c r="B2247" s="1">
        <v>36</v>
      </c>
      <c r="C2247" s="1">
        <v>11</v>
      </c>
      <c r="D2247" s="1" t="str">
        <f t="shared" si="35"/>
        <v>Yes</v>
      </c>
      <c r="E2247" s="1">
        <v>9</v>
      </c>
      <c r="F2247" s="19">
        <v>136</v>
      </c>
      <c r="G2247" s="17" t="s">
        <v>106</v>
      </c>
      <c r="H2247" s="1" t="s">
        <v>95</v>
      </c>
      <c r="I2247" s="1">
        <v>20.2</v>
      </c>
      <c r="J2247" s="1" t="s">
        <v>95</v>
      </c>
      <c r="K2247" s="1">
        <v>0</v>
      </c>
      <c r="L2247" s="1">
        <v>70</v>
      </c>
      <c r="M2247" s="1" t="s">
        <v>101</v>
      </c>
      <c r="O2247" s="1">
        <v>1</v>
      </c>
    </row>
    <row r="2248" spans="1:17" ht="14.25" customHeight="1" x14ac:dyDescent="0.3">
      <c r="A2248" s="1" t="s">
        <v>73</v>
      </c>
      <c r="B2248" s="1">
        <v>36</v>
      </c>
      <c r="C2248" s="1">
        <v>2</v>
      </c>
      <c r="D2248" s="1" t="str">
        <f t="shared" si="35"/>
        <v>Yes</v>
      </c>
      <c r="E2248" s="1">
        <v>3.7</v>
      </c>
      <c r="F2248" s="1">
        <v>13</v>
      </c>
      <c r="G2248" s="17" t="s">
        <v>106</v>
      </c>
      <c r="H2248" s="1" t="s">
        <v>95</v>
      </c>
      <c r="I2248" s="1">
        <v>19.600000000000001</v>
      </c>
      <c r="J2248" s="1" t="s">
        <v>95</v>
      </c>
      <c r="M2248" s="1" t="s">
        <v>101</v>
      </c>
      <c r="O2248" s="1">
        <v>1</v>
      </c>
    </row>
    <row r="2249" spans="1:17" ht="14.25" customHeight="1" x14ac:dyDescent="0.3">
      <c r="A2249" s="1" t="s">
        <v>73</v>
      </c>
      <c r="B2249" s="1">
        <v>36</v>
      </c>
      <c r="C2249" s="1">
        <v>16</v>
      </c>
      <c r="D2249" s="1" t="str">
        <f t="shared" si="35"/>
        <v>Yes</v>
      </c>
      <c r="E2249" s="1">
        <v>9</v>
      </c>
      <c r="F2249" s="1">
        <v>178</v>
      </c>
      <c r="G2249" s="17" t="s">
        <v>106</v>
      </c>
      <c r="H2249" s="1" t="s">
        <v>95</v>
      </c>
      <c r="I2249" s="1">
        <v>17.2</v>
      </c>
      <c r="J2249" s="1" t="s">
        <v>95</v>
      </c>
      <c r="M2249" s="1" t="s">
        <v>101</v>
      </c>
      <c r="O2249" s="1">
        <v>1</v>
      </c>
    </row>
    <row r="2250" spans="1:17" ht="14.25" customHeight="1" x14ac:dyDescent="0.3">
      <c r="A2250" s="1" t="s">
        <v>73</v>
      </c>
      <c r="B2250" s="1">
        <v>36</v>
      </c>
      <c r="C2250" s="1">
        <v>1</v>
      </c>
      <c r="D2250" s="1" t="str">
        <f t="shared" si="35"/>
        <v>Yes</v>
      </c>
      <c r="E2250" s="1">
        <v>4.2</v>
      </c>
      <c r="F2250" s="1">
        <v>4</v>
      </c>
      <c r="G2250" s="17" t="s">
        <v>106</v>
      </c>
      <c r="H2250" s="1" t="s">
        <v>95</v>
      </c>
      <c r="I2250" s="1">
        <v>16.3</v>
      </c>
      <c r="J2250" s="1" t="s">
        <v>95</v>
      </c>
      <c r="M2250" s="1" t="s">
        <v>101</v>
      </c>
      <c r="O2250" s="1">
        <v>1</v>
      </c>
    </row>
    <row r="2251" spans="1:17" ht="14.25" customHeight="1" x14ac:dyDescent="0.3">
      <c r="A2251" s="1" t="s">
        <v>73</v>
      </c>
      <c r="B2251" s="1">
        <v>36</v>
      </c>
      <c r="C2251" s="1">
        <v>15</v>
      </c>
      <c r="D2251" s="1" t="str">
        <f t="shared" si="35"/>
        <v>Yes</v>
      </c>
      <c r="E2251" s="1">
        <v>9.9</v>
      </c>
      <c r="F2251" s="1">
        <v>171</v>
      </c>
      <c r="G2251" s="1" t="s">
        <v>106</v>
      </c>
      <c r="H2251" s="1" t="s">
        <v>95</v>
      </c>
      <c r="I2251" s="1">
        <v>15.2</v>
      </c>
      <c r="J2251" s="1" t="s">
        <v>95</v>
      </c>
      <c r="M2251" s="1" t="s">
        <v>101</v>
      </c>
      <c r="O2251" s="1">
        <v>1</v>
      </c>
    </row>
    <row r="2252" spans="1:17" ht="14.25" customHeight="1" x14ac:dyDescent="0.3">
      <c r="A2252" s="1" t="s">
        <v>73</v>
      </c>
      <c r="B2252" s="1">
        <v>36</v>
      </c>
      <c r="C2252" s="1">
        <v>5</v>
      </c>
      <c r="D2252" s="1" t="str">
        <f t="shared" si="35"/>
        <v>Yes</v>
      </c>
      <c r="E2252" s="1">
        <v>9</v>
      </c>
      <c r="F2252" s="1">
        <v>119</v>
      </c>
      <c r="G2252" s="1" t="s">
        <v>106</v>
      </c>
      <c r="H2252" s="1" t="s">
        <v>95</v>
      </c>
      <c r="I2252" s="1">
        <v>13.2</v>
      </c>
      <c r="J2252" s="1" t="s">
        <v>95</v>
      </c>
      <c r="M2252" s="1" t="s">
        <v>101</v>
      </c>
      <c r="O2252" s="1">
        <v>1</v>
      </c>
    </row>
    <row r="2253" spans="1:17" ht="14.25" customHeight="1" x14ac:dyDescent="0.3">
      <c r="A2253" s="1" t="s">
        <v>73</v>
      </c>
      <c r="B2253" s="1">
        <v>36</v>
      </c>
      <c r="C2253" s="1">
        <v>10</v>
      </c>
      <c r="D2253" s="1" t="str">
        <f t="shared" si="35"/>
        <v>Yes</v>
      </c>
      <c r="E2253" s="1">
        <v>11.8</v>
      </c>
      <c r="F2253" s="1">
        <v>134</v>
      </c>
      <c r="G2253" s="1" t="s">
        <v>106</v>
      </c>
      <c r="H2253" s="1" t="s">
        <v>95</v>
      </c>
      <c r="I2253" s="1">
        <v>10.3</v>
      </c>
      <c r="J2253" s="1" t="s">
        <v>95</v>
      </c>
      <c r="M2253" s="1" t="s">
        <v>101</v>
      </c>
      <c r="O2253" s="1">
        <v>1</v>
      </c>
    </row>
    <row r="2254" spans="1:17" ht="14.25" customHeight="1" x14ac:dyDescent="0.3">
      <c r="A2254" s="1" t="s">
        <v>73</v>
      </c>
      <c r="B2254" s="1">
        <v>36</v>
      </c>
      <c r="C2254" s="1">
        <v>17</v>
      </c>
      <c r="D2254" s="1" t="str">
        <f t="shared" si="35"/>
        <v>Yes</v>
      </c>
      <c r="E2254" s="1">
        <v>7.4</v>
      </c>
      <c r="F2254" s="1">
        <v>182</v>
      </c>
      <c r="G2254" s="1" t="s">
        <v>106</v>
      </c>
      <c r="H2254" s="1" t="s">
        <v>95</v>
      </c>
      <c r="I2254" s="45">
        <v>4.5</v>
      </c>
      <c r="J2254" s="1" t="s">
        <v>95</v>
      </c>
      <c r="M2254" s="1" t="s">
        <v>101</v>
      </c>
      <c r="O2254" s="1">
        <v>1</v>
      </c>
    </row>
    <row r="2255" spans="1:17" ht="14.25" customHeight="1" x14ac:dyDescent="0.3">
      <c r="A2255" s="1" t="s">
        <v>73</v>
      </c>
      <c r="B2255" s="1">
        <v>36</v>
      </c>
      <c r="C2255" s="1">
        <v>21</v>
      </c>
      <c r="D2255" s="1" t="str">
        <f t="shared" si="35"/>
        <v>Yes</v>
      </c>
      <c r="E2255" s="1">
        <v>11.6</v>
      </c>
      <c r="F2255" s="1">
        <v>313</v>
      </c>
      <c r="G2255" s="1" t="s">
        <v>93</v>
      </c>
      <c r="H2255" s="1" t="s">
        <v>95</v>
      </c>
      <c r="I2255" s="1">
        <v>73</v>
      </c>
      <c r="J2255" s="1" t="s">
        <v>97</v>
      </c>
      <c r="M2255" s="1" t="s">
        <v>97</v>
      </c>
      <c r="O2255" s="1">
        <v>5</v>
      </c>
    </row>
    <row r="2256" spans="1:17" ht="14.25" customHeight="1" x14ac:dyDescent="0.3">
      <c r="A2256" s="1" t="s">
        <v>73</v>
      </c>
      <c r="B2256" s="1">
        <v>36</v>
      </c>
      <c r="C2256" s="1">
        <v>22</v>
      </c>
      <c r="D2256" s="1" t="str">
        <f t="shared" si="35"/>
        <v>Yes</v>
      </c>
      <c r="E2256" s="1">
        <v>1.8</v>
      </c>
      <c r="F2256" s="1">
        <v>329</v>
      </c>
      <c r="G2256" s="1" t="s">
        <v>93</v>
      </c>
      <c r="H2256" s="1" t="s">
        <v>95</v>
      </c>
      <c r="I2256" s="1">
        <v>66</v>
      </c>
      <c r="J2256" s="1" t="s">
        <v>95</v>
      </c>
      <c r="M2256" s="1" t="s">
        <v>102</v>
      </c>
      <c r="O2256" s="1">
        <v>1</v>
      </c>
    </row>
    <row r="2257" spans="1:16" ht="14.25" customHeight="1" x14ac:dyDescent="0.3">
      <c r="A2257" s="1" t="s">
        <v>73</v>
      </c>
      <c r="B2257" s="1">
        <v>36</v>
      </c>
      <c r="C2257" s="1">
        <v>18</v>
      </c>
      <c r="D2257" s="1" t="str">
        <f t="shared" si="35"/>
        <v>Yes</v>
      </c>
      <c r="E2257" s="1">
        <v>4</v>
      </c>
      <c r="F2257" s="1">
        <v>237</v>
      </c>
      <c r="G2257" s="1" t="s">
        <v>93</v>
      </c>
      <c r="H2257" s="1" t="s">
        <v>95</v>
      </c>
      <c r="I2257" s="1">
        <v>16.3</v>
      </c>
      <c r="J2257" s="1" t="s">
        <v>95</v>
      </c>
      <c r="M2257" s="1" t="s">
        <v>102</v>
      </c>
      <c r="O2257" s="1">
        <v>1</v>
      </c>
    </row>
    <row r="2258" spans="1:16" ht="14.25" customHeight="1" x14ac:dyDescent="0.3">
      <c r="A2258" s="1" t="s">
        <v>73</v>
      </c>
      <c r="B2258" s="1">
        <v>36</v>
      </c>
      <c r="C2258" s="1">
        <v>3</v>
      </c>
      <c r="D2258" s="1" t="str">
        <f t="shared" si="35"/>
        <v>Yes</v>
      </c>
      <c r="E2258" s="1">
        <v>4.9000000000000004</v>
      </c>
      <c r="F2258" s="1">
        <v>23</v>
      </c>
      <c r="G2258" s="19" t="s">
        <v>93</v>
      </c>
      <c r="H2258" s="1" t="s">
        <v>95</v>
      </c>
      <c r="I2258" s="17">
        <v>8</v>
      </c>
      <c r="J2258" s="1" t="s">
        <v>95</v>
      </c>
      <c r="M2258" s="1" t="s">
        <v>101</v>
      </c>
      <c r="O2258" s="1">
        <v>1</v>
      </c>
    </row>
    <row r="2259" spans="1:16" ht="14.25" customHeight="1" x14ac:dyDescent="0.3">
      <c r="A2259" s="1" t="s">
        <v>73</v>
      </c>
      <c r="B2259" s="1">
        <v>36</v>
      </c>
      <c r="C2259" s="1">
        <v>4</v>
      </c>
      <c r="D2259" s="1" t="str">
        <f t="shared" si="35"/>
        <v>Yes</v>
      </c>
      <c r="E2259" s="1">
        <v>7.4</v>
      </c>
      <c r="F2259" s="1">
        <v>100</v>
      </c>
      <c r="G2259" s="17" t="s">
        <v>109</v>
      </c>
      <c r="H2259" s="1" t="s">
        <v>94</v>
      </c>
      <c r="I2259" s="1">
        <v>177.4</v>
      </c>
      <c r="J2259" s="1" t="s">
        <v>95</v>
      </c>
      <c r="K2259" s="1">
        <v>0</v>
      </c>
      <c r="L2259" s="1">
        <v>0</v>
      </c>
      <c r="M2259" s="19" t="s">
        <v>97</v>
      </c>
      <c r="N2259" s="1" t="s">
        <v>100</v>
      </c>
      <c r="P2259" s="1">
        <v>854</v>
      </c>
    </row>
    <row r="2260" spans="1:16" ht="14.25" customHeight="1" x14ac:dyDescent="0.3">
      <c r="A2260" s="1" t="s">
        <v>73</v>
      </c>
      <c r="B2260" s="1">
        <v>36</v>
      </c>
      <c r="C2260" s="1">
        <v>8</v>
      </c>
      <c r="D2260" s="1" t="str">
        <f t="shared" si="35"/>
        <v>Yes</v>
      </c>
      <c r="E2260" s="19">
        <v>12.3</v>
      </c>
      <c r="F2260" s="1">
        <v>117</v>
      </c>
      <c r="G2260" s="17" t="s">
        <v>106</v>
      </c>
      <c r="H2260" s="1" t="s">
        <v>94</v>
      </c>
      <c r="I2260" s="1">
        <v>39.4</v>
      </c>
      <c r="J2260" s="1" t="s">
        <v>95</v>
      </c>
      <c r="K2260" s="1">
        <v>0</v>
      </c>
      <c r="L2260" s="1">
        <v>20</v>
      </c>
      <c r="M2260" s="1" t="s">
        <v>101</v>
      </c>
    </row>
    <row r="2261" spans="1:16" ht="14.25" customHeight="1" x14ac:dyDescent="0.3">
      <c r="A2261" s="1" t="s">
        <v>73</v>
      </c>
      <c r="B2261" s="1">
        <v>36</v>
      </c>
      <c r="C2261" s="1">
        <v>7</v>
      </c>
      <c r="D2261" s="1" t="str">
        <f t="shared" si="35"/>
        <v>Yes</v>
      </c>
      <c r="E2261" s="1">
        <v>5.7</v>
      </c>
      <c r="F2261" s="1">
        <v>124</v>
      </c>
      <c r="G2261" s="1" t="s">
        <v>106</v>
      </c>
      <c r="H2261" s="1" t="s">
        <v>94</v>
      </c>
      <c r="I2261" s="1">
        <v>34.700000000000003</v>
      </c>
      <c r="J2261" s="1" t="s">
        <v>95</v>
      </c>
      <c r="K2261" s="1">
        <v>0</v>
      </c>
      <c r="L2261" s="1">
        <v>90</v>
      </c>
      <c r="M2261" s="1" t="s">
        <v>101</v>
      </c>
    </row>
    <row r="2262" spans="1:16" ht="14.25" customHeight="1" x14ac:dyDescent="0.3">
      <c r="A2262" s="1" t="s">
        <v>73</v>
      </c>
      <c r="B2262" s="1">
        <v>36</v>
      </c>
      <c r="C2262" s="1">
        <v>9</v>
      </c>
      <c r="D2262" s="1" t="str">
        <f t="shared" si="35"/>
        <v>Yes</v>
      </c>
      <c r="E2262" s="1">
        <v>12.3</v>
      </c>
      <c r="F2262" s="1">
        <v>130</v>
      </c>
      <c r="G2262" s="17" t="s">
        <v>106</v>
      </c>
      <c r="H2262" s="1" t="s">
        <v>94</v>
      </c>
      <c r="I2262" s="1">
        <v>32.9</v>
      </c>
      <c r="J2262" s="1" t="s">
        <v>95</v>
      </c>
      <c r="K2262" s="1">
        <v>0</v>
      </c>
      <c r="L2262" s="1">
        <v>5</v>
      </c>
      <c r="M2262" s="1" t="s">
        <v>101</v>
      </c>
    </row>
    <row r="2263" spans="1:16" ht="14.25" customHeight="1" x14ac:dyDescent="0.3">
      <c r="A2263" s="1" t="s">
        <v>73</v>
      </c>
      <c r="B2263" s="1">
        <v>36</v>
      </c>
      <c r="C2263" s="1">
        <v>12</v>
      </c>
      <c r="D2263" s="1" t="str">
        <f t="shared" si="35"/>
        <v>Yes</v>
      </c>
      <c r="E2263" s="1">
        <v>11.6</v>
      </c>
      <c r="F2263" s="1">
        <v>149</v>
      </c>
      <c r="G2263" s="17" t="s">
        <v>106</v>
      </c>
      <c r="H2263" s="1" t="s">
        <v>94</v>
      </c>
      <c r="I2263" s="1">
        <v>30.1</v>
      </c>
      <c r="J2263" s="1" t="s">
        <v>95</v>
      </c>
      <c r="K2263" s="1">
        <v>0</v>
      </c>
      <c r="L2263" s="1">
        <v>5</v>
      </c>
      <c r="M2263" s="1" t="s">
        <v>101</v>
      </c>
    </row>
    <row r="2264" spans="1:16" ht="14.25" customHeight="1" x14ac:dyDescent="0.3">
      <c r="A2264" s="1" t="s">
        <v>73</v>
      </c>
      <c r="B2264" s="1">
        <v>36</v>
      </c>
      <c r="C2264" s="1">
        <v>14</v>
      </c>
      <c r="D2264" s="1" t="str">
        <f t="shared" ref="D2264:D2327" si="36">IF(E2264&gt;12.5, "No", "Yes")</f>
        <v>Yes</v>
      </c>
      <c r="E2264" s="1">
        <v>11.1</v>
      </c>
      <c r="F2264" s="1">
        <v>163</v>
      </c>
      <c r="G2264" s="1" t="s">
        <v>106</v>
      </c>
      <c r="H2264" s="1" t="s">
        <v>94</v>
      </c>
      <c r="I2264" s="1">
        <v>26.1</v>
      </c>
      <c r="J2264" s="1" t="s">
        <v>95</v>
      </c>
      <c r="K2264" s="1">
        <v>5</v>
      </c>
      <c r="M2264" s="1" t="s">
        <v>101</v>
      </c>
    </row>
    <row r="2265" spans="1:16" ht="14.25" customHeight="1" x14ac:dyDescent="0.3">
      <c r="A2265" s="1" t="s">
        <v>73</v>
      </c>
      <c r="B2265" s="1">
        <v>36</v>
      </c>
      <c r="C2265" s="1">
        <v>6</v>
      </c>
      <c r="D2265" s="1" t="str">
        <f t="shared" si="36"/>
        <v>Yes</v>
      </c>
      <c r="E2265" s="1">
        <v>7.3</v>
      </c>
      <c r="F2265" s="1">
        <v>124</v>
      </c>
      <c r="G2265" s="1" t="s">
        <v>106</v>
      </c>
      <c r="H2265" s="1" t="s">
        <v>94</v>
      </c>
      <c r="I2265" s="1">
        <v>24.1</v>
      </c>
      <c r="J2265" s="1" t="s">
        <v>95</v>
      </c>
      <c r="K2265" s="1">
        <v>0</v>
      </c>
      <c r="L2265" s="1">
        <v>5</v>
      </c>
      <c r="M2265" s="1" t="s">
        <v>101</v>
      </c>
    </row>
    <row r="2266" spans="1:16" ht="14.25" customHeight="1" x14ac:dyDescent="0.3">
      <c r="A2266" s="1" t="s">
        <v>73</v>
      </c>
      <c r="B2266" s="1">
        <v>36</v>
      </c>
      <c r="C2266" s="1">
        <v>13</v>
      </c>
      <c r="D2266" s="1" t="str">
        <f t="shared" si="36"/>
        <v>Yes</v>
      </c>
      <c r="E2266" s="1">
        <v>9.6</v>
      </c>
      <c r="F2266" s="1">
        <v>159</v>
      </c>
      <c r="G2266" s="1" t="s">
        <v>106</v>
      </c>
      <c r="H2266" s="1" t="s">
        <v>94</v>
      </c>
      <c r="I2266" s="1">
        <v>19.899999999999999</v>
      </c>
      <c r="J2266" s="1" t="s">
        <v>95</v>
      </c>
      <c r="K2266" s="1">
        <v>0</v>
      </c>
      <c r="L2266" s="1">
        <v>90</v>
      </c>
      <c r="M2266" s="1" t="s">
        <v>101</v>
      </c>
    </row>
    <row r="2267" spans="1:16" ht="14.25" customHeight="1" x14ac:dyDescent="0.3">
      <c r="A2267" s="1" t="s">
        <v>73</v>
      </c>
      <c r="B2267" s="1">
        <v>36</v>
      </c>
      <c r="C2267" s="1">
        <v>20</v>
      </c>
      <c r="D2267" s="1" t="str">
        <f t="shared" si="36"/>
        <v>Yes</v>
      </c>
      <c r="E2267" s="1">
        <v>11.4</v>
      </c>
      <c r="F2267" s="1">
        <v>308</v>
      </c>
      <c r="G2267" s="1" t="s">
        <v>93</v>
      </c>
      <c r="H2267" s="1" t="s">
        <v>94</v>
      </c>
      <c r="I2267" s="17">
        <v>85.9</v>
      </c>
      <c r="J2267" s="1" t="s">
        <v>95</v>
      </c>
      <c r="K2267" s="1">
        <v>0</v>
      </c>
      <c r="L2267" s="1">
        <v>0</v>
      </c>
      <c r="M2267" s="1" t="s">
        <v>97</v>
      </c>
      <c r="N2267" s="1" t="s">
        <v>100</v>
      </c>
      <c r="P2267" s="1">
        <v>856</v>
      </c>
    </row>
    <row r="2268" spans="1:16" ht="14.25" customHeight="1" x14ac:dyDescent="0.3">
      <c r="A2268" s="1" t="s">
        <v>990</v>
      </c>
      <c r="B2268" s="1">
        <v>3</v>
      </c>
      <c r="C2268" s="1">
        <v>16</v>
      </c>
      <c r="D2268" s="1" t="str">
        <f t="shared" si="36"/>
        <v>Yes</v>
      </c>
      <c r="E2268" s="1">
        <v>10.5</v>
      </c>
      <c r="F2268" s="1">
        <v>171</v>
      </c>
      <c r="G2268" s="1" t="s">
        <v>96</v>
      </c>
      <c r="H2268" s="1" t="s">
        <v>95</v>
      </c>
      <c r="I2268" s="1">
        <v>94.8</v>
      </c>
      <c r="J2268" s="1" t="s">
        <v>95</v>
      </c>
      <c r="M2268" s="1" t="s">
        <v>97</v>
      </c>
      <c r="O2268" s="1">
        <v>1</v>
      </c>
    </row>
    <row r="2269" spans="1:16" ht="14.25" customHeight="1" x14ac:dyDescent="0.3">
      <c r="A2269" s="1" t="s">
        <v>990</v>
      </c>
      <c r="B2269" s="1">
        <v>3</v>
      </c>
      <c r="C2269" s="1">
        <v>18</v>
      </c>
      <c r="D2269" s="1" t="str">
        <f t="shared" si="36"/>
        <v>Yes</v>
      </c>
      <c r="E2269" s="1">
        <v>6.6</v>
      </c>
      <c r="F2269" s="1">
        <v>174</v>
      </c>
      <c r="G2269" s="1" t="s">
        <v>96</v>
      </c>
      <c r="H2269" s="1" t="s">
        <v>95</v>
      </c>
      <c r="I2269" s="1">
        <v>74.5</v>
      </c>
      <c r="J2269" s="1" t="s">
        <v>95</v>
      </c>
      <c r="M2269" s="1" t="s">
        <v>97</v>
      </c>
      <c r="O2269" s="1">
        <v>1</v>
      </c>
      <c r="P2269" s="1">
        <v>624</v>
      </c>
    </row>
    <row r="2270" spans="1:16" ht="14.25" customHeight="1" x14ac:dyDescent="0.3">
      <c r="A2270" s="1" t="s">
        <v>990</v>
      </c>
      <c r="B2270" s="1">
        <v>3</v>
      </c>
      <c r="C2270" s="1">
        <v>17</v>
      </c>
      <c r="D2270" s="1" t="str">
        <f t="shared" si="36"/>
        <v>Yes</v>
      </c>
      <c r="E2270" s="1">
        <v>10.8</v>
      </c>
      <c r="F2270" s="1">
        <v>174</v>
      </c>
      <c r="G2270" s="1" t="s">
        <v>96</v>
      </c>
      <c r="H2270" s="1" t="s">
        <v>95</v>
      </c>
      <c r="I2270" s="1">
        <v>65.099999999999994</v>
      </c>
      <c r="J2270" s="1" t="s">
        <v>95</v>
      </c>
      <c r="M2270" s="1" t="s">
        <v>97</v>
      </c>
      <c r="O2270" s="1">
        <v>1</v>
      </c>
    </row>
    <row r="2271" spans="1:16" ht="14.25" customHeight="1" x14ac:dyDescent="0.3">
      <c r="A2271" s="1" t="s">
        <v>990</v>
      </c>
      <c r="B2271" s="1">
        <v>3</v>
      </c>
      <c r="C2271" s="1">
        <v>3</v>
      </c>
      <c r="D2271" s="1" t="str">
        <f t="shared" si="36"/>
        <v>Yes</v>
      </c>
      <c r="E2271" s="1">
        <v>3.5</v>
      </c>
      <c r="F2271" s="1">
        <v>314</v>
      </c>
      <c r="G2271" s="1" t="s">
        <v>109</v>
      </c>
      <c r="H2271" s="1" t="s">
        <v>95</v>
      </c>
      <c r="I2271" s="1">
        <v>72.2</v>
      </c>
      <c r="J2271" s="1" t="s">
        <v>95</v>
      </c>
      <c r="M2271" s="1" t="s">
        <v>102</v>
      </c>
      <c r="O2271" s="1">
        <v>1</v>
      </c>
    </row>
    <row r="2272" spans="1:16" ht="14.25" customHeight="1" x14ac:dyDescent="0.3">
      <c r="A2272" s="1" t="s">
        <v>990</v>
      </c>
      <c r="B2272" s="1">
        <v>3</v>
      </c>
      <c r="C2272" s="1">
        <v>8</v>
      </c>
      <c r="D2272" s="1" t="str">
        <f t="shared" si="36"/>
        <v>Yes</v>
      </c>
      <c r="E2272" s="1">
        <v>9.6999999999999993</v>
      </c>
      <c r="F2272" s="1">
        <v>39</v>
      </c>
      <c r="G2272" s="1" t="s">
        <v>173</v>
      </c>
      <c r="H2272" s="1" t="s">
        <v>95</v>
      </c>
      <c r="I2272" s="1">
        <v>19.3</v>
      </c>
      <c r="J2272" s="1" t="s">
        <v>95</v>
      </c>
      <c r="M2272" s="1" t="s">
        <v>101</v>
      </c>
      <c r="O2272" s="1">
        <v>1</v>
      </c>
    </row>
    <row r="2273" spans="1:18" ht="14.25" customHeight="1" x14ac:dyDescent="0.3">
      <c r="A2273" s="1" t="s">
        <v>990</v>
      </c>
      <c r="B2273" s="1">
        <v>3</v>
      </c>
      <c r="C2273" s="1">
        <v>7</v>
      </c>
      <c r="D2273" s="1" t="str">
        <f t="shared" si="36"/>
        <v>Yes</v>
      </c>
      <c r="E2273" s="1">
        <v>9.4</v>
      </c>
      <c r="F2273" s="1">
        <v>40</v>
      </c>
      <c r="G2273" s="1" t="s">
        <v>173</v>
      </c>
      <c r="H2273" s="1" t="s">
        <v>95</v>
      </c>
      <c r="I2273" s="1">
        <v>18.3</v>
      </c>
      <c r="J2273" s="1" t="s">
        <v>95</v>
      </c>
      <c r="M2273" s="1" t="s">
        <v>101</v>
      </c>
      <c r="O2273" s="1">
        <v>1</v>
      </c>
    </row>
    <row r="2274" spans="1:18" ht="14.25" customHeight="1" x14ac:dyDescent="0.3">
      <c r="A2274" s="1" t="s">
        <v>990</v>
      </c>
      <c r="B2274" s="1">
        <v>3</v>
      </c>
      <c r="C2274" s="1">
        <v>28</v>
      </c>
      <c r="D2274" s="1" t="str">
        <f t="shared" si="36"/>
        <v>Yes</v>
      </c>
      <c r="E2274" s="1">
        <v>11.4</v>
      </c>
      <c r="F2274" s="1">
        <v>243</v>
      </c>
      <c r="G2274" s="66" t="s">
        <v>173</v>
      </c>
      <c r="H2274" s="1" t="s">
        <v>95</v>
      </c>
      <c r="I2274" s="1">
        <v>10</v>
      </c>
      <c r="J2274" s="1" t="s">
        <v>101</v>
      </c>
      <c r="M2274" s="1" t="s">
        <v>101</v>
      </c>
      <c r="O2274" s="1">
        <v>5</v>
      </c>
      <c r="Q2274" s="1" t="s">
        <v>193</v>
      </c>
      <c r="R2274" s="1"/>
    </row>
    <row r="2275" spans="1:18" ht="14.25" customHeight="1" x14ac:dyDescent="0.3">
      <c r="A2275" s="1" t="s">
        <v>990</v>
      </c>
      <c r="B2275" s="1">
        <v>3</v>
      </c>
      <c r="C2275" s="1">
        <v>21</v>
      </c>
      <c r="D2275" s="1" t="str">
        <f t="shared" si="36"/>
        <v>Yes</v>
      </c>
      <c r="E2275" s="1">
        <v>11</v>
      </c>
      <c r="F2275" s="1">
        <v>205</v>
      </c>
      <c r="G2275" s="1" t="s">
        <v>173</v>
      </c>
      <c r="H2275" s="1" t="s">
        <v>95</v>
      </c>
      <c r="I2275" s="1">
        <v>10</v>
      </c>
      <c r="J2275" s="1" t="s">
        <v>95</v>
      </c>
      <c r="M2275" s="1" t="s">
        <v>101</v>
      </c>
      <c r="O2275" s="1">
        <v>1</v>
      </c>
    </row>
    <row r="2276" spans="1:18" ht="14.25" customHeight="1" x14ac:dyDescent="0.3">
      <c r="A2276" s="1" t="s">
        <v>990</v>
      </c>
      <c r="B2276" s="1">
        <v>3</v>
      </c>
      <c r="C2276" s="1">
        <v>5</v>
      </c>
      <c r="D2276" s="1" t="str">
        <f t="shared" si="36"/>
        <v>Yes</v>
      </c>
      <c r="E2276" s="1">
        <v>8</v>
      </c>
      <c r="F2276" s="1">
        <v>347</v>
      </c>
      <c r="G2276" s="1" t="s">
        <v>173</v>
      </c>
      <c r="H2276" s="1" t="s">
        <v>95</v>
      </c>
      <c r="I2276" s="1">
        <v>9.3000000000000007</v>
      </c>
      <c r="J2276" s="1" t="s">
        <v>95</v>
      </c>
      <c r="M2276" s="1" t="s">
        <v>101</v>
      </c>
      <c r="O2276" s="1">
        <v>1</v>
      </c>
      <c r="Q2276" s="1" t="s">
        <v>183</v>
      </c>
      <c r="R2276" s="1"/>
    </row>
    <row r="2277" spans="1:18" ht="14.25" customHeight="1" x14ac:dyDescent="0.3">
      <c r="A2277" s="1" t="s">
        <v>990</v>
      </c>
      <c r="B2277" s="1">
        <v>3</v>
      </c>
      <c r="C2277" s="1">
        <v>26</v>
      </c>
      <c r="D2277" s="1" t="str">
        <f t="shared" si="36"/>
        <v>Yes</v>
      </c>
      <c r="E2277" s="1">
        <v>10.7</v>
      </c>
      <c r="F2277" s="1">
        <v>241</v>
      </c>
      <c r="G2277" s="1" t="s">
        <v>173</v>
      </c>
      <c r="H2277" s="1" t="s">
        <v>95</v>
      </c>
      <c r="I2277" s="1">
        <v>8.6999999999999993</v>
      </c>
      <c r="J2277" s="1" t="s">
        <v>95</v>
      </c>
      <c r="M2277" s="1" t="s">
        <v>101</v>
      </c>
      <c r="O2277" s="1">
        <v>1</v>
      </c>
    </row>
    <row r="2278" spans="1:18" ht="14.25" customHeight="1" x14ac:dyDescent="0.3">
      <c r="A2278" s="1" t="s">
        <v>990</v>
      </c>
      <c r="B2278" s="1">
        <v>3</v>
      </c>
      <c r="C2278" s="1">
        <v>25</v>
      </c>
      <c r="D2278" s="1" t="str">
        <f t="shared" si="36"/>
        <v>Yes</v>
      </c>
      <c r="E2278" s="1">
        <v>11.2</v>
      </c>
      <c r="F2278" s="1">
        <v>248</v>
      </c>
      <c r="G2278" s="1" t="s">
        <v>173</v>
      </c>
      <c r="H2278" s="1" t="s">
        <v>95</v>
      </c>
      <c r="I2278" s="1">
        <v>8.6</v>
      </c>
      <c r="J2278" s="1" t="s">
        <v>95</v>
      </c>
      <c r="M2278" s="1" t="s">
        <v>101</v>
      </c>
      <c r="O2278" s="1">
        <v>1</v>
      </c>
    </row>
    <row r="2279" spans="1:18" ht="14.25" customHeight="1" x14ac:dyDescent="0.3">
      <c r="A2279" s="1" t="s">
        <v>990</v>
      </c>
      <c r="B2279" s="1">
        <v>3</v>
      </c>
      <c r="C2279" s="1">
        <v>24</v>
      </c>
      <c r="D2279" s="1" t="str">
        <f t="shared" si="36"/>
        <v>Yes</v>
      </c>
      <c r="E2279" s="1">
        <v>8.5</v>
      </c>
      <c r="F2279" s="1">
        <v>220</v>
      </c>
      <c r="G2279" s="1" t="s">
        <v>173</v>
      </c>
      <c r="H2279" s="1" t="s">
        <v>95</v>
      </c>
      <c r="I2279" s="1">
        <v>8.1</v>
      </c>
      <c r="J2279" s="1" t="s">
        <v>95</v>
      </c>
      <c r="M2279" s="1" t="s">
        <v>101</v>
      </c>
      <c r="O2279" s="1">
        <v>1</v>
      </c>
    </row>
    <row r="2280" spans="1:18" ht="14.25" customHeight="1" x14ac:dyDescent="0.3">
      <c r="A2280" s="1" t="s">
        <v>990</v>
      </c>
      <c r="B2280" s="1">
        <v>3</v>
      </c>
      <c r="C2280" s="1">
        <v>10</v>
      </c>
      <c r="D2280" s="1" t="str">
        <f t="shared" si="36"/>
        <v>Yes</v>
      </c>
      <c r="E2280" s="1">
        <v>11.6</v>
      </c>
      <c r="F2280" s="1">
        <v>40</v>
      </c>
      <c r="G2280" s="1" t="s">
        <v>173</v>
      </c>
      <c r="H2280" s="1" t="s">
        <v>95</v>
      </c>
      <c r="I2280" s="1">
        <v>7.6</v>
      </c>
      <c r="J2280" s="1" t="s">
        <v>101</v>
      </c>
      <c r="M2280" s="1" t="s">
        <v>101</v>
      </c>
      <c r="O2280" s="1">
        <v>5</v>
      </c>
    </row>
    <row r="2281" spans="1:18" ht="14.25" customHeight="1" x14ac:dyDescent="0.3">
      <c r="A2281" s="1" t="s">
        <v>990</v>
      </c>
      <c r="B2281" s="1">
        <v>3</v>
      </c>
      <c r="C2281" s="1">
        <v>15</v>
      </c>
      <c r="D2281" s="1" t="str">
        <f t="shared" si="36"/>
        <v>Yes</v>
      </c>
      <c r="E2281" s="1">
        <v>11.6</v>
      </c>
      <c r="F2281" s="1">
        <v>1440</v>
      </c>
      <c r="G2281" s="1" t="s">
        <v>173</v>
      </c>
      <c r="H2281" s="1" t="s">
        <v>95</v>
      </c>
      <c r="I2281" s="1">
        <v>7.6</v>
      </c>
      <c r="J2281" s="1" t="s">
        <v>95</v>
      </c>
      <c r="M2281" s="1" t="s">
        <v>101</v>
      </c>
      <c r="O2281" s="1">
        <v>1</v>
      </c>
    </row>
    <row r="2282" spans="1:18" ht="14.25" customHeight="1" x14ac:dyDescent="0.3">
      <c r="A2282" s="1" t="s">
        <v>990</v>
      </c>
      <c r="B2282" s="1">
        <v>3</v>
      </c>
      <c r="C2282" s="1">
        <v>22</v>
      </c>
      <c r="D2282" s="1" t="str">
        <f t="shared" si="36"/>
        <v>Yes</v>
      </c>
      <c r="E2282" s="1">
        <v>8.5</v>
      </c>
      <c r="F2282" s="1">
        <v>209</v>
      </c>
      <c r="G2282" s="1" t="s">
        <v>106</v>
      </c>
      <c r="H2282" s="1" t="s">
        <v>95</v>
      </c>
      <c r="I2282" s="1">
        <v>55.1</v>
      </c>
      <c r="J2282" s="1" t="s">
        <v>95</v>
      </c>
      <c r="M2282" s="1" t="s">
        <v>102</v>
      </c>
      <c r="O2282" s="1">
        <v>1</v>
      </c>
    </row>
    <row r="2283" spans="1:18" ht="14.25" customHeight="1" x14ac:dyDescent="0.3">
      <c r="A2283" s="1" t="s">
        <v>990</v>
      </c>
      <c r="B2283" s="1">
        <v>3</v>
      </c>
      <c r="C2283" s="1">
        <v>29</v>
      </c>
      <c r="D2283" s="1" t="str">
        <f t="shared" si="36"/>
        <v>Yes</v>
      </c>
      <c r="E2283" s="1">
        <v>6.8</v>
      </c>
      <c r="F2283" s="1">
        <v>261</v>
      </c>
      <c r="G2283" s="1" t="s">
        <v>106</v>
      </c>
      <c r="H2283" s="1" t="s">
        <v>95</v>
      </c>
      <c r="I2283" s="1">
        <v>42.8</v>
      </c>
      <c r="J2283" s="1" t="s">
        <v>95</v>
      </c>
      <c r="M2283" s="1" t="s">
        <v>102</v>
      </c>
      <c r="O2283" s="1">
        <v>1</v>
      </c>
    </row>
    <row r="2284" spans="1:18" ht="14.25" customHeight="1" x14ac:dyDescent="0.3">
      <c r="A2284" s="1" t="s">
        <v>990</v>
      </c>
      <c r="B2284" s="1">
        <v>3</v>
      </c>
      <c r="C2284" s="1">
        <v>2</v>
      </c>
      <c r="D2284" s="1" t="str">
        <f t="shared" si="36"/>
        <v>Yes</v>
      </c>
      <c r="E2284" s="1">
        <v>6.8</v>
      </c>
      <c r="F2284" s="1">
        <v>266</v>
      </c>
      <c r="G2284" s="1" t="s">
        <v>106</v>
      </c>
      <c r="H2284" s="1" t="s">
        <v>95</v>
      </c>
      <c r="I2284" s="1">
        <v>36.1</v>
      </c>
      <c r="J2284" s="1" t="s">
        <v>95</v>
      </c>
      <c r="M2284" s="1" t="s">
        <v>101</v>
      </c>
      <c r="O2284" s="1">
        <v>1</v>
      </c>
      <c r="P2284" s="1">
        <v>625</v>
      </c>
    </row>
    <row r="2285" spans="1:18" ht="14.25" customHeight="1" x14ac:dyDescent="0.3">
      <c r="A2285" s="1" t="s">
        <v>990</v>
      </c>
      <c r="B2285" s="1">
        <v>3</v>
      </c>
      <c r="C2285" s="1">
        <v>4</v>
      </c>
      <c r="D2285" s="1" t="str">
        <f t="shared" si="36"/>
        <v>Yes</v>
      </c>
      <c r="E2285" s="1">
        <v>10.9</v>
      </c>
      <c r="F2285" s="1">
        <v>313</v>
      </c>
      <c r="G2285" s="1" t="s">
        <v>106</v>
      </c>
      <c r="H2285" s="1" t="s">
        <v>95</v>
      </c>
      <c r="I2285" s="1">
        <v>31.8</v>
      </c>
      <c r="J2285" s="1" t="s">
        <v>95</v>
      </c>
      <c r="M2285" s="1" t="s">
        <v>102</v>
      </c>
      <c r="O2285" s="1">
        <v>1</v>
      </c>
    </row>
    <row r="2286" spans="1:18" ht="14.25" customHeight="1" x14ac:dyDescent="0.3">
      <c r="A2286" s="1" t="s">
        <v>990</v>
      </c>
      <c r="B2286" s="1">
        <v>3</v>
      </c>
      <c r="C2286" s="1">
        <v>11</v>
      </c>
      <c r="D2286" s="1" t="str">
        <f t="shared" si="36"/>
        <v>Yes</v>
      </c>
      <c r="E2286" s="1">
        <v>5.2</v>
      </c>
      <c r="F2286" s="1">
        <v>110</v>
      </c>
      <c r="G2286" s="1" t="s">
        <v>106</v>
      </c>
      <c r="H2286" s="1" t="s">
        <v>95</v>
      </c>
      <c r="I2286" s="1">
        <v>28.3</v>
      </c>
      <c r="J2286" s="1" t="s">
        <v>95</v>
      </c>
      <c r="M2286" s="1" t="s">
        <v>101</v>
      </c>
      <c r="O2286" s="1">
        <v>1</v>
      </c>
      <c r="P2286" s="1">
        <v>623</v>
      </c>
    </row>
    <row r="2287" spans="1:18" ht="14.25" customHeight="1" x14ac:dyDescent="0.3">
      <c r="A2287" s="1" t="s">
        <v>990</v>
      </c>
      <c r="B2287" s="1">
        <v>3</v>
      </c>
      <c r="C2287" s="1">
        <v>1</v>
      </c>
      <c r="D2287" s="1" t="str">
        <f t="shared" si="36"/>
        <v>Yes</v>
      </c>
      <c r="E2287" s="1">
        <v>8.6</v>
      </c>
      <c r="F2287" s="1">
        <v>263</v>
      </c>
      <c r="G2287" s="1" t="s">
        <v>106</v>
      </c>
      <c r="H2287" s="1" t="s">
        <v>95</v>
      </c>
      <c r="I2287" s="1">
        <v>18</v>
      </c>
      <c r="J2287" s="1" t="s">
        <v>101</v>
      </c>
      <c r="M2287" s="1" t="s">
        <v>101</v>
      </c>
      <c r="O2287" s="1">
        <v>5</v>
      </c>
    </row>
    <row r="2288" spans="1:18" ht="14.25" customHeight="1" x14ac:dyDescent="0.3">
      <c r="A2288" s="1" t="s">
        <v>990</v>
      </c>
      <c r="B2288" s="1">
        <v>3</v>
      </c>
      <c r="C2288" s="1">
        <v>14</v>
      </c>
      <c r="D2288" s="1" t="str">
        <f t="shared" si="36"/>
        <v>Yes</v>
      </c>
      <c r="E2288" s="1">
        <v>11.2</v>
      </c>
      <c r="F2288" s="1">
        <v>129</v>
      </c>
      <c r="G2288" s="1" t="s">
        <v>106</v>
      </c>
      <c r="H2288" s="1" t="s">
        <v>95</v>
      </c>
      <c r="I2288" s="1">
        <v>13.5</v>
      </c>
      <c r="J2288" s="1" t="s">
        <v>95</v>
      </c>
      <c r="M2288" s="1" t="s">
        <v>101</v>
      </c>
      <c r="O2288" s="1">
        <v>1</v>
      </c>
    </row>
    <row r="2289" spans="1:18" ht="14.25" customHeight="1" x14ac:dyDescent="0.3">
      <c r="A2289" s="1" t="s">
        <v>990</v>
      </c>
      <c r="B2289" s="1">
        <v>3</v>
      </c>
      <c r="C2289" s="1">
        <v>19</v>
      </c>
      <c r="D2289" s="1" t="str">
        <f t="shared" si="36"/>
        <v>Yes</v>
      </c>
      <c r="E2289" s="1">
        <v>8.4</v>
      </c>
      <c r="F2289" s="1">
        <v>179</v>
      </c>
      <c r="G2289" s="1" t="s">
        <v>106</v>
      </c>
      <c r="H2289" s="1" t="s">
        <v>95</v>
      </c>
      <c r="I2289" s="1">
        <v>11</v>
      </c>
      <c r="J2289" s="1" t="s">
        <v>101</v>
      </c>
      <c r="M2289" s="1" t="s">
        <v>101</v>
      </c>
      <c r="O2289" s="1">
        <v>5</v>
      </c>
    </row>
    <row r="2290" spans="1:18" ht="14.25" customHeight="1" x14ac:dyDescent="0.3">
      <c r="A2290" s="1" t="s">
        <v>990</v>
      </c>
      <c r="B2290" s="1">
        <v>3</v>
      </c>
      <c r="C2290" s="1">
        <v>9</v>
      </c>
      <c r="D2290" s="1" t="str">
        <f t="shared" si="36"/>
        <v>Yes</v>
      </c>
      <c r="E2290" s="1">
        <v>10.9</v>
      </c>
      <c r="F2290" s="1">
        <v>33</v>
      </c>
      <c r="G2290" s="1" t="s">
        <v>106</v>
      </c>
      <c r="H2290" s="1" t="s">
        <v>95</v>
      </c>
      <c r="I2290" s="1">
        <v>10.9</v>
      </c>
      <c r="J2290" s="1" t="s">
        <v>95</v>
      </c>
      <c r="M2290" s="1" t="s">
        <v>101</v>
      </c>
      <c r="O2290" s="1">
        <v>1</v>
      </c>
    </row>
    <row r="2291" spans="1:18" ht="14.25" customHeight="1" x14ac:dyDescent="0.3">
      <c r="A2291" s="1" t="s">
        <v>990</v>
      </c>
      <c r="B2291" s="1">
        <v>3</v>
      </c>
      <c r="C2291" s="1">
        <v>23</v>
      </c>
      <c r="D2291" s="1" t="str">
        <f t="shared" si="36"/>
        <v>Yes</v>
      </c>
      <c r="E2291" s="1">
        <v>5.4</v>
      </c>
      <c r="F2291" s="1">
        <v>215</v>
      </c>
      <c r="G2291" s="1" t="s">
        <v>106</v>
      </c>
      <c r="H2291" s="1" t="s">
        <v>95</v>
      </c>
      <c r="I2291" s="1">
        <v>10.9</v>
      </c>
      <c r="J2291" s="1" t="s">
        <v>101</v>
      </c>
      <c r="M2291" s="1" t="s">
        <v>101</v>
      </c>
      <c r="O2291" s="1">
        <v>5</v>
      </c>
    </row>
    <row r="2292" spans="1:18" ht="14.25" customHeight="1" x14ac:dyDescent="0.3">
      <c r="A2292" s="1" t="s">
        <v>990</v>
      </c>
      <c r="B2292" s="1">
        <v>3</v>
      </c>
      <c r="C2292" s="1">
        <v>6</v>
      </c>
      <c r="D2292" s="1" t="str">
        <f t="shared" si="36"/>
        <v>Yes</v>
      </c>
      <c r="E2292" s="1">
        <v>5</v>
      </c>
      <c r="F2292" s="1">
        <v>31</v>
      </c>
      <c r="G2292" s="1" t="s">
        <v>106</v>
      </c>
      <c r="H2292" s="1" t="s">
        <v>95</v>
      </c>
      <c r="I2292" s="1">
        <v>8.5</v>
      </c>
      <c r="J2292" s="1" t="s">
        <v>95</v>
      </c>
      <c r="M2292" s="1" t="s">
        <v>101</v>
      </c>
      <c r="O2292" s="1">
        <v>5</v>
      </c>
    </row>
    <row r="2293" spans="1:18" ht="14.25" customHeight="1" x14ac:dyDescent="0.3">
      <c r="A2293" s="1" t="s">
        <v>990</v>
      </c>
      <c r="B2293" s="1">
        <v>3</v>
      </c>
      <c r="C2293" s="1">
        <v>12</v>
      </c>
      <c r="D2293" s="1" t="str">
        <f t="shared" si="36"/>
        <v>Yes</v>
      </c>
      <c r="E2293" s="1">
        <v>2.6</v>
      </c>
      <c r="F2293" s="1">
        <v>129</v>
      </c>
      <c r="G2293" s="1" t="s">
        <v>93</v>
      </c>
      <c r="H2293" s="1" t="s">
        <v>95</v>
      </c>
      <c r="I2293" s="1">
        <v>69.8</v>
      </c>
      <c r="J2293" s="1" t="s">
        <v>95</v>
      </c>
      <c r="M2293" s="1" t="s">
        <v>102</v>
      </c>
      <c r="O2293" s="1">
        <v>5</v>
      </c>
    </row>
    <row r="2294" spans="1:18" ht="14.25" customHeight="1" x14ac:dyDescent="0.3">
      <c r="A2294" s="1" t="s">
        <v>990</v>
      </c>
      <c r="B2294" s="1">
        <v>3</v>
      </c>
      <c r="C2294" s="1">
        <v>20</v>
      </c>
      <c r="D2294" s="1" t="str">
        <f t="shared" si="36"/>
        <v>Yes</v>
      </c>
      <c r="E2294" s="1">
        <v>10.7</v>
      </c>
      <c r="F2294" s="1">
        <v>200</v>
      </c>
      <c r="G2294" s="1" t="s">
        <v>93</v>
      </c>
      <c r="H2294" s="1" t="s">
        <v>95</v>
      </c>
      <c r="I2294" s="1">
        <v>62.2</v>
      </c>
      <c r="J2294" s="1" t="s">
        <v>95</v>
      </c>
      <c r="M2294" s="1" t="s">
        <v>102</v>
      </c>
      <c r="O2294" s="1">
        <v>5</v>
      </c>
    </row>
    <row r="2295" spans="1:18" ht="14.25" customHeight="1" x14ac:dyDescent="0.3">
      <c r="A2295" s="1" t="s">
        <v>990</v>
      </c>
      <c r="B2295" s="1">
        <v>3</v>
      </c>
      <c r="C2295" s="1">
        <v>13</v>
      </c>
      <c r="D2295" s="1" t="str">
        <f t="shared" si="36"/>
        <v>Yes</v>
      </c>
      <c r="E2295" s="1">
        <v>5.5</v>
      </c>
      <c r="F2295" s="1">
        <v>123</v>
      </c>
      <c r="G2295" s="1" t="s">
        <v>93</v>
      </c>
      <c r="H2295" s="1" t="s">
        <v>95</v>
      </c>
      <c r="I2295" s="1">
        <v>61.4</v>
      </c>
      <c r="J2295" s="1" t="s">
        <v>95</v>
      </c>
      <c r="M2295" s="1" t="s">
        <v>102</v>
      </c>
      <c r="O2295" s="1">
        <v>5</v>
      </c>
    </row>
    <row r="2296" spans="1:18" ht="14.25" customHeight="1" x14ac:dyDescent="0.3">
      <c r="A2296" s="1" t="s">
        <v>990</v>
      </c>
      <c r="B2296" s="1">
        <v>3</v>
      </c>
      <c r="C2296" s="1">
        <v>27</v>
      </c>
      <c r="D2296" s="1" t="str">
        <f t="shared" si="36"/>
        <v>Yes</v>
      </c>
      <c r="E2296" s="1">
        <v>12.4</v>
      </c>
      <c r="F2296" s="1">
        <v>259</v>
      </c>
      <c r="G2296" s="1" t="s">
        <v>93</v>
      </c>
      <c r="H2296" s="1" t="s">
        <v>95</v>
      </c>
      <c r="I2296" s="1">
        <v>56.9</v>
      </c>
      <c r="J2296" s="1" t="s">
        <v>95</v>
      </c>
      <c r="M2296" s="1" t="s">
        <v>101</v>
      </c>
      <c r="O2296" s="1">
        <v>5</v>
      </c>
    </row>
    <row r="2297" spans="1:18" ht="14.25" customHeight="1" x14ac:dyDescent="0.3">
      <c r="A2297" s="1" t="s">
        <v>990</v>
      </c>
      <c r="B2297" s="1">
        <v>4</v>
      </c>
      <c r="C2297" s="1">
        <v>7</v>
      </c>
      <c r="D2297" s="1" t="str">
        <f t="shared" si="36"/>
        <v>Yes</v>
      </c>
      <c r="E2297" s="1">
        <v>5.3</v>
      </c>
      <c r="F2297" s="1">
        <v>293</v>
      </c>
      <c r="G2297" s="1" t="s">
        <v>173</v>
      </c>
      <c r="H2297" s="1" t="s">
        <v>95</v>
      </c>
      <c r="I2297" s="1">
        <v>10.5</v>
      </c>
      <c r="J2297" s="1" t="s">
        <v>95</v>
      </c>
      <c r="M2297" s="19"/>
      <c r="O2297" s="1">
        <v>1</v>
      </c>
      <c r="Q2297" s="19" t="s">
        <v>193</v>
      </c>
      <c r="R2297" s="19"/>
    </row>
    <row r="2298" spans="1:18" ht="14.25" customHeight="1" x14ac:dyDescent="0.3">
      <c r="A2298" s="1" t="s">
        <v>990</v>
      </c>
      <c r="B2298" s="1">
        <v>4</v>
      </c>
      <c r="C2298" s="1">
        <v>8</v>
      </c>
      <c r="D2298" s="1" t="str">
        <f t="shared" si="36"/>
        <v>Yes</v>
      </c>
      <c r="E2298" s="1">
        <v>5.3</v>
      </c>
      <c r="F2298" s="1">
        <v>293</v>
      </c>
      <c r="G2298" s="1" t="s">
        <v>173</v>
      </c>
      <c r="H2298" s="1" t="s">
        <v>95</v>
      </c>
      <c r="I2298" s="1">
        <v>9.5</v>
      </c>
      <c r="J2298" s="1" t="s">
        <v>95</v>
      </c>
      <c r="M2298" s="19"/>
      <c r="O2298" s="1">
        <v>1</v>
      </c>
      <c r="Q2298" s="19" t="s">
        <v>193</v>
      </c>
      <c r="R2298" s="19"/>
    </row>
    <row r="2299" spans="1:18" ht="14.25" customHeight="1" x14ac:dyDescent="0.3">
      <c r="A2299" s="1" t="s">
        <v>990</v>
      </c>
      <c r="B2299" s="1">
        <v>4</v>
      </c>
      <c r="C2299" s="1">
        <v>9</v>
      </c>
      <c r="D2299" s="1" t="str">
        <f t="shared" si="36"/>
        <v>Yes</v>
      </c>
      <c r="E2299" s="1">
        <v>7.7</v>
      </c>
      <c r="F2299" s="1">
        <v>332</v>
      </c>
      <c r="G2299" s="1" t="s">
        <v>106</v>
      </c>
      <c r="H2299" s="1" t="s">
        <v>95</v>
      </c>
      <c r="I2299" s="1">
        <v>44.7</v>
      </c>
      <c r="J2299" s="1" t="s">
        <v>95</v>
      </c>
      <c r="M2299" s="19"/>
      <c r="O2299" s="1">
        <v>1</v>
      </c>
      <c r="P2299" s="1">
        <v>642</v>
      </c>
    </row>
    <row r="2300" spans="1:18" ht="14.25" customHeight="1" x14ac:dyDescent="0.3">
      <c r="A2300" s="1" t="s">
        <v>990</v>
      </c>
      <c r="B2300" s="1">
        <v>4</v>
      </c>
      <c r="C2300" s="1">
        <v>4</v>
      </c>
      <c r="D2300" s="1" t="str">
        <f t="shared" si="36"/>
        <v>Yes</v>
      </c>
      <c r="E2300" s="1">
        <v>7.3</v>
      </c>
      <c r="F2300" s="1">
        <v>177</v>
      </c>
      <c r="G2300" s="1" t="s">
        <v>106</v>
      </c>
      <c r="H2300" s="1" t="s">
        <v>95</v>
      </c>
      <c r="I2300" s="1">
        <v>13.7</v>
      </c>
      <c r="J2300" s="1" t="s">
        <v>95</v>
      </c>
      <c r="M2300" s="19"/>
      <c r="O2300" s="1">
        <v>1</v>
      </c>
    </row>
    <row r="2301" spans="1:18" ht="14.25" customHeight="1" x14ac:dyDescent="0.3">
      <c r="A2301" s="1" t="s">
        <v>990</v>
      </c>
      <c r="B2301" s="1">
        <v>4</v>
      </c>
      <c r="C2301" s="1">
        <v>5</v>
      </c>
      <c r="D2301" s="1" t="str">
        <f t="shared" si="36"/>
        <v>Yes</v>
      </c>
      <c r="E2301" s="1">
        <v>7.5</v>
      </c>
      <c r="F2301" s="1">
        <v>183</v>
      </c>
      <c r="G2301" s="1" t="s">
        <v>93</v>
      </c>
      <c r="H2301" s="1" t="s">
        <v>95</v>
      </c>
      <c r="I2301" s="1">
        <v>90.5</v>
      </c>
      <c r="J2301" s="1" t="s">
        <v>95</v>
      </c>
      <c r="M2301" s="19"/>
      <c r="O2301" s="1">
        <v>1</v>
      </c>
      <c r="P2301" s="1">
        <v>641</v>
      </c>
    </row>
    <row r="2302" spans="1:18" ht="14.25" customHeight="1" x14ac:dyDescent="0.3">
      <c r="A2302" s="1" t="s">
        <v>990</v>
      </c>
      <c r="B2302" s="1">
        <v>4</v>
      </c>
      <c r="C2302" s="1">
        <v>2</v>
      </c>
      <c r="D2302" s="1" t="str">
        <f t="shared" si="36"/>
        <v>Yes</v>
      </c>
      <c r="E2302" s="1">
        <v>6.7</v>
      </c>
      <c r="F2302" s="1">
        <v>59</v>
      </c>
      <c r="G2302" s="1" t="s">
        <v>93</v>
      </c>
      <c r="H2302" s="1" t="s">
        <v>95</v>
      </c>
      <c r="I2302" s="1">
        <v>68.599999999999994</v>
      </c>
      <c r="J2302" s="1" t="s">
        <v>95</v>
      </c>
      <c r="M2302" s="19"/>
      <c r="O2302" s="1">
        <v>1</v>
      </c>
      <c r="P2302" s="1">
        <v>640</v>
      </c>
    </row>
    <row r="2303" spans="1:18" ht="14.25" customHeight="1" x14ac:dyDescent="0.3">
      <c r="A2303" s="1" t="s">
        <v>990</v>
      </c>
      <c r="B2303" s="1">
        <v>4</v>
      </c>
      <c r="C2303" s="1">
        <v>6</v>
      </c>
      <c r="D2303" s="1" t="str">
        <f t="shared" si="36"/>
        <v>Yes</v>
      </c>
      <c r="E2303" s="1">
        <v>8.5</v>
      </c>
      <c r="F2303" s="1">
        <v>182</v>
      </c>
      <c r="G2303" s="1" t="s">
        <v>93</v>
      </c>
      <c r="H2303" s="1" t="s">
        <v>95</v>
      </c>
      <c r="I2303" s="1">
        <v>35.299999999999997</v>
      </c>
      <c r="J2303" s="1" t="s">
        <v>95</v>
      </c>
      <c r="M2303" s="19"/>
      <c r="O2303" s="1">
        <v>1</v>
      </c>
    </row>
    <row r="2304" spans="1:18" ht="14.25" customHeight="1" x14ac:dyDescent="0.3">
      <c r="A2304" s="1" t="s">
        <v>990</v>
      </c>
      <c r="B2304" s="1">
        <v>4</v>
      </c>
      <c r="C2304" s="1">
        <v>10</v>
      </c>
      <c r="D2304" s="1" t="str">
        <f t="shared" si="36"/>
        <v>Yes</v>
      </c>
      <c r="E2304" s="1">
        <v>7.4</v>
      </c>
      <c r="F2304" s="1">
        <v>354</v>
      </c>
      <c r="G2304" s="1" t="s">
        <v>93</v>
      </c>
      <c r="H2304" s="1" t="s">
        <v>95</v>
      </c>
      <c r="I2304" s="1">
        <v>34.799999999999997</v>
      </c>
      <c r="J2304" s="1" t="s">
        <v>95</v>
      </c>
      <c r="M2304" s="19"/>
      <c r="O2304" s="1">
        <v>1</v>
      </c>
    </row>
    <row r="2305" spans="1:18" ht="14.25" customHeight="1" x14ac:dyDescent="0.3">
      <c r="A2305" s="1" t="s">
        <v>990</v>
      </c>
      <c r="B2305" s="1">
        <v>4</v>
      </c>
      <c r="C2305" s="1">
        <v>1</v>
      </c>
      <c r="D2305" s="1" t="str">
        <f t="shared" si="36"/>
        <v>Yes</v>
      </c>
      <c r="E2305" s="1">
        <v>8.1</v>
      </c>
      <c r="F2305" s="1">
        <v>37</v>
      </c>
      <c r="G2305" s="1" t="s">
        <v>93</v>
      </c>
      <c r="H2305" s="1" t="s">
        <v>95</v>
      </c>
      <c r="I2305" s="1">
        <v>24.7</v>
      </c>
      <c r="J2305" s="1" t="s">
        <v>95</v>
      </c>
      <c r="M2305" s="19"/>
      <c r="O2305" s="1">
        <v>1</v>
      </c>
    </row>
    <row r="2306" spans="1:18" ht="14.25" customHeight="1" x14ac:dyDescent="0.3">
      <c r="A2306" s="1" t="s">
        <v>990</v>
      </c>
      <c r="B2306" s="1">
        <v>4</v>
      </c>
      <c r="C2306" s="1">
        <v>3</v>
      </c>
      <c r="D2306" s="1" t="str">
        <f t="shared" si="36"/>
        <v>Yes</v>
      </c>
      <c r="E2306" s="1">
        <v>9.1999999999999993</v>
      </c>
      <c r="F2306" s="1">
        <v>116</v>
      </c>
      <c r="G2306" s="1" t="s">
        <v>93</v>
      </c>
      <c r="H2306" s="1" t="s">
        <v>95</v>
      </c>
      <c r="I2306" s="1">
        <v>23.3</v>
      </c>
      <c r="J2306" s="1" t="s">
        <v>95</v>
      </c>
      <c r="M2306" s="19"/>
      <c r="O2306" s="1">
        <v>1</v>
      </c>
    </row>
    <row r="2307" spans="1:18" ht="14.25" customHeight="1" x14ac:dyDescent="0.3">
      <c r="A2307" s="1" t="s">
        <v>990</v>
      </c>
      <c r="B2307" s="1">
        <v>5</v>
      </c>
      <c r="C2307" s="1">
        <v>20</v>
      </c>
      <c r="D2307" s="1" t="str">
        <f t="shared" si="36"/>
        <v>Yes</v>
      </c>
      <c r="E2307" s="1">
        <v>7.8</v>
      </c>
      <c r="F2307" s="1">
        <v>328</v>
      </c>
      <c r="G2307" s="1" t="s">
        <v>109</v>
      </c>
      <c r="H2307" s="1" t="s">
        <v>95</v>
      </c>
      <c r="I2307" s="1">
        <v>96.2</v>
      </c>
      <c r="J2307" s="1" t="s">
        <v>95</v>
      </c>
      <c r="M2307" s="1" t="s">
        <v>102</v>
      </c>
      <c r="O2307" s="1">
        <v>1</v>
      </c>
      <c r="P2307" s="1">
        <v>628</v>
      </c>
    </row>
    <row r="2308" spans="1:18" ht="14.25" customHeight="1" x14ac:dyDescent="0.3">
      <c r="A2308" s="1" t="s">
        <v>990</v>
      </c>
      <c r="B2308" s="1">
        <v>5</v>
      </c>
      <c r="C2308" s="1">
        <v>3</v>
      </c>
      <c r="D2308" s="1" t="str">
        <f t="shared" si="36"/>
        <v>Yes</v>
      </c>
      <c r="E2308" s="1">
        <v>12.2</v>
      </c>
      <c r="F2308" s="1">
        <v>54</v>
      </c>
      <c r="G2308" s="1" t="s">
        <v>109</v>
      </c>
      <c r="H2308" s="1" t="s">
        <v>95</v>
      </c>
      <c r="I2308" s="1">
        <v>74.099999999999994</v>
      </c>
      <c r="J2308" s="1" t="s">
        <v>95</v>
      </c>
      <c r="M2308" s="1" t="s">
        <v>102</v>
      </c>
      <c r="O2308" s="1">
        <v>1</v>
      </c>
    </row>
    <row r="2309" spans="1:18" ht="14.25" customHeight="1" x14ac:dyDescent="0.3">
      <c r="A2309" s="1" t="s">
        <v>990</v>
      </c>
      <c r="B2309" s="1">
        <v>5</v>
      </c>
      <c r="C2309" s="1">
        <v>7</v>
      </c>
      <c r="D2309" s="1" t="str">
        <f t="shared" si="36"/>
        <v>Yes</v>
      </c>
      <c r="E2309" s="1">
        <v>8.3000000000000007</v>
      </c>
      <c r="F2309" s="1">
        <v>84</v>
      </c>
      <c r="G2309" s="1" t="s">
        <v>173</v>
      </c>
      <c r="H2309" s="1" t="s">
        <v>95</v>
      </c>
      <c r="I2309" s="1">
        <v>11.7</v>
      </c>
      <c r="J2309" s="1" t="s">
        <v>95</v>
      </c>
      <c r="M2309" s="1" t="s">
        <v>101</v>
      </c>
      <c r="O2309" s="1">
        <v>1</v>
      </c>
    </row>
    <row r="2310" spans="1:18" ht="14.25" customHeight="1" x14ac:dyDescent="0.3">
      <c r="A2310" s="1" t="s">
        <v>990</v>
      </c>
      <c r="B2310" s="1">
        <v>5</v>
      </c>
      <c r="C2310" s="1">
        <v>2</v>
      </c>
      <c r="D2310" s="1" t="str">
        <f t="shared" si="36"/>
        <v>Yes</v>
      </c>
      <c r="E2310" s="1">
        <v>5.8</v>
      </c>
      <c r="F2310" s="1">
        <v>30</v>
      </c>
      <c r="G2310" s="1" t="s">
        <v>173</v>
      </c>
      <c r="H2310" s="1" t="s">
        <v>95</v>
      </c>
      <c r="I2310" s="1">
        <v>10.7</v>
      </c>
      <c r="J2310" s="1" t="s">
        <v>101</v>
      </c>
      <c r="M2310" s="1" t="s">
        <v>101</v>
      </c>
      <c r="O2310" s="1">
        <v>5</v>
      </c>
    </row>
    <row r="2311" spans="1:18" ht="14.25" customHeight="1" x14ac:dyDescent="0.3">
      <c r="A2311" s="1" t="s">
        <v>990</v>
      </c>
      <c r="B2311" s="1">
        <v>5</v>
      </c>
      <c r="C2311" s="1">
        <v>11</v>
      </c>
      <c r="D2311" s="1" t="str">
        <f t="shared" si="36"/>
        <v>Yes</v>
      </c>
      <c r="E2311" s="1">
        <v>3.8</v>
      </c>
      <c r="F2311" s="1">
        <v>253</v>
      </c>
      <c r="G2311" s="1" t="s">
        <v>173</v>
      </c>
      <c r="H2311" s="1" t="s">
        <v>95</v>
      </c>
      <c r="I2311" s="1">
        <v>9.8000000000000007</v>
      </c>
      <c r="J2311" s="1" t="s">
        <v>101</v>
      </c>
      <c r="M2311" s="1" t="s">
        <v>101</v>
      </c>
      <c r="O2311" s="1">
        <v>5</v>
      </c>
    </row>
    <row r="2312" spans="1:18" ht="14.25" customHeight="1" x14ac:dyDescent="0.3">
      <c r="A2312" s="1" t="s">
        <v>990</v>
      </c>
      <c r="B2312" s="1">
        <v>5</v>
      </c>
      <c r="C2312" s="1">
        <v>6</v>
      </c>
      <c r="D2312" s="1" t="str">
        <f t="shared" si="36"/>
        <v>Yes</v>
      </c>
      <c r="E2312" s="1">
        <v>6.1</v>
      </c>
      <c r="F2312" s="1">
        <v>83</v>
      </c>
      <c r="G2312" s="1" t="s">
        <v>173</v>
      </c>
      <c r="H2312" s="1" t="s">
        <v>95</v>
      </c>
      <c r="I2312" s="1">
        <v>9.4</v>
      </c>
      <c r="J2312" s="1" t="s">
        <v>95</v>
      </c>
      <c r="M2312" s="1" t="s">
        <v>101</v>
      </c>
      <c r="O2312" s="1">
        <v>1</v>
      </c>
    </row>
    <row r="2313" spans="1:18" ht="14.25" customHeight="1" x14ac:dyDescent="0.3">
      <c r="A2313" s="1" t="s">
        <v>990</v>
      </c>
      <c r="B2313" s="1">
        <v>5</v>
      </c>
      <c r="C2313" s="1">
        <v>1</v>
      </c>
      <c r="D2313" s="1" t="str">
        <f t="shared" si="36"/>
        <v>Yes</v>
      </c>
      <c r="E2313" s="1">
        <v>5.4</v>
      </c>
      <c r="F2313" s="1">
        <v>26</v>
      </c>
      <c r="G2313" s="1" t="s">
        <v>173</v>
      </c>
      <c r="H2313" s="1" t="s">
        <v>95</v>
      </c>
      <c r="I2313" s="1">
        <v>8.9</v>
      </c>
      <c r="J2313" s="1" t="s">
        <v>95</v>
      </c>
      <c r="M2313" s="1" t="s">
        <v>101</v>
      </c>
      <c r="O2313" s="1">
        <v>5</v>
      </c>
    </row>
    <row r="2314" spans="1:18" ht="14.25" customHeight="1" x14ac:dyDescent="0.3">
      <c r="A2314" s="1" t="s">
        <v>990</v>
      </c>
      <c r="B2314" s="1">
        <v>5</v>
      </c>
      <c r="C2314" s="1">
        <v>5</v>
      </c>
      <c r="D2314" s="1" t="str">
        <f t="shared" si="36"/>
        <v>Yes</v>
      </c>
      <c r="E2314" s="1">
        <v>6.1</v>
      </c>
      <c r="F2314" s="1">
        <v>83</v>
      </c>
      <c r="G2314" s="1" t="s">
        <v>173</v>
      </c>
      <c r="H2314" s="1" t="s">
        <v>95</v>
      </c>
      <c r="I2314" s="1">
        <v>7.6</v>
      </c>
      <c r="J2314" s="1" t="s">
        <v>95</v>
      </c>
      <c r="M2314" s="1" t="s">
        <v>101</v>
      </c>
      <c r="O2314" s="1">
        <v>1</v>
      </c>
    </row>
    <row r="2315" spans="1:18" ht="14.25" customHeight="1" x14ac:dyDescent="0.3">
      <c r="A2315" s="1" t="s">
        <v>990</v>
      </c>
      <c r="B2315" s="1">
        <v>5</v>
      </c>
      <c r="C2315" s="1">
        <v>9</v>
      </c>
      <c r="D2315" s="1" t="str">
        <f t="shared" si="36"/>
        <v>Yes</v>
      </c>
      <c r="E2315" s="1">
        <v>3.9</v>
      </c>
      <c r="F2315" s="1">
        <v>234</v>
      </c>
      <c r="G2315" s="1" t="s">
        <v>106</v>
      </c>
      <c r="H2315" s="1" t="s">
        <v>95</v>
      </c>
      <c r="I2315" s="1">
        <v>102.4</v>
      </c>
      <c r="J2315" s="1" t="s">
        <v>95</v>
      </c>
      <c r="M2315" s="1" t="s">
        <v>102</v>
      </c>
      <c r="O2315" s="1">
        <v>1</v>
      </c>
      <c r="P2315" s="1">
        <v>627</v>
      </c>
      <c r="R2315" s="1"/>
    </row>
    <row r="2316" spans="1:18" ht="14.25" customHeight="1" x14ac:dyDescent="0.3">
      <c r="A2316" s="1" t="s">
        <v>990</v>
      </c>
      <c r="B2316" s="1">
        <v>5</v>
      </c>
      <c r="C2316" s="1">
        <v>8</v>
      </c>
      <c r="D2316" s="1" t="str">
        <f t="shared" si="36"/>
        <v>Yes</v>
      </c>
      <c r="E2316" s="1">
        <v>7.9</v>
      </c>
      <c r="F2316" s="1">
        <v>145</v>
      </c>
      <c r="G2316" s="1" t="s">
        <v>106</v>
      </c>
      <c r="H2316" s="1" t="s">
        <v>95</v>
      </c>
      <c r="I2316" s="1">
        <v>75.2</v>
      </c>
      <c r="J2316" s="1" t="s">
        <v>95</v>
      </c>
      <c r="M2316" s="1" t="s">
        <v>102</v>
      </c>
      <c r="O2316" s="1">
        <v>1</v>
      </c>
    </row>
    <row r="2317" spans="1:18" ht="14.25" customHeight="1" x14ac:dyDescent="0.3">
      <c r="A2317" s="1" t="s">
        <v>990</v>
      </c>
      <c r="B2317" s="1">
        <v>5</v>
      </c>
      <c r="C2317" s="1">
        <v>4</v>
      </c>
      <c r="D2317" s="1" t="str">
        <f t="shared" si="36"/>
        <v>Yes</v>
      </c>
      <c r="E2317" s="1">
        <v>9.1999999999999993</v>
      </c>
      <c r="F2317" s="1">
        <v>66</v>
      </c>
      <c r="G2317" s="1" t="s">
        <v>106</v>
      </c>
      <c r="H2317" s="1" t="s">
        <v>95</v>
      </c>
      <c r="I2317" s="1">
        <v>69.8</v>
      </c>
      <c r="J2317" s="1" t="s">
        <v>95</v>
      </c>
      <c r="M2317" s="1" t="s">
        <v>102</v>
      </c>
      <c r="O2317" s="1">
        <v>1</v>
      </c>
      <c r="P2317" s="1">
        <v>626</v>
      </c>
    </row>
    <row r="2318" spans="1:18" ht="14.25" customHeight="1" x14ac:dyDescent="0.3">
      <c r="A2318" s="1" t="s">
        <v>990</v>
      </c>
      <c r="B2318" s="1">
        <v>5</v>
      </c>
      <c r="C2318" s="1">
        <v>16</v>
      </c>
      <c r="D2318" s="1" t="str">
        <f t="shared" si="36"/>
        <v>Yes</v>
      </c>
      <c r="E2318" s="1">
        <v>9.1999999999999993</v>
      </c>
      <c r="F2318" s="1">
        <v>295</v>
      </c>
      <c r="G2318" s="1" t="s">
        <v>106</v>
      </c>
      <c r="H2318" s="1" t="s">
        <v>95</v>
      </c>
      <c r="I2318" s="1">
        <v>67.599999999999994</v>
      </c>
      <c r="J2318" s="1" t="s">
        <v>95</v>
      </c>
      <c r="M2318" s="1" t="s">
        <v>102</v>
      </c>
      <c r="O2318" s="1">
        <v>1</v>
      </c>
    </row>
    <row r="2319" spans="1:18" ht="14.25" customHeight="1" x14ac:dyDescent="0.3">
      <c r="A2319" s="1" t="s">
        <v>990</v>
      </c>
      <c r="B2319" s="17">
        <v>5</v>
      </c>
      <c r="C2319" s="1">
        <v>15</v>
      </c>
      <c r="D2319" s="1" t="str">
        <f t="shared" si="36"/>
        <v>Yes</v>
      </c>
      <c r="E2319" s="1">
        <v>9.9</v>
      </c>
      <c r="F2319" s="1">
        <v>275</v>
      </c>
      <c r="G2319" s="1" t="s">
        <v>106</v>
      </c>
      <c r="H2319" s="1" t="s">
        <v>95</v>
      </c>
      <c r="I2319" s="1">
        <v>48.9</v>
      </c>
      <c r="J2319" s="1" t="s">
        <v>95</v>
      </c>
      <c r="M2319" s="1" t="s">
        <v>102</v>
      </c>
      <c r="O2319" s="1">
        <v>5</v>
      </c>
    </row>
    <row r="2320" spans="1:18" ht="14.25" customHeight="1" x14ac:dyDescent="0.3">
      <c r="A2320" s="1" t="s">
        <v>990</v>
      </c>
      <c r="B2320" s="1">
        <v>5</v>
      </c>
      <c r="C2320" s="1">
        <v>18</v>
      </c>
      <c r="D2320" s="1" t="str">
        <f t="shared" si="36"/>
        <v>Yes</v>
      </c>
      <c r="E2320" s="1">
        <v>7.8</v>
      </c>
      <c r="F2320" s="1">
        <v>303</v>
      </c>
      <c r="G2320" s="1" t="s">
        <v>106</v>
      </c>
      <c r="H2320" s="1" t="s">
        <v>95</v>
      </c>
      <c r="I2320" s="1">
        <v>40.299999999999997</v>
      </c>
      <c r="J2320" s="1" t="s">
        <v>95</v>
      </c>
      <c r="M2320" s="1" t="s">
        <v>101</v>
      </c>
      <c r="O2320" s="1">
        <v>1</v>
      </c>
    </row>
    <row r="2321" spans="1:18" ht="14.25" customHeight="1" x14ac:dyDescent="0.3">
      <c r="A2321" s="1" t="s">
        <v>990</v>
      </c>
      <c r="B2321" s="1">
        <v>5</v>
      </c>
      <c r="C2321" s="1">
        <v>19</v>
      </c>
      <c r="D2321" s="1" t="str">
        <f t="shared" si="36"/>
        <v>Yes</v>
      </c>
      <c r="E2321" s="1">
        <v>8.9</v>
      </c>
      <c r="F2321" s="1">
        <v>313</v>
      </c>
      <c r="G2321" s="17" t="s">
        <v>106</v>
      </c>
      <c r="H2321" s="1" t="s">
        <v>95</v>
      </c>
      <c r="I2321" s="1">
        <v>17.600000000000001</v>
      </c>
      <c r="J2321" s="1" t="s">
        <v>95</v>
      </c>
      <c r="M2321" s="1" t="s">
        <v>101</v>
      </c>
      <c r="O2321" s="1">
        <v>1</v>
      </c>
    </row>
    <row r="2322" spans="1:18" ht="14.25" customHeight="1" x14ac:dyDescent="0.3">
      <c r="A2322" s="1" t="s">
        <v>990</v>
      </c>
      <c r="B2322" s="1">
        <v>5</v>
      </c>
      <c r="C2322" s="1">
        <v>17</v>
      </c>
      <c r="D2322" s="1" t="str">
        <f t="shared" si="36"/>
        <v>Yes</v>
      </c>
      <c r="E2322" s="1">
        <v>11.2</v>
      </c>
      <c r="F2322" s="1">
        <v>299</v>
      </c>
      <c r="G2322" s="1" t="s">
        <v>106</v>
      </c>
      <c r="H2322" s="1" t="s">
        <v>95</v>
      </c>
      <c r="I2322" s="1">
        <v>10.4</v>
      </c>
      <c r="J2322" s="1" t="s">
        <v>101</v>
      </c>
      <c r="M2322" s="17" t="s">
        <v>101</v>
      </c>
      <c r="O2322" s="1">
        <v>5</v>
      </c>
    </row>
    <row r="2323" spans="1:18" ht="14.25" customHeight="1" x14ac:dyDescent="0.3">
      <c r="A2323" s="1" t="s">
        <v>990</v>
      </c>
      <c r="B2323" s="1">
        <v>5</v>
      </c>
      <c r="C2323" s="1">
        <v>14</v>
      </c>
      <c r="D2323" s="1" t="str">
        <f t="shared" si="36"/>
        <v>Yes</v>
      </c>
      <c r="E2323" s="1">
        <v>9.9</v>
      </c>
      <c r="F2323" s="1">
        <v>248</v>
      </c>
      <c r="G2323" s="1" t="s">
        <v>93</v>
      </c>
      <c r="H2323" s="1" t="s">
        <v>95</v>
      </c>
      <c r="I2323" s="1">
        <v>45.9</v>
      </c>
      <c r="J2323" s="1" t="s">
        <v>95</v>
      </c>
      <c r="M2323" s="1" t="s">
        <v>102</v>
      </c>
      <c r="O2323" s="1">
        <v>1</v>
      </c>
    </row>
    <row r="2324" spans="1:18" ht="14.25" customHeight="1" x14ac:dyDescent="0.3">
      <c r="A2324" s="1" t="s">
        <v>990</v>
      </c>
      <c r="B2324" s="1">
        <v>5</v>
      </c>
      <c r="C2324" s="1">
        <v>21</v>
      </c>
      <c r="D2324" s="1" t="str">
        <f t="shared" si="36"/>
        <v>Yes</v>
      </c>
      <c r="E2324" s="1">
        <v>3.1</v>
      </c>
      <c r="F2324" s="1">
        <v>359</v>
      </c>
      <c r="G2324" s="1" t="s">
        <v>93</v>
      </c>
      <c r="H2324" s="1" t="s">
        <v>95</v>
      </c>
      <c r="I2324" s="1">
        <v>23.4</v>
      </c>
      <c r="J2324" s="1" t="s">
        <v>95</v>
      </c>
      <c r="M2324" s="1" t="s">
        <v>101</v>
      </c>
      <c r="O2324" s="1">
        <v>1</v>
      </c>
    </row>
    <row r="2325" spans="1:18" ht="14.25" customHeight="1" x14ac:dyDescent="0.3">
      <c r="A2325" s="1" t="s">
        <v>990</v>
      </c>
      <c r="B2325" s="1">
        <v>5</v>
      </c>
      <c r="C2325" s="1">
        <v>12</v>
      </c>
      <c r="D2325" s="1" t="str">
        <f t="shared" si="36"/>
        <v>Yes</v>
      </c>
      <c r="E2325" s="1">
        <v>12.4</v>
      </c>
      <c r="F2325" s="1">
        <v>219</v>
      </c>
      <c r="G2325" s="1" t="s">
        <v>93</v>
      </c>
      <c r="H2325" s="1" t="s">
        <v>95</v>
      </c>
      <c r="I2325" s="1">
        <v>18.7</v>
      </c>
      <c r="J2325" s="1" t="s">
        <v>95</v>
      </c>
      <c r="M2325" s="1" t="s">
        <v>101</v>
      </c>
      <c r="O2325" s="1">
        <v>1</v>
      </c>
    </row>
    <row r="2326" spans="1:18" ht="14.25" customHeight="1" x14ac:dyDescent="0.3">
      <c r="A2326" s="1" t="s">
        <v>990</v>
      </c>
      <c r="B2326" s="1">
        <v>5</v>
      </c>
      <c r="C2326" s="1">
        <v>10</v>
      </c>
      <c r="D2326" s="1" t="str">
        <f t="shared" si="36"/>
        <v>Yes</v>
      </c>
      <c r="E2326" s="17">
        <v>3.6</v>
      </c>
      <c r="F2326" s="1">
        <v>232</v>
      </c>
      <c r="G2326" s="1" t="s">
        <v>93</v>
      </c>
      <c r="H2326" s="1" t="s">
        <v>95</v>
      </c>
      <c r="I2326" s="1">
        <v>17</v>
      </c>
      <c r="J2326" s="1" t="s">
        <v>101</v>
      </c>
      <c r="M2326" s="1" t="s">
        <v>101</v>
      </c>
      <c r="O2326" s="1">
        <v>5</v>
      </c>
      <c r="Q2326" s="1" t="s">
        <v>193</v>
      </c>
    </row>
    <row r="2327" spans="1:18" ht="14.25" customHeight="1" x14ac:dyDescent="0.3">
      <c r="A2327" s="1" t="s">
        <v>990</v>
      </c>
      <c r="B2327" s="1">
        <v>5</v>
      </c>
      <c r="C2327" s="1">
        <v>13</v>
      </c>
      <c r="D2327" s="1" t="str">
        <f t="shared" si="36"/>
        <v>Yes</v>
      </c>
      <c r="E2327" s="1">
        <v>10.6</v>
      </c>
      <c r="F2327" s="1">
        <v>227</v>
      </c>
      <c r="G2327" s="1" t="s">
        <v>93</v>
      </c>
      <c r="H2327" s="1" t="s">
        <v>95</v>
      </c>
      <c r="I2327" s="1">
        <v>11.6</v>
      </c>
      <c r="J2327" s="1" t="s">
        <v>95</v>
      </c>
      <c r="M2327" s="1" t="s">
        <v>101</v>
      </c>
      <c r="O2327" s="1">
        <v>1</v>
      </c>
    </row>
    <row r="2328" spans="1:18" ht="14.25" customHeight="1" x14ac:dyDescent="0.3">
      <c r="A2328" s="1" t="s">
        <v>990</v>
      </c>
      <c r="B2328" s="1">
        <v>8</v>
      </c>
      <c r="C2328" s="1">
        <v>25</v>
      </c>
      <c r="D2328" s="1" t="str">
        <f t="shared" ref="D2328:D2391" si="37">IF(E2328&gt;12.5, "No", "Yes")</f>
        <v>Yes</v>
      </c>
      <c r="E2328" s="1">
        <v>5.4</v>
      </c>
      <c r="F2328" s="1">
        <v>348</v>
      </c>
      <c r="G2328" s="1" t="s">
        <v>98</v>
      </c>
      <c r="H2328" s="1" t="s">
        <v>95</v>
      </c>
      <c r="I2328" s="1">
        <v>13.5</v>
      </c>
      <c r="J2328" s="1" t="s">
        <v>95</v>
      </c>
      <c r="M2328" s="1" t="s">
        <v>101</v>
      </c>
      <c r="O2328" s="1">
        <v>5</v>
      </c>
    </row>
    <row r="2329" spans="1:18" ht="14.25" customHeight="1" x14ac:dyDescent="0.3">
      <c r="A2329" s="1" t="s">
        <v>990</v>
      </c>
      <c r="B2329" s="1">
        <v>8</v>
      </c>
      <c r="C2329" s="1">
        <v>15</v>
      </c>
      <c r="D2329" s="1" t="str">
        <f t="shared" si="37"/>
        <v>Yes</v>
      </c>
      <c r="E2329" s="1">
        <v>3</v>
      </c>
      <c r="F2329" s="17">
        <v>188</v>
      </c>
      <c r="G2329" s="1" t="s">
        <v>109</v>
      </c>
      <c r="H2329" s="1" t="s">
        <v>95</v>
      </c>
      <c r="I2329" s="1">
        <v>40</v>
      </c>
      <c r="J2329" s="1" t="s">
        <v>101</v>
      </c>
      <c r="M2329" s="1" t="s">
        <v>102</v>
      </c>
      <c r="O2329" s="1">
        <v>5</v>
      </c>
      <c r="Q2329" s="1" t="s">
        <v>162</v>
      </c>
    </row>
    <row r="2330" spans="1:18" ht="14.25" customHeight="1" x14ac:dyDescent="0.3">
      <c r="A2330" s="1" t="s">
        <v>990</v>
      </c>
      <c r="B2330" s="1">
        <v>8</v>
      </c>
      <c r="C2330" s="1">
        <v>6</v>
      </c>
      <c r="D2330" s="1" t="str">
        <f t="shared" si="37"/>
        <v>Yes</v>
      </c>
      <c r="E2330" s="1">
        <v>10.199999999999999</v>
      </c>
      <c r="F2330" s="1">
        <v>48</v>
      </c>
      <c r="G2330" s="1" t="s">
        <v>106</v>
      </c>
      <c r="H2330" s="1" t="s">
        <v>95</v>
      </c>
      <c r="I2330" s="1">
        <v>76.8</v>
      </c>
      <c r="J2330" s="1" t="s">
        <v>95</v>
      </c>
      <c r="M2330" s="1" t="s">
        <v>102</v>
      </c>
      <c r="O2330" s="1">
        <v>5</v>
      </c>
    </row>
    <row r="2331" spans="1:18" ht="14.25" customHeight="1" x14ac:dyDescent="0.3">
      <c r="A2331" s="1" t="s">
        <v>990</v>
      </c>
      <c r="B2331" s="1">
        <v>8</v>
      </c>
      <c r="C2331" s="1">
        <v>11</v>
      </c>
      <c r="D2331" s="1" t="str">
        <f t="shared" si="37"/>
        <v>Yes</v>
      </c>
      <c r="E2331" s="1">
        <v>9.6</v>
      </c>
      <c r="F2331" s="1">
        <v>107</v>
      </c>
      <c r="G2331" s="1" t="s">
        <v>106</v>
      </c>
      <c r="H2331" s="1" t="s">
        <v>95</v>
      </c>
      <c r="I2331" s="1">
        <v>76</v>
      </c>
      <c r="J2331" s="1" t="s">
        <v>95</v>
      </c>
      <c r="M2331" s="1" t="s">
        <v>102</v>
      </c>
      <c r="O2331" s="1">
        <v>1</v>
      </c>
    </row>
    <row r="2332" spans="1:18" ht="14.25" customHeight="1" x14ac:dyDescent="0.3">
      <c r="A2332" s="1" t="s">
        <v>990</v>
      </c>
      <c r="B2332" s="1">
        <v>8</v>
      </c>
      <c r="C2332" s="1">
        <v>1</v>
      </c>
      <c r="D2332" s="1" t="str">
        <f t="shared" si="37"/>
        <v>Yes</v>
      </c>
      <c r="E2332" s="1">
        <v>6.6</v>
      </c>
      <c r="F2332" s="1">
        <v>2</v>
      </c>
      <c r="G2332" s="1" t="s">
        <v>106</v>
      </c>
      <c r="H2332" s="1" t="s">
        <v>95</v>
      </c>
      <c r="I2332" s="1">
        <v>75.3</v>
      </c>
      <c r="J2332" s="1" t="s">
        <v>95</v>
      </c>
      <c r="O2332" s="1">
        <v>1</v>
      </c>
      <c r="P2332" s="1">
        <v>636</v>
      </c>
    </row>
    <row r="2333" spans="1:18" ht="14.25" customHeight="1" x14ac:dyDescent="0.3">
      <c r="A2333" s="1" t="s">
        <v>990</v>
      </c>
      <c r="B2333" s="1">
        <v>8</v>
      </c>
      <c r="C2333" s="1">
        <v>7</v>
      </c>
      <c r="D2333" s="1" t="str">
        <f t="shared" si="37"/>
        <v>Yes</v>
      </c>
      <c r="E2333" s="1">
        <v>6.4</v>
      </c>
      <c r="F2333" s="1">
        <v>67</v>
      </c>
      <c r="G2333" s="1" t="s">
        <v>106</v>
      </c>
      <c r="H2333" s="1" t="s">
        <v>95</v>
      </c>
      <c r="I2333" s="1">
        <v>73.099999999999994</v>
      </c>
      <c r="J2333" s="1" t="s">
        <v>95</v>
      </c>
      <c r="M2333" s="1" t="s">
        <v>102</v>
      </c>
      <c r="O2333" s="1">
        <v>1</v>
      </c>
      <c r="P2333" s="1">
        <v>635</v>
      </c>
    </row>
    <row r="2334" spans="1:18" ht="14.25" customHeight="1" x14ac:dyDescent="0.3">
      <c r="A2334" s="1" t="s">
        <v>990</v>
      </c>
      <c r="B2334" s="1">
        <v>8</v>
      </c>
      <c r="C2334" s="1">
        <v>9</v>
      </c>
      <c r="D2334" s="1" t="str">
        <f t="shared" si="37"/>
        <v>Yes</v>
      </c>
      <c r="E2334" s="1">
        <v>9.3000000000000007</v>
      </c>
      <c r="F2334" s="1">
        <v>79</v>
      </c>
      <c r="G2334" s="1" t="s">
        <v>106</v>
      </c>
      <c r="H2334" s="1" t="s">
        <v>95</v>
      </c>
      <c r="I2334" s="1">
        <v>62.4</v>
      </c>
      <c r="J2334" s="1" t="s">
        <v>95</v>
      </c>
      <c r="M2334" s="1" t="s">
        <v>102</v>
      </c>
      <c r="O2334" s="1">
        <v>1</v>
      </c>
      <c r="R2334" s="1"/>
    </row>
    <row r="2335" spans="1:18" ht="14.25" customHeight="1" x14ac:dyDescent="0.3">
      <c r="A2335" s="1" t="s">
        <v>990</v>
      </c>
      <c r="B2335" s="1">
        <v>8</v>
      </c>
      <c r="C2335" s="1">
        <v>16</v>
      </c>
      <c r="D2335" s="1" t="str">
        <f t="shared" si="37"/>
        <v>Yes</v>
      </c>
      <c r="E2335" s="1">
        <v>5.8</v>
      </c>
      <c r="F2335" s="1">
        <v>198</v>
      </c>
      <c r="G2335" s="1" t="s">
        <v>106</v>
      </c>
      <c r="H2335" s="1" t="s">
        <v>95</v>
      </c>
      <c r="I2335" s="1">
        <v>44.8</v>
      </c>
      <c r="J2335" s="1" t="s">
        <v>95</v>
      </c>
      <c r="M2335" s="1" t="s">
        <v>102</v>
      </c>
      <c r="O2335" s="1">
        <v>1</v>
      </c>
      <c r="P2335" s="1">
        <v>612</v>
      </c>
    </row>
    <row r="2336" spans="1:18" ht="14.25" customHeight="1" x14ac:dyDescent="0.3">
      <c r="A2336" s="1" t="s">
        <v>990</v>
      </c>
      <c r="B2336" s="1">
        <v>8</v>
      </c>
      <c r="C2336" s="1">
        <v>22</v>
      </c>
      <c r="D2336" s="1" t="str">
        <f t="shared" si="37"/>
        <v>Yes</v>
      </c>
      <c r="E2336" s="1">
        <v>8.8000000000000007</v>
      </c>
      <c r="F2336" s="1">
        <v>287</v>
      </c>
      <c r="G2336" s="1" t="s">
        <v>106</v>
      </c>
      <c r="H2336" s="1" t="s">
        <v>95</v>
      </c>
      <c r="I2336" s="1">
        <v>33.6</v>
      </c>
      <c r="J2336" s="1" t="s">
        <v>95</v>
      </c>
      <c r="M2336" s="1" t="s">
        <v>102</v>
      </c>
      <c r="O2336" s="1">
        <v>1</v>
      </c>
      <c r="R2336" s="1"/>
    </row>
    <row r="2337" spans="1:18" ht="14.25" customHeight="1" x14ac:dyDescent="0.3">
      <c r="A2337" s="1" t="s">
        <v>990</v>
      </c>
      <c r="B2337" s="1">
        <v>8</v>
      </c>
      <c r="C2337" s="1">
        <v>8</v>
      </c>
      <c r="D2337" s="1" t="str">
        <f t="shared" si="37"/>
        <v>Yes</v>
      </c>
      <c r="E2337" s="1">
        <v>7.3</v>
      </c>
      <c r="F2337" s="1">
        <v>67</v>
      </c>
      <c r="G2337" s="1" t="s">
        <v>106</v>
      </c>
      <c r="H2337" s="1" t="s">
        <v>95</v>
      </c>
      <c r="I2337" s="1">
        <v>26.1</v>
      </c>
      <c r="J2337" s="1" t="s">
        <v>95</v>
      </c>
      <c r="M2337" s="1" t="s">
        <v>102</v>
      </c>
      <c r="O2337" s="1">
        <v>1</v>
      </c>
    </row>
    <row r="2338" spans="1:18" ht="14.25" customHeight="1" x14ac:dyDescent="0.3">
      <c r="A2338" s="1" t="s">
        <v>990</v>
      </c>
      <c r="B2338" s="1">
        <v>8</v>
      </c>
      <c r="C2338" s="1">
        <v>20</v>
      </c>
      <c r="D2338" s="1" t="str">
        <f t="shared" si="37"/>
        <v>Yes</v>
      </c>
      <c r="E2338" s="1">
        <v>10.4</v>
      </c>
      <c r="F2338" s="1">
        <v>262</v>
      </c>
      <c r="G2338" s="1" t="s">
        <v>106</v>
      </c>
      <c r="H2338" s="1" t="s">
        <v>95</v>
      </c>
      <c r="I2338" s="1">
        <v>26</v>
      </c>
      <c r="J2338" s="1" t="s">
        <v>95</v>
      </c>
      <c r="M2338" s="1" t="s">
        <v>101</v>
      </c>
      <c r="O2338" s="1">
        <v>1</v>
      </c>
    </row>
    <row r="2339" spans="1:18" ht="14.25" customHeight="1" x14ac:dyDescent="0.3">
      <c r="A2339" s="1" t="s">
        <v>990</v>
      </c>
      <c r="B2339" s="1">
        <v>8</v>
      </c>
      <c r="C2339" s="1">
        <v>2</v>
      </c>
      <c r="D2339" s="1" t="str">
        <f t="shared" si="37"/>
        <v>Yes</v>
      </c>
      <c r="E2339" s="1">
        <v>8.1999999999999993</v>
      </c>
      <c r="F2339" s="1">
        <v>4</v>
      </c>
      <c r="G2339" s="1" t="s">
        <v>106</v>
      </c>
      <c r="H2339" s="1" t="s">
        <v>95</v>
      </c>
      <c r="I2339" s="1">
        <v>19</v>
      </c>
      <c r="J2339" s="1" t="s">
        <v>101</v>
      </c>
      <c r="M2339" s="1" t="s">
        <v>102</v>
      </c>
      <c r="O2339" s="1">
        <v>5</v>
      </c>
      <c r="Q2339" s="1" t="s">
        <v>162</v>
      </c>
    </row>
    <row r="2340" spans="1:18" ht="14.25" customHeight="1" x14ac:dyDescent="0.3">
      <c r="A2340" s="1" t="s">
        <v>990</v>
      </c>
      <c r="B2340" s="1">
        <v>8</v>
      </c>
      <c r="C2340" s="1">
        <v>19</v>
      </c>
      <c r="D2340" s="1" t="str">
        <f t="shared" si="37"/>
        <v>Yes</v>
      </c>
      <c r="E2340" s="1">
        <v>8.4</v>
      </c>
      <c r="F2340" s="1">
        <v>231</v>
      </c>
      <c r="G2340" s="1" t="s">
        <v>106</v>
      </c>
      <c r="H2340" s="1" t="s">
        <v>95</v>
      </c>
      <c r="I2340" s="1">
        <v>16.2</v>
      </c>
      <c r="J2340" s="1" t="s">
        <v>95</v>
      </c>
      <c r="M2340" s="1" t="s">
        <v>101</v>
      </c>
      <c r="O2340" s="1">
        <v>1</v>
      </c>
    </row>
    <row r="2341" spans="1:18" ht="14.25" customHeight="1" x14ac:dyDescent="0.3">
      <c r="A2341" s="1" t="s">
        <v>990</v>
      </c>
      <c r="B2341" s="1">
        <v>8</v>
      </c>
      <c r="C2341" s="1">
        <v>18</v>
      </c>
      <c r="D2341" s="1" t="str">
        <f t="shared" si="37"/>
        <v>Yes</v>
      </c>
      <c r="E2341" s="1">
        <v>8.6999999999999993</v>
      </c>
      <c r="F2341" s="1">
        <v>228</v>
      </c>
      <c r="G2341" s="1" t="s">
        <v>106</v>
      </c>
      <c r="H2341" s="1" t="s">
        <v>95</v>
      </c>
      <c r="I2341" s="1">
        <v>15</v>
      </c>
      <c r="J2341" s="1" t="s">
        <v>101</v>
      </c>
      <c r="M2341" s="1" t="s">
        <v>101</v>
      </c>
      <c r="O2341" s="1">
        <v>5</v>
      </c>
      <c r="Q2341" s="1" t="s">
        <v>162</v>
      </c>
    </row>
    <row r="2342" spans="1:18" ht="14.25" customHeight="1" x14ac:dyDescent="0.3">
      <c r="A2342" s="1" t="s">
        <v>990</v>
      </c>
      <c r="B2342" s="1">
        <v>8</v>
      </c>
      <c r="C2342" s="1">
        <v>23</v>
      </c>
      <c r="D2342" s="1" t="str">
        <f t="shared" si="37"/>
        <v>Yes</v>
      </c>
      <c r="E2342" s="1">
        <v>12.2</v>
      </c>
      <c r="F2342" s="1">
        <v>296</v>
      </c>
      <c r="G2342" s="1" t="s">
        <v>106</v>
      </c>
      <c r="H2342" s="1" t="s">
        <v>95</v>
      </c>
      <c r="I2342" s="1">
        <v>10.4</v>
      </c>
      <c r="J2342" s="1" t="s">
        <v>95</v>
      </c>
      <c r="M2342" s="1" t="s">
        <v>101</v>
      </c>
      <c r="O2342" s="1">
        <v>2</v>
      </c>
    </row>
    <row r="2343" spans="1:18" ht="14.25" customHeight="1" x14ac:dyDescent="0.3">
      <c r="A2343" s="1" t="s">
        <v>990</v>
      </c>
      <c r="B2343" s="1">
        <v>8</v>
      </c>
      <c r="C2343" s="1">
        <v>24</v>
      </c>
      <c r="D2343" s="1" t="str">
        <f t="shared" si="37"/>
        <v>Yes</v>
      </c>
      <c r="E2343" s="1">
        <v>8.5</v>
      </c>
      <c r="F2343" s="1">
        <v>311</v>
      </c>
      <c r="G2343" s="1" t="s">
        <v>106</v>
      </c>
      <c r="H2343" s="1" t="s">
        <v>95</v>
      </c>
      <c r="I2343" s="1">
        <v>10</v>
      </c>
      <c r="J2343" s="1" t="s">
        <v>95</v>
      </c>
      <c r="M2343" s="1" t="s">
        <v>102</v>
      </c>
      <c r="O2343" s="1">
        <v>3</v>
      </c>
    </row>
    <row r="2344" spans="1:18" ht="14.25" customHeight="1" x14ac:dyDescent="0.3">
      <c r="A2344" s="1" t="s">
        <v>990</v>
      </c>
      <c r="B2344" s="1">
        <v>8</v>
      </c>
      <c r="C2344" s="1">
        <v>21</v>
      </c>
      <c r="D2344" s="1" t="str">
        <f t="shared" si="37"/>
        <v>Yes</v>
      </c>
      <c r="E2344" s="1">
        <v>12.2</v>
      </c>
      <c r="F2344" s="1">
        <v>271</v>
      </c>
      <c r="G2344" s="1" t="s">
        <v>106</v>
      </c>
      <c r="H2344" s="1" t="s">
        <v>95</v>
      </c>
      <c r="I2344" s="1">
        <v>8.1</v>
      </c>
      <c r="J2344" s="1" t="s">
        <v>101</v>
      </c>
      <c r="M2344" s="1" t="s">
        <v>101</v>
      </c>
      <c r="O2344" s="1">
        <v>5</v>
      </c>
      <c r="R2344" s="1"/>
    </row>
    <row r="2345" spans="1:18" ht="14.25" customHeight="1" x14ac:dyDescent="0.3">
      <c r="A2345" s="1" t="s">
        <v>990</v>
      </c>
      <c r="B2345" s="1">
        <v>8</v>
      </c>
      <c r="C2345" s="1">
        <v>3</v>
      </c>
      <c r="D2345" s="1" t="str">
        <f t="shared" si="37"/>
        <v>Yes</v>
      </c>
      <c r="E2345" s="1">
        <v>11</v>
      </c>
      <c r="F2345" s="1">
        <v>6</v>
      </c>
      <c r="G2345" s="1" t="s">
        <v>93</v>
      </c>
      <c r="H2345" s="1" t="s">
        <v>95</v>
      </c>
      <c r="I2345" s="1">
        <v>41</v>
      </c>
      <c r="J2345" s="1" t="s">
        <v>95</v>
      </c>
      <c r="M2345" s="1" t="s">
        <v>101</v>
      </c>
      <c r="O2345" s="1">
        <v>5</v>
      </c>
      <c r="R2345" s="1"/>
    </row>
    <row r="2346" spans="1:18" ht="14.25" customHeight="1" x14ac:dyDescent="0.3">
      <c r="A2346" s="1" t="s">
        <v>990</v>
      </c>
      <c r="B2346" s="1">
        <v>8</v>
      </c>
      <c r="C2346" s="1">
        <v>12</v>
      </c>
      <c r="D2346" s="1" t="str">
        <f t="shared" si="37"/>
        <v>Yes</v>
      </c>
      <c r="E2346" s="1">
        <v>8.6999999999999993</v>
      </c>
      <c r="F2346" s="1">
        <v>128</v>
      </c>
      <c r="G2346" s="1" t="s">
        <v>93</v>
      </c>
      <c r="H2346" s="1" t="s">
        <v>95</v>
      </c>
      <c r="I2346" s="1">
        <v>40</v>
      </c>
      <c r="J2346" s="1" t="s">
        <v>101</v>
      </c>
      <c r="M2346" s="1" t="s">
        <v>101</v>
      </c>
      <c r="O2346" s="1">
        <v>5</v>
      </c>
      <c r="Q2346" s="1" t="s">
        <v>162</v>
      </c>
    </row>
    <row r="2347" spans="1:18" ht="14.25" customHeight="1" x14ac:dyDescent="0.3">
      <c r="A2347" s="1" t="s">
        <v>990</v>
      </c>
      <c r="B2347" s="1">
        <v>8</v>
      </c>
      <c r="C2347" s="1">
        <v>17</v>
      </c>
      <c r="D2347" s="1" t="str">
        <f t="shared" si="37"/>
        <v>Yes</v>
      </c>
      <c r="E2347" s="1">
        <v>10.8</v>
      </c>
      <c r="F2347" s="1">
        <v>205</v>
      </c>
      <c r="G2347" s="1" t="s">
        <v>93</v>
      </c>
      <c r="H2347" s="1" t="s">
        <v>95</v>
      </c>
      <c r="I2347" s="1">
        <v>38.6</v>
      </c>
      <c r="J2347" s="1" t="s">
        <v>95</v>
      </c>
      <c r="M2347" s="1" t="s">
        <v>102</v>
      </c>
      <c r="O2347" s="1">
        <v>1</v>
      </c>
    </row>
    <row r="2348" spans="1:18" ht="14.25" customHeight="1" x14ac:dyDescent="0.3">
      <c r="A2348" s="1" t="s">
        <v>990</v>
      </c>
      <c r="B2348" s="1">
        <v>8</v>
      </c>
      <c r="C2348" s="1">
        <v>10</v>
      </c>
      <c r="D2348" s="1" t="str">
        <f t="shared" si="37"/>
        <v>Yes</v>
      </c>
      <c r="E2348" s="1">
        <v>11.8</v>
      </c>
      <c r="F2348" s="1">
        <v>93</v>
      </c>
      <c r="G2348" s="1" t="s">
        <v>93</v>
      </c>
      <c r="H2348" s="1" t="s">
        <v>95</v>
      </c>
      <c r="I2348" s="1">
        <v>37.799999999999997</v>
      </c>
      <c r="J2348" s="1" t="s">
        <v>95</v>
      </c>
      <c r="M2348" s="1" t="s">
        <v>102</v>
      </c>
      <c r="O2348" s="1">
        <v>5</v>
      </c>
    </row>
    <row r="2349" spans="1:18" ht="14.25" customHeight="1" x14ac:dyDescent="0.3">
      <c r="A2349" s="1" t="s">
        <v>990</v>
      </c>
      <c r="B2349" s="1">
        <v>8</v>
      </c>
      <c r="C2349" s="1">
        <v>5</v>
      </c>
      <c r="D2349" s="1" t="str">
        <f t="shared" si="37"/>
        <v>Yes</v>
      </c>
      <c r="E2349" s="1">
        <v>4.0999999999999996</v>
      </c>
      <c r="F2349" s="1">
        <v>31</v>
      </c>
      <c r="G2349" s="1" t="s">
        <v>93</v>
      </c>
      <c r="H2349" s="1" t="s">
        <v>95</v>
      </c>
      <c r="I2349" s="1">
        <v>20.8</v>
      </c>
      <c r="J2349" s="1" t="s">
        <v>95</v>
      </c>
      <c r="M2349" s="1" t="s">
        <v>102</v>
      </c>
      <c r="O2349" s="1">
        <v>5</v>
      </c>
    </row>
    <row r="2350" spans="1:18" ht="14.25" customHeight="1" x14ac:dyDescent="0.3">
      <c r="A2350" s="1" t="s">
        <v>990</v>
      </c>
      <c r="B2350" s="1">
        <v>8</v>
      </c>
      <c r="C2350" s="1">
        <v>4</v>
      </c>
      <c r="D2350" s="1" t="str">
        <f t="shared" si="37"/>
        <v>Yes</v>
      </c>
      <c r="E2350" s="1">
        <v>3.4</v>
      </c>
      <c r="F2350" s="1">
        <v>28</v>
      </c>
      <c r="G2350" s="1" t="s">
        <v>93</v>
      </c>
      <c r="H2350" s="1" t="s">
        <v>95</v>
      </c>
      <c r="I2350" s="1">
        <v>19.7</v>
      </c>
      <c r="J2350" s="1" t="s">
        <v>95</v>
      </c>
      <c r="M2350" s="1" t="s">
        <v>102</v>
      </c>
      <c r="O2350" s="1">
        <v>5</v>
      </c>
    </row>
    <row r="2351" spans="1:18" ht="14.25" customHeight="1" x14ac:dyDescent="0.3">
      <c r="A2351" s="1" t="s">
        <v>990</v>
      </c>
      <c r="B2351" s="1">
        <v>8</v>
      </c>
      <c r="C2351" s="1">
        <v>14</v>
      </c>
      <c r="D2351" s="1" t="str">
        <f t="shared" si="37"/>
        <v>Yes</v>
      </c>
      <c r="E2351" s="1">
        <v>7.4</v>
      </c>
      <c r="F2351" s="1">
        <v>180</v>
      </c>
      <c r="G2351" s="1" t="s">
        <v>93</v>
      </c>
      <c r="H2351" s="1" t="s">
        <v>95</v>
      </c>
      <c r="I2351" s="1">
        <v>14.4</v>
      </c>
      <c r="J2351" s="1" t="s">
        <v>95</v>
      </c>
      <c r="M2351" s="1" t="s">
        <v>101</v>
      </c>
      <c r="O2351" s="1">
        <v>5</v>
      </c>
    </row>
    <row r="2352" spans="1:18" ht="14.25" customHeight="1" x14ac:dyDescent="0.3">
      <c r="A2352" s="1" t="s">
        <v>990</v>
      </c>
      <c r="B2352" s="1">
        <v>8</v>
      </c>
      <c r="C2352" s="1">
        <v>13</v>
      </c>
      <c r="D2352" s="1" t="str">
        <f t="shared" si="37"/>
        <v>Yes</v>
      </c>
      <c r="E2352" s="1">
        <v>10.1</v>
      </c>
      <c r="F2352" s="1">
        <v>165</v>
      </c>
      <c r="G2352" s="1" t="s">
        <v>93</v>
      </c>
      <c r="H2352" s="1" t="s">
        <v>95</v>
      </c>
      <c r="I2352" s="1">
        <v>8</v>
      </c>
      <c r="J2352" s="1" t="s">
        <v>95</v>
      </c>
      <c r="M2352" s="1" t="s">
        <v>101</v>
      </c>
      <c r="O2352" s="1">
        <v>3</v>
      </c>
    </row>
    <row r="2353" spans="1:18" ht="14.25" customHeight="1" x14ac:dyDescent="0.3">
      <c r="A2353" s="1" t="s">
        <v>990</v>
      </c>
      <c r="B2353" s="1">
        <v>9</v>
      </c>
      <c r="C2353" s="1">
        <v>32</v>
      </c>
      <c r="D2353" s="1" t="str">
        <f t="shared" si="37"/>
        <v>No</v>
      </c>
      <c r="E2353" s="1">
        <v>12.6</v>
      </c>
      <c r="F2353" s="1">
        <v>1</v>
      </c>
      <c r="G2353" s="1" t="s">
        <v>96</v>
      </c>
      <c r="H2353" s="1" t="s">
        <v>95</v>
      </c>
      <c r="I2353" s="1">
        <v>30.5</v>
      </c>
      <c r="J2353" s="1" t="s">
        <v>95</v>
      </c>
      <c r="M2353" s="1" t="s">
        <v>101</v>
      </c>
      <c r="O2353" s="1">
        <v>1</v>
      </c>
    </row>
    <row r="2354" spans="1:18" ht="14.25" customHeight="1" x14ac:dyDescent="0.3">
      <c r="A2354" s="1" t="s">
        <v>990</v>
      </c>
      <c r="B2354" s="1">
        <v>9</v>
      </c>
      <c r="C2354" s="1">
        <v>1</v>
      </c>
      <c r="D2354" s="1" t="str">
        <f t="shared" si="37"/>
        <v>Yes</v>
      </c>
      <c r="E2354" s="1">
        <v>10.7</v>
      </c>
      <c r="F2354" s="1">
        <v>19</v>
      </c>
      <c r="G2354" s="1" t="s">
        <v>96</v>
      </c>
      <c r="H2354" s="1" t="s">
        <v>95</v>
      </c>
      <c r="I2354" s="1">
        <v>29.3</v>
      </c>
      <c r="J2354" s="1" t="s">
        <v>95</v>
      </c>
      <c r="M2354" s="1" t="s">
        <v>101</v>
      </c>
      <c r="O2354" s="1">
        <v>1</v>
      </c>
      <c r="R2354" s="1"/>
    </row>
    <row r="2355" spans="1:18" ht="14.25" customHeight="1" x14ac:dyDescent="0.3">
      <c r="A2355" s="1" t="s">
        <v>990</v>
      </c>
      <c r="B2355" s="1">
        <v>9</v>
      </c>
      <c r="C2355" s="1">
        <v>26</v>
      </c>
      <c r="D2355" s="1" t="str">
        <f t="shared" si="37"/>
        <v>Yes</v>
      </c>
      <c r="E2355" s="1">
        <v>10.4</v>
      </c>
      <c r="F2355" s="1">
        <v>327</v>
      </c>
      <c r="G2355" s="1" t="s">
        <v>96</v>
      </c>
      <c r="H2355" s="1" t="s">
        <v>95</v>
      </c>
      <c r="I2355" s="1">
        <v>26.5</v>
      </c>
      <c r="J2355" s="1" t="s">
        <v>95</v>
      </c>
      <c r="M2355" s="1" t="s">
        <v>101</v>
      </c>
      <c r="O2355" s="1">
        <v>1</v>
      </c>
    </row>
    <row r="2356" spans="1:18" ht="14.25" customHeight="1" x14ac:dyDescent="0.3">
      <c r="A2356" s="1" t="s">
        <v>990</v>
      </c>
      <c r="B2356" s="1">
        <v>9</v>
      </c>
      <c r="C2356" s="1">
        <v>8</v>
      </c>
      <c r="D2356" s="1" t="str">
        <f t="shared" si="37"/>
        <v>Yes</v>
      </c>
      <c r="E2356" s="1">
        <v>10.6</v>
      </c>
      <c r="F2356" s="1">
        <v>62</v>
      </c>
      <c r="G2356" s="1" t="s">
        <v>96</v>
      </c>
      <c r="H2356" s="1" t="s">
        <v>95</v>
      </c>
      <c r="I2356" s="1">
        <v>25.4</v>
      </c>
      <c r="J2356" s="1" t="s">
        <v>95</v>
      </c>
      <c r="M2356" s="1" t="s">
        <v>101</v>
      </c>
      <c r="O2356" s="1">
        <v>1</v>
      </c>
    </row>
    <row r="2357" spans="1:18" ht="14.25" customHeight="1" x14ac:dyDescent="0.3">
      <c r="A2357" s="1" t="s">
        <v>990</v>
      </c>
      <c r="B2357" s="1">
        <v>9</v>
      </c>
      <c r="C2357" s="1">
        <v>13</v>
      </c>
      <c r="D2357" s="1" t="str">
        <f t="shared" si="37"/>
        <v>Yes</v>
      </c>
      <c r="E2357" s="1">
        <v>10.9</v>
      </c>
      <c r="F2357" s="1">
        <v>80</v>
      </c>
      <c r="G2357" s="1" t="s">
        <v>96</v>
      </c>
      <c r="H2357" s="1" t="s">
        <v>95</v>
      </c>
      <c r="I2357" s="1">
        <v>17.399999999999999</v>
      </c>
      <c r="J2357" s="1" t="s">
        <v>95</v>
      </c>
      <c r="M2357" s="1" t="s">
        <v>101</v>
      </c>
      <c r="O2357" s="1">
        <v>1</v>
      </c>
    </row>
    <row r="2358" spans="1:18" ht="14.25" customHeight="1" x14ac:dyDescent="0.3">
      <c r="A2358" s="1" t="s">
        <v>990</v>
      </c>
      <c r="B2358" s="1">
        <v>9</v>
      </c>
      <c r="C2358" s="1">
        <v>29</v>
      </c>
      <c r="D2358" s="1" t="str">
        <f t="shared" si="37"/>
        <v>Yes</v>
      </c>
      <c r="E2358" s="1">
        <v>11.5</v>
      </c>
      <c r="F2358" s="1">
        <v>337</v>
      </c>
      <c r="G2358" s="1" t="s">
        <v>96</v>
      </c>
      <c r="H2358" s="1" t="s">
        <v>95</v>
      </c>
      <c r="I2358" s="1">
        <v>14.5</v>
      </c>
      <c r="J2358" s="1" t="s">
        <v>95</v>
      </c>
      <c r="M2358" s="1" t="s">
        <v>101</v>
      </c>
      <c r="O2358" s="1">
        <v>1</v>
      </c>
    </row>
    <row r="2359" spans="1:18" ht="14.25" customHeight="1" x14ac:dyDescent="0.3">
      <c r="A2359" s="1" t="s">
        <v>990</v>
      </c>
      <c r="B2359" s="1">
        <v>9</v>
      </c>
      <c r="C2359" s="1">
        <v>9</v>
      </c>
      <c r="D2359" s="1" t="str">
        <f t="shared" si="37"/>
        <v>Yes</v>
      </c>
      <c r="E2359" s="1">
        <v>10.8</v>
      </c>
      <c r="F2359" s="1">
        <v>66</v>
      </c>
      <c r="G2359" s="1" t="s">
        <v>96</v>
      </c>
      <c r="H2359" s="1" t="s">
        <v>95</v>
      </c>
      <c r="I2359" s="1">
        <v>13.5</v>
      </c>
      <c r="J2359" s="1" t="s">
        <v>95</v>
      </c>
      <c r="M2359" s="1" t="s">
        <v>101</v>
      </c>
      <c r="O2359" s="1">
        <v>1</v>
      </c>
    </row>
    <row r="2360" spans="1:18" ht="14.25" customHeight="1" x14ac:dyDescent="0.3">
      <c r="A2360" s="1" t="s">
        <v>990</v>
      </c>
      <c r="B2360" s="1">
        <v>9</v>
      </c>
      <c r="C2360" s="1">
        <v>28</v>
      </c>
      <c r="D2360" s="1" t="str">
        <f t="shared" si="37"/>
        <v>Yes</v>
      </c>
      <c r="E2360" s="1">
        <v>11</v>
      </c>
      <c r="F2360" s="1">
        <v>333</v>
      </c>
      <c r="G2360" s="1" t="s">
        <v>96</v>
      </c>
      <c r="H2360" s="1" t="s">
        <v>95</v>
      </c>
      <c r="I2360" s="1">
        <v>12.4</v>
      </c>
      <c r="J2360" s="1" t="s">
        <v>95</v>
      </c>
      <c r="M2360" s="1" t="s">
        <v>101</v>
      </c>
      <c r="O2360" s="1">
        <v>1</v>
      </c>
    </row>
    <row r="2361" spans="1:18" ht="14.25" customHeight="1" x14ac:dyDescent="0.3">
      <c r="A2361" s="1" t="s">
        <v>990</v>
      </c>
      <c r="B2361" s="1">
        <v>9</v>
      </c>
      <c r="C2361" s="1">
        <v>10</v>
      </c>
      <c r="D2361" s="1" t="str">
        <f t="shared" si="37"/>
        <v>Yes</v>
      </c>
      <c r="E2361" s="1">
        <v>10.3</v>
      </c>
      <c r="F2361" s="1">
        <v>72</v>
      </c>
      <c r="G2361" s="1" t="s">
        <v>96</v>
      </c>
      <c r="H2361" s="1" t="s">
        <v>95</v>
      </c>
      <c r="I2361" s="1">
        <v>11.8</v>
      </c>
      <c r="J2361" s="1" t="s">
        <v>95</v>
      </c>
      <c r="M2361" s="1" t="s">
        <v>101</v>
      </c>
      <c r="O2361" s="1">
        <v>4</v>
      </c>
    </row>
    <row r="2362" spans="1:18" ht="14.25" customHeight="1" x14ac:dyDescent="0.3">
      <c r="A2362" s="1" t="s">
        <v>990</v>
      </c>
      <c r="B2362" s="1">
        <v>9</v>
      </c>
      <c r="C2362" s="1">
        <v>4</v>
      </c>
      <c r="D2362" s="1" t="str">
        <f t="shared" si="37"/>
        <v>Yes</v>
      </c>
      <c r="E2362" s="1">
        <v>8.4</v>
      </c>
      <c r="F2362" s="1">
        <v>35</v>
      </c>
      <c r="G2362" s="1" t="s">
        <v>96</v>
      </c>
      <c r="H2362" s="1" t="s">
        <v>95</v>
      </c>
      <c r="I2362" s="1">
        <v>10.7</v>
      </c>
      <c r="J2362" s="1" t="s">
        <v>95</v>
      </c>
      <c r="M2362" s="1" t="s">
        <v>101</v>
      </c>
      <c r="O2362" s="1">
        <v>2</v>
      </c>
    </row>
    <row r="2363" spans="1:18" ht="14.25" customHeight="1" x14ac:dyDescent="0.3">
      <c r="A2363" s="1" t="s">
        <v>990</v>
      </c>
      <c r="B2363" s="1">
        <v>9</v>
      </c>
      <c r="C2363" s="1">
        <v>3</v>
      </c>
      <c r="D2363" s="1" t="str">
        <f t="shared" si="37"/>
        <v>Yes</v>
      </c>
      <c r="E2363" s="1">
        <v>8.3000000000000007</v>
      </c>
      <c r="F2363" s="1">
        <v>30</v>
      </c>
      <c r="G2363" s="1" t="s">
        <v>96</v>
      </c>
      <c r="H2363" s="1" t="s">
        <v>95</v>
      </c>
      <c r="I2363" s="1">
        <v>9.6</v>
      </c>
      <c r="J2363" s="1" t="s">
        <v>95</v>
      </c>
      <c r="M2363" s="1" t="s">
        <v>101</v>
      </c>
      <c r="O2363" s="1">
        <v>2</v>
      </c>
    </row>
    <row r="2364" spans="1:18" ht="14.25" customHeight="1" x14ac:dyDescent="0.3">
      <c r="A2364" s="1" t="s">
        <v>990</v>
      </c>
      <c r="B2364" s="1">
        <v>9</v>
      </c>
      <c r="C2364" s="1">
        <v>16</v>
      </c>
      <c r="D2364" s="1" t="str">
        <f t="shared" si="37"/>
        <v>Yes</v>
      </c>
      <c r="E2364" s="1">
        <v>9.6</v>
      </c>
      <c r="F2364" s="1">
        <v>87</v>
      </c>
      <c r="G2364" s="1" t="s">
        <v>96</v>
      </c>
      <c r="H2364" s="1" t="s">
        <v>95</v>
      </c>
      <c r="I2364" s="1">
        <v>8.8000000000000007</v>
      </c>
      <c r="J2364" s="1" t="s">
        <v>95</v>
      </c>
      <c r="M2364" s="1" t="s">
        <v>101</v>
      </c>
      <c r="O2364" s="1">
        <v>3</v>
      </c>
      <c r="R2364" s="1"/>
    </row>
    <row r="2365" spans="1:18" ht="14.25" customHeight="1" x14ac:dyDescent="0.3">
      <c r="A2365" s="1" t="s">
        <v>990</v>
      </c>
      <c r="B2365" s="1">
        <v>9</v>
      </c>
      <c r="C2365" s="1">
        <v>7</v>
      </c>
      <c r="D2365" s="1" t="str">
        <f t="shared" si="37"/>
        <v>Yes</v>
      </c>
      <c r="E2365" s="1">
        <v>9</v>
      </c>
      <c r="F2365" s="1">
        <v>45</v>
      </c>
      <c r="G2365" s="1" t="s">
        <v>111</v>
      </c>
      <c r="H2365" s="1" t="s">
        <v>95</v>
      </c>
      <c r="I2365" s="1">
        <v>23.1</v>
      </c>
      <c r="J2365" s="1" t="s">
        <v>95</v>
      </c>
      <c r="M2365" s="1" t="s">
        <v>101</v>
      </c>
      <c r="O2365" s="1">
        <v>1</v>
      </c>
    </row>
    <row r="2366" spans="1:18" ht="14.25" customHeight="1" x14ac:dyDescent="0.3">
      <c r="A2366" s="1" t="s">
        <v>990</v>
      </c>
      <c r="B2366" s="1">
        <v>9</v>
      </c>
      <c r="C2366" s="1">
        <v>2</v>
      </c>
      <c r="D2366" s="1" t="str">
        <f t="shared" si="37"/>
        <v>Yes</v>
      </c>
      <c r="E2366" s="1">
        <v>10.8</v>
      </c>
      <c r="F2366" s="1">
        <v>31</v>
      </c>
      <c r="G2366" s="1" t="s">
        <v>111</v>
      </c>
      <c r="H2366" s="1" t="s">
        <v>95</v>
      </c>
      <c r="I2366" s="1">
        <v>20.399999999999999</v>
      </c>
      <c r="J2366" s="1" t="s">
        <v>95</v>
      </c>
      <c r="M2366" s="1" t="s">
        <v>101</v>
      </c>
      <c r="O2366" s="1">
        <v>1</v>
      </c>
    </row>
    <row r="2367" spans="1:18" ht="14.25" customHeight="1" x14ac:dyDescent="0.3">
      <c r="A2367" s="1" t="s">
        <v>990</v>
      </c>
      <c r="B2367" s="1">
        <v>9</v>
      </c>
      <c r="C2367" s="1">
        <v>18</v>
      </c>
      <c r="D2367" s="1" t="str">
        <f t="shared" si="37"/>
        <v>Yes</v>
      </c>
      <c r="E2367" s="1">
        <v>10.4</v>
      </c>
      <c r="F2367" s="1">
        <v>136</v>
      </c>
      <c r="G2367" s="1" t="s">
        <v>109</v>
      </c>
      <c r="H2367" s="1" t="s">
        <v>95</v>
      </c>
      <c r="I2367" s="1">
        <v>14.3</v>
      </c>
      <c r="J2367" s="1" t="s">
        <v>95</v>
      </c>
      <c r="M2367" s="1" t="s">
        <v>101</v>
      </c>
      <c r="O2367" s="1">
        <v>1</v>
      </c>
    </row>
    <row r="2368" spans="1:18" ht="14.25" customHeight="1" x14ac:dyDescent="0.3">
      <c r="A2368" s="1" t="s">
        <v>990</v>
      </c>
      <c r="B2368" s="1">
        <v>9</v>
      </c>
      <c r="C2368" s="1">
        <v>15</v>
      </c>
      <c r="D2368" s="1" t="str">
        <f t="shared" si="37"/>
        <v>Yes</v>
      </c>
      <c r="E2368" s="1">
        <v>7.6</v>
      </c>
      <c r="F2368" s="1">
        <v>89</v>
      </c>
      <c r="G2368" s="1" t="s">
        <v>109</v>
      </c>
      <c r="H2368" s="1" t="s">
        <v>95</v>
      </c>
      <c r="I2368" s="1">
        <v>12.9</v>
      </c>
      <c r="J2368" s="1" t="s">
        <v>95</v>
      </c>
      <c r="M2368" s="1" t="s">
        <v>101</v>
      </c>
      <c r="O2368" s="1">
        <v>1</v>
      </c>
    </row>
    <row r="2369" spans="1:18" ht="14.25" customHeight="1" x14ac:dyDescent="0.3">
      <c r="A2369" s="1" t="s">
        <v>990</v>
      </c>
      <c r="B2369" s="1">
        <v>9</v>
      </c>
      <c r="C2369" s="1">
        <v>17</v>
      </c>
      <c r="D2369" s="1" t="str">
        <f t="shared" si="37"/>
        <v>Yes</v>
      </c>
      <c r="E2369" s="1">
        <v>7.6</v>
      </c>
      <c r="F2369" s="1">
        <v>119</v>
      </c>
      <c r="G2369" s="1" t="s">
        <v>109</v>
      </c>
      <c r="H2369" s="1" t="s">
        <v>95</v>
      </c>
      <c r="I2369" s="1">
        <v>8.9</v>
      </c>
      <c r="J2369" s="1" t="s">
        <v>95</v>
      </c>
      <c r="M2369" s="1" t="s">
        <v>101</v>
      </c>
      <c r="O2369" s="1">
        <v>1</v>
      </c>
    </row>
    <row r="2370" spans="1:18" ht="14.25" customHeight="1" x14ac:dyDescent="0.3">
      <c r="A2370" s="1" t="s">
        <v>990</v>
      </c>
      <c r="B2370" s="1">
        <v>9</v>
      </c>
      <c r="C2370" s="1">
        <v>19</v>
      </c>
      <c r="D2370" s="1" t="str">
        <f t="shared" si="37"/>
        <v>Yes</v>
      </c>
      <c r="E2370" s="1">
        <v>3.9</v>
      </c>
      <c r="F2370" s="1">
        <v>164</v>
      </c>
      <c r="G2370" s="1" t="s">
        <v>173</v>
      </c>
      <c r="H2370" s="1" t="s">
        <v>95</v>
      </c>
      <c r="I2370" s="1">
        <v>23.6</v>
      </c>
      <c r="J2370" s="1" t="s">
        <v>95</v>
      </c>
      <c r="M2370" s="1" t="s">
        <v>101</v>
      </c>
      <c r="O2370" s="1">
        <v>1</v>
      </c>
    </row>
    <row r="2371" spans="1:18" ht="14.25" customHeight="1" x14ac:dyDescent="0.3">
      <c r="A2371" s="1" t="s">
        <v>990</v>
      </c>
      <c r="B2371" s="1">
        <v>9</v>
      </c>
      <c r="C2371" s="1">
        <v>30</v>
      </c>
      <c r="D2371" s="1" t="str">
        <f t="shared" si="37"/>
        <v>Yes</v>
      </c>
      <c r="E2371" s="1">
        <v>10.1</v>
      </c>
      <c r="F2371" s="1">
        <v>341</v>
      </c>
      <c r="G2371" s="1" t="s">
        <v>173</v>
      </c>
      <c r="H2371" s="1" t="s">
        <v>95</v>
      </c>
      <c r="I2371" s="1">
        <v>9.6</v>
      </c>
      <c r="J2371" s="1" t="s">
        <v>95</v>
      </c>
      <c r="M2371" s="1" t="s">
        <v>101</v>
      </c>
      <c r="O2371" s="1">
        <v>1</v>
      </c>
      <c r="Q2371" s="1" t="s">
        <v>213</v>
      </c>
    </row>
    <row r="2372" spans="1:18" ht="14.25" customHeight="1" x14ac:dyDescent="0.3">
      <c r="A2372" s="1" t="s">
        <v>990</v>
      </c>
      <c r="B2372" s="1">
        <v>9</v>
      </c>
      <c r="C2372" s="1">
        <v>27</v>
      </c>
      <c r="D2372" s="1" t="str">
        <f t="shared" si="37"/>
        <v>Yes</v>
      </c>
      <c r="E2372" s="1">
        <v>11.6</v>
      </c>
      <c r="F2372" s="1">
        <v>330</v>
      </c>
      <c r="G2372" s="1" t="s">
        <v>173</v>
      </c>
      <c r="H2372" s="1" t="s">
        <v>95</v>
      </c>
      <c r="I2372" s="1">
        <v>9</v>
      </c>
      <c r="J2372" s="1" t="s">
        <v>95</v>
      </c>
      <c r="M2372" s="1" t="s">
        <v>101</v>
      </c>
      <c r="O2372" s="1">
        <v>1</v>
      </c>
    </row>
    <row r="2373" spans="1:18" ht="14.25" customHeight="1" x14ac:dyDescent="0.3">
      <c r="A2373" s="1" t="s">
        <v>990</v>
      </c>
      <c r="B2373" s="1">
        <v>9</v>
      </c>
      <c r="C2373" s="1">
        <v>12</v>
      </c>
      <c r="D2373" s="1" t="str">
        <f t="shared" si="37"/>
        <v>Yes</v>
      </c>
      <c r="E2373" s="1">
        <v>6.1</v>
      </c>
      <c r="F2373" s="1">
        <v>73</v>
      </c>
      <c r="G2373" s="1" t="s">
        <v>173</v>
      </c>
      <c r="H2373" s="1" t="s">
        <v>95</v>
      </c>
      <c r="I2373" s="1">
        <v>8.8000000000000007</v>
      </c>
      <c r="J2373" s="1" t="s">
        <v>95</v>
      </c>
      <c r="M2373" s="1" t="s">
        <v>101</v>
      </c>
      <c r="O2373" s="1">
        <v>1</v>
      </c>
    </row>
    <row r="2374" spans="1:18" ht="14.25" customHeight="1" x14ac:dyDescent="0.3">
      <c r="A2374" s="1" t="s">
        <v>990</v>
      </c>
      <c r="B2374" s="1">
        <v>9</v>
      </c>
      <c r="C2374" s="1">
        <v>23</v>
      </c>
      <c r="D2374" s="1" t="str">
        <f t="shared" si="37"/>
        <v>Yes</v>
      </c>
      <c r="E2374" s="1">
        <v>5.8</v>
      </c>
      <c r="F2374" s="1">
        <v>304</v>
      </c>
      <c r="G2374" s="1" t="s">
        <v>173</v>
      </c>
      <c r="H2374" s="1" t="s">
        <v>95</v>
      </c>
      <c r="I2374" s="1">
        <v>8.6</v>
      </c>
      <c r="J2374" s="1" t="s">
        <v>95</v>
      </c>
      <c r="M2374" s="1" t="s">
        <v>101</v>
      </c>
      <c r="O2374" s="1">
        <v>1</v>
      </c>
    </row>
    <row r="2375" spans="1:18" ht="14.25" customHeight="1" x14ac:dyDescent="0.3">
      <c r="A2375" s="1" t="s">
        <v>990</v>
      </c>
      <c r="B2375" s="1">
        <v>9</v>
      </c>
      <c r="C2375" s="1">
        <v>14</v>
      </c>
      <c r="D2375" s="1" t="str">
        <f t="shared" si="37"/>
        <v>Yes</v>
      </c>
      <c r="E2375" s="1">
        <v>5.7</v>
      </c>
      <c r="F2375" s="1">
        <v>94</v>
      </c>
      <c r="G2375" s="1" t="s">
        <v>173</v>
      </c>
      <c r="H2375" s="1" t="s">
        <v>95</v>
      </c>
      <c r="I2375" s="1">
        <v>8.5</v>
      </c>
      <c r="J2375" s="1" t="s">
        <v>95</v>
      </c>
      <c r="M2375" s="1" t="s">
        <v>101</v>
      </c>
      <c r="O2375" s="1">
        <v>1</v>
      </c>
    </row>
    <row r="2376" spans="1:18" ht="14.25" customHeight="1" x14ac:dyDescent="0.3">
      <c r="A2376" s="1" t="s">
        <v>990</v>
      </c>
      <c r="B2376" s="1">
        <v>9</v>
      </c>
      <c r="C2376" s="1">
        <v>22</v>
      </c>
      <c r="D2376" s="1" t="str">
        <f t="shared" si="37"/>
        <v>Yes</v>
      </c>
      <c r="E2376" s="1">
        <v>4.8</v>
      </c>
      <c r="F2376" s="1">
        <v>296</v>
      </c>
      <c r="G2376" s="1" t="s">
        <v>173</v>
      </c>
      <c r="H2376" s="1" t="s">
        <v>95</v>
      </c>
      <c r="I2376" s="1">
        <v>8.5</v>
      </c>
      <c r="J2376" s="1" t="s">
        <v>95</v>
      </c>
      <c r="M2376" s="1" t="s">
        <v>101</v>
      </c>
      <c r="O2376" s="1">
        <v>1</v>
      </c>
    </row>
    <row r="2377" spans="1:18" ht="14.25" customHeight="1" x14ac:dyDescent="0.3">
      <c r="A2377" s="1" t="s">
        <v>990</v>
      </c>
      <c r="B2377" s="1">
        <v>9</v>
      </c>
      <c r="C2377" s="1">
        <v>31</v>
      </c>
      <c r="D2377" s="1" t="str">
        <f t="shared" si="37"/>
        <v>Yes</v>
      </c>
      <c r="E2377" s="1">
        <v>10.1</v>
      </c>
      <c r="F2377" s="1">
        <v>341</v>
      </c>
      <c r="G2377" s="1" t="s">
        <v>173</v>
      </c>
      <c r="H2377" s="1" t="s">
        <v>95</v>
      </c>
      <c r="I2377" s="1">
        <v>8.5</v>
      </c>
      <c r="J2377" s="1" t="s">
        <v>95</v>
      </c>
      <c r="M2377" s="1" t="s">
        <v>101</v>
      </c>
      <c r="O2377" s="1">
        <v>1</v>
      </c>
    </row>
    <row r="2378" spans="1:18" ht="14.25" customHeight="1" x14ac:dyDescent="0.3">
      <c r="A2378" s="1" t="s">
        <v>990</v>
      </c>
      <c r="B2378" s="1">
        <v>9</v>
      </c>
      <c r="C2378" s="1">
        <v>25</v>
      </c>
      <c r="D2378" s="1" t="str">
        <f t="shared" si="37"/>
        <v>Yes</v>
      </c>
      <c r="E2378" s="1">
        <v>9.8000000000000007</v>
      </c>
      <c r="F2378" s="1">
        <v>305</v>
      </c>
      <c r="G2378" s="1" t="s">
        <v>173</v>
      </c>
      <c r="H2378" s="1" t="s">
        <v>95</v>
      </c>
      <c r="I2378" s="1">
        <v>8</v>
      </c>
      <c r="J2378" s="1" t="s">
        <v>95</v>
      </c>
      <c r="M2378" s="1" t="s">
        <v>101</v>
      </c>
      <c r="O2378" s="1">
        <v>1</v>
      </c>
    </row>
    <row r="2379" spans="1:18" ht="14.25" customHeight="1" x14ac:dyDescent="0.3">
      <c r="A2379" s="1" t="s">
        <v>990</v>
      </c>
      <c r="B2379" s="1">
        <v>9</v>
      </c>
      <c r="C2379" s="1">
        <v>11</v>
      </c>
      <c r="D2379" s="1" t="str">
        <f t="shared" si="37"/>
        <v>Yes</v>
      </c>
      <c r="E2379" s="1">
        <v>6.1</v>
      </c>
      <c r="F2379" s="1">
        <v>73</v>
      </c>
      <c r="G2379" s="1" t="s">
        <v>173</v>
      </c>
      <c r="H2379" s="1" t="s">
        <v>95</v>
      </c>
      <c r="I2379" s="1">
        <v>7.8</v>
      </c>
      <c r="J2379" s="1" t="s">
        <v>95</v>
      </c>
      <c r="M2379" s="1" t="s">
        <v>101</v>
      </c>
      <c r="O2379" s="1">
        <v>1</v>
      </c>
      <c r="Q2379" s="1" t="s">
        <v>211</v>
      </c>
    </row>
    <row r="2380" spans="1:18" ht="14.25" customHeight="1" x14ac:dyDescent="0.3">
      <c r="A2380" s="1" t="s">
        <v>990</v>
      </c>
      <c r="B2380" s="1">
        <v>9</v>
      </c>
      <c r="C2380" s="1">
        <v>21</v>
      </c>
      <c r="D2380" s="1" t="str">
        <f t="shared" si="37"/>
        <v>Yes</v>
      </c>
      <c r="E2380" s="1">
        <v>6.6</v>
      </c>
      <c r="F2380" s="1">
        <v>221</v>
      </c>
      <c r="G2380" s="1" t="s">
        <v>93</v>
      </c>
      <c r="H2380" s="1" t="s">
        <v>95</v>
      </c>
      <c r="I2380" s="1">
        <v>119</v>
      </c>
      <c r="J2380" s="1" t="s">
        <v>95</v>
      </c>
      <c r="M2380" s="1" t="s">
        <v>102</v>
      </c>
      <c r="O2380" s="1">
        <v>1</v>
      </c>
      <c r="P2380" s="1">
        <v>638</v>
      </c>
      <c r="Q2380" s="1" t="s">
        <v>212</v>
      </c>
    </row>
    <row r="2381" spans="1:18" ht="14.25" customHeight="1" x14ac:dyDescent="0.3">
      <c r="A2381" s="1" t="s">
        <v>990</v>
      </c>
      <c r="B2381" s="1">
        <v>9</v>
      </c>
      <c r="C2381" s="1">
        <v>24</v>
      </c>
      <c r="D2381" s="1" t="str">
        <f t="shared" si="37"/>
        <v>Yes</v>
      </c>
      <c r="E2381" s="1">
        <v>8.9</v>
      </c>
      <c r="F2381" s="1">
        <v>290</v>
      </c>
      <c r="G2381" s="1" t="s">
        <v>93</v>
      </c>
      <c r="H2381" s="1" t="s">
        <v>95</v>
      </c>
      <c r="I2381" s="1">
        <v>74.400000000000006</v>
      </c>
      <c r="J2381" s="1" t="s">
        <v>95</v>
      </c>
      <c r="M2381" s="1" t="s">
        <v>102</v>
      </c>
      <c r="O2381" s="1">
        <v>1</v>
      </c>
      <c r="P2381" s="1">
        <v>639</v>
      </c>
    </row>
    <row r="2382" spans="1:18" ht="14.25" customHeight="1" x14ac:dyDescent="0.3">
      <c r="A2382" s="1" t="s">
        <v>990</v>
      </c>
      <c r="B2382" s="1">
        <v>9</v>
      </c>
      <c r="C2382" s="1">
        <v>20</v>
      </c>
      <c r="D2382" s="1" t="str">
        <f t="shared" si="37"/>
        <v>Yes</v>
      </c>
      <c r="E2382" s="1">
        <v>7.2</v>
      </c>
      <c r="F2382" s="1">
        <v>171</v>
      </c>
      <c r="G2382" s="1" t="s">
        <v>93</v>
      </c>
      <c r="H2382" s="1" t="s">
        <v>95</v>
      </c>
      <c r="I2382" s="1">
        <v>53.8</v>
      </c>
      <c r="J2382" s="1" t="s">
        <v>95</v>
      </c>
      <c r="M2382" s="1" t="s">
        <v>102</v>
      </c>
      <c r="O2382" s="1">
        <v>1</v>
      </c>
      <c r="P2382" s="1">
        <v>637</v>
      </c>
      <c r="R2382" s="1"/>
    </row>
    <row r="2383" spans="1:18" ht="14.25" customHeight="1" x14ac:dyDescent="0.3">
      <c r="A2383" s="1" t="s">
        <v>990</v>
      </c>
      <c r="B2383" s="1">
        <v>11</v>
      </c>
      <c r="C2383" s="1">
        <v>17</v>
      </c>
      <c r="D2383" s="1" t="str">
        <f t="shared" si="37"/>
        <v>Yes</v>
      </c>
      <c r="E2383" s="1">
        <v>11.9</v>
      </c>
      <c r="F2383" s="1">
        <v>201</v>
      </c>
      <c r="G2383" s="1" t="s">
        <v>98</v>
      </c>
      <c r="H2383" s="1" t="s">
        <v>95</v>
      </c>
      <c r="I2383" s="1">
        <v>35.200000000000003</v>
      </c>
      <c r="J2383" s="1" t="s">
        <v>95</v>
      </c>
      <c r="M2383" s="1" t="s">
        <v>101</v>
      </c>
      <c r="O2383" s="1">
        <v>1</v>
      </c>
    </row>
    <row r="2384" spans="1:18" ht="14.25" customHeight="1" x14ac:dyDescent="0.3">
      <c r="A2384" s="1" t="s">
        <v>990</v>
      </c>
      <c r="B2384" s="1">
        <v>11</v>
      </c>
      <c r="C2384" s="1">
        <v>18</v>
      </c>
      <c r="D2384" s="1" t="str">
        <f t="shared" si="37"/>
        <v>Yes</v>
      </c>
      <c r="E2384" s="1">
        <v>11.5</v>
      </c>
      <c r="F2384" s="1">
        <v>203</v>
      </c>
      <c r="G2384" s="1" t="s">
        <v>98</v>
      </c>
      <c r="H2384" s="1" t="s">
        <v>95</v>
      </c>
      <c r="I2384" s="1">
        <v>30.2</v>
      </c>
      <c r="J2384" s="1" t="s">
        <v>95</v>
      </c>
      <c r="M2384" s="1" t="s">
        <v>101</v>
      </c>
      <c r="O2384" s="1">
        <v>1</v>
      </c>
      <c r="R2384" s="1"/>
    </row>
    <row r="2385" spans="1:18" ht="14.25" customHeight="1" x14ac:dyDescent="0.3">
      <c r="A2385" s="1" t="s">
        <v>990</v>
      </c>
      <c r="B2385" s="1">
        <v>11</v>
      </c>
      <c r="C2385" s="1">
        <v>1</v>
      </c>
      <c r="D2385" s="1" t="str">
        <f t="shared" si="37"/>
        <v>Yes</v>
      </c>
      <c r="E2385" s="1">
        <v>9.1</v>
      </c>
      <c r="F2385" s="1">
        <v>45</v>
      </c>
      <c r="G2385" s="1" t="s">
        <v>106</v>
      </c>
      <c r="H2385" s="1" t="s">
        <v>95</v>
      </c>
      <c r="I2385" s="1">
        <v>137.6</v>
      </c>
      <c r="J2385" s="1" t="s">
        <v>95</v>
      </c>
      <c r="M2385" s="1" t="s">
        <v>97</v>
      </c>
      <c r="O2385" s="1">
        <v>1</v>
      </c>
      <c r="P2385" s="1">
        <v>622</v>
      </c>
    </row>
    <row r="2386" spans="1:18" ht="14.25" customHeight="1" x14ac:dyDescent="0.3">
      <c r="A2386" s="1" t="s">
        <v>990</v>
      </c>
      <c r="B2386" s="1">
        <v>11</v>
      </c>
      <c r="C2386" s="1">
        <v>20</v>
      </c>
      <c r="D2386" s="1" t="str">
        <f t="shared" si="37"/>
        <v>Yes</v>
      </c>
      <c r="E2386" s="1">
        <v>9</v>
      </c>
      <c r="F2386" s="1">
        <v>220</v>
      </c>
      <c r="G2386" s="1" t="s">
        <v>106</v>
      </c>
      <c r="H2386" s="1" t="s">
        <v>95</v>
      </c>
      <c r="I2386" s="1">
        <v>121.7</v>
      </c>
      <c r="J2386" s="1" t="s">
        <v>95</v>
      </c>
      <c r="M2386" s="1" t="s">
        <v>97</v>
      </c>
      <c r="O2386" s="1">
        <v>1</v>
      </c>
      <c r="Q2386" s="1" t="s">
        <v>176</v>
      </c>
    </row>
    <row r="2387" spans="1:18" ht="14.25" customHeight="1" x14ac:dyDescent="0.3">
      <c r="A2387" s="1" t="s">
        <v>990</v>
      </c>
      <c r="B2387" s="1">
        <v>11</v>
      </c>
      <c r="C2387" s="1">
        <v>16</v>
      </c>
      <c r="D2387" s="1" t="str">
        <f t="shared" si="37"/>
        <v>Yes</v>
      </c>
      <c r="E2387" s="1">
        <v>11.7</v>
      </c>
      <c r="F2387" s="1">
        <v>193</v>
      </c>
      <c r="G2387" s="1" t="s">
        <v>106</v>
      </c>
      <c r="H2387" s="1" t="s">
        <v>95</v>
      </c>
      <c r="I2387" s="1">
        <v>100.4</v>
      </c>
      <c r="J2387" s="1" t="s">
        <v>95</v>
      </c>
      <c r="M2387" s="1" t="s">
        <v>97</v>
      </c>
      <c r="O2387" s="1">
        <v>1</v>
      </c>
    </row>
    <row r="2388" spans="1:18" ht="14.25" customHeight="1" x14ac:dyDescent="0.3">
      <c r="A2388" s="1" t="s">
        <v>990</v>
      </c>
      <c r="B2388" s="1">
        <v>11</v>
      </c>
      <c r="C2388" s="1">
        <v>29</v>
      </c>
      <c r="D2388" s="1" t="str">
        <f t="shared" si="37"/>
        <v>Yes</v>
      </c>
      <c r="E2388" s="1">
        <v>4.2</v>
      </c>
      <c r="F2388" s="1">
        <v>350</v>
      </c>
      <c r="G2388" s="1" t="s">
        <v>106</v>
      </c>
      <c r="H2388" s="1" t="s">
        <v>95</v>
      </c>
      <c r="I2388" s="1">
        <v>28.3</v>
      </c>
      <c r="J2388" s="1" t="s">
        <v>95</v>
      </c>
      <c r="M2388" s="1" t="s">
        <v>102</v>
      </c>
      <c r="O2388" s="1">
        <v>1</v>
      </c>
      <c r="R2388" s="1"/>
    </row>
    <row r="2389" spans="1:18" ht="14.25" customHeight="1" x14ac:dyDescent="0.3">
      <c r="A2389" s="1" t="s">
        <v>990</v>
      </c>
      <c r="B2389" s="1">
        <v>11</v>
      </c>
      <c r="C2389" s="1">
        <v>30</v>
      </c>
      <c r="D2389" s="1" t="str">
        <f t="shared" si="37"/>
        <v>Yes</v>
      </c>
      <c r="E2389" s="1">
        <v>7.7</v>
      </c>
      <c r="F2389" s="1">
        <v>342</v>
      </c>
      <c r="G2389" s="1" t="s">
        <v>106</v>
      </c>
      <c r="H2389" s="1" t="s">
        <v>95</v>
      </c>
      <c r="I2389" s="1">
        <v>27.3</v>
      </c>
      <c r="J2389" s="1" t="s">
        <v>95</v>
      </c>
      <c r="M2389" s="1" t="s">
        <v>101</v>
      </c>
      <c r="O2389" s="1">
        <v>1</v>
      </c>
    </row>
    <row r="2390" spans="1:18" ht="14.25" customHeight="1" x14ac:dyDescent="0.3">
      <c r="A2390" s="1" t="s">
        <v>990</v>
      </c>
      <c r="B2390" s="1">
        <v>11</v>
      </c>
      <c r="C2390" s="1">
        <v>27</v>
      </c>
      <c r="D2390" s="1" t="str">
        <f t="shared" si="37"/>
        <v>Yes</v>
      </c>
      <c r="E2390" s="1">
        <v>6.7</v>
      </c>
      <c r="F2390" s="1">
        <v>294</v>
      </c>
      <c r="G2390" s="1" t="s">
        <v>106</v>
      </c>
      <c r="H2390" s="1" t="s">
        <v>95</v>
      </c>
      <c r="I2390" s="1">
        <v>24.1</v>
      </c>
      <c r="J2390" s="1" t="s">
        <v>95</v>
      </c>
      <c r="M2390" s="1" t="s">
        <v>101</v>
      </c>
      <c r="O2390" s="1">
        <v>1</v>
      </c>
    </row>
    <row r="2391" spans="1:18" ht="14.25" customHeight="1" x14ac:dyDescent="0.3">
      <c r="A2391" s="1" t="s">
        <v>990</v>
      </c>
      <c r="B2391" s="1">
        <v>11</v>
      </c>
      <c r="C2391" s="1">
        <v>28</v>
      </c>
      <c r="D2391" s="1" t="str">
        <f t="shared" si="37"/>
        <v>Yes</v>
      </c>
      <c r="E2391" s="1">
        <v>11</v>
      </c>
      <c r="F2391" s="1">
        <v>330</v>
      </c>
      <c r="G2391" s="1" t="s">
        <v>106</v>
      </c>
      <c r="H2391" s="1" t="s">
        <v>95</v>
      </c>
      <c r="I2391" s="1">
        <v>22.3</v>
      </c>
      <c r="J2391" s="1" t="s">
        <v>95</v>
      </c>
      <c r="M2391" s="1" t="s">
        <v>101</v>
      </c>
      <c r="O2391" s="1">
        <v>1</v>
      </c>
    </row>
    <row r="2392" spans="1:18" ht="14.25" customHeight="1" x14ac:dyDescent="0.3">
      <c r="A2392" s="1" t="s">
        <v>990</v>
      </c>
      <c r="B2392" s="1">
        <v>11</v>
      </c>
      <c r="C2392" s="1">
        <v>13</v>
      </c>
      <c r="D2392" s="1" t="str">
        <f t="shared" ref="D2392:D2455" si="38">IF(E2392&gt;12.5, "No", "Yes")</f>
        <v>Yes</v>
      </c>
      <c r="E2392" s="1">
        <v>11.7</v>
      </c>
      <c r="F2392" s="1">
        <v>183</v>
      </c>
      <c r="G2392" s="1" t="s">
        <v>106</v>
      </c>
      <c r="H2392" s="1" t="s">
        <v>95</v>
      </c>
      <c r="I2392" s="1">
        <v>21.8</v>
      </c>
      <c r="J2392" s="1" t="s">
        <v>95</v>
      </c>
      <c r="M2392" s="1" t="s">
        <v>101</v>
      </c>
      <c r="O2392" s="1">
        <v>1</v>
      </c>
    </row>
    <row r="2393" spans="1:18" ht="14.25" customHeight="1" x14ac:dyDescent="0.3">
      <c r="A2393" s="1" t="s">
        <v>990</v>
      </c>
      <c r="B2393" s="1">
        <v>11</v>
      </c>
      <c r="C2393" s="1">
        <v>23</v>
      </c>
      <c r="D2393" s="1" t="str">
        <f t="shared" si="38"/>
        <v>Yes</v>
      </c>
      <c r="E2393" s="1">
        <v>11.4</v>
      </c>
      <c r="F2393" s="1">
        <v>266</v>
      </c>
      <c r="G2393" s="1" t="s">
        <v>106</v>
      </c>
      <c r="H2393" s="1" t="s">
        <v>95</v>
      </c>
      <c r="I2393" s="1">
        <v>18.399999999999999</v>
      </c>
      <c r="J2393" s="1" t="s">
        <v>95</v>
      </c>
      <c r="M2393" s="1" t="s">
        <v>101</v>
      </c>
      <c r="O2393" s="1">
        <v>1</v>
      </c>
    </row>
    <row r="2394" spans="1:18" ht="14.25" customHeight="1" x14ac:dyDescent="0.3">
      <c r="A2394" s="1" t="s">
        <v>990</v>
      </c>
      <c r="B2394" s="1">
        <v>11</v>
      </c>
      <c r="C2394" s="1">
        <v>12</v>
      </c>
      <c r="D2394" s="1" t="str">
        <f t="shared" si="38"/>
        <v>Yes</v>
      </c>
      <c r="E2394" s="1">
        <v>11</v>
      </c>
      <c r="F2394" s="1">
        <v>134</v>
      </c>
      <c r="G2394" s="1" t="s">
        <v>106</v>
      </c>
      <c r="H2394" s="1" t="s">
        <v>95</v>
      </c>
      <c r="I2394" s="1">
        <v>17</v>
      </c>
      <c r="J2394" s="1" t="s">
        <v>95</v>
      </c>
      <c r="M2394" s="1" t="s">
        <v>101</v>
      </c>
      <c r="O2394" s="1">
        <v>1</v>
      </c>
    </row>
    <row r="2395" spans="1:18" ht="14.25" customHeight="1" x14ac:dyDescent="0.3">
      <c r="A2395" s="1" t="s">
        <v>990</v>
      </c>
      <c r="B2395" s="1">
        <v>11</v>
      </c>
      <c r="C2395" s="1">
        <v>11</v>
      </c>
      <c r="D2395" s="1" t="str">
        <f t="shared" si="38"/>
        <v>Yes</v>
      </c>
      <c r="E2395" s="1">
        <v>5</v>
      </c>
      <c r="F2395" s="1">
        <v>140</v>
      </c>
      <c r="G2395" s="1" t="s">
        <v>106</v>
      </c>
      <c r="H2395" s="1" t="s">
        <v>95</v>
      </c>
      <c r="I2395" s="1">
        <v>16.5</v>
      </c>
      <c r="J2395" s="1" t="s">
        <v>95</v>
      </c>
      <c r="M2395" s="1" t="s">
        <v>101</v>
      </c>
      <c r="O2395" s="1">
        <v>1</v>
      </c>
    </row>
    <row r="2396" spans="1:18" ht="14.25" customHeight="1" x14ac:dyDescent="0.3">
      <c r="A2396" s="1" t="s">
        <v>990</v>
      </c>
      <c r="B2396" s="1">
        <v>11</v>
      </c>
      <c r="C2396" s="1">
        <v>25</v>
      </c>
      <c r="D2396" s="1" t="str">
        <f t="shared" si="38"/>
        <v>Yes</v>
      </c>
      <c r="E2396" s="1">
        <v>10.9</v>
      </c>
      <c r="F2396" s="1">
        <v>284</v>
      </c>
      <c r="G2396" s="1" t="s">
        <v>106</v>
      </c>
      <c r="H2396" s="1" t="s">
        <v>95</v>
      </c>
      <c r="I2396" s="1">
        <v>15.5</v>
      </c>
      <c r="J2396" s="1" t="s">
        <v>95</v>
      </c>
      <c r="M2396" s="1" t="s">
        <v>101</v>
      </c>
      <c r="O2396" s="1">
        <v>1</v>
      </c>
    </row>
    <row r="2397" spans="1:18" ht="14.25" customHeight="1" x14ac:dyDescent="0.3">
      <c r="A2397" s="1" t="s">
        <v>990</v>
      </c>
      <c r="B2397" s="1">
        <v>11</v>
      </c>
      <c r="C2397" s="1">
        <v>32</v>
      </c>
      <c r="D2397" s="1" t="str">
        <f t="shared" si="38"/>
        <v>Yes</v>
      </c>
      <c r="E2397" s="1">
        <v>3.6</v>
      </c>
      <c r="F2397" s="1">
        <v>359</v>
      </c>
      <c r="G2397" s="1" t="s">
        <v>106</v>
      </c>
      <c r="H2397" s="1" t="s">
        <v>95</v>
      </c>
      <c r="I2397" s="1">
        <v>15.1</v>
      </c>
      <c r="J2397" s="1" t="s">
        <v>95</v>
      </c>
      <c r="M2397" s="1" t="s">
        <v>101</v>
      </c>
      <c r="O2397" s="1">
        <v>1</v>
      </c>
    </row>
    <row r="2398" spans="1:18" ht="14.25" customHeight="1" x14ac:dyDescent="0.3">
      <c r="A2398" s="1" t="s">
        <v>990</v>
      </c>
      <c r="B2398" s="1">
        <v>11</v>
      </c>
      <c r="C2398" s="1">
        <v>22</v>
      </c>
      <c r="D2398" s="1" t="str">
        <f t="shared" si="38"/>
        <v>Yes</v>
      </c>
      <c r="E2398" s="1">
        <v>10.9</v>
      </c>
      <c r="F2398" s="1">
        <v>257</v>
      </c>
      <c r="G2398" s="1" t="s">
        <v>106</v>
      </c>
      <c r="H2398" s="1" t="s">
        <v>95</v>
      </c>
      <c r="I2398" s="1">
        <v>11.5</v>
      </c>
      <c r="J2398" s="1" t="s">
        <v>95</v>
      </c>
      <c r="M2398" s="1" t="s">
        <v>101</v>
      </c>
      <c r="O2398" s="1">
        <v>1</v>
      </c>
    </row>
    <row r="2399" spans="1:18" ht="14.25" customHeight="1" x14ac:dyDescent="0.3">
      <c r="A2399" s="1" t="s">
        <v>990</v>
      </c>
      <c r="B2399" s="1">
        <v>11</v>
      </c>
      <c r="C2399" s="1">
        <v>26</v>
      </c>
      <c r="D2399" s="1" t="str">
        <f t="shared" si="38"/>
        <v>Yes</v>
      </c>
      <c r="E2399" s="1">
        <v>7.6</v>
      </c>
      <c r="F2399" s="1">
        <v>292</v>
      </c>
      <c r="G2399" s="1" t="s">
        <v>106</v>
      </c>
      <c r="H2399" s="1" t="s">
        <v>95</v>
      </c>
      <c r="I2399" s="1">
        <v>9.3000000000000007</v>
      </c>
      <c r="J2399" s="1" t="s">
        <v>95</v>
      </c>
      <c r="M2399" s="1" t="s">
        <v>101</v>
      </c>
      <c r="O2399" s="1">
        <v>1</v>
      </c>
      <c r="Q2399" s="1" t="s">
        <v>214</v>
      </c>
    </row>
    <row r="2400" spans="1:18" ht="14.25" customHeight="1" x14ac:dyDescent="0.3">
      <c r="A2400" s="1" t="s">
        <v>990</v>
      </c>
      <c r="B2400" s="1">
        <v>11</v>
      </c>
      <c r="C2400" s="1">
        <v>7</v>
      </c>
      <c r="D2400" s="1" t="str">
        <f t="shared" si="38"/>
        <v>Yes</v>
      </c>
      <c r="E2400" s="1">
        <v>1.9</v>
      </c>
      <c r="F2400" s="1">
        <v>112</v>
      </c>
      <c r="G2400" s="1" t="s">
        <v>106</v>
      </c>
      <c r="H2400" s="1" t="s">
        <v>95</v>
      </c>
      <c r="I2400" s="1">
        <v>9</v>
      </c>
      <c r="J2400" s="1" t="s">
        <v>95</v>
      </c>
      <c r="M2400" s="1" t="s">
        <v>101</v>
      </c>
      <c r="O2400" s="1">
        <v>1</v>
      </c>
    </row>
    <row r="2401" spans="1:18" ht="14.25" customHeight="1" x14ac:dyDescent="0.3">
      <c r="A2401" s="1" t="s">
        <v>990</v>
      </c>
      <c r="B2401" s="1">
        <v>11</v>
      </c>
      <c r="C2401" s="1">
        <v>9</v>
      </c>
      <c r="D2401" s="1" t="str">
        <f t="shared" si="38"/>
        <v>Yes</v>
      </c>
      <c r="E2401" s="1">
        <v>2.7</v>
      </c>
      <c r="F2401" s="1">
        <v>138</v>
      </c>
      <c r="G2401" s="1" t="s">
        <v>106</v>
      </c>
      <c r="H2401" s="1" t="s">
        <v>95</v>
      </c>
      <c r="I2401" s="1">
        <v>7.6</v>
      </c>
      <c r="J2401" s="1" t="s">
        <v>95</v>
      </c>
      <c r="M2401" s="1" t="s">
        <v>101</v>
      </c>
      <c r="O2401" s="1">
        <v>1</v>
      </c>
    </row>
    <row r="2402" spans="1:18" ht="14.25" customHeight="1" x14ac:dyDescent="0.3">
      <c r="A2402" s="1" t="s">
        <v>990</v>
      </c>
      <c r="B2402" s="1">
        <v>11</v>
      </c>
      <c r="C2402" s="1">
        <v>4</v>
      </c>
      <c r="D2402" s="1" t="str">
        <f t="shared" si="38"/>
        <v>Yes</v>
      </c>
      <c r="E2402" s="1">
        <v>8.1</v>
      </c>
      <c r="F2402" s="1">
        <v>86</v>
      </c>
      <c r="G2402" s="1" t="s">
        <v>106</v>
      </c>
      <c r="H2402" s="1" t="s">
        <v>95</v>
      </c>
      <c r="I2402" s="45">
        <v>3.2</v>
      </c>
      <c r="J2402" s="1" t="s">
        <v>95</v>
      </c>
      <c r="M2402" s="1" t="s">
        <v>102</v>
      </c>
      <c r="O2402" s="1">
        <v>1</v>
      </c>
    </row>
    <row r="2403" spans="1:18" ht="14.25" customHeight="1" x14ac:dyDescent="0.3">
      <c r="A2403" s="1" t="s">
        <v>990</v>
      </c>
      <c r="B2403" s="1">
        <v>11</v>
      </c>
      <c r="C2403" s="1">
        <v>31</v>
      </c>
      <c r="D2403" s="1" t="str">
        <f t="shared" si="38"/>
        <v>Yes</v>
      </c>
      <c r="E2403" s="1">
        <v>11.4</v>
      </c>
      <c r="F2403" s="1">
        <v>355</v>
      </c>
      <c r="G2403" s="1" t="s">
        <v>93</v>
      </c>
      <c r="H2403" s="1" t="s">
        <v>95</v>
      </c>
      <c r="I2403" s="1">
        <v>52.1</v>
      </c>
      <c r="J2403" s="1" t="s">
        <v>95</v>
      </c>
      <c r="M2403" s="1" t="s">
        <v>102</v>
      </c>
      <c r="O2403" s="1">
        <v>1</v>
      </c>
      <c r="P2403" s="1">
        <v>620</v>
      </c>
    </row>
    <row r="2404" spans="1:18" ht="14.25" customHeight="1" x14ac:dyDescent="0.3">
      <c r="A2404" s="1" t="s">
        <v>990</v>
      </c>
      <c r="B2404" s="1">
        <v>11</v>
      </c>
      <c r="C2404" s="1">
        <v>21</v>
      </c>
      <c r="D2404" s="1" t="str">
        <f t="shared" si="38"/>
        <v>Yes</v>
      </c>
      <c r="E2404" s="1">
        <v>7.3</v>
      </c>
      <c r="F2404" s="1">
        <v>245</v>
      </c>
      <c r="G2404" s="1" t="s">
        <v>93</v>
      </c>
      <c r="H2404" s="1" t="s">
        <v>95</v>
      </c>
      <c r="I2404" s="1">
        <v>35.4</v>
      </c>
      <c r="J2404" s="1" t="s">
        <v>95</v>
      </c>
      <c r="M2404" s="1" t="s">
        <v>101</v>
      </c>
      <c r="O2404" s="1">
        <v>1</v>
      </c>
      <c r="P2404" s="1">
        <v>621</v>
      </c>
    </row>
    <row r="2405" spans="1:18" ht="14.25" customHeight="1" x14ac:dyDescent="0.3">
      <c r="A2405" s="1" t="s">
        <v>990</v>
      </c>
      <c r="B2405" s="1">
        <v>11</v>
      </c>
      <c r="C2405" s="1">
        <v>19</v>
      </c>
      <c r="D2405" s="1" t="str">
        <f t="shared" si="38"/>
        <v>Yes</v>
      </c>
      <c r="E2405" s="1">
        <v>4.0999999999999996</v>
      </c>
      <c r="F2405" s="1">
        <v>205</v>
      </c>
      <c r="G2405" s="1" t="s">
        <v>93</v>
      </c>
      <c r="H2405" s="1" t="s">
        <v>95</v>
      </c>
      <c r="I2405" s="1">
        <v>28</v>
      </c>
      <c r="J2405" s="1" t="s">
        <v>101</v>
      </c>
      <c r="M2405" s="1" t="s">
        <v>102</v>
      </c>
      <c r="O2405" s="1">
        <v>5</v>
      </c>
    </row>
    <row r="2406" spans="1:18" ht="14.25" customHeight="1" x14ac:dyDescent="0.3">
      <c r="A2406" s="1" t="s">
        <v>990</v>
      </c>
      <c r="B2406" s="1">
        <v>11</v>
      </c>
      <c r="C2406" s="1">
        <v>10</v>
      </c>
      <c r="D2406" s="1" t="str">
        <f t="shared" si="38"/>
        <v>Yes</v>
      </c>
      <c r="E2406" s="1">
        <v>9.5</v>
      </c>
      <c r="F2406" s="1">
        <v>118</v>
      </c>
      <c r="G2406" s="1" t="s">
        <v>93</v>
      </c>
      <c r="H2406" s="1" t="s">
        <v>95</v>
      </c>
      <c r="I2406" s="1">
        <v>27.5</v>
      </c>
      <c r="J2406" s="1" t="s">
        <v>95</v>
      </c>
      <c r="M2406" s="1" t="s">
        <v>102</v>
      </c>
      <c r="O2406" s="1">
        <v>1</v>
      </c>
    </row>
    <row r="2407" spans="1:18" ht="14.25" customHeight="1" x14ac:dyDescent="0.3">
      <c r="A2407" s="1" t="s">
        <v>990</v>
      </c>
      <c r="B2407" s="1">
        <v>11</v>
      </c>
      <c r="C2407" s="1">
        <v>8</v>
      </c>
      <c r="D2407" s="1" t="str">
        <f t="shared" si="38"/>
        <v>Yes</v>
      </c>
      <c r="E2407" s="1">
        <v>11.2</v>
      </c>
      <c r="F2407" s="1">
        <v>116</v>
      </c>
      <c r="G2407" s="1" t="s">
        <v>93</v>
      </c>
      <c r="H2407" s="1" t="s">
        <v>95</v>
      </c>
      <c r="I2407" s="1">
        <v>21.4</v>
      </c>
      <c r="J2407" s="1" t="s">
        <v>95</v>
      </c>
      <c r="M2407" s="1" t="s">
        <v>102</v>
      </c>
      <c r="O2407" s="1">
        <v>1</v>
      </c>
    </row>
    <row r="2408" spans="1:18" ht="14.25" customHeight="1" x14ac:dyDescent="0.3">
      <c r="A2408" s="1" t="s">
        <v>990</v>
      </c>
      <c r="B2408" s="1">
        <v>11</v>
      </c>
      <c r="C2408" s="1">
        <v>6</v>
      </c>
      <c r="D2408" s="1" t="str">
        <f t="shared" si="38"/>
        <v>Yes</v>
      </c>
      <c r="E2408" s="1">
        <v>7</v>
      </c>
      <c r="F2408" s="1">
        <v>106</v>
      </c>
      <c r="G2408" s="1" t="s">
        <v>93</v>
      </c>
      <c r="H2408" s="1" t="s">
        <v>95</v>
      </c>
      <c r="I2408" s="1">
        <v>21.2</v>
      </c>
      <c r="J2408" s="1" t="s">
        <v>95</v>
      </c>
      <c r="M2408" s="1" t="s">
        <v>102</v>
      </c>
      <c r="O2408" s="1">
        <v>1</v>
      </c>
    </row>
    <row r="2409" spans="1:18" ht="14.25" customHeight="1" x14ac:dyDescent="0.3">
      <c r="A2409" s="1" t="s">
        <v>990</v>
      </c>
      <c r="B2409" s="1">
        <v>11</v>
      </c>
      <c r="C2409" s="1">
        <v>5</v>
      </c>
      <c r="D2409" s="1" t="str">
        <f t="shared" si="38"/>
        <v>Yes</v>
      </c>
      <c r="E2409" s="1">
        <v>5.4</v>
      </c>
      <c r="F2409" s="1">
        <v>100</v>
      </c>
      <c r="G2409" s="1" t="s">
        <v>93</v>
      </c>
      <c r="H2409" s="1" t="s">
        <v>95</v>
      </c>
      <c r="I2409" s="1">
        <v>21.1</v>
      </c>
      <c r="J2409" s="1" t="s">
        <v>95</v>
      </c>
      <c r="M2409" s="1" t="s">
        <v>101</v>
      </c>
      <c r="O2409" s="1">
        <v>1</v>
      </c>
    </row>
    <row r="2410" spans="1:18" ht="14.25" customHeight="1" x14ac:dyDescent="0.3">
      <c r="A2410" s="1" t="s">
        <v>990</v>
      </c>
      <c r="B2410" s="1">
        <v>11</v>
      </c>
      <c r="C2410" s="1">
        <v>2</v>
      </c>
      <c r="D2410" s="1" t="str">
        <f t="shared" si="38"/>
        <v>Yes</v>
      </c>
      <c r="E2410" s="1">
        <v>5.4</v>
      </c>
      <c r="F2410" s="1">
        <v>65</v>
      </c>
      <c r="G2410" s="1" t="s">
        <v>93</v>
      </c>
      <c r="H2410" s="1" t="s">
        <v>95</v>
      </c>
      <c r="I2410" s="1">
        <v>18.5</v>
      </c>
      <c r="J2410" s="1" t="s">
        <v>95</v>
      </c>
      <c r="M2410" s="1" t="s">
        <v>101</v>
      </c>
      <c r="O2410" s="1">
        <v>1</v>
      </c>
    </row>
    <row r="2411" spans="1:18" ht="14.25" customHeight="1" x14ac:dyDescent="0.3">
      <c r="A2411" s="1" t="s">
        <v>990</v>
      </c>
      <c r="B2411" s="1">
        <v>11</v>
      </c>
      <c r="C2411" s="1">
        <v>15</v>
      </c>
      <c r="D2411" s="1" t="str">
        <f t="shared" si="38"/>
        <v>Yes</v>
      </c>
      <c r="E2411" s="1">
        <v>9.3000000000000007</v>
      </c>
      <c r="F2411" s="1">
        <v>190</v>
      </c>
      <c r="G2411" s="1" t="s">
        <v>93</v>
      </c>
      <c r="H2411" s="1" t="s">
        <v>95</v>
      </c>
      <c r="I2411" s="1">
        <v>18.399999999999999</v>
      </c>
      <c r="J2411" s="1" t="s">
        <v>95</v>
      </c>
      <c r="M2411" s="1" t="s">
        <v>101</v>
      </c>
      <c r="O2411" s="1">
        <v>1</v>
      </c>
    </row>
    <row r="2412" spans="1:18" ht="14.25" customHeight="1" x14ac:dyDescent="0.3">
      <c r="A2412" s="1" t="s">
        <v>990</v>
      </c>
      <c r="B2412" s="1">
        <v>11</v>
      </c>
      <c r="C2412" s="1">
        <v>14</v>
      </c>
      <c r="D2412" s="1" t="str">
        <f t="shared" si="38"/>
        <v>Yes</v>
      </c>
      <c r="E2412" s="1">
        <v>7.9</v>
      </c>
      <c r="F2412" s="1">
        <v>186</v>
      </c>
      <c r="G2412" s="1" t="s">
        <v>93</v>
      </c>
      <c r="H2412" s="1" t="s">
        <v>95</v>
      </c>
      <c r="I2412" s="1">
        <v>12.2</v>
      </c>
      <c r="J2412" s="1" t="s">
        <v>95</v>
      </c>
      <c r="M2412" s="1" t="s">
        <v>101</v>
      </c>
      <c r="O2412" s="1">
        <v>1</v>
      </c>
    </row>
    <row r="2413" spans="1:18" ht="14.25" customHeight="1" x14ac:dyDescent="0.3">
      <c r="A2413" s="1" t="s">
        <v>990</v>
      </c>
      <c r="B2413" s="1">
        <v>11</v>
      </c>
      <c r="C2413" s="1">
        <v>3</v>
      </c>
      <c r="D2413" s="1" t="str">
        <f t="shared" si="38"/>
        <v>Yes</v>
      </c>
      <c r="E2413" s="1">
        <v>7</v>
      </c>
      <c r="F2413" s="1">
        <v>83</v>
      </c>
      <c r="G2413" s="1" t="s">
        <v>93</v>
      </c>
      <c r="H2413" s="1" t="s">
        <v>95</v>
      </c>
      <c r="I2413" s="1">
        <v>8.6</v>
      </c>
      <c r="J2413" s="1" t="s">
        <v>95</v>
      </c>
      <c r="M2413" s="1" t="s">
        <v>101</v>
      </c>
      <c r="O2413" s="1">
        <v>1</v>
      </c>
      <c r="R2413" s="1"/>
    </row>
    <row r="2414" spans="1:18" ht="14.25" customHeight="1" x14ac:dyDescent="0.3">
      <c r="A2414" s="1" t="s">
        <v>990</v>
      </c>
      <c r="B2414" s="1">
        <v>11</v>
      </c>
      <c r="C2414" s="1">
        <v>24</v>
      </c>
      <c r="D2414" s="1" t="str">
        <f t="shared" si="38"/>
        <v>Yes</v>
      </c>
      <c r="E2414" s="1">
        <v>8.6999999999999993</v>
      </c>
      <c r="F2414" s="1">
        <v>282</v>
      </c>
      <c r="G2414" s="1" t="s">
        <v>93</v>
      </c>
      <c r="H2414" s="1" t="s">
        <v>95</v>
      </c>
      <c r="I2414" s="45">
        <v>7.5</v>
      </c>
      <c r="J2414" s="1" t="s">
        <v>101</v>
      </c>
      <c r="M2414" s="1" t="s">
        <v>102</v>
      </c>
      <c r="O2414" s="1">
        <v>5</v>
      </c>
      <c r="Q2414" s="1" t="s">
        <v>176</v>
      </c>
    </row>
    <row r="2415" spans="1:18" ht="14.25" customHeight="1" x14ac:dyDescent="0.3">
      <c r="A2415" s="1" t="s">
        <v>990</v>
      </c>
      <c r="B2415" s="1">
        <v>12</v>
      </c>
      <c r="C2415" s="1">
        <v>14</v>
      </c>
      <c r="D2415" s="1" t="str">
        <f t="shared" si="38"/>
        <v>Yes</v>
      </c>
      <c r="E2415" s="1">
        <v>9.6</v>
      </c>
      <c r="F2415" s="1">
        <v>119</v>
      </c>
      <c r="G2415" s="1" t="s">
        <v>111</v>
      </c>
      <c r="H2415" s="1" t="s">
        <v>95</v>
      </c>
      <c r="I2415" s="1">
        <v>38</v>
      </c>
      <c r="J2415" s="1" t="s">
        <v>95</v>
      </c>
      <c r="M2415" s="1" t="s">
        <v>102</v>
      </c>
      <c r="O2415" s="1">
        <v>1</v>
      </c>
    </row>
    <row r="2416" spans="1:18" ht="14.25" customHeight="1" x14ac:dyDescent="0.3">
      <c r="A2416" s="1" t="s">
        <v>990</v>
      </c>
      <c r="B2416" s="1">
        <v>12</v>
      </c>
      <c r="C2416" s="1">
        <v>26</v>
      </c>
      <c r="D2416" s="1" t="str">
        <f t="shared" si="38"/>
        <v>Yes</v>
      </c>
      <c r="E2416" s="1">
        <v>10.3</v>
      </c>
      <c r="F2416" s="1">
        <v>281</v>
      </c>
      <c r="G2416" s="1" t="s">
        <v>111</v>
      </c>
      <c r="H2416" s="1" t="s">
        <v>95</v>
      </c>
      <c r="I2416" s="1">
        <v>33.299999999999997</v>
      </c>
      <c r="J2416" s="1" t="s">
        <v>95</v>
      </c>
      <c r="M2416" s="1" t="s">
        <v>102</v>
      </c>
      <c r="O2416" s="1">
        <v>1</v>
      </c>
    </row>
    <row r="2417" spans="1:16" ht="14.25" customHeight="1" x14ac:dyDescent="0.3">
      <c r="A2417" s="1" t="s">
        <v>990</v>
      </c>
      <c r="B2417" s="1">
        <v>12</v>
      </c>
      <c r="C2417" s="1">
        <v>22</v>
      </c>
      <c r="D2417" s="1" t="str">
        <f t="shared" si="38"/>
        <v>Yes</v>
      </c>
      <c r="E2417" s="1">
        <v>5.5</v>
      </c>
      <c r="F2417" s="1">
        <v>219</v>
      </c>
      <c r="G2417" s="1" t="s">
        <v>111</v>
      </c>
      <c r="H2417" s="1" t="s">
        <v>95</v>
      </c>
      <c r="I2417" s="1">
        <v>32.6</v>
      </c>
      <c r="J2417" s="1" t="s">
        <v>95</v>
      </c>
      <c r="M2417" s="1" t="s">
        <v>102</v>
      </c>
      <c r="O2417" s="1">
        <v>1</v>
      </c>
      <c r="P2417" s="1">
        <v>619</v>
      </c>
    </row>
    <row r="2418" spans="1:16" ht="14.25" customHeight="1" x14ac:dyDescent="0.3">
      <c r="A2418" s="1" t="s">
        <v>990</v>
      </c>
      <c r="B2418" s="1">
        <v>12</v>
      </c>
      <c r="C2418" s="1">
        <v>10</v>
      </c>
      <c r="D2418" s="1" t="str">
        <f t="shared" si="38"/>
        <v>Yes</v>
      </c>
      <c r="E2418" s="1">
        <v>6.9</v>
      </c>
      <c r="F2418" s="1">
        <v>59</v>
      </c>
      <c r="G2418" s="1" t="s">
        <v>111</v>
      </c>
      <c r="H2418" s="1" t="s">
        <v>95</v>
      </c>
      <c r="I2418" s="1">
        <v>32.4</v>
      </c>
      <c r="J2418" s="1" t="s">
        <v>95</v>
      </c>
      <c r="M2418" s="1" t="s">
        <v>102</v>
      </c>
      <c r="O2418" s="1">
        <v>1</v>
      </c>
    </row>
    <row r="2419" spans="1:16" ht="14.25" customHeight="1" x14ac:dyDescent="0.3">
      <c r="A2419" s="1" t="s">
        <v>990</v>
      </c>
      <c r="B2419" s="1">
        <v>12</v>
      </c>
      <c r="C2419" s="1">
        <v>18</v>
      </c>
      <c r="D2419" s="1" t="str">
        <f t="shared" si="38"/>
        <v>Yes</v>
      </c>
      <c r="E2419" s="1">
        <v>6</v>
      </c>
      <c r="F2419" s="1">
        <v>155</v>
      </c>
      <c r="G2419" s="1" t="s">
        <v>111</v>
      </c>
      <c r="H2419" s="1" t="s">
        <v>95</v>
      </c>
      <c r="I2419" s="1">
        <v>31.2</v>
      </c>
      <c r="J2419" s="1" t="s">
        <v>95</v>
      </c>
      <c r="M2419" s="1" t="s">
        <v>102</v>
      </c>
      <c r="O2419" s="1">
        <v>1</v>
      </c>
      <c r="P2419" s="1">
        <v>618</v>
      </c>
    </row>
    <row r="2420" spans="1:16" ht="14.25" customHeight="1" x14ac:dyDescent="0.3">
      <c r="A2420" s="1" t="s">
        <v>990</v>
      </c>
      <c r="B2420" s="1">
        <v>12</v>
      </c>
      <c r="C2420" s="1">
        <v>12</v>
      </c>
      <c r="D2420" s="1" t="str">
        <f t="shared" si="38"/>
        <v>Yes</v>
      </c>
      <c r="E2420" s="1">
        <v>9.6999999999999993</v>
      </c>
      <c r="F2420" s="1">
        <v>104</v>
      </c>
      <c r="G2420" s="1" t="s">
        <v>111</v>
      </c>
      <c r="H2420" s="1" t="s">
        <v>95</v>
      </c>
      <c r="I2420" s="1">
        <v>30.6</v>
      </c>
      <c r="J2420" s="1" t="s">
        <v>95</v>
      </c>
      <c r="M2420" s="1" t="s">
        <v>101</v>
      </c>
      <c r="O2420" s="1">
        <v>1</v>
      </c>
    </row>
    <row r="2421" spans="1:16" ht="14.25" customHeight="1" x14ac:dyDescent="0.3">
      <c r="A2421" s="1" t="s">
        <v>990</v>
      </c>
      <c r="B2421" s="1">
        <v>12</v>
      </c>
      <c r="C2421" s="1">
        <v>2</v>
      </c>
      <c r="D2421" s="1" t="str">
        <f t="shared" si="38"/>
        <v>Yes</v>
      </c>
      <c r="E2421" s="1">
        <v>7</v>
      </c>
      <c r="F2421" s="1">
        <v>4</v>
      </c>
      <c r="G2421" s="1" t="s">
        <v>111</v>
      </c>
      <c r="H2421" s="1" t="s">
        <v>95</v>
      </c>
      <c r="I2421" s="1">
        <v>29.5</v>
      </c>
      <c r="J2421" s="1" t="s">
        <v>95</v>
      </c>
      <c r="M2421" s="1" t="s">
        <v>101</v>
      </c>
      <c r="O2421" s="1">
        <v>1</v>
      </c>
      <c r="P2421" s="1">
        <v>617</v>
      </c>
    </row>
    <row r="2422" spans="1:16" ht="14.25" customHeight="1" x14ac:dyDescent="0.3">
      <c r="A2422" s="1" t="s">
        <v>990</v>
      </c>
      <c r="B2422" s="1">
        <v>12</v>
      </c>
      <c r="C2422" s="1">
        <v>21</v>
      </c>
      <c r="D2422" s="1" t="str">
        <f t="shared" si="38"/>
        <v>Yes</v>
      </c>
      <c r="E2422" s="1">
        <v>8.8000000000000007</v>
      </c>
      <c r="F2422" s="1">
        <v>208</v>
      </c>
      <c r="G2422" s="1" t="s">
        <v>111</v>
      </c>
      <c r="H2422" s="1" t="s">
        <v>95</v>
      </c>
      <c r="I2422" s="1">
        <v>25.9</v>
      </c>
      <c r="J2422" s="1" t="s">
        <v>95</v>
      </c>
      <c r="M2422" s="1" t="s">
        <v>102</v>
      </c>
      <c r="O2422" s="1">
        <v>1</v>
      </c>
    </row>
    <row r="2423" spans="1:16" ht="14.25" customHeight="1" x14ac:dyDescent="0.3">
      <c r="A2423" s="1" t="s">
        <v>990</v>
      </c>
      <c r="B2423" s="1">
        <v>12</v>
      </c>
      <c r="C2423" s="1">
        <v>25</v>
      </c>
      <c r="D2423" s="1" t="str">
        <f t="shared" si="38"/>
        <v>Yes</v>
      </c>
      <c r="E2423" s="1">
        <v>11.8</v>
      </c>
      <c r="F2423" s="1">
        <v>242</v>
      </c>
      <c r="G2423" s="1" t="s">
        <v>111</v>
      </c>
      <c r="H2423" s="1" t="s">
        <v>95</v>
      </c>
      <c r="I2423" s="1">
        <v>25.5</v>
      </c>
      <c r="J2423" s="1" t="s">
        <v>95</v>
      </c>
      <c r="M2423" s="1" t="s">
        <v>102</v>
      </c>
      <c r="O2423" s="1">
        <v>1</v>
      </c>
    </row>
    <row r="2424" spans="1:16" ht="14.25" customHeight="1" x14ac:dyDescent="0.3">
      <c r="A2424" s="1" t="s">
        <v>990</v>
      </c>
      <c r="B2424" s="1">
        <v>12</v>
      </c>
      <c r="C2424" s="1">
        <v>8</v>
      </c>
      <c r="D2424" s="1" t="str">
        <f t="shared" si="38"/>
        <v>Yes</v>
      </c>
      <c r="E2424" s="1">
        <v>9.3000000000000007</v>
      </c>
      <c r="F2424" s="1">
        <v>33</v>
      </c>
      <c r="G2424" s="1" t="s">
        <v>111</v>
      </c>
      <c r="H2424" s="1" t="s">
        <v>95</v>
      </c>
      <c r="I2424" s="1">
        <v>24.8</v>
      </c>
      <c r="J2424" s="1" t="s">
        <v>95</v>
      </c>
      <c r="M2424" s="1" t="s">
        <v>102</v>
      </c>
      <c r="O2424" s="1">
        <v>1</v>
      </c>
    </row>
    <row r="2425" spans="1:16" ht="14.25" customHeight="1" x14ac:dyDescent="0.3">
      <c r="A2425" s="1" t="s">
        <v>990</v>
      </c>
      <c r="B2425" s="1">
        <v>12</v>
      </c>
      <c r="C2425" s="1">
        <v>11</v>
      </c>
      <c r="D2425" s="1" t="str">
        <f t="shared" si="38"/>
        <v>Yes</v>
      </c>
      <c r="E2425" s="1">
        <v>4.5</v>
      </c>
      <c r="F2425" s="1">
        <v>93</v>
      </c>
      <c r="G2425" s="1" t="s">
        <v>111</v>
      </c>
      <c r="H2425" s="1" t="s">
        <v>95</v>
      </c>
      <c r="I2425" s="1">
        <v>21.7</v>
      </c>
      <c r="J2425" s="1" t="s">
        <v>95</v>
      </c>
      <c r="M2425" s="1" t="s">
        <v>101</v>
      </c>
      <c r="O2425" s="1">
        <v>1</v>
      </c>
    </row>
    <row r="2426" spans="1:16" ht="14.25" customHeight="1" x14ac:dyDescent="0.3">
      <c r="A2426" s="1" t="s">
        <v>990</v>
      </c>
      <c r="B2426" s="1">
        <v>12</v>
      </c>
      <c r="C2426" s="1">
        <v>19</v>
      </c>
      <c r="D2426" s="1" t="str">
        <f t="shared" si="38"/>
        <v>Yes</v>
      </c>
      <c r="E2426" s="1">
        <v>7</v>
      </c>
      <c r="F2426" s="1">
        <v>173</v>
      </c>
      <c r="G2426" s="1" t="s">
        <v>111</v>
      </c>
      <c r="H2426" s="1" t="s">
        <v>95</v>
      </c>
      <c r="I2426" s="1">
        <v>20.7</v>
      </c>
      <c r="J2426" s="1" t="s">
        <v>95</v>
      </c>
      <c r="M2426" s="1" t="s">
        <v>102</v>
      </c>
      <c r="O2426" s="1">
        <v>1</v>
      </c>
    </row>
    <row r="2427" spans="1:16" ht="14.25" customHeight="1" x14ac:dyDescent="0.3">
      <c r="A2427" s="1" t="s">
        <v>990</v>
      </c>
      <c r="B2427" s="1">
        <v>12</v>
      </c>
      <c r="C2427" s="1">
        <v>24</v>
      </c>
      <c r="D2427" s="1" t="str">
        <f t="shared" si="38"/>
        <v>Yes</v>
      </c>
      <c r="E2427" s="1">
        <v>11.8</v>
      </c>
      <c r="F2427" s="1">
        <v>209</v>
      </c>
      <c r="G2427" s="1" t="s">
        <v>111</v>
      </c>
      <c r="H2427" s="1" t="s">
        <v>95</v>
      </c>
      <c r="I2427" s="1">
        <v>19.399999999999999</v>
      </c>
      <c r="J2427" s="1" t="s">
        <v>95</v>
      </c>
      <c r="M2427" s="1" t="s">
        <v>101</v>
      </c>
      <c r="O2427" s="1">
        <v>2</v>
      </c>
    </row>
    <row r="2428" spans="1:16" ht="14.25" customHeight="1" x14ac:dyDescent="0.3">
      <c r="A2428" s="1" t="s">
        <v>990</v>
      </c>
      <c r="B2428" s="1">
        <v>12</v>
      </c>
      <c r="C2428" s="1">
        <v>3</v>
      </c>
      <c r="D2428" s="1" t="str">
        <f t="shared" si="38"/>
        <v>Yes</v>
      </c>
      <c r="E2428" s="1">
        <v>11</v>
      </c>
      <c r="F2428" s="1">
        <v>12</v>
      </c>
      <c r="G2428" s="1" t="s">
        <v>111</v>
      </c>
      <c r="H2428" s="1" t="s">
        <v>95</v>
      </c>
      <c r="I2428" s="1">
        <v>17.399999999999999</v>
      </c>
      <c r="J2428" s="1" t="s">
        <v>95</v>
      </c>
      <c r="M2428" s="1" t="s">
        <v>101</v>
      </c>
      <c r="O2428" s="1">
        <v>3</v>
      </c>
    </row>
    <row r="2429" spans="1:16" ht="14.25" customHeight="1" x14ac:dyDescent="0.3">
      <c r="A2429" s="1" t="s">
        <v>990</v>
      </c>
      <c r="B2429" s="1">
        <v>12</v>
      </c>
      <c r="C2429" s="1">
        <v>13</v>
      </c>
      <c r="D2429" s="1" t="str">
        <f t="shared" si="38"/>
        <v>Yes</v>
      </c>
      <c r="E2429" s="1">
        <v>11.6</v>
      </c>
      <c r="F2429" s="1">
        <v>106</v>
      </c>
      <c r="G2429" s="1" t="s">
        <v>111</v>
      </c>
      <c r="H2429" s="1" t="s">
        <v>95</v>
      </c>
      <c r="I2429" s="1">
        <v>15.3</v>
      </c>
      <c r="J2429" s="1" t="s">
        <v>95</v>
      </c>
      <c r="M2429" s="1" t="s">
        <v>101</v>
      </c>
      <c r="O2429" s="1">
        <v>1</v>
      </c>
    </row>
    <row r="2430" spans="1:16" ht="14.25" customHeight="1" x14ac:dyDescent="0.3">
      <c r="A2430" s="1" t="s">
        <v>990</v>
      </c>
      <c r="B2430" s="1">
        <v>12</v>
      </c>
      <c r="C2430" s="1">
        <v>15</v>
      </c>
      <c r="D2430" s="1" t="str">
        <f t="shared" si="38"/>
        <v>Yes</v>
      </c>
      <c r="E2430" s="1">
        <v>12.3</v>
      </c>
      <c r="F2430" s="1">
        <v>120</v>
      </c>
      <c r="G2430" s="1" t="s">
        <v>111</v>
      </c>
      <c r="H2430" s="1" t="s">
        <v>95</v>
      </c>
      <c r="I2430" s="1">
        <v>14.4</v>
      </c>
      <c r="J2430" s="1" t="s">
        <v>95</v>
      </c>
      <c r="M2430" s="1" t="s">
        <v>101</v>
      </c>
      <c r="O2430" s="1">
        <v>1</v>
      </c>
    </row>
    <row r="2431" spans="1:16" ht="14.25" customHeight="1" x14ac:dyDescent="0.3">
      <c r="A2431" s="1" t="s">
        <v>990</v>
      </c>
      <c r="B2431" s="1">
        <v>12</v>
      </c>
      <c r="C2431" s="1">
        <v>1</v>
      </c>
      <c r="D2431" s="1" t="str">
        <f t="shared" si="38"/>
        <v>Yes</v>
      </c>
      <c r="E2431" s="1">
        <v>8.6</v>
      </c>
      <c r="F2431" s="1">
        <v>2</v>
      </c>
      <c r="G2431" s="1" t="s">
        <v>106</v>
      </c>
      <c r="H2431" s="1" t="s">
        <v>95</v>
      </c>
      <c r="I2431" s="1">
        <v>63</v>
      </c>
      <c r="J2431" s="1" t="s">
        <v>101</v>
      </c>
      <c r="M2431" s="1" t="s">
        <v>102</v>
      </c>
      <c r="O2431" s="1">
        <v>5</v>
      </c>
    </row>
    <row r="2432" spans="1:16" ht="14.25" customHeight="1" x14ac:dyDescent="0.3">
      <c r="A2432" s="1" t="s">
        <v>990</v>
      </c>
      <c r="B2432" s="1">
        <v>12</v>
      </c>
      <c r="C2432" s="1">
        <v>20</v>
      </c>
      <c r="D2432" s="1" t="str">
        <f t="shared" si="38"/>
        <v>Yes</v>
      </c>
      <c r="E2432" s="1">
        <v>11.1</v>
      </c>
      <c r="F2432" s="1">
        <v>192</v>
      </c>
      <c r="G2432" s="1" t="s">
        <v>106</v>
      </c>
      <c r="H2432" s="1" t="s">
        <v>95</v>
      </c>
      <c r="I2432" s="1">
        <v>34.9</v>
      </c>
      <c r="J2432" s="1" t="s">
        <v>95</v>
      </c>
      <c r="M2432" s="1" t="s">
        <v>102</v>
      </c>
      <c r="O2432" s="1">
        <v>1</v>
      </c>
    </row>
    <row r="2433" spans="1:18" ht="14.25" customHeight="1" x14ac:dyDescent="0.3">
      <c r="A2433" s="1" t="s">
        <v>990</v>
      </c>
      <c r="B2433" s="1">
        <v>12</v>
      </c>
      <c r="C2433" s="1">
        <v>23</v>
      </c>
      <c r="D2433" s="1" t="str">
        <f t="shared" si="38"/>
        <v>Yes</v>
      </c>
      <c r="E2433" s="1">
        <v>8.5</v>
      </c>
      <c r="F2433" s="1">
        <v>213</v>
      </c>
      <c r="G2433" s="1" t="s">
        <v>106</v>
      </c>
      <c r="H2433" s="1" t="s">
        <v>95</v>
      </c>
      <c r="I2433" s="1">
        <v>26.2</v>
      </c>
      <c r="J2433" s="1" t="s">
        <v>95</v>
      </c>
      <c r="M2433" s="1" t="s">
        <v>101</v>
      </c>
      <c r="O2433" s="1">
        <v>2</v>
      </c>
    </row>
    <row r="2434" spans="1:18" ht="14.25" customHeight="1" x14ac:dyDescent="0.3">
      <c r="A2434" s="1" t="s">
        <v>990</v>
      </c>
      <c r="B2434" s="1">
        <v>12</v>
      </c>
      <c r="C2434" s="1">
        <v>16</v>
      </c>
      <c r="D2434" s="1" t="str">
        <f t="shared" si="38"/>
        <v>Yes</v>
      </c>
      <c r="E2434" s="1">
        <v>6.7</v>
      </c>
      <c r="F2434" s="1">
        <v>146</v>
      </c>
      <c r="G2434" s="1" t="s">
        <v>106</v>
      </c>
      <c r="H2434" s="1" t="s">
        <v>95</v>
      </c>
      <c r="I2434" s="1">
        <v>25.6</v>
      </c>
      <c r="J2434" s="1" t="s">
        <v>95</v>
      </c>
      <c r="M2434" s="1" t="s">
        <v>101</v>
      </c>
      <c r="O2434" s="1">
        <v>1</v>
      </c>
    </row>
    <row r="2435" spans="1:18" ht="14.25" customHeight="1" x14ac:dyDescent="0.3">
      <c r="A2435" s="1" t="s">
        <v>990</v>
      </c>
      <c r="B2435" s="1">
        <v>12</v>
      </c>
      <c r="C2435" s="1">
        <v>7</v>
      </c>
      <c r="D2435" s="1" t="str">
        <f t="shared" si="38"/>
        <v>Yes</v>
      </c>
      <c r="E2435" s="1">
        <v>8.8000000000000007</v>
      </c>
      <c r="F2435" s="1">
        <v>26</v>
      </c>
      <c r="G2435" s="1" t="s">
        <v>106</v>
      </c>
      <c r="H2435" s="1" t="s">
        <v>95</v>
      </c>
      <c r="I2435" s="1">
        <v>22</v>
      </c>
      <c r="J2435" s="1" t="s">
        <v>101</v>
      </c>
      <c r="M2435" s="1" t="s">
        <v>101</v>
      </c>
      <c r="O2435" s="1">
        <v>5</v>
      </c>
    </row>
    <row r="2436" spans="1:18" ht="14.25" customHeight="1" x14ac:dyDescent="0.3">
      <c r="A2436" s="1" t="s">
        <v>990</v>
      </c>
      <c r="B2436" s="1">
        <v>12</v>
      </c>
      <c r="C2436" s="1">
        <v>17</v>
      </c>
      <c r="D2436" s="1" t="str">
        <f t="shared" si="38"/>
        <v>Yes</v>
      </c>
      <c r="E2436" s="1">
        <v>6.5</v>
      </c>
      <c r="F2436" s="1">
        <v>151</v>
      </c>
      <c r="G2436" s="1" t="s">
        <v>106</v>
      </c>
      <c r="H2436" s="1" t="s">
        <v>95</v>
      </c>
      <c r="I2436" s="1">
        <v>17</v>
      </c>
      <c r="J2436" s="1" t="s">
        <v>101</v>
      </c>
      <c r="M2436" s="1" t="s">
        <v>101</v>
      </c>
      <c r="O2436" s="1">
        <v>5</v>
      </c>
    </row>
    <row r="2437" spans="1:18" ht="14.25" customHeight="1" x14ac:dyDescent="0.3">
      <c r="A2437" s="1" t="s">
        <v>990</v>
      </c>
      <c r="B2437" s="1">
        <v>12</v>
      </c>
      <c r="C2437" s="1">
        <v>6</v>
      </c>
      <c r="D2437" s="1" t="str">
        <f t="shared" si="38"/>
        <v>Yes</v>
      </c>
      <c r="E2437" s="1">
        <v>8.8000000000000007</v>
      </c>
      <c r="F2437" s="1">
        <v>22</v>
      </c>
      <c r="G2437" s="1" t="s">
        <v>106</v>
      </c>
      <c r="H2437" s="1" t="s">
        <v>95</v>
      </c>
      <c r="I2437" s="1">
        <v>14</v>
      </c>
      <c r="J2437" s="1" t="s">
        <v>101</v>
      </c>
      <c r="M2437" s="1" t="s">
        <v>101</v>
      </c>
      <c r="O2437" s="1">
        <v>5</v>
      </c>
    </row>
    <row r="2438" spans="1:18" ht="14.25" customHeight="1" x14ac:dyDescent="0.3">
      <c r="A2438" s="1" t="s">
        <v>990</v>
      </c>
      <c r="B2438" s="1">
        <v>12</v>
      </c>
      <c r="C2438" s="1">
        <v>4</v>
      </c>
      <c r="D2438" s="1" t="str">
        <f t="shared" si="38"/>
        <v>Yes</v>
      </c>
      <c r="E2438" s="1">
        <v>6.5</v>
      </c>
      <c r="F2438" s="1">
        <v>16</v>
      </c>
      <c r="G2438" s="1" t="s">
        <v>106</v>
      </c>
      <c r="H2438" s="1" t="s">
        <v>95</v>
      </c>
      <c r="I2438" s="1">
        <v>8.9</v>
      </c>
      <c r="J2438" s="1" t="s">
        <v>95</v>
      </c>
      <c r="M2438" s="1" t="s">
        <v>101</v>
      </c>
      <c r="O2438" s="1">
        <v>3</v>
      </c>
    </row>
    <row r="2439" spans="1:18" ht="14.25" customHeight="1" x14ac:dyDescent="0.3">
      <c r="A2439" s="1" t="s">
        <v>990</v>
      </c>
      <c r="B2439" s="1">
        <v>12</v>
      </c>
      <c r="C2439" s="1">
        <v>5</v>
      </c>
      <c r="D2439" s="1" t="str">
        <f t="shared" si="38"/>
        <v>Yes</v>
      </c>
      <c r="E2439" s="1">
        <v>5</v>
      </c>
      <c r="F2439" s="1">
        <v>22</v>
      </c>
      <c r="G2439" s="1" t="s">
        <v>93</v>
      </c>
      <c r="H2439" s="1" t="s">
        <v>95</v>
      </c>
      <c r="I2439" s="1">
        <v>10.1</v>
      </c>
      <c r="J2439" s="1" t="s">
        <v>95</v>
      </c>
      <c r="M2439" s="1" t="s">
        <v>101</v>
      </c>
      <c r="O2439" s="1">
        <v>3</v>
      </c>
    </row>
    <row r="2440" spans="1:18" ht="14.25" customHeight="1" x14ac:dyDescent="0.3">
      <c r="A2440" s="1" t="s">
        <v>990</v>
      </c>
      <c r="B2440" s="1">
        <v>12</v>
      </c>
      <c r="C2440" s="1">
        <v>9</v>
      </c>
      <c r="D2440" s="1" t="str">
        <f t="shared" si="38"/>
        <v>Yes</v>
      </c>
      <c r="E2440" s="1">
        <v>9.5</v>
      </c>
      <c r="F2440" s="1">
        <v>26</v>
      </c>
      <c r="G2440" s="1" t="s">
        <v>93</v>
      </c>
      <c r="H2440" s="1" t="s">
        <v>95</v>
      </c>
      <c r="I2440" s="1">
        <v>9.3000000000000007</v>
      </c>
      <c r="J2440" s="1" t="s">
        <v>95</v>
      </c>
      <c r="M2440" s="1" t="s">
        <v>101</v>
      </c>
      <c r="O2440" s="1">
        <v>3</v>
      </c>
    </row>
    <row r="2441" spans="1:18" ht="14.25" customHeight="1" x14ac:dyDescent="0.3">
      <c r="A2441" s="1" t="s">
        <v>990</v>
      </c>
      <c r="B2441" s="1">
        <v>13</v>
      </c>
      <c r="C2441" s="1">
        <v>27</v>
      </c>
      <c r="D2441" s="1" t="str">
        <f t="shared" si="38"/>
        <v>Yes</v>
      </c>
      <c r="E2441" s="1">
        <v>8.4</v>
      </c>
      <c r="F2441" s="1">
        <v>230</v>
      </c>
      <c r="G2441" s="1" t="s">
        <v>98</v>
      </c>
      <c r="H2441" s="1" t="s">
        <v>95</v>
      </c>
      <c r="I2441" s="1">
        <v>52.6</v>
      </c>
      <c r="J2441" s="1" t="s">
        <v>95</v>
      </c>
      <c r="M2441" s="1" t="s">
        <v>102</v>
      </c>
      <c r="O2441" s="1">
        <v>3</v>
      </c>
    </row>
    <row r="2442" spans="1:18" ht="14.25" customHeight="1" x14ac:dyDescent="0.3">
      <c r="A2442" s="1" t="s">
        <v>990</v>
      </c>
      <c r="B2442" s="1">
        <v>13</v>
      </c>
      <c r="C2442" s="1">
        <v>19</v>
      </c>
      <c r="D2442" s="1" t="str">
        <f t="shared" si="38"/>
        <v>Yes</v>
      </c>
      <c r="E2442" s="1">
        <v>10.199999999999999</v>
      </c>
      <c r="F2442" s="1">
        <v>182</v>
      </c>
      <c r="G2442" s="1" t="s">
        <v>98</v>
      </c>
      <c r="H2442" s="1" t="s">
        <v>95</v>
      </c>
      <c r="I2442" s="1">
        <v>23.8</v>
      </c>
      <c r="J2442" s="1" t="s">
        <v>95</v>
      </c>
      <c r="M2442" s="1" t="s">
        <v>102</v>
      </c>
      <c r="O2442" s="1">
        <v>3</v>
      </c>
    </row>
    <row r="2443" spans="1:18" ht="14.25" customHeight="1" x14ac:dyDescent="0.3">
      <c r="A2443" s="1" t="s">
        <v>990</v>
      </c>
      <c r="B2443" s="1">
        <v>13</v>
      </c>
      <c r="C2443" s="1">
        <v>28</v>
      </c>
      <c r="D2443" s="1" t="str">
        <f t="shared" si="38"/>
        <v>Yes</v>
      </c>
      <c r="E2443" s="1">
        <v>6.2</v>
      </c>
      <c r="F2443" s="1">
        <v>235</v>
      </c>
      <c r="G2443" s="1" t="s">
        <v>109</v>
      </c>
      <c r="H2443" s="1" t="s">
        <v>95</v>
      </c>
      <c r="I2443" s="1">
        <v>90</v>
      </c>
      <c r="J2443" s="1" t="s">
        <v>97</v>
      </c>
      <c r="M2443" s="1" t="s">
        <v>97</v>
      </c>
      <c r="O2443" s="1">
        <v>5</v>
      </c>
      <c r="Q2443" s="1" t="s">
        <v>162</v>
      </c>
    </row>
    <row r="2444" spans="1:18" ht="14.25" customHeight="1" x14ac:dyDescent="0.3">
      <c r="A2444" s="1" t="s">
        <v>990</v>
      </c>
      <c r="B2444" s="1">
        <v>13</v>
      </c>
      <c r="C2444" s="1">
        <v>7</v>
      </c>
      <c r="D2444" s="1" t="str">
        <f t="shared" si="38"/>
        <v>Yes</v>
      </c>
      <c r="E2444" s="1">
        <v>10.199999999999999</v>
      </c>
      <c r="F2444" s="1">
        <v>41</v>
      </c>
      <c r="G2444" s="1" t="s">
        <v>109</v>
      </c>
      <c r="H2444" s="1" t="s">
        <v>95</v>
      </c>
      <c r="I2444" s="19">
        <v>80.400000000000006</v>
      </c>
      <c r="J2444" s="1" t="s">
        <v>95</v>
      </c>
      <c r="M2444" s="1" t="s">
        <v>97</v>
      </c>
      <c r="O2444" s="1">
        <v>1</v>
      </c>
    </row>
    <row r="2445" spans="1:18" ht="14.25" customHeight="1" x14ac:dyDescent="0.3">
      <c r="A2445" s="1" t="s">
        <v>990</v>
      </c>
      <c r="B2445" s="1">
        <v>13</v>
      </c>
      <c r="C2445" s="1">
        <v>3</v>
      </c>
      <c r="D2445" s="1" t="str">
        <f t="shared" si="38"/>
        <v>Yes</v>
      </c>
      <c r="E2445" s="1">
        <v>8.3000000000000007</v>
      </c>
      <c r="F2445" s="1">
        <v>17</v>
      </c>
      <c r="G2445" s="1" t="s">
        <v>109</v>
      </c>
      <c r="H2445" s="1" t="s">
        <v>95</v>
      </c>
      <c r="I2445" s="1">
        <v>64.900000000000006</v>
      </c>
      <c r="J2445" s="1" t="s">
        <v>95</v>
      </c>
      <c r="M2445" s="1" t="s">
        <v>97</v>
      </c>
      <c r="O2445" s="1">
        <v>1</v>
      </c>
      <c r="P2445" s="1">
        <v>614</v>
      </c>
      <c r="R2445" s="1"/>
    </row>
    <row r="2446" spans="1:18" ht="14.25" customHeight="1" x14ac:dyDescent="0.3">
      <c r="A2446" s="1" t="s">
        <v>990</v>
      </c>
      <c r="B2446" s="1">
        <v>13</v>
      </c>
      <c r="C2446" s="1">
        <v>34</v>
      </c>
      <c r="D2446" s="1" t="str">
        <f t="shared" si="38"/>
        <v>Yes</v>
      </c>
      <c r="E2446" s="1">
        <v>7.1</v>
      </c>
      <c r="F2446" s="1">
        <v>297</v>
      </c>
      <c r="G2446" s="1" t="s">
        <v>109</v>
      </c>
      <c r="H2446" s="1" t="s">
        <v>95</v>
      </c>
      <c r="I2446" s="1">
        <v>60.9</v>
      </c>
      <c r="J2446" s="1" t="s">
        <v>97</v>
      </c>
      <c r="M2446" s="1" t="s">
        <v>102</v>
      </c>
      <c r="O2446" s="1">
        <v>5</v>
      </c>
    </row>
    <row r="2447" spans="1:18" ht="14.25" customHeight="1" x14ac:dyDescent="0.3">
      <c r="A2447" s="1" t="s">
        <v>990</v>
      </c>
      <c r="B2447" s="1">
        <v>13</v>
      </c>
      <c r="C2447" s="1">
        <v>33</v>
      </c>
      <c r="D2447" s="1" t="str">
        <f t="shared" si="38"/>
        <v>Yes</v>
      </c>
      <c r="E2447" s="1">
        <v>8.1</v>
      </c>
      <c r="F2447" s="1">
        <v>285</v>
      </c>
      <c r="G2447" s="1" t="s">
        <v>109</v>
      </c>
      <c r="H2447" s="1" t="s">
        <v>95</v>
      </c>
      <c r="I2447" s="1">
        <v>32.200000000000003</v>
      </c>
      <c r="J2447" s="1" t="s">
        <v>95</v>
      </c>
      <c r="M2447" s="1" t="s">
        <v>101</v>
      </c>
      <c r="O2447" s="1">
        <v>5</v>
      </c>
    </row>
    <row r="2448" spans="1:18" ht="14.25" customHeight="1" x14ac:dyDescent="0.3">
      <c r="A2448" s="1" t="s">
        <v>990</v>
      </c>
      <c r="B2448" s="1">
        <v>13</v>
      </c>
      <c r="C2448" s="1">
        <v>2</v>
      </c>
      <c r="D2448" s="1" t="str">
        <f t="shared" si="38"/>
        <v>Yes</v>
      </c>
      <c r="E2448" s="1">
        <v>8</v>
      </c>
      <c r="F2448" s="1">
        <v>8</v>
      </c>
      <c r="G2448" s="1" t="s">
        <v>109</v>
      </c>
      <c r="H2448" s="1" t="s">
        <v>95</v>
      </c>
      <c r="I2448" s="1">
        <v>27.1</v>
      </c>
      <c r="J2448" s="1" t="s">
        <v>95</v>
      </c>
      <c r="M2448" s="1" t="s">
        <v>101</v>
      </c>
      <c r="O2448" s="1">
        <v>2</v>
      </c>
    </row>
    <row r="2449" spans="1:15" ht="14.25" customHeight="1" x14ac:dyDescent="0.3">
      <c r="A2449" s="1" t="s">
        <v>990</v>
      </c>
      <c r="B2449" s="1">
        <v>13</v>
      </c>
      <c r="C2449" s="1">
        <v>6</v>
      </c>
      <c r="D2449" s="1" t="str">
        <f t="shared" si="38"/>
        <v>Yes</v>
      </c>
      <c r="E2449" s="1">
        <v>9.5</v>
      </c>
      <c r="F2449" s="1">
        <v>41</v>
      </c>
      <c r="G2449" s="1" t="s">
        <v>109</v>
      </c>
      <c r="H2449" s="1" t="s">
        <v>95</v>
      </c>
      <c r="I2449" s="1">
        <v>13.7</v>
      </c>
      <c r="J2449" s="1" t="s">
        <v>95</v>
      </c>
      <c r="M2449" s="1" t="s">
        <v>101</v>
      </c>
      <c r="O2449" s="1">
        <v>3</v>
      </c>
    </row>
    <row r="2450" spans="1:15" ht="14.25" customHeight="1" x14ac:dyDescent="0.3">
      <c r="A2450" s="1" t="s">
        <v>990</v>
      </c>
      <c r="B2450" s="1">
        <v>13</v>
      </c>
      <c r="C2450" s="1">
        <v>14</v>
      </c>
      <c r="D2450" s="1" t="str">
        <f t="shared" si="38"/>
        <v>Yes</v>
      </c>
      <c r="E2450" s="1">
        <v>5.0999999999999996</v>
      </c>
      <c r="F2450" s="1">
        <v>123</v>
      </c>
      <c r="G2450" s="1" t="s">
        <v>106</v>
      </c>
      <c r="H2450" s="1" t="s">
        <v>95</v>
      </c>
      <c r="I2450" s="1">
        <v>122.1</v>
      </c>
      <c r="J2450" s="1" t="s">
        <v>95</v>
      </c>
      <c r="M2450" s="1" t="s">
        <v>97</v>
      </c>
      <c r="O2450" s="1">
        <v>5</v>
      </c>
    </row>
    <row r="2451" spans="1:15" ht="14.25" customHeight="1" x14ac:dyDescent="0.3">
      <c r="A2451" s="1" t="s">
        <v>990</v>
      </c>
      <c r="B2451" s="1">
        <v>13</v>
      </c>
      <c r="C2451" s="1">
        <v>8</v>
      </c>
      <c r="D2451" s="1" t="str">
        <f t="shared" si="38"/>
        <v>Yes</v>
      </c>
      <c r="E2451" s="1">
        <v>9.6</v>
      </c>
      <c r="F2451" s="1">
        <v>61</v>
      </c>
      <c r="G2451" s="1" t="s">
        <v>106</v>
      </c>
      <c r="H2451" s="1" t="s">
        <v>95</v>
      </c>
      <c r="I2451" s="1">
        <v>34.200000000000003</v>
      </c>
      <c r="J2451" s="1" t="s">
        <v>95</v>
      </c>
      <c r="M2451" s="1" t="s">
        <v>101</v>
      </c>
      <c r="O2451" s="1">
        <v>2</v>
      </c>
    </row>
    <row r="2452" spans="1:15" ht="14.25" customHeight="1" x14ac:dyDescent="0.3">
      <c r="A2452" s="1" t="s">
        <v>990</v>
      </c>
      <c r="B2452" s="1">
        <v>13</v>
      </c>
      <c r="C2452" s="1">
        <v>30</v>
      </c>
      <c r="D2452" s="1" t="str">
        <f t="shared" si="38"/>
        <v>Yes</v>
      </c>
      <c r="E2452" s="1">
        <v>9.1999999999999993</v>
      </c>
      <c r="F2452" s="1">
        <v>238</v>
      </c>
      <c r="G2452" s="1" t="s">
        <v>106</v>
      </c>
      <c r="H2452" s="1" t="s">
        <v>95</v>
      </c>
      <c r="I2452" s="1">
        <v>34</v>
      </c>
      <c r="J2452" s="1" t="s">
        <v>97</v>
      </c>
      <c r="M2452" s="1" t="s">
        <v>102</v>
      </c>
      <c r="O2452" s="1">
        <v>5</v>
      </c>
    </row>
    <row r="2453" spans="1:15" ht="14.25" customHeight="1" x14ac:dyDescent="0.3">
      <c r="A2453" s="1" t="s">
        <v>990</v>
      </c>
      <c r="B2453" s="1">
        <v>13</v>
      </c>
      <c r="C2453" s="1">
        <v>1</v>
      </c>
      <c r="D2453" s="1" t="str">
        <f t="shared" si="38"/>
        <v>Yes</v>
      </c>
      <c r="E2453" s="1">
        <v>10.4</v>
      </c>
      <c r="F2453" s="1">
        <v>4</v>
      </c>
      <c r="G2453" s="1" t="s">
        <v>106</v>
      </c>
      <c r="H2453" s="1" t="s">
        <v>95</v>
      </c>
      <c r="I2453" s="1">
        <v>29</v>
      </c>
      <c r="J2453" s="1" t="s">
        <v>97</v>
      </c>
      <c r="M2453" s="1" t="s">
        <v>101</v>
      </c>
      <c r="O2453" s="1">
        <v>5</v>
      </c>
    </row>
    <row r="2454" spans="1:15" ht="14.25" customHeight="1" x14ac:dyDescent="0.3">
      <c r="A2454" s="1" t="s">
        <v>990</v>
      </c>
      <c r="B2454" s="1">
        <v>13</v>
      </c>
      <c r="C2454" s="1">
        <v>24</v>
      </c>
      <c r="D2454" s="1" t="str">
        <f t="shared" si="38"/>
        <v>Yes</v>
      </c>
      <c r="E2454" s="1">
        <v>11.4</v>
      </c>
      <c r="F2454" s="1">
        <v>206</v>
      </c>
      <c r="G2454" s="1" t="s">
        <v>106</v>
      </c>
      <c r="H2454" s="1" t="s">
        <v>95</v>
      </c>
      <c r="I2454" s="1">
        <v>24.9</v>
      </c>
      <c r="J2454" s="1" t="s">
        <v>95</v>
      </c>
      <c r="M2454" s="1" t="s">
        <v>101</v>
      </c>
      <c r="O2454" s="1">
        <v>2</v>
      </c>
    </row>
    <row r="2455" spans="1:15" ht="14.25" customHeight="1" x14ac:dyDescent="0.3">
      <c r="A2455" s="1" t="s">
        <v>990</v>
      </c>
      <c r="B2455" s="1">
        <v>13</v>
      </c>
      <c r="C2455" s="1">
        <v>9</v>
      </c>
      <c r="D2455" s="1" t="str">
        <f t="shared" si="38"/>
        <v>Yes</v>
      </c>
      <c r="E2455" s="1">
        <v>6.8</v>
      </c>
      <c r="F2455" s="1">
        <v>80</v>
      </c>
      <c r="G2455" s="1" t="s">
        <v>106</v>
      </c>
      <c r="H2455" s="1" t="s">
        <v>95</v>
      </c>
      <c r="I2455" s="1">
        <v>23.7</v>
      </c>
      <c r="J2455" s="1" t="s">
        <v>95</v>
      </c>
      <c r="M2455" s="1" t="s">
        <v>101</v>
      </c>
      <c r="O2455" s="1">
        <v>2</v>
      </c>
    </row>
    <row r="2456" spans="1:15" ht="14.25" customHeight="1" x14ac:dyDescent="0.3">
      <c r="A2456" s="1" t="s">
        <v>990</v>
      </c>
      <c r="B2456" s="1">
        <v>13</v>
      </c>
      <c r="C2456" s="1">
        <v>15</v>
      </c>
      <c r="D2456" s="1" t="str">
        <f t="shared" ref="D2456:D2478" si="39">IF(E2456&gt;12.5, "No", "Yes")</f>
        <v>Yes</v>
      </c>
      <c r="E2456" s="1">
        <v>8.4</v>
      </c>
      <c r="F2456" s="1">
        <v>148</v>
      </c>
      <c r="G2456" s="1" t="s">
        <v>106</v>
      </c>
      <c r="H2456" s="1" t="s">
        <v>95</v>
      </c>
      <c r="I2456" s="1">
        <v>23.4</v>
      </c>
      <c r="J2456" s="1" t="s">
        <v>95</v>
      </c>
      <c r="M2456" s="1" t="s">
        <v>101</v>
      </c>
      <c r="O2456" s="1">
        <v>2</v>
      </c>
    </row>
    <row r="2457" spans="1:15" ht="14.25" customHeight="1" x14ac:dyDescent="0.3">
      <c r="A2457" s="1" t="s">
        <v>990</v>
      </c>
      <c r="B2457" s="1">
        <v>13</v>
      </c>
      <c r="C2457" s="1">
        <v>36</v>
      </c>
      <c r="D2457" s="1" t="str">
        <f t="shared" si="39"/>
        <v>Yes</v>
      </c>
      <c r="E2457" s="1">
        <v>8.4</v>
      </c>
      <c r="F2457" s="1">
        <v>312</v>
      </c>
      <c r="G2457" s="1" t="s">
        <v>106</v>
      </c>
      <c r="H2457" s="1" t="s">
        <v>95</v>
      </c>
      <c r="I2457" s="1">
        <v>21.7</v>
      </c>
      <c r="J2457" s="1" t="s">
        <v>95</v>
      </c>
      <c r="M2457" s="1" t="s">
        <v>101</v>
      </c>
      <c r="O2457" s="1">
        <v>1</v>
      </c>
    </row>
    <row r="2458" spans="1:15" ht="14.25" customHeight="1" x14ac:dyDescent="0.3">
      <c r="A2458" s="1" t="s">
        <v>990</v>
      </c>
      <c r="B2458" s="1">
        <v>13</v>
      </c>
      <c r="C2458" s="1">
        <v>31</v>
      </c>
      <c r="D2458" s="1" t="str">
        <f t="shared" si="39"/>
        <v>Yes</v>
      </c>
      <c r="E2458" s="1">
        <v>7.2</v>
      </c>
      <c r="F2458" s="1">
        <v>271</v>
      </c>
      <c r="G2458" s="1" t="s">
        <v>106</v>
      </c>
      <c r="H2458" s="1" t="s">
        <v>95</v>
      </c>
      <c r="I2458" s="1">
        <v>18.5</v>
      </c>
      <c r="J2458" s="1" t="s">
        <v>95</v>
      </c>
      <c r="M2458" s="1" t="s">
        <v>101</v>
      </c>
      <c r="O2458" s="1">
        <v>1</v>
      </c>
    </row>
    <row r="2459" spans="1:15" ht="14.25" customHeight="1" x14ac:dyDescent="0.3">
      <c r="A2459" s="1" t="s">
        <v>990</v>
      </c>
      <c r="B2459" s="1">
        <v>13</v>
      </c>
      <c r="C2459" s="1">
        <v>4</v>
      </c>
      <c r="D2459" s="1" t="str">
        <f t="shared" si="39"/>
        <v>Yes</v>
      </c>
      <c r="E2459" s="1">
        <v>2.4</v>
      </c>
      <c r="F2459" s="1">
        <v>20</v>
      </c>
      <c r="G2459" s="1" t="s">
        <v>106</v>
      </c>
      <c r="H2459" s="1" t="s">
        <v>95</v>
      </c>
      <c r="I2459" s="1">
        <v>18.399999999999999</v>
      </c>
      <c r="J2459" s="1" t="s">
        <v>95</v>
      </c>
      <c r="M2459" s="1" t="s">
        <v>101</v>
      </c>
      <c r="O2459" s="1">
        <v>2</v>
      </c>
    </row>
    <row r="2460" spans="1:15" ht="14.25" customHeight="1" x14ac:dyDescent="0.3">
      <c r="A2460" s="1" t="s">
        <v>990</v>
      </c>
      <c r="B2460" s="1">
        <v>13</v>
      </c>
      <c r="C2460" s="1">
        <v>26</v>
      </c>
      <c r="D2460" s="1" t="str">
        <f t="shared" si="39"/>
        <v>Yes</v>
      </c>
      <c r="E2460" s="1">
        <v>11.3</v>
      </c>
      <c r="F2460" s="1">
        <v>230</v>
      </c>
      <c r="G2460" s="1" t="s">
        <v>106</v>
      </c>
      <c r="H2460" s="1" t="s">
        <v>95</v>
      </c>
      <c r="I2460" s="1">
        <v>17.5</v>
      </c>
      <c r="J2460" s="1" t="s">
        <v>95</v>
      </c>
      <c r="M2460" s="1" t="s">
        <v>101</v>
      </c>
      <c r="O2460" s="1">
        <v>2</v>
      </c>
    </row>
    <row r="2461" spans="1:15" ht="14.25" customHeight="1" x14ac:dyDescent="0.3">
      <c r="A2461" s="1" t="s">
        <v>990</v>
      </c>
      <c r="B2461" s="1">
        <v>13</v>
      </c>
      <c r="C2461" s="1">
        <v>5</v>
      </c>
      <c r="D2461" s="1" t="str">
        <f t="shared" si="39"/>
        <v>Yes</v>
      </c>
      <c r="E2461" s="1">
        <v>12</v>
      </c>
      <c r="F2461" s="1">
        <v>37</v>
      </c>
      <c r="G2461" s="1" t="s">
        <v>106</v>
      </c>
      <c r="H2461" s="1" t="s">
        <v>95</v>
      </c>
      <c r="I2461" s="17">
        <v>16.2</v>
      </c>
      <c r="J2461" s="1" t="s">
        <v>95</v>
      </c>
      <c r="M2461" s="1" t="s">
        <v>101</v>
      </c>
      <c r="O2461" s="1">
        <v>2</v>
      </c>
    </row>
    <row r="2462" spans="1:15" ht="14.25" customHeight="1" x14ac:dyDescent="0.3">
      <c r="A2462" s="1" t="s">
        <v>990</v>
      </c>
      <c r="B2462" s="1">
        <v>13</v>
      </c>
      <c r="C2462" s="1">
        <v>21</v>
      </c>
      <c r="D2462" s="1" t="str">
        <f t="shared" si="39"/>
        <v>Yes</v>
      </c>
      <c r="E2462" s="1">
        <v>10.199999999999999</v>
      </c>
      <c r="F2462" s="1">
        <v>198</v>
      </c>
      <c r="G2462" s="1" t="s">
        <v>106</v>
      </c>
      <c r="H2462" s="1" t="s">
        <v>95</v>
      </c>
      <c r="I2462" s="1">
        <v>14.5</v>
      </c>
      <c r="J2462" s="1" t="s">
        <v>95</v>
      </c>
      <c r="M2462" s="1" t="s">
        <v>101</v>
      </c>
      <c r="O2462" s="1">
        <v>2</v>
      </c>
    </row>
    <row r="2463" spans="1:15" ht="14.25" customHeight="1" x14ac:dyDescent="0.3">
      <c r="A2463" s="1" t="s">
        <v>990</v>
      </c>
      <c r="B2463" s="1">
        <v>13</v>
      </c>
      <c r="C2463" s="1">
        <v>10</v>
      </c>
      <c r="D2463" s="1" t="str">
        <f t="shared" si="39"/>
        <v>Yes</v>
      </c>
      <c r="E2463" s="1">
        <v>12.2</v>
      </c>
      <c r="F2463" s="1">
        <v>102</v>
      </c>
      <c r="G2463" s="1" t="s">
        <v>106</v>
      </c>
      <c r="H2463" s="1" t="s">
        <v>95</v>
      </c>
      <c r="I2463" s="1">
        <v>11.6</v>
      </c>
      <c r="J2463" s="1" t="s">
        <v>95</v>
      </c>
      <c r="M2463" s="1" t="s">
        <v>101</v>
      </c>
      <c r="O2463" s="1">
        <v>1</v>
      </c>
    </row>
    <row r="2464" spans="1:15" ht="14.25" customHeight="1" x14ac:dyDescent="0.3">
      <c r="A2464" s="1" t="s">
        <v>990</v>
      </c>
      <c r="B2464" s="1">
        <v>13</v>
      </c>
      <c r="C2464" s="1">
        <v>11</v>
      </c>
      <c r="D2464" s="1" t="str">
        <f t="shared" si="39"/>
        <v>Yes</v>
      </c>
      <c r="E2464" s="1">
        <v>12.1</v>
      </c>
      <c r="F2464" s="1">
        <v>115</v>
      </c>
      <c r="G2464" s="1" t="s">
        <v>106</v>
      </c>
      <c r="H2464" s="1" t="s">
        <v>95</v>
      </c>
      <c r="I2464" s="1">
        <v>11.2</v>
      </c>
      <c r="J2464" s="1" t="s">
        <v>101</v>
      </c>
      <c r="M2464" s="1" t="s">
        <v>101</v>
      </c>
      <c r="O2464" s="1">
        <v>5</v>
      </c>
    </row>
    <row r="2465" spans="1:18" ht="14.25" customHeight="1" x14ac:dyDescent="0.3">
      <c r="A2465" s="1" t="s">
        <v>990</v>
      </c>
      <c r="B2465" s="1">
        <v>13</v>
      </c>
      <c r="C2465" s="1">
        <v>16</v>
      </c>
      <c r="D2465" s="1" t="str">
        <f t="shared" si="39"/>
        <v>Yes</v>
      </c>
      <c r="E2465" s="1">
        <v>11.4</v>
      </c>
      <c r="F2465" s="1">
        <v>173</v>
      </c>
      <c r="G2465" s="1" t="s">
        <v>106</v>
      </c>
      <c r="H2465" s="1" t="s">
        <v>95</v>
      </c>
      <c r="I2465" s="1">
        <v>10.6</v>
      </c>
      <c r="J2465" s="1" t="s">
        <v>95</v>
      </c>
      <c r="M2465" s="1" t="s">
        <v>101</v>
      </c>
      <c r="O2465" s="1">
        <v>2</v>
      </c>
    </row>
    <row r="2466" spans="1:18" ht="14.25" customHeight="1" x14ac:dyDescent="0.3">
      <c r="A2466" s="1" t="s">
        <v>990</v>
      </c>
      <c r="B2466" s="1">
        <v>13</v>
      </c>
      <c r="C2466" s="1">
        <v>17</v>
      </c>
      <c r="D2466" s="1" t="str">
        <f t="shared" si="39"/>
        <v>Yes</v>
      </c>
      <c r="E2466" s="1">
        <v>12.1</v>
      </c>
      <c r="F2466" s="1">
        <v>182</v>
      </c>
      <c r="G2466" s="1" t="s">
        <v>106</v>
      </c>
      <c r="H2466" s="1" t="s">
        <v>95</v>
      </c>
      <c r="I2466" s="1">
        <v>10.4</v>
      </c>
      <c r="J2466" s="1" t="s">
        <v>95</v>
      </c>
      <c r="M2466" s="1" t="s">
        <v>101</v>
      </c>
      <c r="O2466" s="1">
        <v>3</v>
      </c>
    </row>
    <row r="2467" spans="1:18" ht="14.25" customHeight="1" x14ac:dyDescent="0.3">
      <c r="A2467" s="1" t="s">
        <v>990</v>
      </c>
      <c r="B2467">
        <v>13</v>
      </c>
      <c r="C2467" s="1">
        <v>37</v>
      </c>
      <c r="D2467" s="1" t="str">
        <f t="shared" si="39"/>
        <v>Yes</v>
      </c>
      <c r="E2467" s="1">
        <v>9.6999999999999993</v>
      </c>
      <c r="F2467" s="1">
        <v>350</v>
      </c>
      <c r="G2467" s="1" t="s">
        <v>106</v>
      </c>
      <c r="H2467" s="1" t="s">
        <v>95</v>
      </c>
      <c r="I2467" s="1">
        <v>10.4</v>
      </c>
      <c r="J2467" s="1" t="s">
        <v>95</v>
      </c>
      <c r="M2467" s="1" t="s">
        <v>101</v>
      </c>
      <c r="O2467" s="1">
        <v>2</v>
      </c>
    </row>
    <row r="2468" spans="1:18" ht="14.25" customHeight="1" x14ac:dyDescent="0.3">
      <c r="A2468" s="1" t="s">
        <v>990</v>
      </c>
      <c r="B2468" s="1">
        <v>13</v>
      </c>
      <c r="C2468" s="1">
        <v>18</v>
      </c>
      <c r="D2468" s="1" t="str">
        <f t="shared" si="39"/>
        <v>Yes</v>
      </c>
      <c r="E2468" s="1">
        <v>10.9</v>
      </c>
      <c r="F2468" s="1">
        <v>184</v>
      </c>
      <c r="G2468" s="1" t="s">
        <v>106</v>
      </c>
      <c r="H2468" s="1" t="s">
        <v>95</v>
      </c>
      <c r="I2468" s="1">
        <v>10.3</v>
      </c>
      <c r="J2468" s="1" t="s">
        <v>95</v>
      </c>
      <c r="M2468" s="1" t="s">
        <v>101</v>
      </c>
      <c r="O2468" s="1">
        <v>3</v>
      </c>
    </row>
    <row r="2469" spans="1:18" ht="14.25" customHeight="1" x14ac:dyDescent="0.3">
      <c r="A2469" s="1" t="s">
        <v>990</v>
      </c>
      <c r="B2469" s="1">
        <v>13</v>
      </c>
      <c r="C2469" s="1">
        <v>25</v>
      </c>
      <c r="D2469" s="1" t="str">
        <f t="shared" si="39"/>
        <v>Yes</v>
      </c>
      <c r="E2469" s="1">
        <v>3.7</v>
      </c>
      <c r="F2469" s="1">
        <v>223</v>
      </c>
      <c r="G2469" s="1" t="s">
        <v>106</v>
      </c>
      <c r="H2469" s="1" t="s">
        <v>95</v>
      </c>
      <c r="I2469" s="1">
        <v>9.1</v>
      </c>
      <c r="J2469" s="1" t="s">
        <v>95</v>
      </c>
      <c r="M2469" s="1" t="s">
        <v>101</v>
      </c>
      <c r="O2469" s="1">
        <v>3</v>
      </c>
    </row>
    <row r="2470" spans="1:18" ht="14.25" customHeight="1" x14ac:dyDescent="0.3">
      <c r="A2470" s="1" t="s">
        <v>990</v>
      </c>
      <c r="B2470" s="1">
        <v>13</v>
      </c>
      <c r="C2470" s="1">
        <v>20</v>
      </c>
      <c r="D2470" s="1" t="str">
        <f t="shared" si="39"/>
        <v>Yes</v>
      </c>
      <c r="E2470" s="1">
        <v>9.3000000000000007</v>
      </c>
      <c r="F2470" s="1">
        <v>185</v>
      </c>
      <c r="G2470" s="1" t="s">
        <v>106</v>
      </c>
      <c r="H2470" s="1" t="s">
        <v>95</v>
      </c>
      <c r="I2470" s="1">
        <v>9</v>
      </c>
      <c r="J2470" s="1" t="s">
        <v>95</v>
      </c>
      <c r="M2470" s="1" t="s">
        <v>101</v>
      </c>
      <c r="O2470" s="1">
        <v>3</v>
      </c>
    </row>
    <row r="2471" spans="1:18" ht="14.25" customHeight="1" x14ac:dyDescent="0.3">
      <c r="A2471" s="1" t="s">
        <v>990</v>
      </c>
      <c r="B2471" s="1">
        <v>13</v>
      </c>
      <c r="C2471" s="1">
        <v>12</v>
      </c>
      <c r="D2471" s="1" t="str">
        <f t="shared" si="39"/>
        <v>Yes</v>
      </c>
      <c r="E2471" s="1">
        <v>11.1</v>
      </c>
      <c r="F2471" s="1">
        <v>120</v>
      </c>
      <c r="G2471" s="1" t="s">
        <v>106</v>
      </c>
      <c r="H2471" s="1" t="s">
        <v>95</v>
      </c>
      <c r="I2471" s="1">
        <v>8.8000000000000007</v>
      </c>
      <c r="J2471" s="1" t="s">
        <v>95</v>
      </c>
      <c r="M2471" s="1" t="s">
        <v>101</v>
      </c>
      <c r="O2471" s="1">
        <v>2</v>
      </c>
    </row>
    <row r="2472" spans="1:18" ht="14.25" customHeight="1" x14ac:dyDescent="0.3">
      <c r="A2472" s="1" t="s">
        <v>990</v>
      </c>
      <c r="B2472">
        <v>13</v>
      </c>
      <c r="C2472" s="1">
        <v>38</v>
      </c>
      <c r="D2472" s="1" t="str">
        <f t="shared" si="39"/>
        <v>Yes</v>
      </c>
      <c r="E2472" s="1">
        <v>4.0999999999999996</v>
      </c>
      <c r="F2472" s="1">
        <v>346</v>
      </c>
      <c r="G2472" s="1" t="s">
        <v>106</v>
      </c>
      <c r="H2472" s="1" t="s">
        <v>95</v>
      </c>
      <c r="I2472" s="1">
        <v>7.6</v>
      </c>
      <c r="J2472" s="1" t="s">
        <v>95</v>
      </c>
      <c r="M2472" s="1" t="s">
        <v>101</v>
      </c>
      <c r="O2472" s="1">
        <v>3</v>
      </c>
    </row>
    <row r="2473" spans="1:18" ht="14.25" customHeight="1" x14ac:dyDescent="0.3">
      <c r="A2473" s="1" t="s">
        <v>990</v>
      </c>
      <c r="B2473" s="1">
        <v>13</v>
      </c>
      <c r="C2473" s="1">
        <v>13</v>
      </c>
      <c r="D2473" s="1" t="str">
        <f t="shared" si="39"/>
        <v>Yes</v>
      </c>
      <c r="E2473" s="1">
        <v>9.3000000000000007</v>
      </c>
      <c r="F2473" s="1">
        <v>117</v>
      </c>
      <c r="G2473" s="1" t="s">
        <v>93</v>
      </c>
      <c r="H2473" s="1" t="s">
        <v>95</v>
      </c>
      <c r="I2473" s="1">
        <v>80.900000000000006</v>
      </c>
      <c r="J2473" s="1" t="s">
        <v>95</v>
      </c>
      <c r="M2473" s="1" t="s">
        <v>97</v>
      </c>
      <c r="O2473" s="1">
        <v>1</v>
      </c>
      <c r="P2473" s="1">
        <v>616</v>
      </c>
    </row>
    <row r="2474" spans="1:18" ht="14.25" customHeight="1" x14ac:dyDescent="0.3">
      <c r="A2474" s="1" t="s">
        <v>990</v>
      </c>
      <c r="B2474" s="1">
        <v>13</v>
      </c>
      <c r="C2474" s="1">
        <v>35</v>
      </c>
      <c r="D2474" s="1" t="str">
        <f t="shared" si="39"/>
        <v>Yes</v>
      </c>
      <c r="E2474" s="1">
        <v>9.3000000000000007</v>
      </c>
      <c r="F2474" s="1">
        <v>302</v>
      </c>
      <c r="G2474" s="1" t="s">
        <v>93</v>
      </c>
      <c r="H2474" s="1" t="s">
        <v>95</v>
      </c>
      <c r="I2474" s="1">
        <v>31.3</v>
      </c>
      <c r="J2474" s="1" t="s">
        <v>95</v>
      </c>
      <c r="M2474" s="1" t="s">
        <v>102</v>
      </c>
      <c r="O2474" s="1">
        <v>5</v>
      </c>
    </row>
    <row r="2475" spans="1:18" ht="14.25" customHeight="1" x14ac:dyDescent="0.3">
      <c r="A2475" s="1" t="s">
        <v>990</v>
      </c>
      <c r="B2475" s="1">
        <v>13</v>
      </c>
      <c r="C2475" s="1">
        <v>32</v>
      </c>
      <c r="D2475" s="1" t="str">
        <f t="shared" si="39"/>
        <v>Yes</v>
      </c>
      <c r="E2475" s="1">
        <v>10.7</v>
      </c>
      <c r="F2475" s="1">
        <v>281</v>
      </c>
      <c r="G2475" s="1" t="s">
        <v>93</v>
      </c>
      <c r="H2475" s="1" t="s">
        <v>95</v>
      </c>
      <c r="I2475" s="1">
        <v>29.2</v>
      </c>
      <c r="J2475" s="1" t="s">
        <v>95</v>
      </c>
      <c r="M2475" s="1" t="s">
        <v>101</v>
      </c>
      <c r="O2475" s="1">
        <v>1</v>
      </c>
    </row>
    <row r="2476" spans="1:18" ht="14.25" customHeight="1" x14ac:dyDescent="0.3">
      <c r="A2476" s="1" t="s">
        <v>990</v>
      </c>
      <c r="B2476" s="1">
        <v>13</v>
      </c>
      <c r="C2476" s="1">
        <v>22</v>
      </c>
      <c r="D2476" s="1" t="str">
        <f t="shared" si="39"/>
        <v>Yes</v>
      </c>
      <c r="E2476" s="1">
        <v>7.3</v>
      </c>
      <c r="F2476" s="1">
        <v>194</v>
      </c>
      <c r="G2476" s="1" t="s">
        <v>93</v>
      </c>
      <c r="H2476" s="1" t="s">
        <v>95</v>
      </c>
      <c r="I2476" s="1">
        <v>17.7</v>
      </c>
      <c r="J2476" s="1" t="s">
        <v>95</v>
      </c>
      <c r="M2476" s="1" t="s">
        <v>101</v>
      </c>
      <c r="O2476" s="1">
        <v>2</v>
      </c>
    </row>
    <row r="2477" spans="1:18" ht="14.25" customHeight="1" x14ac:dyDescent="0.3">
      <c r="A2477" s="1" t="s">
        <v>990</v>
      </c>
      <c r="B2477" s="1">
        <v>13</v>
      </c>
      <c r="C2477" s="1">
        <v>29</v>
      </c>
      <c r="D2477" s="1" t="str">
        <f t="shared" si="39"/>
        <v>Yes</v>
      </c>
      <c r="E2477" s="1">
        <v>9.9</v>
      </c>
      <c r="F2477" s="1">
        <v>232</v>
      </c>
      <c r="G2477" s="1" t="s">
        <v>93</v>
      </c>
      <c r="H2477" s="1" t="s">
        <v>95</v>
      </c>
      <c r="I2477" s="1">
        <v>12.5</v>
      </c>
      <c r="J2477" s="1" t="s">
        <v>95</v>
      </c>
      <c r="M2477" s="1" t="s">
        <v>101</v>
      </c>
      <c r="O2477" s="1">
        <v>3</v>
      </c>
      <c r="R2477" s="1"/>
    </row>
    <row r="2478" spans="1:18" ht="14.25" customHeight="1" x14ac:dyDescent="0.3">
      <c r="A2478" s="1" t="s">
        <v>990</v>
      </c>
      <c r="B2478" s="17">
        <v>13</v>
      </c>
      <c r="C2478" s="17">
        <v>23</v>
      </c>
      <c r="D2478" s="17" t="str">
        <f t="shared" si="39"/>
        <v>Yes</v>
      </c>
      <c r="E2478" s="17">
        <v>6.5</v>
      </c>
      <c r="F2478" s="17">
        <v>201</v>
      </c>
      <c r="G2478" s="17" t="s">
        <v>93</v>
      </c>
      <c r="H2478" s="17" t="s">
        <v>95</v>
      </c>
      <c r="I2478" s="17">
        <v>9.5</v>
      </c>
      <c r="J2478" s="17" t="s">
        <v>101</v>
      </c>
      <c r="K2478" s="20"/>
      <c r="L2478" s="20"/>
      <c r="M2478" s="17" t="s">
        <v>101</v>
      </c>
      <c r="N2478" s="20"/>
      <c r="O2478" s="17">
        <v>5</v>
      </c>
      <c r="P2478" s="20"/>
      <c r="Q2478" s="17" t="s">
        <v>162</v>
      </c>
      <c r="R2478" s="20"/>
    </row>
  </sheetData>
  <sortState xmlns:xlrd2="http://schemas.microsoft.com/office/spreadsheetml/2017/richdata2" ref="A2:Q2478">
    <sortCondition ref="A2:A2478"/>
    <sortCondition ref="B2:B2478"/>
    <sortCondition ref="D2:D2478"/>
    <sortCondition ref="H2:H2478"/>
    <sortCondition descending="1" ref="G2:G2478"/>
    <sortCondition descending="1" ref="I2:I2478"/>
  </sortState>
  <conditionalFormatting sqref="D1:D2478 F317:F373 F375:F401 F403:F431 F434:F557">
    <cfRule type="containsText" dxfId="0" priority="1" operator="containsText" text="No">
      <formula>NOT(ISERROR(SEARCH(("No"),(D1))))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4.44140625" defaultRowHeight="15" customHeight="1" x14ac:dyDescent="0.3"/>
  <cols>
    <col min="1" max="1" width="12.109375" bestFit="1" customWidth="1"/>
    <col min="2" max="2" width="6.6640625" bestFit="1" customWidth="1"/>
    <col min="3" max="3" width="11.33203125" customWidth="1"/>
    <col min="4" max="5" width="8.6640625" customWidth="1"/>
    <col min="6" max="6" width="9.33203125" customWidth="1"/>
    <col min="7" max="7" width="6.33203125" customWidth="1"/>
    <col min="8" max="8" width="9.33203125" bestFit="1" customWidth="1"/>
    <col min="9" max="9" width="6.6640625" bestFit="1" customWidth="1"/>
    <col min="10" max="10" width="11.88671875" bestFit="1" customWidth="1"/>
    <col min="11" max="11" width="6" bestFit="1" customWidth="1"/>
    <col min="12" max="12" width="13.88671875" bestFit="1" customWidth="1"/>
    <col min="13" max="14" width="8.109375" bestFit="1" customWidth="1"/>
    <col min="15" max="15" width="11.88671875" bestFit="1" customWidth="1"/>
    <col min="16" max="16" width="12.77734375" bestFit="1" customWidth="1"/>
    <col min="17" max="17" width="8.33203125" bestFit="1" customWidth="1"/>
    <col min="18" max="18" width="6.21875" bestFit="1" customWidth="1"/>
    <col min="19" max="19" width="9.5546875" customWidth="1"/>
    <col min="20" max="20" width="7" bestFit="1" customWidth="1"/>
    <col min="21" max="21" width="9.6640625" customWidth="1"/>
    <col min="22" max="22" width="10.6640625" customWidth="1"/>
    <col min="23" max="24" width="9.5546875" customWidth="1"/>
    <col min="25" max="26" width="7.33203125" bestFit="1" customWidth="1"/>
    <col min="27" max="27" width="5.88671875" bestFit="1" customWidth="1"/>
    <col min="28" max="28" width="9.33203125" bestFit="1" customWidth="1"/>
    <col min="29" max="30" width="8.6640625" customWidth="1"/>
    <col min="31" max="31" width="12.21875" bestFit="1" customWidth="1"/>
    <col min="32" max="32" width="11.44140625" bestFit="1" customWidth="1"/>
    <col min="33" max="33" width="8.6640625" customWidth="1"/>
    <col min="34" max="34" width="13.5546875" customWidth="1"/>
    <col min="35" max="36" width="9.5546875" customWidth="1"/>
    <col min="37" max="37" width="8.6640625" customWidth="1"/>
  </cols>
  <sheetData>
    <row r="1" spans="1:37" ht="14.25" customHeight="1" x14ac:dyDescent="0.3">
      <c r="A1" s="1" t="s">
        <v>0</v>
      </c>
      <c r="B1" s="1" t="s">
        <v>2</v>
      </c>
      <c r="C1" s="1" t="s">
        <v>228</v>
      </c>
      <c r="D1" s="1" t="s">
        <v>3</v>
      </c>
      <c r="E1" s="1" t="s">
        <v>4</v>
      </c>
      <c r="F1" t="s">
        <v>969</v>
      </c>
      <c r="G1" t="s">
        <v>6</v>
      </c>
      <c r="H1" t="s">
        <v>968</v>
      </c>
      <c r="I1" t="s">
        <v>790</v>
      </c>
      <c r="J1" t="s">
        <v>782</v>
      </c>
      <c r="K1" s="1" t="s">
        <v>84</v>
      </c>
      <c r="L1" s="61" t="s">
        <v>981</v>
      </c>
      <c r="M1" s="1" t="s">
        <v>811</v>
      </c>
      <c r="N1" s="1" t="s">
        <v>229</v>
      </c>
      <c r="O1" s="1" t="s">
        <v>992</v>
      </c>
      <c r="P1" s="1" t="s">
        <v>993</v>
      </c>
      <c r="Q1" s="1" t="s">
        <v>810</v>
      </c>
      <c r="R1" s="1" t="s">
        <v>991</v>
      </c>
      <c r="S1" s="10" t="s">
        <v>85</v>
      </c>
      <c r="T1" s="1" t="s">
        <v>89</v>
      </c>
      <c r="U1" s="1" t="s">
        <v>230</v>
      </c>
      <c r="V1" s="1" t="s">
        <v>231</v>
      </c>
      <c r="W1" s="1" t="s">
        <v>232</v>
      </c>
      <c r="X1" t="s">
        <v>977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979</v>
      </c>
      <c r="AF1" s="1" t="s">
        <v>980</v>
      </c>
      <c r="AG1" s="1" t="s">
        <v>239</v>
      </c>
      <c r="AH1" s="1" t="s">
        <v>241</v>
      </c>
      <c r="AI1" s="1" t="s">
        <v>240</v>
      </c>
      <c r="AJ1" t="s">
        <v>986</v>
      </c>
      <c r="AK1" s="1" t="s">
        <v>42</v>
      </c>
    </row>
    <row r="2" spans="1:37" ht="14.25" customHeight="1" x14ac:dyDescent="0.3">
      <c r="A2" s="1" t="s">
        <v>43</v>
      </c>
      <c r="B2" s="1">
        <v>1</v>
      </c>
      <c r="C2" s="1" t="s">
        <v>242</v>
      </c>
      <c r="D2" s="1">
        <v>358720</v>
      </c>
      <c r="E2" s="1">
        <v>3982893</v>
      </c>
      <c r="F2">
        <v>1908</v>
      </c>
      <c r="G2" s="1">
        <v>24</v>
      </c>
      <c r="H2" s="1">
        <v>132</v>
      </c>
      <c r="I2">
        <v>295</v>
      </c>
      <c r="J2" s="71">
        <v>2</v>
      </c>
      <c r="K2" s="1">
        <v>0</v>
      </c>
      <c r="M2" s="1">
        <v>2</v>
      </c>
      <c r="N2" s="1" t="s">
        <v>243</v>
      </c>
      <c r="O2" s="1">
        <v>19.600000000000001</v>
      </c>
      <c r="Q2" s="1">
        <v>41</v>
      </c>
      <c r="S2" s="10">
        <v>121.1</v>
      </c>
      <c r="T2" s="1" t="s">
        <v>95</v>
      </c>
      <c r="U2" s="1">
        <v>0</v>
      </c>
      <c r="V2" s="1">
        <v>100</v>
      </c>
      <c r="W2" s="1">
        <v>0</v>
      </c>
      <c r="X2" s="1">
        <f>100-U2</f>
        <v>100</v>
      </c>
      <c r="Y2" s="1">
        <v>0</v>
      </c>
      <c r="Z2">
        <v>0</v>
      </c>
      <c r="AA2" s="1" t="s">
        <v>45</v>
      </c>
      <c r="AB2" s="1">
        <v>1</v>
      </c>
      <c r="AD2" s="1">
        <v>50</v>
      </c>
      <c r="AE2" s="1">
        <v>10</v>
      </c>
      <c r="AF2" s="1">
        <v>0</v>
      </c>
      <c r="AG2" s="1">
        <v>1</v>
      </c>
      <c r="AI2" s="1" t="s">
        <v>44</v>
      </c>
      <c r="AJ2">
        <v>1</v>
      </c>
      <c r="AK2" s="1" t="s">
        <v>244</v>
      </c>
    </row>
    <row r="3" spans="1:37" ht="14.25" customHeight="1" x14ac:dyDescent="0.3">
      <c r="A3" s="1" t="s">
        <v>43</v>
      </c>
      <c r="B3" s="1">
        <v>2</v>
      </c>
      <c r="C3" s="1" t="s">
        <v>245</v>
      </c>
      <c r="D3" s="1">
        <v>358666</v>
      </c>
      <c r="E3" s="1">
        <v>3982936</v>
      </c>
      <c r="F3">
        <v>1894</v>
      </c>
      <c r="G3" s="1">
        <v>34</v>
      </c>
      <c r="H3" s="1">
        <v>148</v>
      </c>
      <c r="I3">
        <v>287</v>
      </c>
      <c r="J3" s="71">
        <v>2</v>
      </c>
      <c r="K3" s="1">
        <v>1</v>
      </c>
      <c r="M3" s="1">
        <v>2</v>
      </c>
      <c r="N3" s="1" t="s">
        <v>153</v>
      </c>
      <c r="O3" s="1">
        <v>12.5</v>
      </c>
      <c r="P3" s="1">
        <v>12.5</v>
      </c>
      <c r="Q3" s="1">
        <v>59.6</v>
      </c>
      <c r="S3" s="10">
        <v>337.4</v>
      </c>
      <c r="T3" s="1" t="s">
        <v>95</v>
      </c>
      <c r="U3" s="1">
        <v>95</v>
      </c>
      <c r="V3" s="1">
        <v>5</v>
      </c>
      <c r="W3" s="1">
        <v>0</v>
      </c>
      <c r="X3" s="1">
        <f>100-U3</f>
        <v>5</v>
      </c>
      <c r="Y3" s="1">
        <v>0</v>
      </c>
      <c r="Z3" s="1">
        <v>0</v>
      </c>
      <c r="AA3" s="1" t="s">
        <v>45</v>
      </c>
      <c r="AB3" s="1">
        <v>4</v>
      </c>
      <c r="AE3" s="1">
        <v>0</v>
      </c>
      <c r="AF3" s="1">
        <v>0</v>
      </c>
      <c r="AG3" s="1">
        <v>1</v>
      </c>
      <c r="AI3" s="1" t="s">
        <v>51</v>
      </c>
      <c r="AJ3">
        <v>1</v>
      </c>
      <c r="AK3" s="1" t="s">
        <v>246</v>
      </c>
    </row>
    <row r="4" spans="1:37" ht="14.25" customHeight="1" x14ac:dyDescent="0.3">
      <c r="A4" s="1" t="s">
        <v>43</v>
      </c>
      <c r="B4" s="1">
        <v>2</v>
      </c>
      <c r="C4" s="1" t="s">
        <v>247</v>
      </c>
      <c r="D4" s="1">
        <v>358688</v>
      </c>
      <c r="E4" s="1">
        <v>3983003</v>
      </c>
      <c r="F4">
        <v>1894</v>
      </c>
      <c r="G4" s="1">
        <v>34</v>
      </c>
      <c r="H4" s="1">
        <v>148</v>
      </c>
      <c r="I4">
        <v>307</v>
      </c>
      <c r="J4" s="71">
        <v>2</v>
      </c>
      <c r="K4" s="1">
        <v>1</v>
      </c>
      <c r="M4" s="1">
        <v>2</v>
      </c>
      <c r="N4" s="1" t="s">
        <v>153</v>
      </c>
      <c r="O4" s="1">
        <v>8.5</v>
      </c>
      <c r="P4" s="1">
        <v>8.5</v>
      </c>
      <c r="Q4" s="1">
        <v>53.2</v>
      </c>
      <c r="S4" s="10">
        <v>206.9</v>
      </c>
      <c r="T4" s="1" t="s">
        <v>97</v>
      </c>
      <c r="U4" s="1">
        <v>95</v>
      </c>
      <c r="V4" s="1">
        <v>5</v>
      </c>
      <c r="W4" s="1">
        <v>0</v>
      </c>
      <c r="X4" s="1">
        <f>100-U4</f>
        <v>5</v>
      </c>
      <c r="Y4" s="1">
        <v>1</v>
      </c>
      <c r="Z4" s="1">
        <v>0</v>
      </c>
      <c r="AA4" s="1" t="s">
        <v>45</v>
      </c>
      <c r="AB4" s="1">
        <v>4</v>
      </c>
      <c r="AE4" s="1">
        <v>0</v>
      </c>
      <c r="AF4" s="1">
        <v>0</v>
      </c>
      <c r="AG4" s="1">
        <v>1</v>
      </c>
      <c r="AI4" s="1" t="s">
        <v>51</v>
      </c>
      <c r="AJ4">
        <v>1</v>
      </c>
    </row>
    <row r="5" spans="1:37" ht="14.25" customHeight="1" x14ac:dyDescent="0.3">
      <c r="A5" s="1" t="s">
        <v>43</v>
      </c>
      <c r="B5" s="1">
        <v>2</v>
      </c>
      <c r="C5" s="1" t="s">
        <v>248</v>
      </c>
      <c r="D5" s="1">
        <v>358685</v>
      </c>
      <c r="E5" s="1">
        <v>3983004</v>
      </c>
      <c r="F5">
        <v>1894</v>
      </c>
      <c r="G5" s="1">
        <v>34</v>
      </c>
      <c r="H5" s="1">
        <v>148</v>
      </c>
      <c r="I5">
        <v>307</v>
      </c>
      <c r="J5" s="71">
        <v>2</v>
      </c>
      <c r="K5" s="1">
        <v>1</v>
      </c>
      <c r="M5" s="1">
        <v>2</v>
      </c>
      <c r="N5" s="1" t="s">
        <v>153</v>
      </c>
      <c r="O5" s="1">
        <v>9</v>
      </c>
      <c r="P5" s="1">
        <v>9</v>
      </c>
      <c r="Q5" s="1">
        <v>48.7</v>
      </c>
      <c r="S5" s="10">
        <v>248.3</v>
      </c>
      <c r="T5" s="1" t="s">
        <v>102</v>
      </c>
      <c r="U5" s="1">
        <v>95</v>
      </c>
      <c r="V5" s="1">
        <v>5</v>
      </c>
      <c r="W5" s="1">
        <v>0</v>
      </c>
      <c r="X5" s="1">
        <f>100-U5</f>
        <v>5</v>
      </c>
      <c r="Y5" s="1">
        <v>1</v>
      </c>
      <c r="Z5" s="1">
        <v>0</v>
      </c>
      <c r="AA5" s="1" t="s">
        <v>45</v>
      </c>
      <c r="AB5" s="1">
        <v>4</v>
      </c>
      <c r="AE5" s="1">
        <v>0</v>
      </c>
      <c r="AF5" s="1">
        <v>0</v>
      </c>
      <c r="AG5" s="1">
        <v>1</v>
      </c>
      <c r="AI5" s="1" t="s">
        <v>51</v>
      </c>
      <c r="AJ5">
        <v>1</v>
      </c>
      <c r="AK5" s="1" t="s">
        <v>249</v>
      </c>
    </row>
    <row r="6" spans="1:37" ht="14.25" customHeight="1" x14ac:dyDescent="0.3">
      <c r="A6" s="1" t="s">
        <v>43</v>
      </c>
      <c r="B6" s="1">
        <v>4</v>
      </c>
      <c r="C6" s="1" t="s">
        <v>256</v>
      </c>
      <c r="D6" s="1">
        <v>358639</v>
      </c>
      <c r="E6" s="1">
        <v>3983050</v>
      </c>
      <c r="F6">
        <v>1854</v>
      </c>
      <c r="G6" s="1">
        <v>33</v>
      </c>
      <c r="H6" s="1">
        <v>165</v>
      </c>
      <c r="I6">
        <v>183</v>
      </c>
      <c r="J6" s="71">
        <v>2</v>
      </c>
      <c r="K6" s="1">
        <v>1</v>
      </c>
      <c r="M6" s="1">
        <v>2</v>
      </c>
      <c r="N6" s="1" t="s">
        <v>94</v>
      </c>
      <c r="O6" s="1">
        <v>16.5</v>
      </c>
      <c r="P6" s="1">
        <v>16.5</v>
      </c>
      <c r="Q6" s="1">
        <v>39.9</v>
      </c>
      <c r="S6" s="10">
        <v>95.5</v>
      </c>
      <c r="T6" s="1" t="s">
        <v>97</v>
      </c>
      <c r="U6" s="1">
        <v>90</v>
      </c>
      <c r="V6" s="1">
        <v>10</v>
      </c>
      <c r="W6" s="1">
        <v>0</v>
      </c>
      <c r="X6" s="1">
        <f>100-U6</f>
        <v>10</v>
      </c>
      <c r="Y6" s="1">
        <v>0</v>
      </c>
      <c r="Z6" s="1">
        <v>0</v>
      </c>
      <c r="AA6" s="1" t="s">
        <v>45</v>
      </c>
      <c r="AB6" s="1">
        <v>2</v>
      </c>
      <c r="AE6" s="1">
        <v>0</v>
      </c>
      <c r="AF6" s="1">
        <v>0</v>
      </c>
      <c r="AG6" s="1">
        <v>0</v>
      </c>
      <c r="AI6" s="1" t="s">
        <v>44</v>
      </c>
      <c r="AJ6">
        <v>1</v>
      </c>
      <c r="AK6" s="1" t="s">
        <v>257</v>
      </c>
    </row>
    <row r="7" spans="1:37" ht="14.25" customHeight="1" x14ac:dyDescent="0.3">
      <c r="A7" s="1" t="s">
        <v>43</v>
      </c>
      <c r="B7" s="1">
        <v>4</v>
      </c>
      <c r="C7" s="1" t="s">
        <v>258</v>
      </c>
      <c r="D7" s="1">
        <v>358616</v>
      </c>
      <c r="E7" s="1">
        <v>3983035</v>
      </c>
      <c r="F7">
        <v>1854</v>
      </c>
      <c r="G7" s="1">
        <v>33</v>
      </c>
      <c r="H7" s="1">
        <v>165</v>
      </c>
      <c r="I7">
        <v>52</v>
      </c>
      <c r="J7" s="71">
        <v>1</v>
      </c>
      <c r="K7" s="1">
        <v>1</v>
      </c>
      <c r="M7" s="1">
        <v>2</v>
      </c>
      <c r="N7" s="1" t="s">
        <v>94</v>
      </c>
      <c r="O7" s="1">
        <v>21.2</v>
      </c>
      <c r="P7" s="1">
        <v>21.2</v>
      </c>
      <c r="Q7" s="1">
        <v>41.5</v>
      </c>
      <c r="S7" s="10">
        <v>89.1</v>
      </c>
      <c r="T7" s="1" t="s">
        <v>97</v>
      </c>
      <c r="U7" s="1">
        <v>90</v>
      </c>
      <c r="V7" s="1">
        <v>10</v>
      </c>
      <c r="W7" s="1">
        <v>0</v>
      </c>
      <c r="X7" s="1">
        <f>100-U7</f>
        <v>10</v>
      </c>
      <c r="Y7" s="1">
        <v>0</v>
      </c>
      <c r="Z7" s="1">
        <v>1</v>
      </c>
      <c r="AA7" s="1" t="s">
        <v>45</v>
      </c>
      <c r="AB7" s="1">
        <v>2</v>
      </c>
      <c r="AE7" s="1">
        <v>0</v>
      </c>
      <c r="AF7" s="1">
        <v>0</v>
      </c>
      <c r="AG7" s="1">
        <v>0</v>
      </c>
      <c r="AI7" s="1" t="s">
        <v>44</v>
      </c>
      <c r="AJ7">
        <v>1</v>
      </c>
      <c r="AK7" s="1" t="s">
        <v>259</v>
      </c>
    </row>
    <row r="8" spans="1:37" ht="14.25" customHeight="1" x14ac:dyDescent="0.3">
      <c r="A8" s="1" t="s">
        <v>43</v>
      </c>
      <c r="B8" s="1">
        <v>5</v>
      </c>
      <c r="C8" s="1" t="s">
        <v>253</v>
      </c>
      <c r="D8" s="1">
        <v>358670</v>
      </c>
      <c r="E8" s="1">
        <v>3983021</v>
      </c>
      <c r="F8">
        <v>1876</v>
      </c>
      <c r="G8">
        <v>24</v>
      </c>
      <c r="H8">
        <v>176</v>
      </c>
      <c r="I8">
        <v>252</v>
      </c>
      <c r="J8" s="71">
        <v>2</v>
      </c>
      <c r="K8" s="1">
        <v>1</v>
      </c>
      <c r="M8" s="1">
        <v>2</v>
      </c>
      <c r="N8" s="1" t="s">
        <v>94</v>
      </c>
      <c r="O8" s="1">
        <v>12.3</v>
      </c>
      <c r="P8" s="1">
        <v>12.3</v>
      </c>
      <c r="Q8" s="1">
        <v>49.9</v>
      </c>
      <c r="S8" s="10">
        <v>245.1</v>
      </c>
      <c r="T8" s="1" t="s">
        <v>97</v>
      </c>
      <c r="U8" s="1">
        <v>95</v>
      </c>
      <c r="V8" s="1">
        <v>10</v>
      </c>
      <c r="W8" s="1">
        <v>0</v>
      </c>
      <c r="X8" s="1">
        <f>100-U8</f>
        <v>5</v>
      </c>
      <c r="Y8" s="1">
        <v>1</v>
      </c>
      <c r="Z8" s="1">
        <v>0</v>
      </c>
      <c r="AA8" s="1" t="s">
        <v>45</v>
      </c>
      <c r="AB8" s="1">
        <v>4</v>
      </c>
      <c r="AE8" s="1">
        <v>0</v>
      </c>
      <c r="AF8" s="1">
        <v>0</v>
      </c>
      <c r="AG8" s="1">
        <v>1</v>
      </c>
      <c r="AI8" s="1" t="s">
        <v>51</v>
      </c>
      <c r="AJ8">
        <v>1</v>
      </c>
    </row>
    <row r="9" spans="1:37" ht="14.25" customHeight="1" x14ac:dyDescent="0.3">
      <c r="A9" s="1" t="s">
        <v>43</v>
      </c>
      <c r="B9" s="1">
        <v>5</v>
      </c>
      <c r="C9" s="1" t="s">
        <v>254</v>
      </c>
      <c r="D9" s="1">
        <v>358638</v>
      </c>
      <c r="E9" s="1">
        <v>3983055</v>
      </c>
      <c r="F9">
        <v>1876</v>
      </c>
      <c r="G9">
        <v>24</v>
      </c>
      <c r="H9">
        <v>176</v>
      </c>
      <c r="I9">
        <v>183</v>
      </c>
      <c r="J9">
        <v>2</v>
      </c>
      <c r="K9" s="1">
        <v>1</v>
      </c>
      <c r="M9" s="1">
        <v>3</v>
      </c>
      <c r="N9" s="1" t="s">
        <v>94</v>
      </c>
      <c r="O9" s="1">
        <v>15.2</v>
      </c>
      <c r="P9" s="1">
        <v>15.2</v>
      </c>
      <c r="Q9" s="1">
        <v>57.7</v>
      </c>
      <c r="S9" s="10">
        <v>343.8</v>
      </c>
      <c r="T9" s="1" t="s">
        <v>95</v>
      </c>
      <c r="U9" s="1">
        <v>95</v>
      </c>
      <c r="V9" s="1">
        <v>4</v>
      </c>
      <c r="W9" s="1">
        <v>1</v>
      </c>
      <c r="X9" s="1">
        <f>100-U9</f>
        <v>5</v>
      </c>
      <c r="Y9" s="1">
        <v>1</v>
      </c>
      <c r="Z9" s="1">
        <v>0</v>
      </c>
      <c r="AA9" s="1" t="s">
        <v>45</v>
      </c>
      <c r="AB9" s="1">
        <v>4</v>
      </c>
      <c r="AE9" s="1">
        <v>0</v>
      </c>
      <c r="AF9" s="1">
        <v>0</v>
      </c>
      <c r="AG9" s="1">
        <v>1</v>
      </c>
      <c r="AI9" s="1" t="s">
        <v>60</v>
      </c>
      <c r="AJ9">
        <v>1</v>
      </c>
    </row>
    <row r="10" spans="1:37" ht="14.25" customHeight="1" x14ac:dyDescent="0.3">
      <c r="A10" s="1" t="s">
        <v>43</v>
      </c>
      <c r="B10" s="1">
        <v>6</v>
      </c>
      <c r="C10" s="1" t="s">
        <v>250</v>
      </c>
      <c r="D10" s="1">
        <v>358743</v>
      </c>
      <c r="E10" s="1">
        <v>3983056</v>
      </c>
      <c r="F10">
        <v>1887</v>
      </c>
      <c r="G10" s="1">
        <v>20</v>
      </c>
      <c r="H10" s="1">
        <v>131</v>
      </c>
      <c r="I10">
        <v>310</v>
      </c>
      <c r="J10">
        <v>2</v>
      </c>
      <c r="K10" s="1">
        <v>1</v>
      </c>
      <c r="M10" s="1">
        <v>2</v>
      </c>
      <c r="N10" s="1" t="s">
        <v>153</v>
      </c>
      <c r="O10" s="1">
        <v>7.4</v>
      </c>
      <c r="P10" s="1">
        <v>7.4</v>
      </c>
      <c r="Q10" s="1">
        <v>43.2</v>
      </c>
      <c r="S10" s="10">
        <v>146.4</v>
      </c>
      <c r="T10" s="1" t="s">
        <v>95</v>
      </c>
      <c r="U10" s="1">
        <v>90</v>
      </c>
      <c r="V10" s="1">
        <v>10</v>
      </c>
      <c r="W10" s="1">
        <v>0</v>
      </c>
      <c r="X10" s="1">
        <f>100-U10</f>
        <v>10</v>
      </c>
      <c r="Y10" s="1">
        <v>0</v>
      </c>
      <c r="Z10" s="1">
        <v>0</v>
      </c>
      <c r="AA10" s="1" t="s">
        <v>45</v>
      </c>
      <c r="AB10" s="1">
        <v>4</v>
      </c>
      <c r="AC10" s="1">
        <v>7.4</v>
      </c>
      <c r="AE10" s="1">
        <v>0</v>
      </c>
      <c r="AF10" s="1">
        <v>1</v>
      </c>
      <c r="AG10" s="1">
        <v>1</v>
      </c>
      <c r="AI10" s="1" t="s">
        <v>251</v>
      </c>
      <c r="AJ10">
        <v>1</v>
      </c>
      <c r="AK10" s="1" t="s">
        <v>252</v>
      </c>
    </row>
    <row r="11" spans="1:37" ht="14.25" customHeight="1" x14ac:dyDescent="0.3">
      <c r="A11" s="1" t="s">
        <v>43</v>
      </c>
      <c r="B11" s="1">
        <v>10</v>
      </c>
      <c r="C11" s="1" t="s">
        <v>260</v>
      </c>
      <c r="D11" s="1">
        <v>358619</v>
      </c>
      <c r="E11" s="1">
        <v>3983097</v>
      </c>
      <c r="F11">
        <v>1862</v>
      </c>
      <c r="G11" s="1">
        <v>23</v>
      </c>
      <c r="H11" s="1">
        <v>142</v>
      </c>
      <c r="I11">
        <v>154</v>
      </c>
      <c r="J11" s="71">
        <v>2</v>
      </c>
      <c r="K11" s="70">
        <v>1</v>
      </c>
      <c r="M11" s="70">
        <v>2</v>
      </c>
      <c r="N11" s="1" t="s">
        <v>94</v>
      </c>
      <c r="O11" s="1">
        <v>12.1</v>
      </c>
      <c r="P11" s="1">
        <v>12.1</v>
      </c>
      <c r="Q11" s="1">
        <v>53.1</v>
      </c>
      <c r="S11" s="10">
        <v>149.6</v>
      </c>
      <c r="T11" s="1" t="s">
        <v>97</v>
      </c>
      <c r="U11" s="1">
        <v>90</v>
      </c>
      <c r="V11" s="1">
        <v>10</v>
      </c>
      <c r="W11" s="1">
        <v>0</v>
      </c>
      <c r="X11" s="1">
        <f>100-U11</f>
        <v>10</v>
      </c>
      <c r="Y11" s="1">
        <v>0</v>
      </c>
      <c r="Z11" s="1">
        <v>0</v>
      </c>
      <c r="AA11" t="s">
        <v>809</v>
      </c>
      <c r="AB11" s="1">
        <v>3</v>
      </c>
      <c r="AE11" s="1">
        <v>0</v>
      </c>
      <c r="AF11" s="1">
        <v>0</v>
      </c>
      <c r="AG11" s="1">
        <v>0</v>
      </c>
      <c r="AI11" s="1" t="s">
        <v>55</v>
      </c>
      <c r="AJ11">
        <v>3</v>
      </c>
      <c r="AK11" s="1" t="s">
        <v>261</v>
      </c>
    </row>
    <row r="12" spans="1:37" ht="14.25" customHeight="1" x14ac:dyDescent="0.3">
      <c r="A12" s="1" t="s">
        <v>43</v>
      </c>
      <c r="B12" s="1">
        <v>10</v>
      </c>
      <c r="C12" s="1" t="s">
        <v>262</v>
      </c>
      <c r="D12" s="1">
        <v>358615</v>
      </c>
      <c r="E12" s="1">
        <v>3983069</v>
      </c>
      <c r="F12">
        <v>1822</v>
      </c>
      <c r="G12" s="1">
        <v>23</v>
      </c>
      <c r="H12" s="1">
        <v>142</v>
      </c>
      <c r="I12">
        <v>99</v>
      </c>
      <c r="J12" s="71">
        <v>2</v>
      </c>
      <c r="K12" s="70">
        <v>1</v>
      </c>
      <c r="M12" s="70">
        <v>2</v>
      </c>
      <c r="N12" s="1" t="s">
        <v>94</v>
      </c>
      <c r="O12" s="1">
        <v>23.1</v>
      </c>
      <c r="P12" s="1">
        <v>23.1</v>
      </c>
      <c r="Q12" s="1">
        <v>45.8</v>
      </c>
      <c r="S12" s="10">
        <v>152.80000000000001</v>
      </c>
      <c r="T12" s="1" t="s">
        <v>95</v>
      </c>
      <c r="U12" s="1">
        <v>95</v>
      </c>
      <c r="V12" s="1">
        <v>5</v>
      </c>
      <c r="W12" s="1">
        <v>0</v>
      </c>
      <c r="X12" s="1">
        <f>100-U12</f>
        <v>5</v>
      </c>
      <c r="Y12" s="1">
        <v>0</v>
      </c>
      <c r="Z12" s="1">
        <v>0</v>
      </c>
      <c r="AA12" t="s">
        <v>809</v>
      </c>
      <c r="AB12" s="1">
        <v>2</v>
      </c>
      <c r="AE12" s="1">
        <v>0</v>
      </c>
      <c r="AF12" s="1">
        <v>0</v>
      </c>
      <c r="AG12" s="1">
        <v>0</v>
      </c>
      <c r="AI12" s="1" t="s">
        <v>55</v>
      </c>
      <c r="AJ12">
        <v>3</v>
      </c>
    </row>
    <row r="13" spans="1:37" ht="14.25" customHeight="1" x14ac:dyDescent="0.3">
      <c r="A13" s="1" t="s">
        <v>43</v>
      </c>
      <c r="B13" s="1">
        <v>10</v>
      </c>
      <c r="C13" s="1" t="s">
        <v>263</v>
      </c>
      <c r="D13" s="1">
        <v>358611</v>
      </c>
      <c r="E13" s="1">
        <v>3983078</v>
      </c>
      <c r="F13">
        <v>1862</v>
      </c>
      <c r="G13" s="1">
        <v>23</v>
      </c>
      <c r="H13" s="1">
        <v>142</v>
      </c>
      <c r="I13">
        <v>99</v>
      </c>
      <c r="J13" s="20">
        <v>2</v>
      </c>
      <c r="K13" s="1">
        <v>1</v>
      </c>
      <c r="M13" s="1">
        <v>2</v>
      </c>
      <c r="N13" s="1" t="s">
        <v>94</v>
      </c>
      <c r="O13" s="1">
        <v>16.7</v>
      </c>
      <c r="P13" s="1">
        <v>16.7</v>
      </c>
      <c r="Q13" s="1">
        <v>47.1</v>
      </c>
      <c r="R13" s="71"/>
      <c r="S13" s="72">
        <v>105</v>
      </c>
      <c r="T13" s="1" t="s">
        <v>97</v>
      </c>
      <c r="U13" s="1">
        <v>90</v>
      </c>
      <c r="V13" s="1">
        <v>10</v>
      </c>
      <c r="W13" s="1">
        <v>0</v>
      </c>
      <c r="X13" s="1">
        <f>100-U13</f>
        <v>10</v>
      </c>
      <c r="Y13" s="1">
        <v>0</v>
      </c>
      <c r="Z13" s="1">
        <v>0</v>
      </c>
      <c r="AA13" t="s">
        <v>809</v>
      </c>
      <c r="AB13" s="1">
        <v>3</v>
      </c>
      <c r="AE13" s="1">
        <v>0</v>
      </c>
      <c r="AF13" s="1">
        <v>0</v>
      </c>
      <c r="AG13" s="1">
        <v>0</v>
      </c>
      <c r="AI13" s="1" t="s">
        <v>44</v>
      </c>
      <c r="AJ13">
        <v>1</v>
      </c>
    </row>
    <row r="14" spans="1:37" ht="14.25" customHeight="1" x14ac:dyDescent="0.3">
      <c r="A14" s="1" t="s">
        <v>43</v>
      </c>
      <c r="B14" s="1">
        <v>11</v>
      </c>
      <c r="C14" s="1" t="s">
        <v>255</v>
      </c>
      <c r="D14" s="1">
        <v>358648</v>
      </c>
      <c r="E14" s="1">
        <v>3983059</v>
      </c>
      <c r="F14">
        <v>1773</v>
      </c>
      <c r="G14">
        <v>8</v>
      </c>
      <c r="H14">
        <v>166</v>
      </c>
      <c r="I14">
        <v>183</v>
      </c>
      <c r="J14" s="20">
        <v>2</v>
      </c>
      <c r="K14" s="70">
        <v>1</v>
      </c>
      <c r="M14" s="70">
        <v>2</v>
      </c>
      <c r="N14" s="1" t="s">
        <v>94</v>
      </c>
      <c r="O14" s="1">
        <v>21.6</v>
      </c>
      <c r="P14" s="1">
        <v>21.6</v>
      </c>
      <c r="Q14" s="1">
        <v>47.9</v>
      </c>
      <c r="S14" s="10">
        <v>117.8</v>
      </c>
      <c r="T14" s="1" t="s">
        <v>97</v>
      </c>
      <c r="U14" s="1">
        <v>95</v>
      </c>
      <c r="V14" s="1">
        <v>5</v>
      </c>
      <c r="W14" s="1">
        <v>0</v>
      </c>
      <c r="X14" s="1">
        <f>100-U14</f>
        <v>5</v>
      </c>
      <c r="Y14" s="1">
        <v>0</v>
      </c>
      <c r="Z14" s="1">
        <v>0</v>
      </c>
      <c r="AA14" s="1" t="s">
        <v>45</v>
      </c>
      <c r="AB14" s="1">
        <v>2</v>
      </c>
      <c r="AE14" s="1">
        <v>0</v>
      </c>
      <c r="AF14" s="1">
        <v>0</v>
      </c>
      <c r="AG14" s="1">
        <v>1</v>
      </c>
      <c r="AI14" s="1" t="s">
        <v>44</v>
      </c>
      <c r="AJ14">
        <v>1</v>
      </c>
    </row>
    <row r="15" spans="1:37" ht="14.25" customHeight="1" x14ac:dyDescent="0.3">
      <c r="A15" s="1" t="s">
        <v>56</v>
      </c>
      <c r="B15" s="1">
        <v>1</v>
      </c>
      <c r="C15" s="1" t="s">
        <v>346</v>
      </c>
      <c r="D15" s="1">
        <v>354712</v>
      </c>
      <c r="E15" s="1">
        <v>3970569</v>
      </c>
      <c r="F15">
        <v>1773</v>
      </c>
      <c r="G15" s="1">
        <v>15</v>
      </c>
      <c r="H15" s="1">
        <v>163</v>
      </c>
      <c r="I15">
        <v>969</v>
      </c>
      <c r="J15" s="20">
        <v>4</v>
      </c>
      <c r="K15" s="1">
        <v>0</v>
      </c>
      <c r="M15" s="1">
        <v>4</v>
      </c>
      <c r="N15" s="1" t="s">
        <v>243</v>
      </c>
      <c r="O15" s="1">
        <v>4.2</v>
      </c>
      <c r="Q15" s="1">
        <v>34.1</v>
      </c>
      <c r="R15" s="1">
        <v>3.3</v>
      </c>
      <c r="S15" s="5">
        <f>(R15/3.14159)*100</f>
        <v>105.04235116612925</v>
      </c>
      <c r="T15" s="1" t="s">
        <v>97</v>
      </c>
      <c r="U15" s="1">
        <v>0</v>
      </c>
      <c r="V15" s="1">
        <v>100</v>
      </c>
      <c r="W15" s="1">
        <v>0</v>
      </c>
      <c r="X15" s="1">
        <f>100-U15</f>
        <v>100</v>
      </c>
      <c r="Y15" s="1">
        <v>0</v>
      </c>
      <c r="Z15" s="1">
        <v>0</v>
      </c>
      <c r="AA15" s="1" t="s">
        <v>45</v>
      </c>
      <c r="AB15" s="10">
        <v>2</v>
      </c>
      <c r="AG15" s="1">
        <v>0</v>
      </c>
      <c r="AI15" s="1" t="s">
        <v>51</v>
      </c>
      <c r="AJ15">
        <v>1</v>
      </c>
    </row>
    <row r="16" spans="1:37" ht="14.25" customHeight="1" x14ac:dyDescent="0.3">
      <c r="A16" s="1" t="s">
        <v>56</v>
      </c>
      <c r="B16" s="1">
        <v>1</v>
      </c>
      <c r="C16" s="1" t="s">
        <v>330</v>
      </c>
      <c r="D16" s="1">
        <v>354805</v>
      </c>
      <c r="E16" s="1">
        <v>3970550</v>
      </c>
      <c r="F16">
        <v>1773</v>
      </c>
      <c r="G16" s="1">
        <v>15</v>
      </c>
      <c r="H16" s="1">
        <v>163</v>
      </c>
      <c r="I16">
        <v>667</v>
      </c>
      <c r="J16" s="20">
        <v>4</v>
      </c>
      <c r="K16" s="1">
        <v>1</v>
      </c>
      <c r="M16" s="1">
        <v>4</v>
      </c>
      <c r="N16" s="1" t="s">
        <v>243</v>
      </c>
      <c r="O16" s="1">
        <v>13</v>
      </c>
      <c r="P16" s="1">
        <v>20.9</v>
      </c>
      <c r="Q16" s="1">
        <v>40.299999999999997</v>
      </c>
      <c r="R16" s="1">
        <v>4.0999999999999996</v>
      </c>
      <c r="S16" s="5">
        <f>(R16/3.14159)*100</f>
        <v>130.50716357003938</v>
      </c>
      <c r="T16" s="1" t="s">
        <v>97</v>
      </c>
      <c r="U16" s="1">
        <v>40</v>
      </c>
      <c r="V16" s="1">
        <v>60</v>
      </c>
      <c r="W16" s="1">
        <v>0</v>
      </c>
      <c r="X16" s="1">
        <f>100-U16</f>
        <v>60</v>
      </c>
      <c r="Y16" s="1">
        <v>0</v>
      </c>
      <c r="Z16" s="1">
        <v>0</v>
      </c>
      <c r="AA16" s="1" t="s">
        <v>45</v>
      </c>
      <c r="AB16" s="10">
        <v>1</v>
      </c>
      <c r="AC16" s="1">
        <v>40.299999999999997</v>
      </c>
      <c r="AE16" s="1">
        <v>60</v>
      </c>
      <c r="AF16" s="1">
        <v>0</v>
      </c>
      <c r="AG16" s="1">
        <v>0</v>
      </c>
      <c r="AI16" s="1" t="s">
        <v>51</v>
      </c>
      <c r="AJ16">
        <v>1</v>
      </c>
    </row>
    <row r="17" spans="1:37" ht="14.25" customHeight="1" x14ac:dyDescent="0.3">
      <c r="A17" s="1" t="s">
        <v>56</v>
      </c>
      <c r="B17" s="1">
        <v>1</v>
      </c>
      <c r="C17" s="1" t="s">
        <v>331</v>
      </c>
      <c r="D17" s="1">
        <v>354715</v>
      </c>
      <c r="E17" s="1">
        <v>3970588</v>
      </c>
      <c r="F17">
        <v>1773</v>
      </c>
      <c r="G17" s="1">
        <v>15</v>
      </c>
      <c r="H17" s="1">
        <v>163</v>
      </c>
      <c r="I17">
        <v>969</v>
      </c>
      <c r="J17" s="20">
        <v>4</v>
      </c>
      <c r="K17" s="1">
        <v>0</v>
      </c>
      <c r="M17" s="1">
        <v>4</v>
      </c>
      <c r="N17" s="1" t="s">
        <v>243</v>
      </c>
      <c r="O17" s="1">
        <v>8.9</v>
      </c>
      <c r="Q17" s="1">
        <v>33.700000000000003</v>
      </c>
      <c r="R17" s="1">
        <v>3.1</v>
      </c>
      <c r="S17" s="5">
        <f>(R17/3.14159)*100</f>
        <v>98.676148065151722</v>
      </c>
      <c r="T17" s="1" t="s">
        <v>97</v>
      </c>
      <c r="U17" s="1">
        <v>0</v>
      </c>
      <c r="V17" s="1">
        <v>100</v>
      </c>
      <c r="W17" s="1">
        <v>0</v>
      </c>
      <c r="X17" s="1">
        <f>100-U17</f>
        <v>100</v>
      </c>
      <c r="Y17" s="1">
        <v>0</v>
      </c>
      <c r="Z17" s="1">
        <v>0</v>
      </c>
      <c r="AA17" s="1" t="s">
        <v>45</v>
      </c>
      <c r="AB17" s="10">
        <v>1</v>
      </c>
      <c r="AG17" s="1">
        <v>0</v>
      </c>
      <c r="AI17" s="1" t="s">
        <v>57</v>
      </c>
      <c r="AJ17">
        <v>1</v>
      </c>
      <c r="AK17" s="20"/>
    </row>
    <row r="18" spans="1:37" ht="14.25" customHeight="1" x14ac:dyDescent="0.3">
      <c r="A18" s="1" t="s">
        <v>56</v>
      </c>
      <c r="B18" s="1">
        <v>2</v>
      </c>
      <c r="C18" s="1" t="s">
        <v>338</v>
      </c>
      <c r="D18" s="1">
        <v>354746</v>
      </c>
      <c r="E18" s="1">
        <v>3970713</v>
      </c>
      <c r="F18">
        <v>1772</v>
      </c>
      <c r="G18">
        <v>11</v>
      </c>
      <c r="H18">
        <v>157</v>
      </c>
      <c r="I18">
        <v>1020</v>
      </c>
      <c r="J18" s="20">
        <v>4</v>
      </c>
      <c r="K18" s="1">
        <v>0</v>
      </c>
      <c r="M18" s="1">
        <v>4</v>
      </c>
      <c r="N18" s="1" t="s">
        <v>243</v>
      </c>
      <c r="O18" s="1">
        <v>16.8</v>
      </c>
      <c r="Q18" s="1">
        <v>62.5</v>
      </c>
      <c r="R18" s="1">
        <v>15.7</v>
      </c>
      <c r="S18" s="5">
        <f>(R18/3.14159)*100</f>
        <v>499.74694342673615</v>
      </c>
      <c r="T18" s="1" t="s">
        <v>95</v>
      </c>
      <c r="U18" s="1">
        <v>0</v>
      </c>
      <c r="V18" s="1">
        <v>100</v>
      </c>
      <c r="W18" s="1">
        <v>0</v>
      </c>
      <c r="X18" s="1">
        <f>100-U18</f>
        <v>100</v>
      </c>
      <c r="Y18" s="1">
        <v>0</v>
      </c>
      <c r="Z18" s="1">
        <v>0</v>
      </c>
      <c r="AA18" s="1" t="s">
        <v>45</v>
      </c>
      <c r="AB18" s="10">
        <v>3</v>
      </c>
      <c r="AG18" s="1">
        <v>1</v>
      </c>
      <c r="AI18" s="1" t="s">
        <v>59</v>
      </c>
      <c r="AJ18">
        <v>1</v>
      </c>
    </row>
    <row r="19" spans="1:37" ht="14.25" customHeight="1" x14ac:dyDescent="0.3">
      <c r="A19" s="1" t="s">
        <v>56</v>
      </c>
      <c r="B19" s="1">
        <v>2</v>
      </c>
      <c r="C19" s="1" t="s">
        <v>339</v>
      </c>
      <c r="D19" s="1">
        <v>354721</v>
      </c>
      <c r="E19" s="1">
        <v>3970692</v>
      </c>
      <c r="F19">
        <v>1772</v>
      </c>
      <c r="G19">
        <v>11</v>
      </c>
      <c r="H19">
        <v>157</v>
      </c>
      <c r="I19" s="71">
        <v>1019</v>
      </c>
      <c r="J19" s="20">
        <v>4</v>
      </c>
      <c r="K19" s="1">
        <v>0</v>
      </c>
      <c r="M19" s="1">
        <v>4</v>
      </c>
      <c r="N19" s="1" t="s">
        <v>243</v>
      </c>
      <c r="O19" s="1">
        <v>15.6</v>
      </c>
      <c r="Q19" s="1">
        <v>65.5</v>
      </c>
      <c r="R19" s="1">
        <v>13</v>
      </c>
      <c r="S19" s="5">
        <f>(R19/3.14159)*100</f>
        <v>413.80320156353952</v>
      </c>
      <c r="T19" s="1" t="s">
        <v>95</v>
      </c>
      <c r="U19" s="1">
        <v>0</v>
      </c>
      <c r="V19" s="1">
        <v>100</v>
      </c>
      <c r="W19" s="1">
        <v>0</v>
      </c>
      <c r="X19" s="1">
        <f>100-U19</f>
        <v>100</v>
      </c>
      <c r="Y19" s="1">
        <v>0</v>
      </c>
      <c r="Z19" s="1">
        <v>0</v>
      </c>
      <c r="AA19" s="1" t="s">
        <v>45</v>
      </c>
      <c r="AB19" s="10">
        <v>3</v>
      </c>
      <c r="AG19" s="1">
        <v>1</v>
      </c>
      <c r="AI19" s="1" t="s">
        <v>53</v>
      </c>
      <c r="AJ19">
        <v>2</v>
      </c>
    </row>
    <row r="20" spans="1:37" ht="14.25" customHeight="1" x14ac:dyDescent="0.3">
      <c r="A20" s="1" t="s">
        <v>56</v>
      </c>
      <c r="B20" s="1">
        <v>2</v>
      </c>
      <c r="C20" s="1" t="s">
        <v>340</v>
      </c>
      <c r="D20" s="1">
        <v>354788</v>
      </c>
      <c r="E20" s="1">
        <v>3970611</v>
      </c>
      <c r="F20">
        <v>1772</v>
      </c>
      <c r="G20">
        <v>11</v>
      </c>
      <c r="H20">
        <v>157</v>
      </c>
      <c r="I20">
        <v>842</v>
      </c>
      <c r="J20" s="20">
        <v>4</v>
      </c>
      <c r="K20" s="1">
        <v>0</v>
      </c>
      <c r="M20" s="1">
        <v>4</v>
      </c>
      <c r="N20" s="1" t="s">
        <v>243</v>
      </c>
      <c r="O20" s="1">
        <v>11.9</v>
      </c>
      <c r="Q20" s="1">
        <v>54.6</v>
      </c>
      <c r="R20" s="1">
        <v>8.3000000000000007</v>
      </c>
      <c r="S20" s="5">
        <f>(R20/3.14159)*100</f>
        <v>264.19742869056756</v>
      </c>
      <c r="T20" s="1" t="s">
        <v>95</v>
      </c>
      <c r="U20" s="1">
        <v>0</v>
      </c>
      <c r="V20" s="1">
        <v>100</v>
      </c>
      <c r="W20" s="1">
        <v>0</v>
      </c>
      <c r="X20" s="1">
        <f>100-U20</f>
        <v>100</v>
      </c>
      <c r="Y20" s="1">
        <v>0</v>
      </c>
      <c r="Z20" s="1">
        <v>0</v>
      </c>
      <c r="AA20" s="1" t="s">
        <v>45</v>
      </c>
      <c r="AB20" s="10">
        <v>3</v>
      </c>
      <c r="AG20" s="1">
        <v>1</v>
      </c>
      <c r="AI20" s="1" t="s">
        <v>51</v>
      </c>
      <c r="AJ20">
        <v>1</v>
      </c>
    </row>
    <row r="21" spans="1:37" ht="14.25" customHeight="1" x14ac:dyDescent="0.3">
      <c r="A21" s="1" t="s">
        <v>56</v>
      </c>
      <c r="B21" s="1">
        <v>2</v>
      </c>
      <c r="C21" s="1" t="s">
        <v>341</v>
      </c>
      <c r="D21" s="1">
        <v>354802</v>
      </c>
      <c r="E21" s="1">
        <v>3970637</v>
      </c>
      <c r="F21">
        <v>1772</v>
      </c>
      <c r="G21">
        <v>11</v>
      </c>
      <c r="H21">
        <v>157</v>
      </c>
      <c r="I21">
        <v>917</v>
      </c>
      <c r="J21" s="20">
        <v>4</v>
      </c>
      <c r="K21" s="1">
        <v>0</v>
      </c>
      <c r="M21" s="1">
        <v>4</v>
      </c>
      <c r="N21" s="1" t="s">
        <v>243</v>
      </c>
      <c r="O21" s="1">
        <v>20.399999999999999</v>
      </c>
      <c r="Q21" s="1">
        <v>35.200000000000003</v>
      </c>
      <c r="R21" s="1">
        <v>7.9</v>
      </c>
      <c r="S21" s="5">
        <f>(R21/3.14159)*100</f>
        <v>251.46502248861248</v>
      </c>
      <c r="T21" s="1" t="s">
        <v>95</v>
      </c>
      <c r="U21" s="1">
        <v>0</v>
      </c>
      <c r="V21" s="1">
        <v>100</v>
      </c>
      <c r="W21" s="1">
        <v>0</v>
      </c>
      <c r="X21" s="1">
        <f>100-U21</f>
        <v>100</v>
      </c>
      <c r="Y21" s="1">
        <v>0</v>
      </c>
      <c r="Z21" s="1">
        <v>0</v>
      </c>
      <c r="AA21" s="1" t="s">
        <v>45</v>
      </c>
      <c r="AB21" s="10">
        <v>3</v>
      </c>
      <c r="AG21" s="1">
        <v>0</v>
      </c>
      <c r="AI21" s="1" t="s">
        <v>60</v>
      </c>
      <c r="AJ21">
        <v>1</v>
      </c>
    </row>
    <row r="22" spans="1:37" ht="14.25" customHeight="1" x14ac:dyDescent="0.3">
      <c r="A22" s="1" t="s">
        <v>56</v>
      </c>
      <c r="B22" s="1">
        <v>2</v>
      </c>
      <c r="C22" s="1" t="s">
        <v>342</v>
      </c>
      <c r="D22" s="1">
        <v>354772</v>
      </c>
      <c r="E22" s="1">
        <v>3970649</v>
      </c>
      <c r="F22">
        <v>1772</v>
      </c>
      <c r="G22">
        <v>11</v>
      </c>
      <c r="H22">
        <v>157</v>
      </c>
      <c r="I22">
        <v>981</v>
      </c>
      <c r="J22" s="20">
        <v>4</v>
      </c>
      <c r="K22" s="1">
        <v>0</v>
      </c>
      <c r="M22" s="1">
        <v>4</v>
      </c>
      <c r="N22" s="1" t="s">
        <v>243</v>
      </c>
      <c r="O22" s="1">
        <v>17</v>
      </c>
      <c r="Q22" s="1">
        <v>65.099999999999994</v>
      </c>
      <c r="R22" s="1">
        <v>14.8</v>
      </c>
      <c r="S22" s="5">
        <f>(R22/3.14159)*100</f>
        <v>471.09902947233724</v>
      </c>
      <c r="T22" s="1" t="s">
        <v>97</v>
      </c>
      <c r="U22" s="1">
        <v>0</v>
      </c>
      <c r="V22" s="1">
        <v>100</v>
      </c>
      <c r="W22" s="1">
        <v>0</v>
      </c>
      <c r="X22" s="1">
        <f>100-U22</f>
        <v>100</v>
      </c>
      <c r="Y22" s="1">
        <v>0</v>
      </c>
      <c r="Z22" s="1">
        <v>0</v>
      </c>
      <c r="AA22" s="1" t="s">
        <v>45</v>
      </c>
      <c r="AB22" s="10">
        <v>2</v>
      </c>
      <c r="AG22" s="1">
        <v>1</v>
      </c>
      <c r="AI22" s="1" t="s">
        <v>60</v>
      </c>
      <c r="AJ22">
        <v>1</v>
      </c>
      <c r="AK22" s="1" t="s">
        <v>343</v>
      </c>
    </row>
    <row r="23" spans="1:37" ht="14.25" customHeight="1" x14ac:dyDescent="0.3">
      <c r="A23" s="1" t="s">
        <v>56</v>
      </c>
      <c r="B23" s="1">
        <v>2</v>
      </c>
      <c r="C23" s="1" t="s">
        <v>344</v>
      </c>
      <c r="D23" s="1">
        <v>354765</v>
      </c>
      <c r="E23" s="1">
        <v>3970667</v>
      </c>
      <c r="F23">
        <v>1772</v>
      </c>
      <c r="G23">
        <v>11</v>
      </c>
      <c r="H23">
        <v>157</v>
      </c>
      <c r="I23" s="71">
        <v>971</v>
      </c>
      <c r="J23" s="20">
        <v>4</v>
      </c>
      <c r="K23" s="1">
        <v>0</v>
      </c>
      <c r="M23" s="1">
        <v>4</v>
      </c>
      <c r="N23" s="1" t="s">
        <v>243</v>
      </c>
      <c r="O23" s="1">
        <v>13.5</v>
      </c>
      <c r="Q23" s="1">
        <v>65.5</v>
      </c>
      <c r="R23" s="1">
        <v>13.8</v>
      </c>
      <c r="S23" s="5">
        <f>(R23/3.14159)*100</f>
        <v>439.26801396744963</v>
      </c>
      <c r="T23" s="1" t="s">
        <v>97</v>
      </c>
      <c r="U23" s="1">
        <v>0</v>
      </c>
      <c r="V23" s="1">
        <v>100</v>
      </c>
      <c r="W23" s="1">
        <v>0</v>
      </c>
      <c r="X23" s="1">
        <f>100-U23</f>
        <v>100</v>
      </c>
      <c r="Y23" s="1">
        <v>0</v>
      </c>
      <c r="Z23" s="1">
        <v>0</v>
      </c>
      <c r="AA23" s="1" t="s">
        <v>45</v>
      </c>
      <c r="AB23" s="10">
        <v>3</v>
      </c>
      <c r="AG23" s="1">
        <v>0</v>
      </c>
      <c r="AI23" s="1" t="s">
        <v>53</v>
      </c>
      <c r="AJ23">
        <v>2</v>
      </c>
      <c r="AK23" s="1" t="s">
        <v>345</v>
      </c>
    </row>
    <row r="24" spans="1:37" ht="14.25" customHeight="1" x14ac:dyDescent="0.3">
      <c r="A24" s="1" t="s">
        <v>56</v>
      </c>
      <c r="B24" s="1">
        <v>3</v>
      </c>
      <c r="C24" s="1" t="s">
        <v>321</v>
      </c>
      <c r="D24" s="1">
        <v>354715</v>
      </c>
      <c r="E24" s="1">
        <v>3970784</v>
      </c>
      <c r="F24">
        <v>1748</v>
      </c>
      <c r="G24" s="1">
        <v>15</v>
      </c>
      <c r="H24" s="1">
        <v>154</v>
      </c>
      <c r="I24" s="71">
        <v>803</v>
      </c>
      <c r="J24" s="20">
        <v>4</v>
      </c>
      <c r="K24" s="1">
        <v>0</v>
      </c>
      <c r="M24" s="1">
        <v>4</v>
      </c>
      <c r="N24" s="1" t="s">
        <v>243</v>
      </c>
      <c r="O24" s="1">
        <v>14.5</v>
      </c>
      <c r="Q24" s="1">
        <v>63.7</v>
      </c>
      <c r="R24" s="1">
        <v>5.7</v>
      </c>
      <c r="S24" s="5">
        <f>(R24/3.14159)*100</f>
        <v>181.43678837785964</v>
      </c>
      <c r="T24" s="1" t="s">
        <v>97</v>
      </c>
      <c r="U24" s="1">
        <v>0</v>
      </c>
      <c r="V24" s="1">
        <v>100</v>
      </c>
      <c r="W24" s="1">
        <v>0</v>
      </c>
      <c r="X24" s="1">
        <f>100-U24</f>
        <v>100</v>
      </c>
      <c r="Y24" s="1">
        <v>0</v>
      </c>
      <c r="Z24" s="1">
        <v>0</v>
      </c>
      <c r="AA24" s="1" t="s">
        <v>45</v>
      </c>
      <c r="AB24" s="10">
        <v>2</v>
      </c>
      <c r="AG24" s="1">
        <v>0</v>
      </c>
      <c r="AH24" s="1">
        <v>60</v>
      </c>
      <c r="AI24" s="1" t="s">
        <v>380</v>
      </c>
      <c r="AJ24">
        <v>1</v>
      </c>
    </row>
    <row r="25" spans="1:37" ht="14.25" customHeight="1" x14ac:dyDescent="0.3">
      <c r="A25" s="1" t="s">
        <v>56</v>
      </c>
      <c r="B25" s="1">
        <v>3</v>
      </c>
      <c r="C25" s="1" t="s">
        <v>377</v>
      </c>
      <c r="D25" s="1">
        <v>354699</v>
      </c>
      <c r="E25" s="1">
        <v>3970738</v>
      </c>
      <c r="F25">
        <v>1748</v>
      </c>
      <c r="G25" s="1">
        <v>15</v>
      </c>
      <c r="H25" s="1">
        <v>154</v>
      </c>
      <c r="I25">
        <v>973</v>
      </c>
      <c r="J25" s="20">
        <v>4</v>
      </c>
      <c r="K25" s="1">
        <v>0</v>
      </c>
      <c r="M25" s="1">
        <v>4</v>
      </c>
      <c r="N25" s="1" t="s">
        <v>243</v>
      </c>
      <c r="O25" s="1">
        <v>12.2</v>
      </c>
      <c r="Q25" s="1">
        <v>55.7</v>
      </c>
      <c r="R25" s="1">
        <v>13.8</v>
      </c>
      <c r="S25" s="5">
        <f>(R25/3.14159)*100</f>
        <v>439.26801396744963</v>
      </c>
      <c r="T25" s="1" t="s">
        <v>97</v>
      </c>
      <c r="U25" s="1">
        <v>0</v>
      </c>
      <c r="V25" s="1">
        <v>100</v>
      </c>
      <c r="W25" s="1">
        <v>0</v>
      </c>
      <c r="X25" s="1">
        <f>100-U25</f>
        <v>100</v>
      </c>
      <c r="Y25" s="1">
        <v>0</v>
      </c>
      <c r="Z25" s="1">
        <v>0</v>
      </c>
      <c r="AA25" s="1" t="s">
        <v>45</v>
      </c>
      <c r="AB25" s="10">
        <v>3</v>
      </c>
      <c r="AG25" s="1">
        <v>1</v>
      </c>
      <c r="AH25" s="1">
        <v>22.7</v>
      </c>
      <c r="AI25" s="1" t="s">
        <v>60</v>
      </c>
      <c r="AJ25">
        <v>1</v>
      </c>
    </row>
    <row r="26" spans="1:37" ht="14.25" customHeight="1" x14ac:dyDescent="0.3">
      <c r="A26" s="1" t="s">
        <v>56</v>
      </c>
      <c r="B26" s="1">
        <v>3</v>
      </c>
      <c r="C26" s="1" t="s">
        <v>378</v>
      </c>
      <c r="D26" s="1">
        <v>354684</v>
      </c>
      <c r="E26" s="1">
        <v>3970756</v>
      </c>
      <c r="F26">
        <v>1748</v>
      </c>
      <c r="G26" s="1">
        <v>15</v>
      </c>
      <c r="H26" s="1">
        <v>154</v>
      </c>
      <c r="I26" s="71">
        <v>911</v>
      </c>
      <c r="J26" s="20">
        <v>4</v>
      </c>
      <c r="K26" s="1">
        <v>0</v>
      </c>
      <c r="M26" s="1">
        <v>4</v>
      </c>
      <c r="N26" s="1" t="s">
        <v>243</v>
      </c>
      <c r="O26" s="1">
        <v>15.7</v>
      </c>
      <c r="Q26" s="1">
        <v>60.7</v>
      </c>
      <c r="R26" s="1">
        <v>11.6</v>
      </c>
      <c r="S26" s="5">
        <f>(R26/3.14159)*100</f>
        <v>369.23977985669677</v>
      </c>
      <c r="T26" s="1" t="s">
        <v>97</v>
      </c>
      <c r="U26" s="1">
        <v>0</v>
      </c>
      <c r="V26" s="1">
        <v>100</v>
      </c>
      <c r="W26" s="1">
        <v>0</v>
      </c>
      <c r="X26" s="1">
        <f>100-U26</f>
        <v>100</v>
      </c>
      <c r="Y26" s="1">
        <v>0</v>
      </c>
      <c r="Z26" s="1">
        <v>0</v>
      </c>
      <c r="AA26" s="1" t="s">
        <v>45</v>
      </c>
      <c r="AB26" s="10">
        <v>4</v>
      </c>
      <c r="AG26" s="1">
        <v>1</v>
      </c>
      <c r="AH26" s="1">
        <v>49.7</v>
      </c>
      <c r="AI26" s="1" t="s">
        <v>53</v>
      </c>
      <c r="AJ26">
        <v>2</v>
      </c>
    </row>
    <row r="27" spans="1:37" ht="14.25" customHeight="1" x14ac:dyDescent="0.3">
      <c r="A27" s="1" t="s">
        <v>56</v>
      </c>
      <c r="B27" s="1">
        <v>3</v>
      </c>
      <c r="C27" s="1" t="s">
        <v>379</v>
      </c>
      <c r="D27" s="1">
        <v>354714</v>
      </c>
      <c r="E27" s="1">
        <v>3970774</v>
      </c>
      <c r="F27">
        <v>1748</v>
      </c>
      <c r="G27" s="1">
        <v>15</v>
      </c>
      <c r="H27" s="1">
        <v>154</v>
      </c>
      <c r="I27">
        <v>867</v>
      </c>
      <c r="J27" s="20">
        <v>4</v>
      </c>
      <c r="K27" s="1">
        <v>0</v>
      </c>
      <c r="M27" s="1">
        <v>4</v>
      </c>
      <c r="N27" s="1" t="s">
        <v>243</v>
      </c>
      <c r="O27" s="1">
        <v>6.5</v>
      </c>
      <c r="Q27" s="1">
        <v>50.1</v>
      </c>
      <c r="R27" s="1">
        <v>3.6</v>
      </c>
      <c r="S27" s="5">
        <f>(R27/3.14159)*100</f>
        <v>114.59165581759557</v>
      </c>
      <c r="T27" s="1" t="s">
        <v>102</v>
      </c>
      <c r="U27" s="1">
        <v>0</v>
      </c>
      <c r="V27" s="1">
        <v>100</v>
      </c>
      <c r="W27" s="1">
        <v>0</v>
      </c>
      <c r="X27" s="1">
        <f>100-U27</f>
        <v>100</v>
      </c>
      <c r="Y27" s="1">
        <v>0</v>
      </c>
      <c r="Z27" s="1">
        <v>0</v>
      </c>
      <c r="AA27" s="1" t="s">
        <v>45</v>
      </c>
      <c r="AB27" s="10">
        <v>1</v>
      </c>
      <c r="AG27" s="1">
        <v>0</v>
      </c>
      <c r="AH27" s="1">
        <v>58.5</v>
      </c>
      <c r="AI27" s="1" t="s">
        <v>51</v>
      </c>
      <c r="AJ27">
        <v>1</v>
      </c>
    </row>
    <row r="28" spans="1:37" ht="14.25" customHeight="1" x14ac:dyDescent="0.3">
      <c r="A28" s="1" t="s">
        <v>56</v>
      </c>
      <c r="B28" s="1">
        <v>3</v>
      </c>
      <c r="C28" s="1" t="s">
        <v>381</v>
      </c>
      <c r="D28" s="1">
        <v>354707</v>
      </c>
      <c r="E28" s="1">
        <v>3970781</v>
      </c>
      <c r="F28">
        <v>1748</v>
      </c>
      <c r="G28" s="1">
        <v>15</v>
      </c>
      <c r="H28" s="1">
        <v>154</v>
      </c>
      <c r="I28" s="71">
        <v>848</v>
      </c>
      <c r="J28" s="20">
        <v>4</v>
      </c>
      <c r="K28" s="1">
        <v>0</v>
      </c>
      <c r="M28" s="1">
        <v>4</v>
      </c>
      <c r="N28" s="1" t="s">
        <v>243</v>
      </c>
      <c r="O28" s="1">
        <v>11.4</v>
      </c>
      <c r="Q28" s="1">
        <v>52.8</v>
      </c>
      <c r="R28" s="1">
        <v>3.7</v>
      </c>
      <c r="S28" s="5">
        <f>(R28/3.14159)*100</f>
        <v>117.77475736808431</v>
      </c>
      <c r="T28" s="1" t="s">
        <v>102</v>
      </c>
      <c r="U28" s="1">
        <v>0</v>
      </c>
      <c r="V28" s="1">
        <v>100</v>
      </c>
      <c r="W28" s="1">
        <v>0</v>
      </c>
      <c r="X28" s="1">
        <f>100-U28</f>
        <v>100</v>
      </c>
      <c r="Y28" s="1">
        <v>0</v>
      </c>
      <c r="Z28" s="1">
        <v>0</v>
      </c>
      <c r="AA28" s="1" t="s">
        <v>45</v>
      </c>
      <c r="AB28" s="10">
        <v>1</v>
      </c>
      <c r="AG28" s="1">
        <v>0</v>
      </c>
      <c r="AH28" s="1">
        <v>54.8</v>
      </c>
      <c r="AI28" s="1" t="s">
        <v>53</v>
      </c>
      <c r="AJ28">
        <v>2</v>
      </c>
    </row>
    <row r="29" spans="1:37" ht="14.25" customHeight="1" x14ac:dyDescent="0.3">
      <c r="A29" s="1" t="s">
        <v>56</v>
      </c>
      <c r="B29" s="1">
        <v>3</v>
      </c>
      <c r="C29" s="1" t="s">
        <v>382</v>
      </c>
      <c r="D29" s="1">
        <v>354696</v>
      </c>
      <c r="E29" s="1">
        <v>3970808</v>
      </c>
      <c r="F29">
        <v>1748</v>
      </c>
      <c r="G29" s="1">
        <v>15</v>
      </c>
      <c r="H29" s="1">
        <v>154</v>
      </c>
      <c r="I29">
        <v>825</v>
      </c>
      <c r="J29" s="20">
        <v>4</v>
      </c>
      <c r="K29" s="1">
        <v>0</v>
      </c>
      <c r="M29" s="1">
        <v>4</v>
      </c>
      <c r="N29" s="1" t="s">
        <v>243</v>
      </c>
      <c r="O29" s="1">
        <v>7.6</v>
      </c>
      <c r="Q29" s="1">
        <v>47.1</v>
      </c>
      <c r="R29" s="1">
        <v>4.5999999999999996</v>
      </c>
      <c r="S29" s="5">
        <f>(R29/3.14159)*100</f>
        <v>146.42267132248318</v>
      </c>
      <c r="T29" s="1" t="s">
        <v>102</v>
      </c>
      <c r="U29" s="1">
        <v>0</v>
      </c>
      <c r="V29" s="1">
        <v>100</v>
      </c>
      <c r="W29" s="1">
        <v>0</v>
      </c>
      <c r="X29" s="1">
        <f>100-U29</f>
        <v>100</v>
      </c>
      <c r="Y29" s="1">
        <v>0</v>
      </c>
      <c r="Z29" s="1">
        <v>0</v>
      </c>
      <c r="AA29" s="1" t="s">
        <v>45</v>
      </c>
      <c r="AB29" s="10">
        <v>1</v>
      </c>
      <c r="AG29" s="1">
        <v>0</v>
      </c>
      <c r="AH29" s="1">
        <v>53.3</v>
      </c>
      <c r="AI29" s="1" t="s">
        <v>66</v>
      </c>
      <c r="AJ29">
        <v>3</v>
      </c>
    </row>
    <row r="30" spans="1:37" ht="14.25" customHeight="1" x14ac:dyDescent="0.3">
      <c r="A30" s="1" t="s">
        <v>56</v>
      </c>
      <c r="B30" s="1">
        <v>3</v>
      </c>
      <c r="C30" s="1" t="s">
        <v>383</v>
      </c>
      <c r="D30" s="1">
        <v>354689</v>
      </c>
      <c r="E30" s="1">
        <v>3970782</v>
      </c>
      <c r="F30">
        <v>1748</v>
      </c>
      <c r="G30" s="1">
        <v>15</v>
      </c>
      <c r="H30" s="1">
        <v>154</v>
      </c>
      <c r="I30">
        <v>848</v>
      </c>
      <c r="J30" s="20">
        <v>4</v>
      </c>
      <c r="K30" s="1">
        <v>0</v>
      </c>
      <c r="M30" s="1">
        <v>4</v>
      </c>
      <c r="N30" s="1" t="s">
        <v>243</v>
      </c>
      <c r="O30" s="1">
        <v>18.7</v>
      </c>
      <c r="Q30" s="1">
        <v>53.4</v>
      </c>
      <c r="R30" s="1">
        <v>4.5</v>
      </c>
      <c r="S30" s="5">
        <f>(R30/3.14159)*100</f>
        <v>143.23956977199444</v>
      </c>
      <c r="T30" s="1" t="s">
        <v>97</v>
      </c>
      <c r="U30" s="1">
        <v>0</v>
      </c>
      <c r="V30" s="1">
        <v>100</v>
      </c>
      <c r="W30" s="1">
        <v>0</v>
      </c>
      <c r="X30" s="1">
        <f>100-U30</f>
        <v>100</v>
      </c>
      <c r="Y30" s="1">
        <v>0</v>
      </c>
      <c r="Z30" s="1">
        <v>0</v>
      </c>
      <c r="AA30" s="1" t="s">
        <v>45</v>
      </c>
      <c r="AB30" s="10">
        <v>2</v>
      </c>
      <c r="AG30" s="1">
        <v>0</v>
      </c>
      <c r="AH30" s="1">
        <v>44.5</v>
      </c>
      <c r="AI30" s="1" t="s">
        <v>384</v>
      </c>
      <c r="AJ30">
        <v>3</v>
      </c>
    </row>
    <row r="31" spans="1:37" ht="14.25" customHeight="1" x14ac:dyDescent="0.3">
      <c r="A31" s="1" t="s">
        <v>56</v>
      </c>
      <c r="B31" s="1">
        <v>3</v>
      </c>
      <c r="C31" s="1" t="s">
        <v>385</v>
      </c>
      <c r="D31" s="1">
        <v>354698</v>
      </c>
      <c r="E31" s="1">
        <v>3970796</v>
      </c>
      <c r="F31">
        <v>1748</v>
      </c>
      <c r="G31" s="1">
        <v>15</v>
      </c>
      <c r="H31" s="1">
        <v>154</v>
      </c>
      <c r="I31">
        <v>848</v>
      </c>
      <c r="J31" s="20">
        <v>4</v>
      </c>
      <c r="K31" s="1">
        <v>0</v>
      </c>
      <c r="M31" s="1">
        <v>4</v>
      </c>
      <c r="N31" s="1" t="s">
        <v>243</v>
      </c>
      <c r="O31" s="1">
        <v>15.2</v>
      </c>
      <c r="Q31" s="1">
        <v>54.6</v>
      </c>
      <c r="R31" s="1">
        <v>4.7</v>
      </c>
      <c r="S31" s="5">
        <f>(R31/3.14159)*100</f>
        <v>149.60577287297198</v>
      </c>
      <c r="T31" s="1" t="s">
        <v>97</v>
      </c>
      <c r="U31" s="1">
        <v>0</v>
      </c>
      <c r="V31" s="1">
        <v>100</v>
      </c>
      <c r="W31" s="1">
        <v>0</v>
      </c>
      <c r="X31" s="1">
        <f>100-U31</f>
        <v>100</v>
      </c>
      <c r="Y31" s="1">
        <v>0</v>
      </c>
      <c r="Z31" s="1">
        <v>0</v>
      </c>
      <c r="AA31" s="1" t="s">
        <v>45</v>
      </c>
      <c r="AB31" s="10">
        <v>2</v>
      </c>
      <c r="AG31" s="1">
        <v>0</v>
      </c>
      <c r="AH31" s="1">
        <v>33.9</v>
      </c>
      <c r="AI31" s="1" t="s">
        <v>51</v>
      </c>
      <c r="AJ31">
        <v>1</v>
      </c>
    </row>
    <row r="32" spans="1:37" ht="14.25" customHeight="1" x14ac:dyDescent="0.3">
      <c r="A32" s="1" t="s">
        <v>56</v>
      </c>
      <c r="B32" s="1">
        <v>3</v>
      </c>
      <c r="C32" s="1" t="s">
        <v>386</v>
      </c>
      <c r="D32" s="1">
        <v>354680</v>
      </c>
      <c r="E32" s="1">
        <v>3970791</v>
      </c>
      <c r="F32">
        <v>1748</v>
      </c>
      <c r="G32" s="1">
        <v>15</v>
      </c>
      <c r="H32" s="1">
        <v>154</v>
      </c>
      <c r="I32">
        <v>891</v>
      </c>
      <c r="J32" s="20">
        <v>4</v>
      </c>
      <c r="K32" s="1">
        <v>0</v>
      </c>
      <c r="M32" s="1">
        <v>4</v>
      </c>
      <c r="N32" s="1" t="s">
        <v>243</v>
      </c>
      <c r="O32" s="1">
        <v>30</v>
      </c>
      <c r="Q32" s="1">
        <v>51.3</v>
      </c>
      <c r="R32" s="1">
        <v>3.8</v>
      </c>
      <c r="S32" s="5">
        <f>(R32/3.14159)*100</f>
        <v>120.95785891857307</v>
      </c>
      <c r="T32" s="1" t="s">
        <v>102</v>
      </c>
      <c r="U32" s="1">
        <v>0</v>
      </c>
      <c r="V32" s="1">
        <v>100</v>
      </c>
      <c r="W32" s="1">
        <v>0</v>
      </c>
      <c r="X32" s="1">
        <f>100-U32</f>
        <v>100</v>
      </c>
      <c r="Y32" s="1">
        <v>0</v>
      </c>
      <c r="Z32" s="1">
        <v>0</v>
      </c>
      <c r="AA32" s="1" t="s">
        <v>45</v>
      </c>
      <c r="AB32" s="10">
        <v>2</v>
      </c>
      <c r="AG32" s="1">
        <v>0</v>
      </c>
      <c r="AH32" s="1">
        <v>37.5</v>
      </c>
      <c r="AI32" s="1" t="s">
        <v>51</v>
      </c>
      <c r="AJ32">
        <v>1</v>
      </c>
    </row>
    <row r="33" spans="1:37" ht="14.25" customHeight="1" x14ac:dyDescent="0.3">
      <c r="A33" s="1" t="s">
        <v>56</v>
      </c>
      <c r="B33" s="1">
        <v>3</v>
      </c>
      <c r="C33" s="1" t="s">
        <v>387</v>
      </c>
      <c r="D33" s="1">
        <v>354681</v>
      </c>
      <c r="E33" s="1">
        <v>3970806</v>
      </c>
      <c r="F33">
        <v>1748</v>
      </c>
      <c r="G33" s="1">
        <v>15</v>
      </c>
      <c r="H33" s="1">
        <v>154</v>
      </c>
      <c r="I33" s="71">
        <v>866</v>
      </c>
      <c r="J33" s="20">
        <v>4</v>
      </c>
      <c r="K33" s="1">
        <v>0</v>
      </c>
      <c r="M33" s="1">
        <v>4</v>
      </c>
      <c r="N33" s="1" t="s">
        <v>243</v>
      </c>
      <c r="O33" s="1">
        <v>27.9</v>
      </c>
      <c r="Q33" s="1">
        <v>52.5</v>
      </c>
      <c r="R33" s="1">
        <v>3.6</v>
      </c>
      <c r="S33" s="5">
        <f>(R33/3.14159)*100</f>
        <v>114.59165581759557</v>
      </c>
      <c r="T33" s="1" t="s">
        <v>101</v>
      </c>
      <c r="U33" s="1">
        <v>0</v>
      </c>
      <c r="V33" s="1">
        <v>100</v>
      </c>
      <c r="W33" s="1">
        <v>0</v>
      </c>
      <c r="X33" s="1">
        <f>100-U33</f>
        <v>100</v>
      </c>
      <c r="Y33" s="1">
        <v>0</v>
      </c>
      <c r="Z33" s="1">
        <v>0</v>
      </c>
      <c r="AA33" s="1" t="s">
        <v>45</v>
      </c>
      <c r="AB33" s="10">
        <v>2</v>
      </c>
      <c r="AG33" s="1">
        <v>0</v>
      </c>
      <c r="AH33" s="1">
        <v>42.1</v>
      </c>
      <c r="AI33" s="1" t="s">
        <v>53</v>
      </c>
      <c r="AJ33">
        <v>2</v>
      </c>
    </row>
    <row r="34" spans="1:37" ht="14.25" customHeight="1" x14ac:dyDescent="0.3">
      <c r="A34" s="1" t="s">
        <v>56</v>
      </c>
      <c r="B34" s="1">
        <v>3</v>
      </c>
      <c r="C34" s="1" t="s">
        <v>388</v>
      </c>
      <c r="D34" s="1">
        <v>354685</v>
      </c>
      <c r="E34" s="1">
        <v>3970802</v>
      </c>
      <c r="F34">
        <v>1748</v>
      </c>
      <c r="G34" s="1">
        <v>15</v>
      </c>
      <c r="H34" s="1">
        <v>154</v>
      </c>
      <c r="I34">
        <v>825</v>
      </c>
      <c r="J34" s="20">
        <v>4</v>
      </c>
      <c r="K34" s="1">
        <v>0</v>
      </c>
      <c r="M34" s="1">
        <v>4</v>
      </c>
      <c r="N34" s="1" t="s">
        <v>243</v>
      </c>
      <c r="O34" s="1">
        <v>29.4</v>
      </c>
      <c r="Q34" s="1">
        <v>48.9</v>
      </c>
      <c r="R34" s="1">
        <v>3.7</v>
      </c>
      <c r="S34" s="5">
        <f>(R34/3.14159)*100</f>
        <v>117.77475736808431</v>
      </c>
      <c r="T34" s="1" t="s">
        <v>102</v>
      </c>
      <c r="U34" s="1">
        <v>0</v>
      </c>
      <c r="V34" s="1">
        <v>100</v>
      </c>
      <c r="W34" s="1">
        <v>0</v>
      </c>
      <c r="X34" s="1">
        <f>100-U34</f>
        <v>100</v>
      </c>
      <c r="Y34" s="1">
        <v>0</v>
      </c>
      <c r="Z34" s="1">
        <v>0</v>
      </c>
      <c r="AA34" s="1" t="s">
        <v>45</v>
      </c>
      <c r="AB34" s="10">
        <v>1</v>
      </c>
      <c r="AG34" s="1">
        <v>0</v>
      </c>
      <c r="AH34" s="1">
        <v>47.1</v>
      </c>
      <c r="AI34" s="1" t="s">
        <v>51</v>
      </c>
      <c r="AJ34">
        <v>1</v>
      </c>
    </row>
    <row r="35" spans="1:37" ht="14.25" customHeight="1" x14ac:dyDescent="0.3">
      <c r="A35" s="1" t="s">
        <v>56</v>
      </c>
      <c r="B35" s="1">
        <v>3</v>
      </c>
      <c r="C35" s="1" t="s">
        <v>389</v>
      </c>
      <c r="D35" s="1">
        <v>354675</v>
      </c>
      <c r="E35" s="1">
        <v>3970801</v>
      </c>
      <c r="F35">
        <v>1748</v>
      </c>
      <c r="G35" s="1">
        <v>15</v>
      </c>
      <c r="H35" s="1">
        <v>154</v>
      </c>
      <c r="I35">
        <v>906</v>
      </c>
      <c r="J35" s="20">
        <v>4</v>
      </c>
      <c r="K35" s="1">
        <v>0</v>
      </c>
      <c r="M35" s="1">
        <v>4</v>
      </c>
      <c r="N35" s="1" t="s">
        <v>243</v>
      </c>
      <c r="O35" s="1">
        <v>31.4</v>
      </c>
      <c r="Q35" s="17">
        <v>56.8</v>
      </c>
      <c r="R35" s="1">
        <v>3.4</v>
      </c>
      <c r="S35" s="5">
        <f>(R35/3.14159)*100</f>
        <v>108.22545271661801</v>
      </c>
      <c r="T35" s="1" t="s">
        <v>101</v>
      </c>
      <c r="U35" s="1">
        <v>0</v>
      </c>
      <c r="V35" s="1">
        <v>100</v>
      </c>
      <c r="W35" s="1">
        <v>0</v>
      </c>
      <c r="X35" s="1">
        <f>100-U35</f>
        <v>100</v>
      </c>
      <c r="Y35" s="1">
        <v>0</v>
      </c>
      <c r="Z35" s="1">
        <v>0</v>
      </c>
      <c r="AA35" s="1" t="s">
        <v>45</v>
      </c>
      <c r="AB35" s="10">
        <v>1</v>
      </c>
      <c r="AG35" s="1">
        <v>0</v>
      </c>
      <c r="AH35" s="1">
        <v>45.1</v>
      </c>
      <c r="AI35" s="1" t="s">
        <v>51</v>
      </c>
      <c r="AJ35">
        <v>1</v>
      </c>
    </row>
    <row r="36" spans="1:37" ht="14.25" customHeight="1" x14ac:dyDescent="0.3">
      <c r="A36" s="1" t="s">
        <v>56</v>
      </c>
      <c r="B36" s="1">
        <v>3</v>
      </c>
      <c r="C36" s="1" t="s">
        <v>390</v>
      </c>
      <c r="D36" s="1">
        <v>354672</v>
      </c>
      <c r="E36" s="1">
        <v>3970800</v>
      </c>
      <c r="F36">
        <v>1748</v>
      </c>
      <c r="G36" s="1">
        <v>15</v>
      </c>
      <c r="H36" s="1">
        <v>154</v>
      </c>
      <c r="I36" s="71">
        <v>906</v>
      </c>
      <c r="J36" s="20">
        <v>4</v>
      </c>
      <c r="K36" s="1">
        <v>0</v>
      </c>
      <c r="M36" s="1">
        <v>4</v>
      </c>
      <c r="N36" s="1" t="s">
        <v>243</v>
      </c>
      <c r="O36" s="1">
        <v>18</v>
      </c>
      <c r="Q36" s="1">
        <v>55.4</v>
      </c>
      <c r="R36" s="1">
        <v>4.3</v>
      </c>
      <c r="S36" s="5">
        <f>(R36/3.14159)*100</f>
        <v>136.8733666710169</v>
      </c>
      <c r="T36" s="1" t="s">
        <v>102</v>
      </c>
      <c r="U36" s="1">
        <v>0</v>
      </c>
      <c r="V36" s="1">
        <v>100</v>
      </c>
      <c r="W36" s="1">
        <v>0</v>
      </c>
      <c r="X36" s="1">
        <f>100-U36</f>
        <v>100</v>
      </c>
      <c r="Y36" s="1">
        <v>0</v>
      </c>
      <c r="Z36" s="1">
        <v>0</v>
      </c>
      <c r="AA36" s="1" t="s">
        <v>45</v>
      </c>
      <c r="AB36" s="10">
        <v>2</v>
      </c>
      <c r="AG36" s="1">
        <v>0</v>
      </c>
      <c r="AH36" s="1">
        <v>42.7</v>
      </c>
      <c r="AI36" s="1" t="s">
        <v>53</v>
      </c>
      <c r="AJ36">
        <v>2</v>
      </c>
      <c r="AK36" s="1" t="s">
        <v>391</v>
      </c>
    </row>
    <row r="37" spans="1:37" ht="14.25" customHeight="1" x14ac:dyDescent="0.3">
      <c r="A37" s="1" t="s">
        <v>56</v>
      </c>
      <c r="B37" s="1">
        <v>3</v>
      </c>
      <c r="C37" s="1" t="s">
        <v>392</v>
      </c>
      <c r="D37" s="1">
        <v>354676</v>
      </c>
      <c r="E37" s="1">
        <v>3970810</v>
      </c>
      <c r="F37">
        <v>1748</v>
      </c>
      <c r="G37" s="1">
        <v>15</v>
      </c>
      <c r="H37" s="1">
        <v>154</v>
      </c>
      <c r="I37">
        <v>906</v>
      </c>
      <c r="J37" s="20">
        <v>4</v>
      </c>
      <c r="K37" s="1">
        <v>0</v>
      </c>
      <c r="M37" s="1">
        <v>4</v>
      </c>
      <c r="N37" s="1" t="s">
        <v>243</v>
      </c>
      <c r="O37" s="1">
        <v>31.5</v>
      </c>
      <c r="Q37" s="1">
        <v>51.5</v>
      </c>
      <c r="R37" s="1">
        <v>3.4</v>
      </c>
      <c r="S37" s="5">
        <f>(R37/3.14159)*100</f>
        <v>108.22545271661801</v>
      </c>
      <c r="T37" s="1" t="s">
        <v>102</v>
      </c>
      <c r="U37" s="1">
        <v>0</v>
      </c>
      <c r="V37" s="1">
        <v>100</v>
      </c>
      <c r="W37" s="1">
        <v>0</v>
      </c>
      <c r="X37" s="1">
        <f>100-U37</f>
        <v>100</v>
      </c>
      <c r="Y37" s="1">
        <v>0</v>
      </c>
      <c r="Z37" s="1">
        <v>0</v>
      </c>
      <c r="AA37" s="1" t="s">
        <v>45</v>
      </c>
      <c r="AB37" s="10">
        <v>2</v>
      </c>
      <c r="AG37" s="1">
        <v>0</v>
      </c>
      <c r="AH37" s="1">
        <v>49.4</v>
      </c>
      <c r="AI37" s="1" t="s">
        <v>51</v>
      </c>
      <c r="AJ37">
        <v>1</v>
      </c>
    </row>
    <row r="38" spans="1:37" ht="14.25" customHeight="1" x14ac:dyDescent="0.3">
      <c r="A38" s="1" t="s">
        <v>56</v>
      </c>
      <c r="B38" s="1">
        <v>3</v>
      </c>
      <c r="C38" s="1" t="s">
        <v>393</v>
      </c>
      <c r="D38" s="1">
        <v>354674</v>
      </c>
      <c r="E38" s="1">
        <v>3970804</v>
      </c>
      <c r="F38">
        <v>1748</v>
      </c>
      <c r="G38" s="1">
        <v>15</v>
      </c>
      <c r="H38" s="1">
        <v>154</v>
      </c>
      <c r="I38" s="71">
        <v>906</v>
      </c>
      <c r="J38" s="20">
        <v>4</v>
      </c>
      <c r="K38" s="1">
        <v>0</v>
      </c>
      <c r="M38" s="1">
        <v>4</v>
      </c>
      <c r="N38" s="1" t="s">
        <v>243</v>
      </c>
      <c r="O38" s="1">
        <v>26.6</v>
      </c>
      <c r="Q38" s="1">
        <v>49.3</v>
      </c>
      <c r="R38" s="1">
        <v>4.0999999999999996</v>
      </c>
      <c r="S38" s="5">
        <f>(R38/3.14159)*100</f>
        <v>130.50716357003938</v>
      </c>
      <c r="T38" s="1" t="s">
        <v>97</v>
      </c>
      <c r="U38" s="1">
        <v>0</v>
      </c>
      <c r="V38" s="1">
        <v>100</v>
      </c>
      <c r="W38" s="1">
        <v>0</v>
      </c>
      <c r="X38" s="1">
        <f>100-U38</f>
        <v>100</v>
      </c>
      <c r="Y38" s="1">
        <v>0</v>
      </c>
      <c r="Z38" s="1">
        <v>0</v>
      </c>
      <c r="AA38" s="1" t="s">
        <v>45</v>
      </c>
      <c r="AB38" s="10">
        <v>3</v>
      </c>
      <c r="AG38" s="1">
        <v>0</v>
      </c>
      <c r="AH38" s="1">
        <v>43.1</v>
      </c>
      <c r="AI38" s="1" t="s">
        <v>53</v>
      </c>
      <c r="AJ38">
        <v>2</v>
      </c>
    </row>
    <row r="39" spans="1:37" ht="14.25" customHeight="1" x14ac:dyDescent="0.3">
      <c r="A39" s="1" t="s">
        <v>56</v>
      </c>
      <c r="B39" s="1">
        <v>3</v>
      </c>
      <c r="C39" s="1" t="s">
        <v>394</v>
      </c>
      <c r="D39" s="1">
        <v>354662</v>
      </c>
      <c r="E39" s="1">
        <v>3970821</v>
      </c>
      <c r="F39">
        <v>1748</v>
      </c>
      <c r="G39" s="1">
        <v>15</v>
      </c>
      <c r="H39" s="1">
        <v>154</v>
      </c>
      <c r="I39">
        <v>906</v>
      </c>
      <c r="J39" s="20">
        <v>4</v>
      </c>
      <c r="K39" s="1">
        <v>0</v>
      </c>
      <c r="M39" s="1">
        <v>4</v>
      </c>
      <c r="N39" s="1" t="s">
        <v>243</v>
      </c>
      <c r="O39" s="1">
        <v>19.7</v>
      </c>
      <c r="Q39" s="1">
        <v>48.9</v>
      </c>
      <c r="R39" s="1">
        <v>4.7</v>
      </c>
      <c r="S39" s="5">
        <f>(R39/3.14159)*100</f>
        <v>149.60577287297198</v>
      </c>
      <c r="T39" s="1" t="s">
        <v>95</v>
      </c>
      <c r="U39" s="1">
        <v>0</v>
      </c>
      <c r="V39" s="1">
        <v>100</v>
      </c>
      <c r="W39" s="1">
        <v>0</v>
      </c>
      <c r="X39" s="1">
        <f>100-U39</f>
        <v>100</v>
      </c>
      <c r="Y39" s="1">
        <v>0</v>
      </c>
      <c r="Z39" s="1">
        <v>0</v>
      </c>
      <c r="AA39" s="1" t="s">
        <v>45</v>
      </c>
      <c r="AB39" s="10">
        <v>3</v>
      </c>
      <c r="AG39" s="1">
        <v>0</v>
      </c>
      <c r="AH39" s="1">
        <v>55.9</v>
      </c>
      <c r="AI39" s="1" t="s">
        <v>60</v>
      </c>
      <c r="AJ39">
        <v>1</v>
      </c>
    </row>
    <row r="40" spans="1:37" ht="14.25" customHeight="1" x14ac:dyDescent="0.3">
      <c r="A40" s="1" t="s">
        <v>56</v>
      </c>
      <c r="B40" s="1">
        <v>4</v>
      </c>
      <c r="C40" s="1" t="s">
        <v>361</v>
      </c>
      <c r="D40" s="1">
        <v>354746</v>
      </c>
      <c r="E40" s="1">
        <v>3970777</v>
      </c>
      <c r="F40">
        <v>1734</v>
      </c>
      <c r="G40" s="1">
        <v>11</v>
      </c>
      <c r="H40" s="1">
        <v>109</v>
      </c>
      <c r="I40" s="71">
        <v>834</v>
      </c>
      <c r="J40" s="20">
        <v>4</v>
      </c>
      <c r="K40" s="1">
        <v>0</v>
      </c>
      <c r="M40" s="1">
        <v>4</v>
      </c>
      <c r="N40" s="1" t="s">
        <v>153</v>
      </c>
      <c r="O40" s="1">
        <v>27.5</v>
      </c>
      <c r="Q40" s="1">
        <v>65.5</v>
      </c>
      <c r="R40" s="1">
        <v>7.4</v>
      </c>
      <c r="S40" s="5">
        <f>(R40/3.14159)*100</f>
        <v>235.54951473616862</v>
      </c>
      <c r="T40" s="1" t="s">
        <v>97</v>
      </c>
      <c r="U40" s="1">
        <v>0</v>
      </c>
      <c r="V40" s="1">
        <v>100</v>
      </c>
      <c r="W40" s="1">
        <v>0</v>
      </c>
      <c r="X40" s="1">
        <f>100-U40</f>
        <v>100</v>
      </c>
      <c r="Y40" s="1">
        <v>0</v>
      </c>
      <c r="Z40" s="1">
        <v>0</v>
      </c>
      <c r="AA40" s="1" t="s">
        <v>45</v>
      </c>
      <c r="AB40" s="10">
        <v>4</v>
      </c>
      <c r="AG40" s="1">
        <v>0</v>
      </c>
      <c r="AH40" s="1">
        <v>20.3</v>
      </c>
      <c r="AI40" s="1" t="s">
        <v>53</v>
      </c>
      <c r="AJ40">
        <v>2</v>
      </c>
      <c r="AK40" s="1" t="s">
        <v>395</v>
      </c>
    </row>
    <row r="41" spans="1:37" ht="14.25" customHeight="1" x14ac:dyDescent="0.3">
      <c r="A41" s="1" t="s">
        <v>56</v>
      </c>
      <c r="B41" s="1">
        <v>4</v>
      </c>
      <c r="C41" s="1" t="s">
        <v>363</v>
      </c>
      <c r="D41" s="1">
        <v>354742</v>
      </c>
      <c r="E41" s="1">
        <v>3970776</v>
      </c>
      <c r="F41">
        <v>1734</v>
      </c>
      <c r="G41" s="1">
        <v>11</v>
      </c>
      <c r="H41" s="1">
        <v>109</v>
      </c>
      <c r="I41" s="71">
        <v>769</v>
      </c>
      <c r="J41" s="20">
        <v>4</v>
      </c>
      <c r="K41" s="1">
        <v>0</v>
      </c>
      <c r="M41" s="1">
        <v>4</v>
      </c>
      <c r="N41" s="1" t="s">
        <v>153</v>
      </c>
      <c r="O41" s="1">
        <v>21</v>
      </c>
      <c r="Q41" s="1">
        <v>62.1</v>
      </c>
      <c r="R41" s="1">
        <v>6.2</v>
      </c>
      <c r="S41" s="5">
        <f>(R41/3.14159)*100</f>
        <v>197.35229613030344</v>
      </c>
      <c r="T41" s="1" t="s">
        <v>97</v>
      </c>
      <c r="U41" s="1">
        <v>0</v>
      </c>
      <c r="V41" s="1">
        <v>100</v>
      </c>
      <c r="W41" s="1">
        <v>0</v>
      </c>
      <c r="X41" s="1">
        <f>100-U41</f>
        <v>100</v>
      </c>
      <c r="Y41" s="1">
        <v>0</v>
      </c>
      <c r="Z41" s="1">
        <v>0</v>
      </c>
      <c r="AA41" s="1" t="s">
        <v>45</v>
      </c>
      <c r="AB41" s="10">
        <v>4</v>
      </c>
      <c r="AG41" s="1">
        <v>0</v>
      </c>
      <c r="AH41" s="1">
        <v>21.4</v>
      </c>
      <c r="AI41" s="1" t="s">
        <v>53</v>
      </c>
      <c r="AJ41">
        <v>2</v>
      </c>
    </row>
    <row r="42" spans="1:37" ht="14.25" customHeight="1" x14ac:dyDescent="0.3">
      <c r="A42" s="1" t="s">
        <v>56</v>
      </c>
      <c r="B42" s="1">
        <v>4</v>
      </c>
      <c r="C42" s="1" t="s">
        <v>364</v>
      </c>
      <c r="D42" s="1">
        <v>354740</v>
      </c>
      <c r="E42" s="1">
        <v>3970775</v>
      </c>
      <c r="F42">
        <v>1734</v>
      </c>
      <c r="G42" s="1">
        <v>11</v>
      </c>
      <c r="H42" s="1">
        <v>109</v>
      </c>
      <c r="I42" s="71">
        <v>769</v>
      </c>
      <c r="J42" s="20">
        <v>4</v>
      </c>
      <c r="K42" s="1">
        <v>0</v>
      </c>
      <c r="M42" s="1">
        <v>4</v>
      </c>
      <c r="N42" s="1" t="s">
        <v>153</v>
      </c>
      <c r="O42" s="1">
        <v>14.8</v>
      </c>
      <c r="Q42" s="1">
        <v>58.2</v>
      </c>
      <c r="R42" s="1">
        <v>4.9000000000000004</v>
      </c>
      <c r="S42" s="5">
        <f>(R42/3.14159)*100</f>
        <v>155.97197597394953</v>
      </c>
      <c r="T42" s="1" t="s">
        <v>97</v>
      </c>
      <c r="U42" s="1">
        <v>0</v>
      </c>
      <c r="V42" s="1">
        <v>100</v>
      </c>
      <c r="W42" s="1">
        <v>0</v>
      </c>
      <c r="X42" s="1">
        <f>100-U42</f>
        <v>100</v>
      </c>
      <c r="Y42" s="1">
        <v>0</v>
      </c>
      <c r="Z42" s="1">
        <v>0</v>
      </c>
      <c r="AA42" s="1" t="s">
        <v>45</v>
      </c>
      <c r="AB42" s="10">
        <v>4</v>
      </c>
      <c r="AG42" s="1">
        <v>0</v>
      </c>
      <c r="AH42" s="1">
        <v>18.7</v>
      </c>
      <c r="AI42" s="1" t="s">
        <v>53</v>
      </c>
      <c r="AJ42">
        <v>2</v>
      </c>
    </row>
    <row r="43" spans="1:37" ht="14.25" customHeight="1" x14ac:dyDescent="0.3">
      <c r="A43" s="1" t="s">
        <v>56</v>
      </c>
      <c r="B43" s="1">
        <v>4</v>
      </c>
      <c r="C43" s="1" t="s">
        <v>365</v>
      </c>
      <c r="D43" s="1">
        <v>354775</v>
      </c>
      <c r="E43" s="1">
        <v>3970763</v>
      </c>
      <c r="F43">
        <v>1734</v>
      </c>
      <c r="G43" s="1">
        <v>11</v>
      </c>
      <c r="H43" s="1">
        <v>109</v>
      </c>
      <c r="I43">
        <v>898</v>
      </c>
      <c r="J43" s="20">
        <v>4</v>
      </c>
      <c r="K43" s="1">
        <v>0</v>
      </c>
      <c r="M43" s="1">
        <v>4</v>
      </c>
      <c r="N43" s="1" t="s">
        <v>153</v>
      </c>
      <c r="O43" s="1">
        <v>23.8</v>
      </c>
      <c r="Q43" s="1">
        <v>65.2</v>
      </c>
      <c r="R43" s="1">
        <v>14.1</v>
      </c>
      <c r="S43" s="5">
        <f>(R43/3.14159)*100</f>
        <v>448.81731861891592</v>
      </c>
      <c r="T43" s="1" t="s">
        <v>102</v>
      </c>
      <c r="U43" s="1">
        <v>0</v>
      </c>
      <c r="V43" s="1">
        <v>100</v>
      </c>
      <c r="W43" s="1">
        <v>0</v>
      </c>
      <c r="X43" s="1">
        <f>100-U43</f>
        <v>100</v>
      </c>
      <c r="Y43" s="1">
        <v>0</v>
      </c>
      <c r="Z43" s="1">
        <v>0</v>
      </c>
      <c r="AA43" s="1" t="s">
        <v>45</v>
      </c>
      <c r="AB43" s="10">
        <v>4</v>
      </c>
      <c r="AG43" s="1">
        <v>1</v>
      </c>
      <c r="AH43" s="1">
        <v>16.100000000000001</v>
      </c>
      <c r="AI43" s="1" t="s">
        <v>60</v>
      </c>
      <c r="AJ43">
        <v>1</v>
      </c>
    </row>
    <row r="44" spans="1:37" ht="14.25" customHeight="1" x14ac:dyDescent="0.3">
      <c r="A44" s="1" t="s">
        <v>56</v>
      </c>
      <c r="B44" s="1">
        <v>4</v>
      </c>
      <c r="C44" s="1" t="s">
        <v>366</v>
      </c>
      <c r="D44" s="1">
        <v>354780</v>
      </c>
      <c r="E44" s="1">
        <v>3970769</v>
      </c>
      <c r="F44">
        <v>1734</v>
      </c>
      <c r="G44" s="1">
        <v>11</v>
      </c>
      <c r="H44" s="1">
        <v>109</v>
      </c>
      <c r="I44">
        <v>898</v>
      </c>
      <c r="J44" s="20">
        <v>4</v>
      </c>
      <c r="K44" s="1">
        <v>0</v>
      </c>
      <c r="M44" s="1">
        <v>4</v>
      </c>
      <c r="N44" s="1" t="s">
        <v>153</v>
      </c>
      <c r="Q44" s="1">
        <v>57.5</v>
      </c>
      <c r="R44" s="52">
        <f>S44*3.1416/100</f>
        <v>7.8540000000000001</v>
      </c>
      <c r="S44" s="5">
        <v>250</v>
      </c>
      <c r="T44" s="1" t="s">
        <v>102</v>
      </c>
      <c r="U44" s="1">
        <v>0</v>
      </c>
      <c r="V44" s="1">
        <v>100</v>
      </c>
      <c r="W44" s="1">
        <v>0</v>
      </c>
      <c r="X44" s="1">
        <f>100-U44</f>
        <v>100</v>
      </c>
      <c r="Y44" s="1">
        <v>0</v>
      </c>
      <c r="Z44" s="1">
        <v>0</v>
      </c>
      <c r="AA44" s="1" t="s">
        <v>45</v>
      </c>
      <c r="AG44" s="1">
        <v>1</v>
      </c>
      <c r="AH44" s="1">
        <v>23.6</v>
      </c>
      <c r="AI44" s="1" t="s">
        <v>60</v>
      </c>
      <c r="AJ44">
        <v>1</v>
      </c>
      <c r="AK44" s="1" t="s">
        <v>396</v>
      </c>
    </row>
    <row r="45" spans="1:37" ht="14.25" customHeight="1" x14ac:dyDescent="0.3">
      <c r="A45" s="1" t="s">
        <v>56</v>
      </c>
      <c r="B45" s="1">
        <v>4</v>
      </c>
      <c r="C45" s="1" t="s">
        <v>367</v>
      </c>
      <c r="D45" s="1">
        <v>354786</v>
      </c>
      <c r="E45" s="1">
        <v>3970755</v>
      </c>
      <c r="F45">
        <v>1734</v>
      </c>
      <c r="G45" s="1">
        <v>11</v>
      </c>
      <c r="H45" s="1">
        <v>109</v>
      </c>
      <c r="I45">
        <v>887</v>
      </c>
      <c r="J45" s="20">
        <v>4</v>
      </c>
      <c r="K45" s="1">
        <v>0</v>
      </c>
      <c r="M45" s="1">
        <v>4</v>
      </c>
      <c r="N45" s="1" t="s">
        <v>153</v>
      </c>
      <c r="O45" s="1">
        <v>20.3</v>
      </c>
      <c r="Q45" s="1">
        <v>71.5</v>
      </c>
      <c r="R45" s="1">
        <v>15.2</v>
      </c>
      <c r="S45" s="5">
        <f>(R45/3.14159)*100</f>
        <v>483.83143567429227</v>
      </c>
      <c r="T45" s="1" t="s">
        <v>97</v>
      </c>
      <c r="U45" s="1">
        <v>0</v>
      </c>
      <c r="V45" s="1">
        <v>100</v>
      </c>
      <c r="W45" s="1">
        <v>0</v>
      </c>
      <c r="X45" s="1">
        <f>100-U45</f>
        <v>100</v>
      </c>
      <c r="Y45" s="1">
        <v>0</v>
      </c>
      <c r="Z45" s="1">
        <v>0</v>
      </c>
      <c r="AA45" s="1" t="s">
        <v>45</v>
      </c>
      <c r="AB45" s="10">
        <v>4</v>
      </c>
      <c r="AG45" s="1">
        <v>1</v>
      </c>
      <c r="AH45" s="1">
        <v>29.9</v>
      </c>
      <c r="AI45" s="1" t="s">
        <v>60</v>
      </c>
      <c r="AJ45">
        <v>1</v>
      </c>
    </row>
    <row r="46" spans="1:37" ht="14.25" customHeight="1" x14ac:dyDescent="0.3">
      <c r="A46" s="1" t="s">
        <v>56</v>
      </c>
      <c r="B46" s="1">
        <v>4</v>
      </c>
      <c r="C46" s="1" t="s">
        <v>369</v>
      </c>
      <c r="D46" s="1">
        <v>354790</v>
      </c>
      <c r="E46" s="1">
        <v>3970758</v>
      </c>
      <c r="F46">
        <v>1734</v>
      </c>
      <c r="G46" s="1">
        <v>11</v>
      </c>
      <c r="H46" s="1">
        <v>109</v>
      </c>
      <c r="I46">
        <v>887</v>
      </c>
      <c r="J46" s="20">
        <v>4</v>
      </c>
      <c r="K46" s="1">
        <v>0</v>
      </c>
      <c r="M46" s="1">
        <v>4</v>
      </c>
      <c r="N46" s="1" t="s">
        <v>153</v>
      </c>
      <c r="O46" s="1">
        <v>19.899999999999999</v>
      </c>
      <c r="Q46" s="1">
        <v>65.3</v>
      </c>
      <c r="R46" s="1">
        <v>12.2</v>
      </c>
      <c r="S46" s="5">
        <f>(R46/3.14159)*100</f>
        <v>388.33838915962934</v>
      </c>
      <c r="T46" s="1" t="s">
        <v>97</v>
      </c>
      <c r="U46" s="1">
        <v>0</v>
      </c>
      <c r="V46" s="1">
        <v>100</v>
      </c>
      <c r="W46" s="1">
        <v>0</v>
      </c>
      <c r="X46" s="1">
        <f>100-U46</f>
        <v>100</v>
      </c>
      <c r="Y46" s="1">
        <v>0</v>
      </c>
      <c r="Z46" s="1">
        <v>0</v>
      </c>
      <c r="AA46" s="1" t="s">
        <v>45</v>
      </c>
      <c r="AB46" s="10">
        <v>4</v>
      </c>
      <c r="AG46" s="1">
        <v>1</v>
      </c>
      <c r="AH46" s="1">
        <v>31.9</v>
      </c>
      <c r="AI46" s="1" t="s">
        <v>60</v>
      </c>
      <c r="AJ46">
        <v>1</v>
      </c>
    </row>
    <row r="47" spans="1:37" ht="14.25" customHeight="1" x14ac:dyDescent="0.3">
      <c r="A47" s="1" t="s">
        <v>56</v>
      </c>
      <c r="B47" s="1">
        <v>4</v>
      </c>
      <c r="C47" s="1" t="s">
        <v>347</v>
      </c>
      <c r="D47" s="1">
        <v>354759</v>
      </c>
      <c r="E47" s="1">
        <v>3970730</v>
      </c>
      <c r="F47">
        <v>1734</v>
      </c>
      <c r="G47" s="1">
        <v>11</v>
      </c>
      <c r="H47" s="1">
        <v>109</v>
      </c>
      <c r="I47">
        <v>938</v>
      </c>
      <c r="J47" s="20">
        <v>4</v>
      </c>
      <c r="K47" s="1">
        <v>0</v>
      </c>
      <c r="M47" s="1">
        <v>4</v>
      </c>
      <c r="N47" s="1" t="s">
        <v>153</v>
      </c>
      <c r="O47" s="1">
        <v>19.8</v>
      </c>
      <c r="Q47" s="1">
        <v>29.3</v>
      </c>
      <c r="R47" s="1">
        <v>3.2</v>
      </c>
      <c r="S47" s="5">
        <f>(R47/3.14159)*100</f>
        <v>101.85924961564051</v>
      </c>
      <c r="T47" s="1" t="s">
        <v>102</v>
      </c>
      <c r="U47" s="1">
        <v>0</v>
      </c>
      <c r="V47" s="1">
        <v>100</v>
      </c>
      <c r="W47" s="1">
        <v>0</v>
      </c>
      <c r="X47" s="1">
        <f>100-U47</f>
        <v>100</v>
      </c>
      <c r="Y47" s="1">
        <v>0</v>
      </c>
      <c r="Z47" s="1">
        <v>0</v>
      </c>
      <c r="AA47" s="1" t="s">
        <v>45</v>
      </c>
      <c r="AG47" s="1">
        <v>0</v>
      </c>
      <c r="AH47" s="1">
        <v>29.2</v>
      </c>
      <c r="AI47" s="1" t="s">
        <v>60</v>
      </c>
      <c r="AJ47">
        <v>1</v>
      </c>
      <c r="AK47" s="1" t="s">
        <v>397</v>
      </c>
    </row>
    <row r="48" spans="1:37" ht="14.25" customHeight="1" x14ac:dyDescent="0.3">
      <c r="A48" s="1" t="s">
        <v>56</v>
      </c>
      <c r="B48" s="1">
        <v>4</v>
      </c>
      <c r="C48" s="1" t="s">
        <v>349</v>
      </c>
      <c r="D48" s="1">
        <v>354741</v>
      </c>
      <c r="E48" s="1">
        <v>3970718</v>
      </c>
      <c r="F48">
        <v>1734</v>
      </c>
      <c r="G48" s="1">
        <v>11</v>
      </c>
      <c r="H48" s="1">
        <v>109</v>
      </c>
      <c r="I48">
        <v>998</v>
      </c>
      <c r="J48" s="20">
        <v>4</v>
      </c>
      <c r="K48" s="1">
        <v>0</v>
      </c>
      <c r="M48" s="1">
        <v>4</v>
      </c>
      <c r="N48" s="1" t="s">
        <v>153</v>
      </c>
      <c r="O48" s="1">
        <v>18.899999999999999</v>
      </c>
      <c r="Q48" s="1">
        <v>60.5</v>
      </c>
      <c r="R48" s="1">
        <v>15.1</v>
      </c>
      <c r="S48" s="5">
        <f>(R48/3.14159)*100</f>
        <v>480.64833412380352</v>
      </c>
      <c r="T48" s="1" t="s">
        <v>95</v>
      </c>
      <c r="U48" s="1">
        <v>0</v>
      </c>
      <c r="V48" s="1">
        <v>100</v>
      </c>
      <c r="W48" s="1">
        <v>0</v>
      </c>
      <c r="X48" s="1">
        <f>100-U48</f>
        <v>100</v>
      </c>
      <c r="Y48" s="1">
        <v>0</v>
      </c>
      <c r="Z48" s="1">
        <v>0</v>
      </c>
      <c r="AA48" s="1" t="s">
        <v>45</v>
      </c>
      <c r="AB48" s="10">
        <v>4</v>
      </c>
      <c r="AG48" s="1">
        <v>1</v>
      </c>
      <c r="AH48" s="1">
        <v>52.4</v>
      </c>
      <c r="AI48" s="1" t="s">
        <v>60</v>
      </c>
      <c r="AJ48">
        <v>1</v>
      </c>
    </row>
    <row r="49" spans="1:37" ht="14.25" customHeight="1" x14ac:dyDescent="0.3">
      <c r="A49" s="1" t="s">
        <v>56</v>
      </c>
      <c r="B49" s="1">
        <v>5</v>
      </c>
      <c r="C49" s="1" t="s">
        <v>332</v>
      </c>
      <c r="D49" s="1">
        <v>354457</v>
      </c>
      <c r="E49" s="1">
        <v>3970850</v>
      </c>
      <c r="F49">
        <v>1714</v>
      </c>
      <c r="G49" s="1">
        <v>17</v>
      </c>
      <c r="H49" s="1">
        <v>151</v>
      </c>
      <c r="I49">
        <v>637</v>
      </c>
      <c r="J49" s="20">
        <v>3</v>
      </c>
      <c r="K49" s="1">
        <v>1</v>
      </c>
      <c r="M49" s="1">
        <v>4</v>
      </c>
      <c r="N49" s="1" t="s">
        <v>153</v>
      </c>
      <c r="O49" s="1">
        <v>11.7</v>
      </c>
      <c r="P49" s="1">
        <v>22.9</v>
      </c>
      <c r="Q49" s="1">
        <v>37.9</v>
      </c>
      <c r="R49" s="1">
        <v>3.5</v>
      </c>
      <c r="S49" s="5">
        <f>(R49/3.14159)*100</f>
        <v>111.40855426710678</v>
      </c>
      <c r="T49" s="1" t="s">
        <v>97</v>
      </c>
      <c r="U49" s="1">
        <v>25</v>
      </c>
      <c r="V49" s="1">
        <v>75</v>
      </c>
      <c r="W49" s="1">
        <v>0</v>
      </c>
      <c r="X49" s="1">
        <f>100-U49</f>
        <v>75</v>
      </c>
      <c r="Y49" s="1">
        <v>0</v>
      </c>
      <c r="Z49" s="1">
        <v>0</v>
      </c>
      <c r="AA49" s="1" t="s">
        <v>45</v>
      </c>
      <c r="AB49" s="10">
        <v>1</v>
      </c>
      <c r="AC49" s="1">
        <v>37.9</v>
      </c>
      <c r="AD49" s="1">
        <v>22.1</v>
      </c>
      <c r="AE49" s="1">
        <v>70</v>
      </c>
      <c r="AF49" s="1">
        <v>5</v>
      </c>
      <c r="AG49" s="1">
        <v>0</v>
      </c>
      <c r="AI49" s="1" t="s">
        <v>51</v>
      </c>
      <c r="AJ49">
        <v>1</v>
      </c>
    </row>
    <row r="50" spans="1:37" ht="14.25" customHeight="1" x14ac:dyDescent="0.3">
      <c r="A50" s="1" t="s">
        <v>56</v>
      </c>
      <c r="B50" s="1">
        <v>5</v>
      </c>
      <c r="C50" s="1" t="s">
        <v>333</v>
      </c>
      <c r="D50" s="1">
        <v>354446</v>
      </c>
      <c r="E50" s="1">
        <v>3970907</v>
      </c>
      <c r="F50">
        <v>1714</v>
      </c>
      <c r="G50" s="1">
        <v>17</v>
      </c>
      <c r="H50" s="1">
        <v>151</v>
      </c>
      <c r="I50">
        <v>862</v>
      </c>
      <c r="J50" s="20">
        <v>4</v>
      </c>
      <c r="K50" s="1">
        <v>0</v>
      </c>
      <c r="M50" s="1">
        <v>4</v>
      </c>
      <c r="N50" s="1" t="s">
        <v>153</v>
      </c>
      <c r="O50" s="1">
        <v>14</v>
      </c>
      <c r="Q50" s="1">
        <v>36.1</v>
      </c>
      <c r="R50" s="1">
        <v>3.3</v>
      </c>
      <c r="S50" s="5">
        <f>(R50/3.14159)*100</f>
        <v>105.04235116612925</v>
      </c>
      <c r="T50" s="1" t="s">
        <v>102</v>
      </c>
      <c r="U50" s="1">
        <v>0</v>
      </c>
      <c r="V50" s="1">
        <v>100</v>
      </c>
      <c r="W50" s="1">
        <v>0</v>
      </c>
      <c r="X50" s="1">
        <f>100-U50</f>
        <v>100</v>
      </c>
      <c r="Y50" s="1">
        <v>0</v>
      </c>
      <c r="Z50" s="1">
        <v>0</v>
      </c>
      <c r="AA50" s="1" t="s">
        <v>45</v>
      </c>
      <c r="AB50" s="10">
        <v>1</v>
      </c>
      <c r="AG50" s="1">
        <v>0</v>
      </c>
      <c r="AI50" s="1" t="s">
        <v>51</v>
      </c>
      <c r="AJ50">
        <v>1</v>
      </c>
    </row>
    <row r="51" spans="1:37" ht="14.25" customHeight="1" x14ac:dyDescent="0.3">
      <c r="A51" s="1" t="s">
        <v>56</v>
      </c>
      <c r="B51" s="1">
        <v>5</v>
      </c>
      <c r="C51" s="1" t="s">
        <v>334</v>
      </c>
      <c r="D51" s="1">
        <v>354440</v>
      </c>
      <c r="E51" s="1">
        <v>3970902</v>
      </c>
      <c r="F51">
        <v>1714</v>
      </c>
      <c r="G51" s="1">
        <v>17</v>
      </c>
      <c r="H51" s="1">
        <v>151</v>
      </c>
      <c r="I51">
        <v>842</v>
      </c>
      <c r="J51" s="20">
        <v>4</v>
      </c>
      <c r="K51" s="1">
        <v>0</v>
      </c>
      <c r="M51" s="1">
        <v>4</v>
      </c>
      <c r="N51" s="1" t="s">
        <v>153</v>
      </c>
      <c r="O51" s="1">
        <v>12.2</v>
      </c>
      <c r="Q51" s="1">
        <v>36.200000000000003</v>
      </c>
      <c r="R51" s="1">
        <v>3.3</v>
      </c>
      <c r="S51" s="5">
        <f>(R51/3.14159)*100</f>
        <v>105.04235116612925</v>
      </c>
      <c r="T51" s="1" t="s">
        <v>102</v>
      </c>
      <c r="U51" s="1">
        <v>0</v>
      </c>
      <c r="V51" s="1">
        <v>100</v>
      </c>
      <c r="W51" s="1">
        <v>0</v>
      </c>
      <c r="X51" s="1">
        <f>100-U51</f>
        <v>100</v>
      </c>
      <c r="Y51">
        <v>0</v>
      </c>
      <c r="Z51" s="1">
        <v>0</v>
      </c>
      <c r="AA51" s="1" t="s">
        <v>45</v>
      </c>
      <c r="AB51" s="10">
        <v>1</v>
      </c>
      <c r="AG51" s="1">
        <v>0</v>
      </c>
      <c r="AI51" s="1" t="s">
        <v>51</v>
      </c>
      <c r="AJ51">
        <v>1</v>
      </c>
      <c r="AK51" s="1" t="s">
        <v>335</v>
      </c>
    </row>
    <row r="52" spans="1:37" ht="14.25" customHeight="1" x14ac:dyDescent="0.3">
      <c r="A52" s="1" t="s">
        <v>56</v>
      </c>
      <c r="B52" s="1">
        <v>6</v>
      </c>
      <c r="C52" s="1" t="s">
        <v>336</v>
      </c>
      <c r="D52" s="1">
        <v>354600</v>
      </c>
      <c r="E52" s="1">
        <v>3970873</v>
      </c>
      <c r="F52">
        <v>1712</v>
      </c>
      <c r="G52" s="1">
        <v>22</v>
      </c>
      <c r="H52" s="1">
        <v>154</v>
      </c>
      <c r="I52">
        <v>876</v>
      </c>
      <c r="J52" s="20">
        <v>4</v>
      </c>
      <c r="K52" s="1">
        <v>1</v>
      </c>
      <c r="M52" s="1">
        <v>4</v>
      </c>
      <c r="N52" s="1" t="s">
        <v>153</v>
      </c>
      <c r="O52" s="1">
        <v>21.3</v>
      </c>
      <c r="P52" s="1">
        <v>53.8</v>
      </c>
      <c r="Q52" s="1">
        <v>68.900000000000006</v>
      </c>
      <c r="R52" s="1">
        <v>10.6</v>
      </c>
      <c r="S52" s="5">
        <f>(R52/3.14159)*100</f>
        <v>337.40876435180911</v>
      </c>
      <c r="T52" s="1" t="s">
        <v>95</v>
      </c>
      <c r="U52" s="1">
        <v>5</v>
      </c>
      <c r="V52" s="1">
        <v>95</v>
      </c>
      <c r="W52" s="1">
        <v>0</v>
      </c>
      <c r="X52" s="1">
        <f>100-U52</f>
        <v>95</v>
      </c>
      <c r="Y52" s="1">
        <v>0</v>
      </c>
      <c r="Z52" s="1">
        <v>1</v>
      </c>
      <c r="AA52" s="1" t="s">
        <v>45</v>
      </c>
      <c r="AB52" s="10">
        <v>4</v>
      </c>
      <c r="AC52" s="1">
        <v>68.900000000000006</v>
      </c>
      <c r="AD52" s="1">
        <v>66.3</v>
      </c>
      <c r="AE52" s="1">
        <v>45</v>
      </c>
      <c r="AF52" s="1">
        <v>50</v>
      </c>
      <c r="AG52" s="1">
        <v>0</v>
      </c>
      <c r="AI52" s="1" t="s">
        <v>57</v>
      </c>
      <c r="AJ52">
        <v>1</v>
      </c>
    </row>
    <row r="53" spans="1:37" ht="14.25" customHeight="1" x14ac:dyDescent="0.3">
      <c r="A53" s="1" t="s">
        <v>56</v>
      </c>
      <c r="B53" s="1">
        <v>6</v>
      </c>
      <c r="C53" s="1" t="s">
        <v>337</v>
      </c>
      <c r="D53" s="1">
        <v>354590</v>
      </c>
      <c r="E53" s="1">
        <v>3970892</v>
      </c>
      <c r="F53">
        <v>1712</v>
      </c>
      <c r="G53" s="1">
        <v>22</v>
      </c>
      <c r="H53" s="1">
        <v>154</v>
      </c>
      <c r="I53">
        <v>881</v>
      </c>
      <c r="J53" s="20">
        <v>4</v>
      </c>
      <c r="K53" s="1">
        <v>0</v>
      </c>
      <c r="M53" s="1">
        <v>4</v>
      </c>
      <c r="N53" s="1" t="s">
        <v>153</v>
      </c>
      <c r="O53" s="1">
        <v>20.3</v>
      </c>
      <c r="Q53" s="1">
        <v>51.9</v>
      </c>
      <c r="R53" s="1">
        <v>3.4</v>
      </c>
      <c r="S53" s="5">
        <f>(R53/3.14159)*100</f>
        <v>108.22545271661801</v>
      </c>
      <c r="T53" s="1" t="s">
        <v>95</v>
      </c>
      <c r="U53" s="1">
        <v>0</v>
      </c>
      <c r="V53" s="1">
        <v>100</v>
      </c>
      <c r="W53" s="1">
        <v>0</v>
      </c>
      <c r="X53" s="1">
        <f>100-U53</f>
        <v>100</v>
      </c>
      <c r="Y53" s="1">
        <v>0</v>
      </c>
      <c r="Z53">
        <v>0</v>
      </c>
      <c r="AA53" s="1" t="s">
        <v>45</v>
      </c>
      <c r="AB53" s="10">
        <v>1</v>
      </c>
      <c r="AG53" s="1">
        <v>0</v>
      </c>
      <c r="AI53" s="1" t="s">
        <v>51</v>
      </c>
      <c r="AJ53">
        <v>1</v>
      </c>
      <c r="AK53" s="20"/>
    </row>
    <row r="54" spans="1:37" ht="14.25" customHeight="1" x14ac:dyDescent="0.3">
      <c r="A54" s="1" t="s">
        <v>56</v>
      </c>
      <c r="B54" s="1">
        <v>7</v>
      </c>
      <c r="C54" s="1" t="s">
        <v>321</v>
      </c>
      <c r="D54" s="1">
        <v>354659</v>
      </c>
      <c r="E54" s="1">
        <v>3970856</v>
      </c>
      <c r="F54">
        <v>1715</v>
      </c>
      <c r="G54" s="1">
        <v>22</v>
      </c>
      <c r="H54" s="1">
        <v>154</v>
      </c>
      <c r="I54" s="71">
        <v>879</v>
      </c>
      <c r="J54" s="20">
        <v>4</v>
      </c>
      <c r="K54" s="1">
        <v>0</v>
      </c>
      <c r="M54" s="1">
        <v>4</v>
      </c>
      <c r="N54" s="1" t="s">
        <v>153</v>
      </c>
      <c r="O54" s="1">
        <v>52.7</v>
      </c>
      <c r="Q54" s="1">
        <v>34.9</v>
      </c>
      <c r="R54" s="1">
        <v>3.8</v>
      </c>
      <c r="S54" s="5">
        <f>(R54/3.14159)*100</f>
        <v>120.95785891857307</v>
      </c>
      <c r="T54" s="1" t="s">
        <v>94</v>
      </c>
      <c r="U54" s="1">
        <v>0</v>
      </c>
      <c r="V54" s="1">
        <v>100</v>
      </c>
      <c r="W54" s="1">
        <v>0</v>
      </c>
      <c r="X54" s="1">
        <f>100-U54</f>
        <v>100</v>
      </c>
      <c r="Y54" s="1">
        <v>0</v>
      </c>
      <c r="Z54">
        <v>0</v>
      </c>
      <c r="AA54" s="1" t="s">
        <v>45</v>
      </c>
      <c r="AB54" s="10">
        <v>2</v>
      </c>
      <c r="AG54" s="1">
        <v>0</v>
      </c>
      <c r="AI54" s="1" t="s">
        <v>53</v>
      </c>
      <c r="AJ54">
        <v>2</v>
      </c>
      <c r="AK54" s="71"/>
    </row>
    <row r="55" spans="1:37" ht="14.25" customHeight="1" x14ac:dyDescent="0.3">
      <c r="A55" s="1" t="s">
        <v>56</v>
      </c>
      <c r="B55" s="1">
        <v>7</v>
      </c>
      <c r="C55" s="1" t="s">
        <v>322</v>
      </c>
      <c r="D55" s="1">
        <v>354686</v>
      </c>
      <c r="E55" s="1">
        <v>3970861</v>
      </c>
      <c r="F55">
        <v>1715</v>
      </c>
      <c r="G55" s="1">
        <v>18</v>
      </c>
      <c r="H55" s="1">
        <v>162</v>
      </c>
      <c r="I55">
        <v>857</v>
      </c>
      <c r="J55" s="20">
        <v>4</v>
      </c>
      <c r="K55" s="1">
        <v>0</v>
      </c>
      <c r="M55" s="1">
        <v>4</v>
      </c>
      <c r="N55" s="1" t="s">
        <v>153</v>
      </c>
      <c r="O55" s="1">
        <v>33.6</v>
      </c>
      <c r="Q55" s="19">
        <v>60.7</v>
      </c>
      <c r="R55" s="1">
        <v>3.7</v>
      </c>
      <c r="S55" s="5">
        <f>(R55/3.14159)*100</f>
        <v>117.77475736808431</v>
      </c>
      <c r="T55" s="1" t="s">
        <v>94</v>
      </c>
      <c r="U55" s="1">
        <v>0</v>
      </c>
      <c r="V55" s="1">
        <v>100</v>
      </c>
      <c r="W55" s="1">
        <v>0</v>
      </c>
      <c r="X55" s="1">
        <f>100-U55</f>
        <v>100</v>
      </c>
      <c r="Y55" s="1">
        <v>0</v>
      </c>
      <c r="Z55">
        <v>0</v>
      </c>
      <c r="AA55" s="1" t="s">
        <v>45</v>
      </c>
      <c r="AB55" s="10">
        <v>2</v>
      </c>
      <c r="AG55" s="1">
        <v>0</v>
      </c>
      <c r="AI55" s="1" t="s">
        <v>51</v>
      </c>
      <c r="AJ55">
        <v>1</v>
      </c>
      <c r="AK55" s="71"/>
    </row>
    <row r="56" spans="1:37" ht="14.25" customHeight="1" x14ac:dyDescent="0.3">
      <c r="A56" s="1" t="s">
        <v>56</v>
      </c>
      <c r="B56" s="1">
        <v>7</v>
      </c>
      <c r="C56" s="1" t="s">
        <v>323</v>
      </c>
      <c r="D56" s="1">
        <v>354631</v>
      </c>
      <c r="E56" s="1">
        <v>3970815</v>
      </c>
      <c r="F56">
        <v>1715</v>
      </c>
      <c r="G56" s="1">
        <v>18</v>
      </c>
      <c r="H56" s="1">
        <v>162</v>
      </c>
      <c r="I56">
        <v>1012</v>
      </c>
      <c r="J56" s="20">
        <v>4</v>
      </c>
      <c r="K56" s="1">
        <v>0</v>
      </c>
      <c r="M56" s="1">
        <v>4</v>
      </c>
      <c r="N56" s="1" t="s">
        <v>153</v>
      </c>
      <c r="O56" s="1">
        <v>51.8</v>
      </c>
      <c r="Q56" s="1">
        <v>48.7</v>
      </c>
      <c r="R56" s="1">
        <v>3.3</v>
      </c>
      <c r="S56" s="5">
        <f>(R56/3.14159)*100</f>
        <v>105.04235116612925</v>
      </c>
      <c r="T56" s="1" t="s">
        <v>102</v>
      </c>
      <c r="U56" s="1">
        <v>0</v>
      </c>
      <c r="V56" s="1">
        <v>100</v>
      </c>
      <c r="W56" s="1">
        <v>0</v>
      </c>
      <c r="X56" s="1">
        <f>100-U56</f>
        <v>100</v>
      </c>
      <c r="Y56" s="1">
        <v>0</v>
      </c>
      <c r="Z56">
        <v>0</v>
      </c>
      <c r="AA56" s="1" t="s">
        <v>45</v>
      </c>
      <c r="AB56" s="10">
        <v>1</v>
      </c>
      <c r="AG56" s="1">
        <v>0</v>
      </c>
      <c r="AI56" s="1" t="s">
        <v>51</v>
      </c>
      <c r="AJ56">
        <v>1</v>
      </c>
    </row>
    <row r="57" spans="1:37" ht="14.25" customHeight="1" x14ac:dyDescent="0.3">
      <c r="A57" s="1" t="s">
        <v>56</v>
      </c>
      <c r="B57" s="1">
        <v>7</v>
      </c>
      <c r="C57" s="1" t="s">
        <v>324</v>
      </c>
      <c r="D57" s="1">
        <v>354674</v>
      </c>
      <c r="E57" s="1">
        <v>3970849</v>
      </c>
      <c r="F57">
        <v>1715</v>
      </c>
      <c r="G57" s="1">
        <v>18</v>
      </c>
      <c r="H57" s="1">
        <v>162</v>
      </c>
      <c r="I57">
        <v>912</v>
      </c>
      <c r="J57" s="20">
        <v>4</v>
      </c>
      <c r="K57" s="1">
        <v>0</v>
      </c>
      <c r="M57" s="1">
        <v>4</v>
      </c>
      <c r="N57" s="1" t="s">
        <v>153</v>
      </c>
      <c r="O57" s="1">
        <v>29.4</v>
      </c>
      <c r="Q57" s="1">
        <v>44.2</v>
      </c>
      <c r="R57" s="1">
        <v>4.7</v>
      </c>
      <c r="S57" s="5">
        <f>(R57/3.14159)*100</f>
        <v>149.60577287297198</v>
      </c>
      <c r="T57" s="1" t="s">
        <v>102</v>
      </c>
      <c r="U57" s="1">
        <v>0</v>
      </c>
      <c r="V57" s="1">
        <v>100</v>
      </c>
      <c r="W57" s="1">
        <v>0</v>
      </c>
      <c r="X57" s="1">
        <f>100-U57</f>
        <v>100</v>
      </c>
      <c r="Y57" s="1">
        <v>0</v>
      </c>
      <c r="Z57">
        <v>0</v>
      </c>
      <c r="AA57" s="1" t="s">
        <v>45</v>
      </c>
      <c r="AB57" s="10">
        <v>2</v>
      </c>
      <c r="AG57" s="1">
        <v>0</v>
      </c>
      <c r="AI57" s="1" t="s">
        <v>51</v>
      </c>
      <c r="AJ57">
        <v>1</v>
      </c>
      <c r="AK57" s="19" t="s">
        <v>325</v>
      </c>
    </row>
    <row r="58" spans="1:37" ht="14.25" customHeight="1" x14ac:dyDescent="0.3">
      <c r="A58" s="1" t="s">
        <v>56</v>
      </c>
      <c r="B58" s="1">
        <v>7</v>
      </c>
      <c r="C58" s="1" t="s">
        <v>326</v>
      </c>
      <c r="D58" s="30">
        <v>354697</v>
      </c>
      <c r="E58" s="19">
        <v>3970816</v>
      </c>
      <c r="F58">
        <v>1715</v>
      </c>
      <c r="G58" s="1">
        <v>18</v>
      </c>
      <c r="H58" s="1">
        <v>162</v>
      </c>
      <c r="I58" s="13">
        <v>825</v>
      </c>
      <c r="J58" s="20">
        <v>4</v>
      </c>
      <c r="K58" s="1">
        <v>0</v>
      </c>
      <c r="M58" s="1">
        <v>4</v>
      </c>
      <c r="N58" s="1" t="s">
        <v>243</v>
      </c>
      <c r="O58" s="1">
        <v>21.7</v>
      </c>
      <c r="Q58" s="17">
        <v>51.7</v>
      </c>
      <c r="R58" s="1">
        <v>4.4000000000000004</v>
      </c>
      <c r="S58" s="5">
        <f>(R58/3.14159)*100</f>
        <v>140.05646822150567</v>
      </c>
      <c r="T58" s="1" t="s">
        <v>97</v>
      </c>
      <c r="U58" s="1">
        <v>0</v>
      </c>
      <c r="V58" s="1">
        <v>100</v>
      </c>
      <c r="W58" s="1">
        <v>0</v>
      </c>
      <c r="X58" s="1">
        <f>100-U58</f>
        <v>100</v>
      </c>
      <c r="Y58" s="1">
        <v>0</v>
      </c>
      <c r="Z58">
        <v>0</v>
      </c>
      <c r="AA58" s="1" t="s">
        <v>45</v>
      </c>
      <c r="AB58" s="10">
        <v>2</v>
      </c>
      <c r="AG58" s="1">
        <v>0</v>
      </c>
      <c r="AI58" s="1" t="s">
        <v>53</v>
      </c>
      <c r="AJ58">
        <v>2</v>
      </c>
      <c r="AK58" s="31" t="s">
        <v>791</v>
      </c>
    </row>
    <row r="59" spans="1:37" ht="14.25" customHeight="1" x14ac:dyDescent="0.3">
      <c r="A59" s="1" t="s">
        <v>56</v>
      </c>
      <c r="B59" s="1">
        <v>7</v>
      </c>
      <c r="C59" s="1" t="s">
        <v>327</v>
      </c>
      <c r="D59" s="1">
        <v>354669</v>
      </c>
      <c r="E59" s="1">
        <v>3970833</v>
      </c>
      <c r="F59">
        <v>1715</v>
      </c>
      <c r="G59" s="1">
        <v>18</v>
      </c>
      <c r="H59" s="1">
        <v>162</v>
      </c>
      <c r="I59" s="13">
        <v>912</v>
      </c>
      <c r="J59" s="20">
        <v>4</v>
      </c>
      <c r="K59" s="1">
        <v>0</v>
      </c>
      <c r="M59" s="1">
        <v>4</v>
      </c>
      <c r="N59" s="1" t="s">
        <v>243</v>
      </c>
      <c r="O59" s="1">
        <v>29</v>
      </c>
      <c r="Q59" s="1">
        <v>53.7</v>
      </c>
      <c r="R59" s="1">
        <v>4.7</v>
      </c>
      <c r="S59" s="5">
        <f>(R59/3.14159)*100</f>
        <v>149.60577287297198</v>
      </c>
      <c r="T59" s="1" t="s">
        <v>97</v>
      </c>
      <c r="U59" s="1">
        <v>0</v>
      </c>
      <c r="V59" s="1">
        <v>100</v>
      </c>
      <c r="W59" s="1">
        <v>0</v>
      </c>
      <c r="X59" s="1">
        <f>100-U59</f>
        <v>100</v>
      </c>
      <c r="Y59" s="1">
        <v>0</v>
      </c>
      <c r="Z59">
        <v>0</v>
      </c>
      <c r="AA59" s="1" t="s">
        <v>45</v>
      </c>
      <c r="AB59" s="10">
        <v>2</v>
      </c>
      <c r="AG59" s="1">
        <v>0</v>
      </c>
      <c r="AI59" s="1" t="s">
        <v>53</v>
      </c>
      <c r="AJ59">
        <v>2</v>
      </c>
    </row>
    <row r="60" spans="1:37" ht="14.25" customHeight="1" x14ac:dyDescent="0.3">
      <c r="A60" s="1" t="s">
        <v>56</v>
      </c>
      <c r="B60" s="1">
        <v>8</v>
      </c>
      <c r="C60" s="1" t="s">
        <v>328</v>
      </c>
      <c r="D60" s="1">
        <v>354723</v>
      </c>
      <c r="E60" s="1">
        <v>3970820</v>
      </c>
      <c r="F60">
        <v>1702</v>
      </c>
      <c r="G60" s="1">
        <v>21</v>
      </c>
      <c r="H60" s="1">
        <v>168</v>
      </c>
      <c r="I60" s="13">
        <v>843</v>
      </c>
      <c r="J60" s="20">
        <v>4</v>
      </c>
      <c r="K60" s="1">
        <v>0</v>
      </c>
      <c r="M60" s="1">
        <v>4</v>
      </c>
      <c r="N60" s="1" t="s">
        <v>153</v>
      </c>
      <c r="O60" s="1">
        <v>19.899999999999999</v>
      </c>
      <c r="Q60" s="1">
        <v>52.5</v>
      </c>
      <c r="R60" s="1">
        <v>3.9</v>
      </c>
      <c r="S60" s="5">
        <f>(R60/3.14159)*100</f>
        <v>124.14096046906184</v>
      </c>
      <c r="T60" s="1" t="s">
        <v>97</v>
      </c>
      <c r="U60" s="1">
        <v>0</v>
      </c>
      <c r="V60" s="1">
        <v>100</v>
      </c>
      <c r="W60" s="1">
        <v>0</v>
      </c>
      <c r="X60" s="1">
        <f>100-U60</f>
        <v>100</v>
      </c>
      <c r="Y60" s="1">
        <v>0</v>
      </c>
      <c r="Z60">
        <v>0</v>
      </c>
      <c r="AA60" s="1" t="s">
        <v>45</v>
      </c>
      <c r="AB60" s="10">
        <v>2</v>
      </c>
      <c r="AG60" s="1">
        <v>0</v>
      </c>
      <c r="AI60" s="1" t="s">
        <v>51</v>
      </c>
      <c r="AJ60">
        <v>1</v>
      </c>
      <c r="AK60" s="2" t="s">
        <v>329</v>
      </c>
    </row>
    <row r="61" spans="1:37" ht="14.25" customHeight="1" x14ac:dyDescent="0.3">
      <c r="A61" s="1" t="s">
        <v>56</v>
      </c>
      <c r="B61" s="1">
        <v>8</v>
      </c>
      <c r="C61" s="1" t="s">
        <v>361</v>
      </c>
      <c r="D61" s="1">
        <v>354755</v>
      </c>
      <c r="E61" s="17">
        <v>3970873</v>
      </c>
      <c r="F61">
        <v>1702</v>
      </c>
      <c r="G61" s="1">
        <v>21</v>
      </c>
      <c r="H61" s="1">
        <v>168</v>
      </c>
      <c r="I61" s="17">
        <v>1007</v>
      </c>
      <c r="J61" s="20">
        <v>4</v>
      </c>
      <c r="K61" s="70">
        <v>0</v>
      </c>
      <c r="M61" s="70">
        <v>4</v>
      </c>
      <c r="N61" s="1" t="s">
        <v>153</v>
      </c>
      <c r="O61" s="1">
        <v>16.100000000000001</v>
      </c>
      <c r="Q61" s="1">
        <v>62.7</v>
      </c>
      <c r="R61" s="1">
        <v>8.1999999999999993</v>
      </c>
      <c r="S61" s="5">
        <f>(R61/3.14159)*100</f>
        <v>261.01432714007876</v>
      </c>
      <c r="T61" s="1" t="s">
        <v>97</v>
      </c>
      <c r="U61" s="1">
        <v>0</v>
      </c>
      <c r="V61" s="1">
        <v>100</v>
      </c>
      <c r="W61" s="1">
        <v>0</v>
      </c>
      <c r="X61" s="1">
        <f>100-U61</f>
        <v>100</v>
      </c>
      <c r="Y61" s="1">
        <v>0</v>
      </c>
      <c r="Z61">
        <v>0</v>
      </c>
      <c r="AA61" s="1" t="s">
        <v>45</v>
      </c>
      <c r="AB61" s="10">
        <v>3</v>
      </c>
      <c r="AG61" s="1">
        <v>0</v>
      </c>
      <c r="AI61" s="1" t="s">
        <v>44</v>
      </c>
      <c r="AJ61">
        <v>1</v>
      </c>
      <c r="AK61" s="19" t="s">
        <v>362</v>
      </c>
    </row>
    <row r="62" spans="1:37" ht="14.25" customHeight="1" x14ac:dyDescent="0.3">
      <c r="A62" s="1" t="s">
        <v>56</v>
      </c>
      <c r="B62" s="1">
        <v>8</v>
      </c>
      <c r="C62" s="1" t="s">
        <v>363</v>
      </c>
      <c r="D62" s="1">
        <v>354777</v>
      </c>
      <c r="E62" s="1">
        <v>3970881</v>
      </c>
      <c r="F62">
        <v>1702</v>
      </c>
      <c r="G62" s="1">
        <v>21</v>
      </c>
      <c r="H62" s="1">
        <v>168</v>
      </c>
      <c r="I62" s="20">
        <v>1053</v>
      </c>
      <c r="J62" s="20">
        <v>4</v>
      </c>
      <c r="K62" s="70">
        <v>0</v>
      </c>
      <c r="M62" s="70">
        <v>4</v>
      </c>
      <c r="N62" s="1" t="s">
        <v>153</v>
      </c>
      <c r="O62" s="1">
        <v>14.6</v>
      </c>
      <c r="Q62" s="1">
        <v>52.7</v>
      </c>
      <c r="R62" s="1">
        <v>4.3</v>
      </c>
      <c r="S62" s="5">
        <f>(R62/3.14159)*100</f>
        <v>136.8733666710169</v>
      </c>
      <c r="T62" s="1" t="s">
        <v>97</v>
      </c>
      <c r="U62" s="1">
        <v>0</v>
      </c>
      <c r="V62" s="1">
        <v>100</v>
      </c>
      <c r="W62" s="1">
        <v>0</v>
      </c>
      <c r="X62" s="1">
        <f>100-U62</f>
        <v>100</v>
      </c>
      <c r="Y62" s="1">
        <v>0</v>
      </c>
      <c r="Z62">
        <v>0</v>
      </c>
      <c r="AA62" s="1" t="s">
        <v>45</v>
      </c>
      <c r="AB62" s="10">
        <v>1</v>
      </c>
      <c r="AG62" s="1">
        <v>0</v>
      </c>
      <c r="AI62" s="1" t="s">
        <v>44</v>
      </c>
      <c r="AJ62">
        <v>1</v>
      </c>
    </row>
    <row r="63" spans="1:37" ht="14.25" customHeight="1" x14ac:dyDescent="0.3">
      <c r="A63" s="1" t="s">
        <v>56</v>
      </c>
      <c r="B63" s="1">
        <v>8</v>
      </c>
      <c r="C63" s="1" t="s">
        <v>364</v>
      </c>
      <c r="D63" s="1">
        <v>354722</v>
      </c>
      <c r="E63" s="1">
        <v>3970802</v>
      </c>
      <c r="F63">
        <v>1702</v>
      </c>
      <c r="G63" s="1">
        <v>21</v>
      </c>
      <c r="H63" s="1">
        <v>168</v>
      </c>
      <c r="I63" s="20">
        <v>757</v>
      </c>
      <c r="J63" s="20">
        <v>4</v>
      </c>
      <c r="K63" s="1">
        <v>0</v>
      </c>
      <c r="M63" s="1">
        <v>4</v>
      </c>
      <c r="N63" s="1" t="s">
        <v>153</v>
      </c>
      <c r="O63" s="1">
        <v>28.4</v>
      </c>
      <c r="Q63" s="1">
        <v>67.8</v>
      </c>
      <c r="R63" s="1">
        <v>11.3</v>
      </c>
      <c r="S63" s="5">
        <f>(R63/3.14159)*100</f>
        <v>359.69047520523054</v>
      </c>
      <c r="T63" s="1" t="s">
        <v>97</v>
      </c>
      <c r="U63" s="1">
        <v>0</v>
      </c>
      <c r="V63" s="1">
        <v>100</v>
      </c>
      <c r="W63" s="1">
        <v>0</v>
      </c>
      <c r="X63" s="1">
        <f>100-U63</f>
        <v>100</v>
      </c>
      <c r="Y63" s="1">
        <v>0</v>
      </c>
      <c r="Z63">
        <v>0</v>
      </c>
      <c r="AA63" s="1" t="s">
        <v>45</v>
      </c>
      <c r="AB63" s="10">
        <v>4</v>
      </c>
      <c r="AG63" s="1">
        <v>1</v>
      </c>
      <c r="AI63" s="1" t="s">
        <v>51</v>
      </c>
      <c r="AJ63">
        <v>1</v>
      </c>
      <c r="AK63" s="20"/>
    </row>
    <row r="64" spans="1:37" ht="14.25" customHeight="1" x14ac:dyDescent="0.3">
      <c r="A64" s="1" t="s">
        <v>56</v>
      </c>
      <c r="B64" s="1">
        <v>8</v>
      </c>
      <c r="C64" s="1" t="s">
        <v>365</v>
      </c>
      <c r="D64" s="1">
        <v>354730</v>
      </c>
      <c r="E64" s="1">
        <v>3970821</v>
      </c>
      <c r="F64">
        <v>1702</v>
      </c>
      <c r="G64" s="1">
        <v>21</v>
      </c>
      <c r="H64" s="1">
        <v>168</v>
      </c>
      <c r="I64" s="20">
        <v>843</v>
      </c>
      <c r="J64" s="20">
        <v>4</v>
      </c>
      <c r="K64" s="1">
        <v>0</v>
      </c>
      <c r="M64" s="1">
        <v>4</v>
      </c>
      <c r="N64" s="1" t="s">
        <v>153</v>
      </c>
      <c r="O64" s="1">
        <v>25.6</v>
      </c>
      <c r="Q64" s="70">
        <v>67.7</v>
      </c>
      <c r="R64" s="1">
        <v>8.8000000000000007</v>
      </c>
      <c r="S64" s="5">
        <f>(R64/3.14159)*100</f>
        <v>280.11293644301134</v>
      </c>
      <c r="T64" s="1" t="s">
        <v>97</v>
      </c>
      <c r="U64" s="1">
        <v>0</v>
      </c>
      <c r="V64" s="1">
        <v>100</v>
      </c>
      <c r="W64" s="1">
        <v>0</v>
      </c>
      <c r="X64" s="1">
        <f>100-U64</f>
        <v>100</v>
      </c>
      <c r="Y64" s="1">
        <v>0</v>
      </c>
      <c r="Z64">
        <v>0</v>
      </c>
      <c r="AA64" s="1" t="s">
        <v>45</v>
      </c>
      <c r="AB64" s="10">
        <v>4</v>
      </c>
      <c r="AG64" s="1">
        <v>0</v>
      </c>
      <c r="AI64" s="1" t="s">
        <v>51</v>
      </c>
      <c r="AJ64">
        <v>1</v>
      </c>
    </row>
    <row r="65" spans="1:37" ht="14.25" customHeight="1" x14ac:dyDescent="0.3">
      <c r="A65" s="1" t="s">
        <v>56</v>
      </c>
      <c r="B65" s="1">
        <v>8</v>
      </c>
      <c r="C65" s="1" t="s">
        <v>366</v>
      </c>
      <c r="D65" s="1">
        <v>354726</v>
      </c>
      <c r="E65" s="1">
        <v>3970815</v>
      </c>
      <c r="F65">
        <v>1702</v>
      </c>
      <c r="G65" s="1">
        <v>21</v>
      </c>
      <c r="H65" s="1">
        <v>168</v>
      </c>
      <c r="I65" s="20">
        <v>843</v>
      </c>
      <c r="J65" s="20">
        <v>4</v>
      </c>
      <c r="K65" s="1">
        <v>0</v>
      </c>
      <c r="M65" s="1">
        <v>4</v>
      </c>
      <c r="N65" s="1" t="s">
        <v>153</v>
      </c>
      <c r="O65" s="1">
        <v>25.9</v>
      </c>
      <c r="Q65" s="1">
        <v>58.8</v>
      </c>
      <c r="R65" s="1">
        <v>3.9</v>
      </c>
      <c r="S65" s="5">
        <f>(R65/3.14159)*100</f>
        <v>124.14096046906184</v>
      </c>
      <c r="T65" s="1" t="s">
        <v>97</v>
      </c>
      <c r="U65" s="1">
        <v>0</v>
      </c>
      <c r="V65" s="1">
        <v>100</v>
      </c>
      <c r="W65" s="1">
        <v>0</v>
      </c>
      <c r="X65" s="1">
        <f>100-U65</f>
        <v>100</v>
      </c>
      <c r="Y65" s="1">
        <v>0</v>
      </c>
      <c r="Z65">
        <v>0</v>
      </c>
      <c r="AA65" s="1" t="s">
        <v>45</v>
      </c>
      <c r="AB65" s="10">
        <v>1</v>
      </c>
      <c r="AG65" s="1">
        <v>0</v>
      </c>
      <c r="AI65" s="1" t="s">
        <v>51</v>
      </c>
      <c r="AJ65">
        <v>1</v>
      </c>
    </row>
    <row r="66" spans="1:37" ht="14.25" customHeight="1" x14ac:dyDescent="0.3">
      <c r="A66" s="1" t="s">
        <v>56</v>
      </c>
      <c r="B66" s="1">
        <v>9</v>
      </c>
      <c r="C66" s="1" t="s">
        <v>367</v>
      </c>
      <c r="D66" s="1">
        <v>354550</v>
      </c>
      <c r="E66" s="1">
        <v>3971004</v>
      </c>
      <c r="F66">
        <v>1685</v>
      </c>
      <c r="G66" s="1">
        <v>14</v>
      </c>
      <c r="H66" s="1">
        <v>161</v>
      </c>
      <c r="I66" s="20">
        <v>788</v>
      </c>
      <c r="J66" s="20">
        <v>4</v>
      </c>
      <c r="K66" s="1">
        <v>1</v>
      </c>
      <c r="M66" s="1">
        <v>4</v>
      </c>
      <c r="N66" s="1" t="s">
        <v>94</v>
      </c>
      <c r="O66" s="1">
        <v>21.8</v>
      </c>
      <c r="P66" s="1">
        <v>19.600000000000001</v>
      </c>
      <c r="Q66" s="1">
        <v>56.1</v>
      </c>
      <c r="R66" s="19">
        <v>13.1</v>
      </c>
      <c r="S66" s="5">
        <f>(R66/3.14159)*100</f>
        <v>416.98630311402826</v>
      </c>
      <c r="T66" s="1" t="s">
        <v>95</v>
      </c>
      <c r="U66" s="1">
        <v>5</v>
      </c>
      <c r="V66" s="1">
        <v>94</v>
      </c>
      <c r="W66" s="1">
        <v>1</v>
      </c>
      <c r="X66" s="1">
        <f>100-U66</f>
        <v>95</v>
      </c>
      <c r="Y66" s="1">
        <v>0</v>
      </c>
      <c r="Z66" s="1">
        <v>1</v>
      </c>
      <c r="AA66" s="1" t="s">
        <v>45</v>
      </c>
      <c r="AB66" s="10">
        <v>2</v>
      </c>
      <c r="AC66" s="1">
        <v>56.1</v>
      </c>
      <c r="AD66" s="1">
        <v>42.4</v>
      </c>
      <c r="AE66" s="1">
        <v>60</v>
      </c>
      <c r="AF66" s="1">
        <v>35</v>
      </c>
      <c r="AG66" s="1">
        <v>1</v>
      </c>
      <c r="AI66" s="1" t="s">
        <v>51</v>
      </c>
      <c r="AJ66">
        <v>1</v>
      </c>
      <c r="AK66" s="70" t="s">
        <v>368</v>
      </c>
    </row>
    <row r="67" spans="1:37" ht="14.25" customHeight="1" x14ac:dyDescent="0.3">
      <c r="A67" s="1" t="s">
        <v>56</v>
      </c>
      <c r="B67" s="1">
        <v>10</v>
      </c>
      <c r="C67" s="1" t="s">
        <v>374</v>
      </c>
      <c r="D67" s="1">
        <v>354626</v>
      </c>
      <c r="E67" s="1">
        <v>3970972</v>
      </c>
      <c r="F67">
        <v>1674</v>
      </c>
      <c r="G67" s="1">
        <v>24</v>
      </c>
      <c r="H67" s="1">
        <v>174</v>
      </c>
      <c r="I67" s="20">
        <v>892</v>
      </c>
      <c r="J67" s="20">
        <v>4</v>
      </c>
      <c r="K67" s="1">
        <v>0</v>
      </c>
      <c r="M67" s="1">
        <v>4</v>
      </c>
      <c r="N67" s="1" t="s">
        <v>153</v>
      </c>
      <c r="O67" s="1">
        <v>15.2</v>
      </c>
      <c r="Q67" s="1">
        <v>67</v>
      </c>
      <c r="R67" s="1">
        <v>17.8</v>
      </c>
      <c r="S67" s="5">
        <f>(R67/3.14159)*100</f>
        <v>566.59207598700027</v>
      </c>
      <c r="T67" s="1" t="s">
        <v>97</v>
      </c>
      <c r="U67" s="1">
        <v>0</v>
      </c>
      <c r="V67" s="1">
        <v>100</v>
      </c>
      <c r="W67" s="1">
        <v>0</v>
      </c>
      <c r="X67" s="1">
        <f>100-U67</f>
        <v>100</v>
      </c>
      <c r="Y67" s="1">
        <v>0</v>
      </c>
      <c r="Z67">
        <v>0</v>
      </c>
      <c r="AA67" s="1" t="s">
        <v>45</v>
      </c>
      <c r="AB67" s="10">
        <v>2</v>
      </c>
      <c r="AG67" s="1">
        <v>1</v>
      </c>
      <c r="AH67" s="1">
        <v>38.700000000000003</v>
      </c>
      <c r="AI67" s="1" t="s">
        <v>59</v>
      </c>
      <c r="AJ67">
        <v>1</v>
      </c>
    </row>
    <row r="68" spans="1:37" ht="14.25" customHeight="1" x14ac:dyDescent="0.3">
      <c r="A68" s="1" t="s">
        <v>56</v>
      </c>
      <c r="B68" s="1">
        <v>10</v>
      </c>
      <c r="C68" s="1" t="s">
        <v>375</v>
      </c>
      <c r="D68" s="1">
        <v>354629</v>
      </c>
      <c r="E68" s="1">
        <v>3970955</v>
      </c>
      <c r="F68">
        <v>1674</v>
      </c>
      <c r="G68" s="1">
        <v>24</v>
      </c>
      <c r="H68" s="1">
        <v>174</v>
      </c>
      <c r="I68" s="20">
        <v>641</v>
      </c>
      <c r="J68" s="20">
        <v>4</v>
      </c>
      <c r="K68" s="1">
        <v>1</v>
      </c>
      <c r="M68" s="1">
        <v>4</v>
      </c>
      <c r="N68" s="1" t="s">
        <v>153</v>
      </c>
      <c r="O68" s="1">
        <v>13.2</v>
      </c>
      <c r="P68" s="1">
        <v>36.799999999999997</v>
      </c>
      <c r="Q68" s="1">
        <v>58.7</v>
      </c>
      <c r="R68" s="1">
        <v>18.8</v>
      </c>
      <c r="S68" s="5">
        <f>(R68/3.14159)*100</f>
        <v>598.42309149188793</v>
      </c>
      <c r="T68" s="1" t="s">
        <v>97</v>
      </c>
      <c r="U68" s="1">
        <v>1</v>
      </c>
      <c r="V68" s="1">
        <v>99</v>
      </c>
      <c r="W68" s="1">
        <v>0</v>
      </c>
      <c r="X68" s="1">
        <f>100-U68</f>
        <v>99</v>
      </c>
      <c r="Y68" s="1">
        <v>0</v>
      </c>
      <c r="Z68" s="1">
        <v>0</v>
      </c>
      <c r="AA68" s="1" t="s">
        <v>45</v>
      </c>
      <c r="AB68" s="10">
        <v>4</v>
      </c>
      <c r="AC68" s="1">
        <v>58.7</v>
      </c>
      <c r="AD68" s="1">
        <v>58.7</v>
      </c>
      <c r="AE68" s="1">
        <v>29</v>
      </c>
      <c r="AF68" s="1">
        <v>70</v>
      </c>
      <c r="AG68" s="1">
        <v>1</v>
      </c>
      <c r="AH68" s="1">
        <v>25.6</v>
      </c>
      <c r="AI68" s="1" t="s">
        <v>59</v>
      </c>
      <c r="AJ68">
        <v>1</v>
      </c>
      <c r="AK68" s="1" t="s">
        <v>376</v>
      </c>
    </row>
    <row r="69" spans="1:37" ht="14.25" customHeight="1" x14ac:dyDescent="0.3">
      <c r="A69" s="1" t="s">
        <v>56</v>
      </c>
      <c r="B69" s="1">
        <v>11</v>
      </c>
      <c r="C69" s="1" t="s">
        <v>326</v>
      </c>
      <c r="D69" s="1">
        <v>354788</v>
      </c>
      <c r="E69" s="1">
        <v>3970950</v>
      </c>
      <c r="F69">
        <v>1671</v>
      </c>
      <c r="G69" s="1">
        <v>23</v>
      </c>
      <c r="H69" s="1">
        <v>108</v>
      </c>
      <c r="I69" s="20">
        <v>829</v>
      </c>
      <c r="J69" s="20">
        <v>4</v>
      </c>
      <c r="K69" s="1">
        <v>0</v>
      </c>
      <c r="M69" s="1">
        <v>4</v>
      </c>
      <c r="N69" s="1" t="s">
        <v>243</v>
      </c>
      <c r="O69" s="1">
        <v>16.399999999999999</v>
      </c>
      <c r="Q69" s="1">
        <v>71.900000000000006</v>
      </c>
      <c r="R69" s="1">
        <v>14.2</v>
      </c>
      <c r="S69" s="5">
        <f>(R69/3.14159)*100</f>
        <v>452.00042016940466</v>
      </c>
      <c r="T69" s="1" t="s">
        <v>97</v>
      </c>
      <c r="U69" s="1">
        <v>0</v>
      </c>
      <c r="V69" s="1">
        <v>100</v>
      </c>
      <c r="W69" s="1">
        <v>0</v>
      </c>
      <c r="X69" s="1">
        <f>100-U69</f>
        <v>100</v>
      </c>
      <c r="Y69" s="1">
        <v>0</v>
      </c>
      <c r="Z69" s="1">
        <v>0</v>
      </c>
      <c r="AA69" s="1" t="s">
        <v>45</v>
      </c>
      <c r="AB69" s="10">
        <v>4</v>
      </c>
      <c r="AG69" s="1">
        <v>1</v>
      </c>
      <c r="AH69" s="1">
        <v>39</v>
      </c>
      <c r="AI69" s="1" t="s">
        <v>53</v>
      </c>
      <c r="AJ69">
        <v>2</v>
      </c>
    </row>
    <row r="70" spans="1:37" ht="14.25" customHeight="1" x14ac:dyDescent="0.3">
      <c r="A70" s="1" t="s">
        <v>56</v>
      </c>
      <c r="B70" s="1">
        <v>11</v>
      </c>
      <c r="C70" s="1" t="s">
        <v>327</v>
      </c>
      <c r="D70" s="1">
        <v>354793</v>
      </c>
      <c r="E70" s="1">
        <v>3970943</v>
      </c>
      <c r="F70">
        <v>1671</v>
      </c>
      <c r="G70" s="1">
        <v>23</v>
      </c>
      <c r="H70" s="1">
        <v>108</v>
      </c>
      <c r="I70" s="20">
        <v>877</v>
      </c>
      <c r="J70" s="20">
        <v>4</v>
      </c>
      <c r="K70" s="1">
        <v>0</v>
      </c>
      <c r="M70" s="1">
        <v>4</v>
      </c>
      <c r="N70" s="1" t="s">
        <v>243</v>
      </c>
      <c r="O70" s="1">
        <v>22.4</v>
      </c>
      <c r="Q70" s="1">
        <v>59.9</v>
      </c>
      <c r="R70" s="1">
        <v>17.100000000000001</v>
      </c>
      <c r="S70" s="5">
        <f>(R70/3.14159)*100</f>
        <v>544.3103651335789</v>
      </c>
      <c r="T70" s="1" t="s">
        <v>97</v>
      </c>
      <c r="U70" s="1">
        <v>0</v>
      </c>
      <c r="V70" s="1">
        <v>100</v>
      </c>
      <c r="W70" s="1">
        <v>0</v>
      </c>
      <c r="X70" s="1">
        <f>100-U70</f>
        <v>100</v>
      </c>
      <c r="Y70" s="1">
        <v>0</v>
      </c>
      <c r="Z70" s="1">
        <v>0</v>
      </c>
      <c r="AA70" s="1" t="s">
        <v>45</v>
      </c>
      <c r="AB70" s="10">
        <v>4</v>
      </c>
      <c r="AG70" s="1">
        <v>1</v>
      </c>
      <c r="AH70" s="1">
        <v>52.3</v>
      </c>
      <c r="AI70" s="1" t="s">
        <v>53</v>
      </c>
      <c r="AJ70">
        <v>2</v>
      </c>
    </row>
    <row r="71" spans="1:37" ht="14.25" customHeight="1" x14ac:dyDescent="0.3">
      <c r="A71" s="1" t="s">
        <v>56</v>
      </c>
      <c r="B71" s="1">
        <v>11</v>
      </c>
      <c r="C71" s="1" t="s">
        <v>328</v>
      </c>
      <c r="D71" s="1">
        <v>354747</v>
      </c>
      <c r="E71" s="70">
        <v>3970928</v>
      </c>
      <c r="F71">
        <v>1671</v>
      </c>
      <c r="G71" s="1">
        <v>23</v>
      </c>
      <c r="H71" s="1">
        <v>108</v>
      </c>
      <c r="I71" s="20">
        <v>920</v>
      </c>
      <c r="J71" s="20">
        <v>4</v>
      </c>
      <c r="K71" s="1">
        <v>0</v>
      </c>
      <c r="L71">
        <v>1</v>
      </c>
      <c r="M71" s="1">
        <v>4</v>
      </c>
      <c r="N71" s="1" t="s">
        <v>243</v>
      </c>
      <c r="Q71" s="1">
        <v>54.9</v>
      </c>
      <c r="R71" s="5">
        <v>6.29</v>
      </c>
      <c r="S71" s="5">
        <f>(R71/3.14159)*100</f>
        <v>200.21708752574332</v>
      </c>
      <c r="T71" s="1" t="s">
        <v>97</v>
      </c>
      <c r="U71" s="1">
        <v>0</v>
      </c>
      <c r="V71" s="1">
        <v>100</v>
      </c>
      <c r="W71" s="1">
        <v>0</v>
      </c>
      <c r="X71" s="1">
        <f>100-U71</f>
        <v>100</v>
      </c>
      <c r="Y71" s="1">
        <v>0</v>
      </c>
      <c r="Z71" s="1">
        <v>0</v>
      </c>
      <c r="AA71" s="1" t="s">
        <v>45</v>
      </c>
      <c r="AG71" s="1">
        <v>1</v>
      </c>
      <c r="AH71" s="1">
        <v>31.7</v>
      </c>
      <c r="AI71" s="1" t="s">
        <v>51</v>
      </c>
      <c r="AJ71">
        <v>1</v>
      </c>
      <c r="AK71" s="1" t="s">
        <v>398</v>
      </c>
    </row>
    <row r="72" spans="1:37" ht="14.25" customHeight="1" x14ac:dyDescent="0.3">
      <c r="A72" s="1" t="s">
        <v>56</v>
      </c>
      <c r="B72" s="1">
        <v>12</v>
      </c>
      <c r="C72" s="1" t="s">
        <v>369</v>
      </c>
      <c r="D72" s="1">
        <v>354440</v>
      </c>
      <c r="E72" s="1">
        <v>3971074</v>
      </c>
      <c r="F72">
        <v>1663</v>
      </c>
      <c r="G72" s="1">
        <v>20</v>
      </c>
      <c r="H72" s="1">
        <v>136</v>
      </c>
      <c r="I72" s="20">
        <v>1009</v>
      </c>
      <c r="J72" s="20">
        <v>4</v>
      </c>
      <c r="K72" s="1">
        <v>0</v>
      </c>
      <c r="M72" s="1">
        <v>4</v>
      </c>
      <c r="N72" s="1" t="s">
        <v>153</v>
      </c>
      <c r="O72" s="1">
        <v>28.4</v>
      </c>
      <c r="Q72" s="1">
        <v>46.8</v>
      </c>
      <c r="R72" s="1">
        <v>4.5</v>
      </c>
      <c r="S72" s="5">
        <f>(R72/3.14159)*100</f>
        <v>143.23956977199444</v>
      </c>
      <c r="T72" s="1" t="s">
        <v>97</v>
      </c>
      <c r="U72" s="1">
        <v>0</v>
      </c>
      <c r="V72" s="1">
        <v>100</v>
      </c>
      <c r="W72" s="1">
        <v>0</v>
      </c>
      <c r="X72" s="1">
        <f>100-U72</f>
        <v>100</v>
      </c>
      <c r="Y72" s="1">
        <v>0</v>
      </c>
      <c r="Z72" s="1">
        <v>0</v>
      </c>
      <c r="AA72" s="1" t="s">
        <v>45</v>
      </c>
      <c r="AB72" s="10">
        <v>2</v>
      </c>
      <c r="AG72" s="1">
        <v>0</v>
      </c>
      <c r="AI72" s="1" t="s">
        <v>53</v>
      </c>
      <c r="AJ72">
        <v>2</v>
      </c>
    </row>
    <row r="73" spans="1:37" ht="14.25" customHeight="1" x14ac:dyDescent="0.3">
      <c r="A73" s="1" t="s">
        <v>56</v>
      </c>
      <c r="B73" s="1">
        <v>13</v>
      </c>
      <c r="C73" s="1" t="s">
        <v>370</v>
      </c>
      <c r="D73" s="1">
        <v>354695</v>
      </c>
      <c r="E73" s="1">
        <v>3971097</v>
      </c>
      <c r="F73">
        <v>1645</v>
      </c>
      <c r="G73" s="1">
        <v>20</v>
      </c>
      <c r="H73" s="1">
        <v>69</v>
      </c>
      <c r="I73" s="20">
        <v>437</v>
      </c>
      <c r="J73" s="20">
        <v>3</v>
      </c>
      <c r="K73" s="1">
        <v>1</v>
      </c>
      <c r="M73" s="1">
        <v>3</v>
      </c>
      <c r="N73" s="1" t="s">
        <v>94</v>
      </c>
      <c r="O73" s="1">
        <v>19.399999999999999</v>
      </c>
      <c r="P73" s="1">
        <v>24.8</v>
      </c>
      <c r="Q73" s="1">
        <v>67.7</v>
      </c>
      <c r="R73" s="1">
        <v>9.4</v>
      </c>
      <c r="S73" s="5">
        <f>(R73/3.14159)*100</f>
        <v>299.21154574594397</v>
      </c>
      <c r="T73" s="1" t="s">
        <v>95</v>
      </c>
      <c r="U73" s="1">
        <v>40</v>
      </c>
      <c r="V73" s="1">
        <v>60</v>
      </c>
      <c r="W73" s="1">
        <v>0</v>
      </c>
      <c r="X73" s="1">
        <f>100-U73</f>
        <v>60</v>
      </c>
      <c r="Y73" s="1">
        <v>0</v>
      </c>
      <c r="Z73" s="1">
        <v>0</v>
      </c>
      <c r="AA73" s="1" t="s">
        <v>45</v>
      </c>
      <c r="AB73" s="10">
        <v>4</v>
      </c>
      <c r="AC73" s="1">
        <v>67.7</v>
      </c>
      <c r="AD73" s="1">
        <v>42.9</v>
      </c>
      <c r="AE73" s="1">
        <v>20</v>
      </c>
      <c r="AF73" s="1">
        <v>40</v>
      </c>
      <c r="AG73" s="1">
        <v>0</v>
      </c>
      <c r="AH73" s="1">
        <v>56.4</v>
      </c>
      <c r="AI73" s="1" t="s">
        <v>51</v>
      </c>
      <c r="AJ73">
        <v>1</v>
      </c>
    </row>
    <row r="74" spans="1:37" ht="14.25" customHeight="1" x14ac:dyDescent="0.3">
      <c r="A74" s="1" t="s">
        <v>56</v>
      </c>
      <c r="B74" s="1">
        <v>13</v>
      </c>
      <c r="C74" s="1" t="s">
        <v>371</v>
      </c>
      <c r="D74" s="1">
        <v>354666</v>
      </c>
      <c r="E74" s="1">
        <v>3971016</v>
      </c>
      <c r="F74">
        <v>1645</v>
      </c>
      <c r="G74" s="1">
        <v>20</v>
      </c>
      <c r="H74" s="1">
        <v>69</v>
      </c>
      <c r="I74" s="20">
        <v>898</v>
      </c>
      <c r="J74" s="20">
        <v>4</v>
      </c>
      <c r="K74" s="1">
        <v>0</v>
      </c>
      <c r="M74" s="1">
        <v>4</v>
      </c>
      <c r="N74" s="1" t="s">
        <v>153</v>
      </c>
      <c r="O74" s="1">
        <v>17.899999999999999</v>
      </c>
      <c r="Q74" s="1">
        <v>66.7</v>
      </c>
      <c r="R74" s="1">
        <v>17.5</v>
      </c>
      <c r="S74" s="5">
        <f>(R74/3.14159)*100</f>
        <v>557.04277133553398</v>
      </c>
      <c r="T74" s="1" t="s">
        <v>97</v>
      </c>
      <c r="U74" s="1">
        <v>0</v>
      </c>
      <c r="V74" s="1">
        <v>100</v>
      </c>
      <c r="W74" s="1">
        <v>0</v>
      </c>
      <c r="X74" s="1">
        <f>100-U74</f>
        <v>100</v>
      </c>
      <c r="Y74" s="1">
        <v>0</v>
      </c>
      <c r="Z74" s="1">
        <v>0</v>
      </c>
      <c r="AA74" s="1" t="s">
        <v>45</v>
      </c>
      <c r="AB74" s="10">
        <v>3</v>
      </c>
      <c r="AG74" s="1">
        <v>1</v>
      </c>
      <c r="AH74" s="1">
        <v>48.4</v>
      </c>
      <c r="AI74" s="1" t="s">
        <v>51</v>
      </c>
      <c r="AJ74">
        <v>1</v>
      </c>
      <c r="AK74" s="71"/>
    </row>
    <row r="75" spans="1:37" ht="14.25" customHeight="1" x14ac:dyDescent="0.3">
      <c r="A75" s="1" t="s">
        <v>56</v>
      </c>
      <c r="B75" s="1">
        <v>13</v>
      </c>
      <c r="C75" s="1" t="s">
        <v>372</v>
      </c>
      <c r="D75" s="1">
        <v>354659</v>
      </c>
      <c r="E75" s="1">
        <v>3971026</v>
      </c>
      <c r="F75">
        <v>1645</v>
      </c>
      <c r="G75" s="1">
        <v>20</v>
      </c>
      <c r="H75" s="1">
        <v>69</v>
      </c>
      <c r="I75" s="20">
        <v>898</v>
      </c>
      <c r="J75" s="20">
        <v>4</v>
      </c>
      <c r="K75" s="1">
        <v>0</v>
      </c>
      <c r="L75">
        <v>1</v>
      </c>
      <c r="M75" s="1">
        <v>4</v>
      </c>
      <c r="N75" s="1" t="s">
        <v>153</v>
      </c>
      <c r="Q75" s="1">
        <v>10.6</v>
      </c>
      <c r="R75" s="1">
        <v>11.2</v>
      </c>
      <c r="S75" s="5">
        <f>(R75/3.14159)*100</f>
        <v>356.50737365474168</v>
      </c>
      <c r="T75" s="1" t="s">
        <v>97</v>
      </c>
      <c r="U75" s="1">
        <v>0</v>
      </c>
      <c r="V75" s="1">
        <v>100</v>
      </c>
      <c r="W75" s="1">
        <v>0</v>
      </c>
      <c r="X75" s="1">
        <f>100-U75</f>
        <v>100</v>
      </c>
      <c r="Y75" s="1">
        <v>0</v>
      </c>
      <c r="Z75" s="1">
        <v>0</v>
      </c>
      <c r="AA75" s="1" t="s">
        <v>45</v>
      </c>
      <c r="AH75" s="1">
        <v>34.299999999999997</v>
      </c>
      <c r="AI75" s="1" t="s">
        <v>51</v>
      </c>
      <c r="AJ75">
        <v>1</v>
      </c>
      <c r="AK75" s="1" t="s">
        <v>373</v>
      </c>
    </row>
    <row r="76" spans="1:37" ht="14.25" customHeight="1" x14ac:dyDescent="0.3">
      <c r="A76" s="1" t="s">
        <v>56</v>
      </c>
      <c r="B76" s="1">
        <v>14</v>
      </c>
      <c r="C76" s="1" t="s">
        <v>321</v>
      </c>
      <c r="D76" s="1">
        <v>354708</v>
      </c>
      <c r="E76" s="1">
        <v>3971060</v>
      </c>
      <c r="F76">
        <v>1642</v>
      </c>
      <c r="G76" s="1">
        <v>21</v>
      </c>
      <c r="H76" s="1">
        <v>71</v>
      </c>
      <c r="I76">
        <v>459</v>
      </c>
      <c r="J76" s="20">
        <v>3</v>
      </c>
      <c r="K76" s="70">
        <v>1</v>
      </c>
      <c r="M76" s="70">
        <v>3</v>
      </c>
      <c r="N76" s="1" t="s">
        <v>153</v>
      </c>
      <c r="O76" s="1">
        <v>21.7</v>
      </c>
      <c r="P76" s="1">
        <v>30.5</v>
      </c>
      <c r="Q76" s="1">
        <v>73.400000000000006</v>
      </c>
      <c r="R76" s="1">
        <v>19.2</v>
      </c>
      <c r="S76" s="5">
        <f>(R76/3.14159)*100</f>
        <v>611.15549769384302</v>
      </c>
      <c r="T76" s="1" t="s">
        <v>95</v>
      </c>
      <c r="U76" s="1">
        <v>60</v>
      </c>
      <c r="V76" s="1">
        <v>35</v>
      </c>
      <c r="W76" s="1">
        <v>5</v>
      </c>
      <c r="X76" s="1">
        <f>100-U76</f>
        <v>40</v>
      </c>
      <c r="Y76" s="1">
        <v>0</v>
      </c>
      <c r="Z76" s="1">
        <v>0</v>
      </c>
      <c r="AA76" s="1" t="s">
        <v>45</v>
      </c>
      <c r="AB76" s="10">
        <v>4</v>
      </c>
      <c r="AC76" s="1">
        <v>47.7</v>
      </c>
      <c r="AD76" s="1">
        <v>32.799999999999997</v>
      </c>
      <c r="AE76" s="1">
        <v>25</v>
      </c>
      <c r="AF76" s="1">
        <v>10</v>
      </c>
      <c r="AG76" s="1">
        <v>1</v>
      </c>
      <c r="AH76" s="1">
        <v>43.4</v>
      </c>
      <c r="AI76" s="1" t="s">
        <v>44</v>
      </c>
      <c r="AJ76">
        <v>1</v>
      </c>
    </row>
    <row r="77" spans="1:37" ht="14.25" customHeight="1" x14ac:dyDescent="0.3">
      <c r="A77" s="1" t="s">
        <v>56</v>
      </c>
      <c r="B77" s="1">
        <v>14</v>
      </c>
      <c r="C77" s="1" t="s">
        <v>322</v>
      </c>
      <c r="D77" s="1">
        <v>354723</v>
      </c>
      <c r="E77" s="1">
        <v>3971096</v>
      </c>
      <c r="F77">
        <v>1642</v>
      </c>
      <c r="G77" s="1">
        <v>21</v>
      </c>
      <c r="H77" s="1">
        <v>71</v>
      </c>
      <c r="I77" s="71">
        <v>318</v>
      </c>
      <c r="J77" s="20">
        <v>3</v>
      </c>
      <c r="K77" s="1">
        <v>1</v>
      </c>
      <c r="M77" s="1">
        <v>3</v>
      </c>
      <c r="N77" s="1" t="s">
        <v>94</v>
      </c>
      <c r="O77" s="1">
        <v>23.3</v>
      </c>
      <c r="P77" s="1">
        <v>34.799999999999997</v>
      </c>
      <c r="Q77" s="1">
        <v>56</v>
      </c>
      <c r="R77" s="1">
        <v>3.6</v>
      </c>
      <c r="S77" s="5">
        <f>(R77/3.14159)*100</f>
        <v>114.59165581759557</v>
      </c>
      <c r="T77" s="1" t="s">
        <v>95</v>
      </c>
      <c r="U77" s="1">
        <v>70</v>
      </c>
      <c r="V77" s="1">
        <v>25</v>
      </c>
      <c r="W77" s="1">
        <v>5</v>
      </c>
      <c r="X77" s="1">
        <f>100-U77</f>
        <v>30</v>
      </c>
      <c r="Y77" s="1">
        <v>0</v>
      </c>
      <c r="Z77" s="1">
        <v>0</v>
      </c>
      <c r="AA77" s="1" t="s">
        <v>45</v>
      </c>
      <c r="AB77" s="10">
        <v>1</v>
      </c>
      <c r="AC77" s="1">
        <v>34.799999999999997</v>
      </c>
      <c r="AD77" s="1">
        <v>32.200000000000003</v>
      </c>
      <c r="AE77" s="1">
        <v>24</v>
      </c>
      <c r="AF77" s="1">
        <v>1</v>
      </c>
      <c r="AG77" s="1">
        <v>0</v>
      </c>
      <c r="AH77" s="1">
        <v>52.2</v>
      </c>
      <c r="AI77" s="1" t="s">
        <v>51</v>
      </c>
      <c r="AJ77">
        <v>1</v>
      </c>
    </row>
    <row r="78" spans="1:37" ht="14.25" customHeight="1" x14ac:dyDescent="0.3">
      <c r="A78" s="1" t="s">
        <v>56</v>
      </c>
      <c r="B78" s="1">
        <v>14</v>
      </c>
      <c r="C78" s="1" t="s">
        <v>323</v>
      </c>
      <c r="D78" s="1">
        <v>354717</v>
      </c>
      <c r="E78" s="1">
        <v>3971103</v>
      </c>
      <c r="F78">
        <v>1642</v>
      </c>
      <c r="G78" s="1">
        <v>21</v>
      </c>
      <c r="H78" s="1">
        <v>71</v>
      </c>
      <c r="I78" s="71">
        <v>318</v>
      </c>
      <c r="J78" s="20">
        <v>3</v>
      </c>
      <c r="K78" s="1">
        <v>1</v>
      </c>
      <c r="M78" s="1">
        <v>3</v>
      </c>
      <c r="N78" s="1" t="s">
        <v>94</v>
      </c>
      <c r="O78" s="1">
        <v>23</v>
      </c>
      <c r="P78" s="1">
        <v>28</v>
      </c>
      <c r="Q78" s="1">
        <v>55</v>
      </c>
      <c r="R78" s="1">
        <v>3.9</v>
      </c>
      <c r="S78" s="5">
        <f>(R78/3.14159)*100</f>
        <v>124.14096046906184</v>
      </c>
      <c r="T78" s="1" t="s">
        <v>97</v>
      </c>
      <c r="U78" s="1">
        <v>75</v>
      </c>
      <c r="V78" s="1">
        <v>20</v>
      </c>
      <c r="W78" s="1">
        <v>5</v>
      </c>
      <c r="X78" s="1">
        <f>100-U78</f>
        <v>25</v>
      </c>
      <c r="Y78" s="1">
        <v>0</v>
      </c>
      <c r="Z78" s="1">
        <v>0</v>
      </c>
      <c r="AA78" s="1" t="s">
        <v>45</v>
      </c>
      <c r="AB78" s="10">
        <v>1</v>
      </c>
      <c r="AC78" s="1">
        <v>46.3</v>
      </c>
      <c r="AD78" s="1">
        <v>27.3</v>
      </c>
      <c r="AE78" s="1">
        <v>15</v>
      </c>
      <c r="AF78" s="1">
        <v>5</v>
      </c>
      <c r="AG78" s="1">
        <v>0</v>
      </c>
      <c r="AH78" s="1">
        <v>59.9</v>
      </c>
      <c r="AI78" s="1" t="s">
        <v>51</v>
      </c>
      <c r="AJ78">
        <v>1</v>
      </c>
    </row>
    <row r="79" spans="1:37" ht="14.25" customHeight="1" x14ac:dyDescent="0.3">
      <c r="A79" s="1" t="s">
        <v>56</v>
      </c>
      <c r="B79" s="1">
        <v>14</v>
      </c>
      <c r="C79" s="1" t="s">
        <v>324</v>
      </c>
      <c r="D79" s="1">
        <v>354738</v>
      </c>
      <c r="E79" s="1">
        <v>3971101</v>
      </c>
      <c r="F79">
        <v>1642</v>
      </c>
      <c r="G79" s="1">
        <v>21</v>
      </c>
      <c r="H79" s="1">
        <v>71</v>
      </c>
      <c r="I79">
        <v>594</v>
      </c>
      <c r="J79" s="20">
        <v>3</v>
      </c>
      <c r="K79" s="70">
        <v>1</v>
      </c>
      <c r="M79" s="70">
        <v>3</v>
      </c>
      <c r="N79" s="1" t="s">
        <v>94</v>
      </c>
      <c r="O79" s="1">
        <v>25.6</v>
      </c>
      <c r="P79" s="1">
        <v>45.3</v>
      </c>
      <c r="Q79" s="1">
        <v>55.7</v>
      </c>
      <c r="R79" s="1">
        <v>3.9</v>
      </c>
      <c r="S79" s="5">
        <f>(R79/3.14159)*100</f>
        <v>124.14096046906184</v>
      </c>
      <c r="T79" s="1" t="s">
        <v>97</v>
      </c>
      <c r="U79" s="1">
        <v>20</v>
      </c>
      <c r="V79" s="1">
        <v>70</v>
      </c>
      <c r="W79" s="1">
        <v>10</v>
      </c>
      <c r="X79" s="1">
        <f>100-U79</f>
        <v>80</v>
      </c>
      <c r="Y79" s="1">
        <v>0</v>
      </c>
      <c r="Z79" s="1">
        <v>1</v>
      </c>
      <c r="AA79" s="1" t="s">
        <v>45</v>
      </c>
      <c r="AB79" s="10">
        <v>2</v>
      </c>
      <c r="AC79" s="1">
        <v>55.7</v>
      </c>
      <c r="AD79" s="1">
        <v>28.4</v>
      </c>
      <c r="AE79" s="1">
        <v>55</v>
      </c>
      <c r="AF79" s="1">
        <v>15</v>
      </c>
      <c r="AG79" s="1">
        <v>0</v>
      </c>
      <c r="AH79" s="1">
        <v>49.8</v>
      </c>
      <c r="AI79" s="1" t="s">
        <v>44</v>
      </c>
      <c r="AJ79">
        <v>1</v>
      </c>
      <c r="AK79" s="1" t="s">
        <v>159</v>
      </c>
    </row>
    <row r="80" spans="1:37" ht="14.25" customHeight="1" x14ac:dyDescent="0.3">
      <c r="A80" s="1" t="s">
        <v>56</v>
      </c>
      <c r="B80" s="1">
        <v>15</v>
      </c>
      <c r="C80" s="1" t="s">
        <v>347</v>
      </c>
      <c r="D80" s="1">
        <v>354541</v>
      </c>
      <c r="E80" s="1">
        <v>3971374</v>
      </c>
      <c r="F80">
        <v>1592</v>
      </c>
      <c r="G80" s="1">
        <v>18</v>
      </c>
      <c r="H80" s="1">
        <v>174</v>
      </c>
      <c r="I80" s="71">
        <v>244</v>
      </c>
      <c r="J80" s="20">
        <v>2</v>
      </c>
      <c r="K80" s="1">
        <v>1</v>
      </c>
      <c r="M80" s="1">
        <v>2</v>
      </c>
      <c r="N80" s="1" t="s">
        <v>94</v>
      </c>
      <c r="O80" s="1">
        <v>15.3</v>
      </c>
      <c r="P80" s="1">
        <v>17.399999999999999</v>
      </c>
      <c r="Q80" s="1">
        <v>64.900000000000006</v>
      </c>
      <c r="R80" s="1">
        <v>11</v>
      </c>
      <c r="S80" s="5">
        <f>(R80/3.14159)*100</f>
        <v>350.14117055376414</v>
      </c>
      <c r="T80" s="1" t="s">
        <v>95</v>
      </c>
      <c r="U80" s="1">
        <v>95</v>
      </c>
      <c r="V80" s="1">
        <v>5</v>
      </c>
      <c r="W80" s="1">
        <v>0</v>
      </c>
      <c r="X80" s="1">
        <f>100-U80</f>
        <v>5</v>
      </c>
      <c r="Y80" s="1">
        <v>1</v>
      </c>
      <c r="Z80" s="1">
        <v>0</v>
      </c>
      <c r="AA80" s="1" t="s">
        <v>45</v>
      </c>
      <c r="AB80" s="10">
        <v>4</v>
      </c>
      <c r="AC80" s="1">
        <v>18.2</v>
      </c>
      <c r="AE80" s="1">
        <v>1</v>
      </c>
      <c r="AF80" s="1">
        <v>0</v>
      </c>
      <c r="AG80" s="1">
        <v>1</v>
      </c>
      <c r="AI80" s="1" t="s">
        <v>53</v>
      </c>
      <c r="AJ80">
        <v>2</v>
      </c>
      <c r="AK80" s="1" t="s">
        <v>348</v>
      </c>
    </row>
    <row r="81" spans="1:37" ht="14.25" customHeight="1" x14ac:dyDescent="0.3">
      <c r="A81" s="1" t="s">
        <v>56</v>
      </c>
      <c r="B81" s="1">
        <v>15</v>
      </c>
      <c r="C81" s="1" t="s">
        <v>349</v>
      </c>
      <c r="D81" s="1">
        <v>354533</v>
      </c>
      <c r="E81" s="1">
        <v>3971406</v>
      </c>
      <c r="F81">
        <v>1592</v>
      </c>
      <c r="G81" s="1">
        <v>18</v>
      </c>
      <c r="H81" s="1">
        <v>174</v>
      </c>
      <c r="I81" s="71">
        <v>237</v>
      </c>
      <c r="J81" s="20">
        <v>2</v>
      </c>
      <c r="K81" s="1">
        <v>1</v>
      </c>
      <c r="M81" s="1">
        <v>2</v>
      </c>
      <c r="N81" s="1" t="s">
        <v>94</v>
      </c>
      <c r="O81" s="1">
        <v>22.1</v>
      </c>
      <c r="P81" s="1">
        <v>22.1</v>
      </c>
      <c r="Q81" s="1">
        <v>67.099999999999994</v>
      </c>
      <c r="R81" s="1">
        <v>13.5</v>
      </c>
      <c r="S81" s="5">
        <f>(R81/3.14159)*100</f>
        <v>429.71870931598329</v>
      </c>
      <c r="T81" s="1" t="s">
        <v>95</v>
      </c>
      <c r="U81" s="1">
        <v>99</v>
      </c>
      <c r="V81" s="1">
        <v>1</v>
      </c>
      <c r="W81" s="1">
        <v>0</v>
      </c>
      <c r="X81" s="1">
        <f>100-U81</f>
        <v>1</v>
      </c>
      <c r="Y81" s="1">
        <v>0</v>
      </c>
      <c r="Z81" s="1">
        <v>0</v>
      </c>
      <c r="AA81" s="1" t="s">
        <v>45</v>
      </c>
      <c r="AB81" s="10">
        <v>4</v>
      </c>
      <c r="AE81" s="1">
        <v>0</v>
      </c>
      <c r="AF81" s="1">
        <v>0</v>
      </c>
      <c r="AG81" s="1">
        <v>1</v>
      </c>
      <c r="AI81" s="1" t="s">
        <v>51</v>
      </c>
      <c r="AJ81">
        <v>1</v>
      </c>
      <c r="AK81" s="1" t="s">
        <v>350</v>
      </c>
    </row>
    <row r="82" spans="1:37" ht="14.25" customHeight="1" x14ac:dyDescent="0.3">
      <c r="A82" s="1" t="s">
        <v>56</v>
      </c>
      <c r="B82" s="1">
        <v>15</v>
      </c>
      <c r="C82" s="1" t="s">
        <v>351</v>
      </c>
      <c r="D82" s="1">
        <v>354587</v>
      </c>
      <c r="E82" s="1">
        <v>3971359</v>
      </c>
      <c r="F82">
        <v>1592</v>
      </c>
      <c r="G82" s="1">
        <v>18</v>
      </c>
      <c r="H82" s="1">
        <v>174</v>
      </c>
      <c r="I82">
        <v>78</v>
      </c>
      <c r="J82" s="20">
        <v>2</v>
      </c>
      <c r="K82" s="70">
        <v>1</v>
      </c>
      <c r="M82" s="70">
        <v>3</v>
      </c>
      <c r="N82" s="1" t="s">
        <v>94</v>
      </c>
      <c r="O82" s="1">
        <v>20.6</v>
      </c>
      <c r="P82" s="1">
        <v>20.6</v>
      </c>
      <c r="Q82" s="1">
        <v>51</v>
      </c>
      <c r="R82" s="1">
        <v>4.8</v>
      </c>
      <c r="S82" s="5">
        <f>(R82/3.14159)*100</f>
        <v>152.78887442346075</v>
      </c>
      <c r="T82" s="1" t="s">
        <v>97</v>
      </c>
      <c r="U82" s="1">
        <v>99</v>
      </c>
      <c r="V82" s="1">
        <v>1</v>
      </c>
      <c r="W82" s="1">
        <v>0</v>
      </c>
      <c r="X82" s="1">
        <f>100-U82</f>
        <v>1</v>
      </c>
      <c r="Y82" s="1">
        <v>0</v>
      </c>
      <c r="Z82" s="1">
        <v>1</v>
      </c>
      <c r="AA82" s="1" t="s">
        <v>45</v>
      </c>
      <c r="AB82" s="10">
        <v>3</v>
      </c>
      <c r="AC82" s="1">
        <v>20.9</v>
      </c>
      <c r="AE82" s="1">
        <v>1</v>
      </c>
      <c r="AF82" s="1">
        <v>0</v>
      </c>
      <c r="AG82" s="1">
        <v>0</v>
      </c>
      <c r="AI82" s="1" t="s">
        <v>44</v>
      </c>
      <c r="AJ82">
        <v>1</v>
      </c>
      <c r="AK82" s="1" t="s">
        <v>352</v>
      </c>
    </row>
    <row r="83" spans="1:37" ht="14.25" customHeight="1" x14ac:dyDescent="0.3">
      <c r="A83" s="1" t="s">
        <v>56</v>
      </c>
      <c r="B83" s="1">
        <v>15</v>
      </c>
      <c r="C83" s="1" t="s">
        <v>353</v>
      </c>
      <c r="D83" s="1">
        <v>354583</v>
      </c>
      <c r="E83" s="1">
        <v>3971383</v>
      </c>
      <c r="F83">
        <v>1592</v>
      </c>
      <c r="G83" s="1">
        <v>18</v>
      </c>
      <c r="H83" s="1">
        <v>174</v>
      </c>
      <c r="I83">
        <v>24</v>
      </c>
      <c r="J83" s="17">
        <v>1</v>
      </c>
      <c r="K83" s="70">
        <v>1</v>
      </c>
      <c r="M83" s="70">
        <v>2</v>
      </c>
      <c r="N83" s="1" t="s">
        <v>94</v>
      </c>
      <c r="O83" s="1">
        <v>23</v>
      </c>
      <c r="P83" s="1">
        <v>23</v>
      </c>
      <c r="Q83" s="1">
        <v>47.1</v>
      </c>
      <c r="R83" s="1">
        <v>3.7</v>
      </c>
      <c r="S83" s="5">
        <f>(R83/3.14159)*100</f>
        <v>117.77475736808431</v>
      </c>
      <c r="T83" s="1" t="s">
        <v>97</v>
      </c>
      <c r="U83" s="1">
        <v>100</v>
      </c>
      <c r="V83" s="1">
        <v>0</v>
      </c>
      <c r="W83" s="1">
        <v>0</v>
      </c>
      <c r="X83" s="1">
        <f>100-U83</f>
        <v>0</v>
      </c>
      <c r="Y83" s="1">
        <v>0</v>
      </c>
      <c r="Z83" s="1">
        <v>0</v>
      </c>
      <c r="AA83" s="1" t="s">
        <v>45</v>
      </c>
      <c r="AB83" s="10">
        <v>4</v>
      </c>
      <c r="AE83" s="1">
        <v>0</v>
      </c>
      <c r="AF83" s="1">
        <v>0</v>
      </c>
      <c r="AG83" s="1">
        <v>0</v>
      </c>
      <c r="AI83" s="1" t="s">
        <v>44</v>
      </c>
      <c r="AJ83">
        <v>1</v>
      </c>
      <c r="AK83" s="1" t="s">
        <v>354</v>
      </c>
    </row>
    <row r="84" spans="1:37" ht="14.25" customHeight="1" x14ac:dyDescent="0.3">
      <c r="A84" s="1" t="s">
        <v>56</v>
      </c>
      <c r="B84" s="1">
        <v>15</v>
      </c>
      <c r="C84" s="1" t="s">
        <v>355</v>
      </c>
      <c r="D84" s="1">
        <v>354570</v>
      </c>
      <c r="E84" s="1">
        <v>3971381</v>
      </c>
      <c r="F84">
        <v>1592</v>
      </c>
      <c r="G84" s="1">
        <v>18</v>
      </c>
      <c r="H84" s="1">
        <v>174</v>
      </c>
      <c r="I84">
        <v>111</v>
      </c>
      <c r="J84" s="20">
        <v>2</v>
      </c>
      <c r="K84" s="70">
        <v>1</v>
      </c>
      <c r="M84" s="70">
        <v>2</v>
      </c>
      <c r="N84" s="1" t="s">
        <v>94</v>
      </c>
      <c r="O84" s="1">
        <v>23.5</v>
      </c>
      <c r="P84" s="1">
        <v>23.5</v>
      </c>
      <c r="Q84" s="1">
        <v>58.8</v>
      </c>
      <c r="R84" s="1">
        <v>4.4000000000000004</v>
      </c>
      <c r="S84" s="5">
        <f>(R84/3.14159)*100</f>
        <v>140.05646822150567</v>
      </c>
      <c r="T84" s="1" t="s">
        <v>97</v>
      </c>
      <c r="U84" s="1">
        <v>100</v>
      </c>
      <c r="V84" s="1">
        <v>0</v>
      </c>
      <c r="W84" s="1">
        <v>0</v>
      </c>
      <c r="X84" s="1">
        <f>100-U84</f>
        <v>0</v>
      </c>
      <c r="Y84" s="1">
        <v>0</v>
      </c>
      <c r="Z84" s="1">
        <v>0</v>
      </c>
      <c r="AA84" s="1" t="s">
        <v>45</v>
      </c>
      <c r="AB84" s="10">
        <v>4</v>
      </c>
      <c r="AE84" s="1">
        <v>0</v>
      </c>
      <c r="AF84" s="1">
        <v>0</v>
      </c>
      <c r="AG84" s="1">
        <v>0</v>
      </c>
      <c r="AI84" s="1" t="s">
        <v>44</v>
      </c>
      <c r="AJ84">
        <v>1</v>
      </c>
      <c r="AK84" s="1" t="s">
        <v>356</v>
      </c>
    </row>
    <row r="85" spans="1:37" ht="14.25" customHeight="1" x14ac:dyDescent="0.3">
      <c r="A85" s="1" t="s">
        <v>56</v>
      </c>
      <c r="B85" s="1">
        <v>15</v>
      </c>
      <c r="C85" s="1" t="s">
        <v>357</v>
      </c>
      <c r="D85" s="1">
        <v>354600</v>
      </c>
      <c r="E85" s="1">
        <v>3971335</v>
      </c>
      <c r="F85">
        <v>1592</v>
      </c>
      <c r="G85" s="1">
        <v>18</v>
      </c>
      <c r="H85" s="1">
        <v>174</v>
      </c>
      <c r="I85">
        <v>131</v>
      </c>
      <c r="J85" s="20">
        <v>2</v>
      </c>
      <c r="K85" s="70">
        <v>1</v>
      </c>
      <c r="M85" s="70">
        <v>2</v>
      </c>
      <c r="N85" s="1" t="s">
        <v>94</v>
      </c>
      <c r="O85" s="1">
        <v>34.1</v>
      </c>
      <c r="P85" s="1">
        <v>34.1</v>
      </c>
      <c r="Q85" s="1">
        <v>52.6</v>
      </c>
      <c r="R85" s="1">
        <v>4.7</v>
      </c>
      <c r="S85" s="5">
        <f>(R85/3.14159)*100</f>
        <v>149.60577287297198</v>
      </c>
      <c r="T85" s="1" t="s">
        <v>95</v>
      </c>
      <c r="U85" s="1">
        <v>100</v>
      </c>
      <c r="V85" s="1">
        <v>0</v>
      </c>
      <c r="W85" s="1">
        <v>0</v>
      </c>
      <c r="X85" s="1">
        <f>100-U85</f>
        <v>0</v>
      </c>
      <c r="Y85" s="1">
        <v>0</v>
      </c>
      <c r="Z85" s="1">
        <v>0</v>
      </c>
      <c r="AA85" s="1" t="s">
        <v>45</v>
      </c>
      <c r="AB85" s="10">
        <v>3</v>
      </c>
      <c r="AE85" s="1">
        <v>0</v>
      </c>
      <c r="AF85" s="1">
        <v>0</v>
      </c>
      <c r="AG85" s="1">
        <v>0</v>
      </c>
      <c r="AI85" s="1" t="s">
        <v>44</v>
      </c>
      <c r="AJ85">
        <v>1</v>
      </c>
      <c r="AK85" s="17" t="s">
        <v>358</v>
      </c>
    </row>
    <row r="86" spans="1:37" ht="14.25" customHeight="1" x14ac:dyDescent="0.3">
      <c r="A86" s="1" t="s">
        <v>56</v>
      </c>
      <c r="B86" s="1">
        <v>15</v>
      </c>
      <c r="C86" s="1" t="s">
        <v>359</v>
      </c>
      <c r="D86" s="1">
        <v>354587</v>
      </c>
      <c r="E86" s="1">
        <v>3971327</v>
      </c>
      <c r="F86">
        <v>1592</v>
      </c>
      <c r="G86" s="1">
        <v>18</v>
      </c>
      <c r="H86" s="1">
        <v>174</v>
      </c>
      <c r="I86">
        <v>316</v>
      </c>
      <c r="J86" s="20">
        <v>2</v>
      </c>
      <c r="K86" s="70">
        <v>1</v>
      </c>
      <c r="M86" s="70">
        <v>2</v>
      </c>
      <c r="N86" s="1" t="s">
        <v>94</v>
      </c>
      <c r="O86" s="1">
        <v>13.7</v>
      </c>
      <c r="P86" s="1">
        <v>17.399999999999999</v>
      </c>
      <c r="Q86" s="1">
        <v>49</v>
      </c>
      <c r="R86" s="1">
        <v>3.6</v>
      </c>
      <c r="S86" s="5">
        <f>(R86/3.14159)*100</f>
        <v>114.59165581759557</v>
      </c>
      <c r="T86" s="1" t="s">
        <v>97</v>
      </c>
      <c r="U86" s="1">
        <v>95</v>
      </c>
      <c r="V86" s="1">
        <v>5</v>
      </c>
      <c r="W86" s="1">
        <v>0</v>
      </c>
      <c r="X86" s="1">
        <f>100-U86</f>
        <v>5</v>
      </c>
      <c r="Y86" s="1">
        <v>0</v>
      </c>
      <c r="Z86" s="1">
        <v>0</v>
      </c>
      <c r="AA86" s="1" t="s">
        <v>45</v>
      </c>
      <c r="AB86" s="10">
        <v>2</v>
      </c>
      <c r="AC86" s="1">
        <v>49</v>
      </c>
      <c r="AE86" s="1">
        <v>5</v>
      </c>
      <c r="AF86" s="1">
        <v>0</v>
      </c>
      <c r="AG86" s="1">
        <v>0</v>
      </c>
      <c r="AI86" s="1" t="s">
        <v>55</v>
      </c>
      <c r="AJ86">
        <v>3</v>
      </c>
      <c r="AK86" s="1" t="s">
        <v>360</v>
      </c>
    </row>
    <row r="87" spans="1:37" ht="14.25" customHeight="1" x14ac:dyDescent="0.3">
      <c r="A87" t="s">
        <v>62</v>
      </c>
      <c r="B87">
        <v>1</v>
      </c>
      <c r="C87" t="s">
        <v>835</v>
      </c>
      <c r="D87">
        <v>355443</v>
      </c>
      <c r="E87" s="31">
        <v>3982422</v>
      </c>
      <c r="F87">
        <v>1950</v>
      </c>
      <c r="G87" s="24"/>
      <c r="H87" s="24"/>
      <c r="I87" s="71">
        <v>109</v>
      </c>
      <c r="J87" s="20">
        <v>2</v>
      </c>
      <c r="K87">
        <v>1</v>
      </c>
      <c r="M87">
        <v>2</v>
      </c>
      <c r="N87" t="s">
        <v>94</v>
      </c>
      <c r="O87">
        <v>20.100000000000001</v>
      </c>
      <c r="P87">
        <v>20.100000000000001</v>
      </c>
      <c r="Q87">
        <v>48.2</v>
      </c>
      <c r="R87" s="31">
        <v>9</v>
      </c>
      <c r="S87" s="5">
        <f>(R87/3.14159)*100</f>
        <v>286.47913954398888</v>
      </c>
      <c r="T87" t="s">
        <v>102</v>
      </c>
      <c r="U87">
        <v>99</v>
      </c>
      <c r="V87">
        <v>0</v>
      </c>
      <c r="W87">
        <v>1</v>
      </c>
      <c r="X87" s="1">
        <f>100-U87</f>
        <v>1</v>
      </c>
      <c r="Y87">
        <v>1</v>
      </c>
      <c r="Z87">
        <v>1</v>
      </c>
      <c r="AA87" t="s">
        <v>45</v>
      </c>
      <c r="AB87">
        <v>3</v>
      </c>
      <c r="AE87">
        <v>0</v>
      </c>
      <c r="AF87">
        <v>0</v>
      </c>
      <c r="AG87">
        <v>0</v>
      </c>
      <c r="AH87">
        <v>8.1999999999999993</v>
      </c>
      <c r="AI87" t="s">
        <v>51</v>
      </c>
      <c r="AJ87">
        <v>1</v>
      </c>
      <c r="AK87" s="31" t="s">
        <v>961</v>
      </c>
    </row>
    <row r="88" spans="1:37" ht="14.25" customHeight="1" x14ac:dyDescent="0.3">
      <c r="A88" t="s">
        <v>62</v>
      </c>
      <c r="B88">
        <v>1</v>
      </c>
      <c r="C88" t="s">
        <v>834</v>
      </c>
      <c r="D88" s="31">
        <v>355478</v>
      </c>
      <c r="E88">
        <v>3982406</v>
      </c>
      <c r="F88">
        <v>1950</v>
      </c>
      <c r="G88" s="24"/>
      <c r="H88" s="24"/>
      <c r="I88" s="71">
        <v>168</v>
      </c>
      <c r="J88" s="20">
        <v>2</v>
      </c>
      <c r="K88">
        <v>1</v>
      </c>
      <c r="M88">
        <v>2</v>
      </c>
      <c r="N88" t="s">
        <v>94</v>
      </c>
      <c r="O88">
        <v>21</v>
      </c>
      <c r="P88">
        <v>21</v>
      </c>
      <c r="Q88">
        <v>63.7</v>
      </c>
      <c r="R88">
        <v>5</v>
      </c>
      <c r="S88" s="5">
        <f>(R88/3.14159)*100</f>
        <v>159.15507752443827</v>
      </c>
      <c r="T88" t="s">
        <v>97</v>
      </c>
      <c r="U88">
        <v>100</v>
      </c>
      <c r="V88">
        <v>0</v>
      </c>
      <c r="W88">
        <v>0</v>
      </c>
      <c r="X88" s="1">
        <f>100-U88</f>
        <v>0</v>
      </c>
      <c r="Y88">
        <v>0</v>
      </c>
      <c r="Z88">
        <v>1</v>
      </c>
      <c r="AA88" t="s">
        <v>45</v>
      </c>
      <c r="AB88">
        <v>4</v>
      </c>
      <c r="AE88">
        <v>0</v>
      </c>
      <c r="AF88">
        <v>0</v>
      </c>
      <c r="AG88">
        <v>1</v>
      </c>
      <c r="AH88" s="31">
        <v>12.9</v>
      </c>
      <c r="AI88" t="s">
        <v>51</v>
      </c>
      <c r="AJ88">
        <v>1</v>
      </c>
      <c r="AK88" t="s">
        <v>839</v>
      </c>
    </row>
    <row r="89" spans="1:37" ht="14.25" customHeight="1" x14ac:dyDescent="0.3">
      <c r="A89" t="s">
        <v>62</v>
      </c>
      <c r="B89">
        <v>1</v>
      </c>
      <c r="C89" t="s">
        <v>836</v>
      </c>
      <c r="D89">
        <v>355417</v>
      </c>
      <c r="E89" s="31">
        <v>3982434</v>
      </c>
      <c r="F89">
        <v>1950</v>
      </c>
      <c r="G89" s="24"/>
      <c r="H89" s="24"/>
      <c r="I89" s="71">
        <v>666</v>
      </c>
      <c r="J89" s="20">
        <v>4</v>
      </c>
      <c r="K89">
        <v>1</v>
      </c>
      <c r="M89">
        <v>2</v>
      </c>
      <c r="N89" t="s">
        <v>94</v>
      </c>
      <c r="O89">
        <v>17.100000000000001</v>
      </c>
      <c r="P89">
        <v>17.100000000000001</v>
      </c>
      <c r="Q89">
        <v>71.400000000000006</v>
      </c>
      <c r="R89">
        <v>16.7</v>
      </c>
      <c r="S89" s="5">
        <f>(R89/3.14159)*100</f>
        <v>531.57795893162381</v>
      </c>
      <c r="T89" t="s">
        <v>97</v>
      </c>
      <c r="U89">
        <v>95</v>
      </c>
      <c r="V89">
        <v>5</v>
      </c>
      <c r="W89">
        <v>0</v>
      </c>
      <c r="X89" s="1">
        <f>100-U89</f>
        <v>5</v>
      </c>
      <c r="Y89">
        <v>0</v>
      </c>
      <c r="Z89">
        <v>0</v>
      </c>
      <c r="AA89" t="s">
        <v>45</v>
      </c>
      <c r="AB89">
        <v>4</v>
      </c>
      <c r="AE89">
        <v>0</v>
      </c>
      <c r="AF89">
        <v>0</v>
      </c>
      <c r="AG89">
        <v>1</v>
      </c>
      <c r="AH89">
        <v>17.5</v>
      </c>
      <c r="AI89" t="s">
        <v>51</v>
      </c>
      <c r="AJ89">
        <v>1</v>
      </c>
      <c r="AK89" t="s">
        <v>840</v>
      </c>
    </row>
    <row r="90" spans="1:37" ht="14.25" customHeight="1" x14ac:dyDescent="0.3">
      <c r="A90" t="s">
        <v>62</v>
      </c>
      <c r="B90">
        <v>1</v>
      </c>
      <c r="C90" t="s">
        <v>837</v>
      </c>
      <c r="D90">
        <v>355459</v>
      </c>
      <c r="E90">
        <v>3982438</v>
      </c>
      <c r="F90">
        <v>1950</v>
      </c>
      <c r="G90" s="24"/>
      <c r="H90" s="24"/>
      <c r="I90" s="71">
        <v>137</v>
      </c>
      <c r="J90" s="20">
        <v>2</v>
      </c>
      <c r="K90">
        <v>1</v>
      </c>
      <c r="M90">
        <v>2</v>
      </c>
      <c r="N90" t="s">
        <v>94</v>
      </c>
      <c r="O90">
        <v>18.5</v>
      </c>
      <c r="P90">
        <v>15.5</v>
      </c>
      <c r="Q90">
        <v>73</v>
      </c>
      <c r="R90">
        <v>14.4</v>
      </c>
      <c r="S90" s="5">
        <f>(R90/3.14159)*100</f>
        <v>458.36662327038226</v>
      </c>
      <c r="T90" t="s">
        <v>97</v>
      </c>
      <c r="U90">
        <v>99</v>
      </c>
      <c r="V90">
        <v>0</v>
      </c>
      <c r="W90">
        <v>1</v>
      </c>
      <c r="X90" s="1">
        <f>100-U90</f>
        <v>1</v>
      </c>
      <c r="Y90">
        <v>0</v>
      </c>
      <c r="Z90">
        <v>1</v>
      </c>
      <c r="AA90" t="s">
        <v>45</v>
      </c>
      <c r="AB90">
        <v>4</v>
      </c>
      <c r="AE90">
        <v>0</v>
      </c>
      <c r="AF90">
        <v>0</v>
      </c>
      <c r="AG90">
        <v>1</v>
      </c>
      <c r="AH90">
        <v>11.1</v>
      </c>
      <c r="AI90" t="s">
        <v>51</v>
      </c>
      <c r="AJ90">
        <v>1</v>
      </c>
    </row>
    <row r="91" spans="1:37" ht="14.25" customHeight="1" x14ac:dyDescent="0.3">
      <c r="A91" t="s">
        <v>62</v>
      </c>
      <c r="B91">
        <v>1</v>
      </c>
      <c r="C91" t="s">
        <v>841</v>
      </c>
      <c r="D91" s="31">
        <v>355413</v>
      </c>
      <c r="E91" s="31">
        <v>3982414</v>
      </c>
      <c r="F91">
        <v>1950</v>
      </c>
      <c r="G91" s="24"/>
      <c r="H91" s="24"/>
      <c r="I91" s="71">
        <v>598</v>
      </c>
      <c r="J91" s="20">
        <v>3</v>
      </c>
      <c r="K91">
        <v>1</v>
      </c>
      <c r="M91">
        <v>2</v>
      </c>
      <c r="N91" t="s">
        <v>94</v>
      </c>
      <c r="O91">
        <v>8.5</v>
      </c>
      <c r="P91">
        <v>8.5</v>
      </c>
      <c r="Q91">
        <v>54.5</v>
      </c>
      <c r="R91">
        <v>5.7</v>
      </c>
      <c r="S91" s="5">
        <f>(R91/3.14159)*100</f>
        <v>181.43678837785964</v>
      </c>
      <c r="T91" t="s">
        <v>97</v>
      </c>
      <c r="U91">
        <v>99</v>
      </c>
      <c r="V91">
        <v>1</v>
      </c>
      <c r="W91">
        <v>0</v>
      </c>
      <c r="X91" s="1">
        <f>100-U91</f>
        <v>1</v>
      </c>
      <c r="Y91">
        <v>0</v>
      </c>
      <c r="Z91">
        <v>0</v>
      </c>
      <c r="AA91" t="s">
        <v>45</v>
      </c>
      <c r="AB91">
        <v>3</v>
      </c>
      <c r="AE91">
        <v>1</v>
      </c>
      <c r="AF91">
        <v>0</v>
      </c>
      <c r="AG91">
        <v>0</v>
      </c>
      <c r="AH91">
        <v>12.3</v>
      </c>
      <c r="AI91" t="s">
        <v>51</v>
      </c>
      <c r="AJ91">
        <v>1</v>
      </c>
    </row>
    <row r="92" spans="1:37" ht="14.25" customHeight="1" x14ac:dyDescent="0.3">
      <c r="A92" t="s">
        <v>62</v>
      </c>
      <c r="B92">
        <v>1</v>
      </c>
      <c r="C92" t="s">
        <v>842</v>
      </c>
      <c r="D92" s="31">
        <v>355393</v>
      </c>
      <c r="E92" s="31">
        <v>3982403</v>
      </c>
      <c r="F92">
        <v>1950</v>
      </c>
      <c r="G92" s="24"/>
      <c r="H92" s="24"/>
      <c r="I92">
        <v>506</v>
      </c>
      <c r="J92" s="20">
        <v>3</v>
      </c>
      <c r="K92" s="71">
        <v>1</v>
      </c>
      <c r="M92" s="71">
        <v>2</v>
      </c>
      <c r="N92" t="s">
        <v>94</v>
      </c>
      <c r="O92">
        <v>19.899999999999999</v>
      </c>
      <c r="P92">
        <v>9.9</v>
      </c>
      <c r="Q92">
        <v>54.4</v>
      </c>
      <c r="R92" s="31">
        <v>7</v>
      </c>
      <c r="S92" s="5">
        <f>(R92/3.14159)*100</f>
        <v>222.81710853421356</v>
      </c>
      <c r="T92" t="s">
        <v>95</v>
      </c>
      <c r="U92">
        <v>40</v>
      </c>
      <c r="V92">
        <v>25</v>
      </c>
      <c r="W92">
        <v>35</v>
      </c>
      <c r="X92" s="1">
        <f>100-U92</f>
        <v>60</v>
      </c>
      <c r="Y92">
        <v>1</v>
      </c>
      <c r="Z92">
        <v>1</v>
      </c>
      <c r="AA92" t="s">
        <v>45</v>
      </c>
      <c r="AB92">
        <v>3</v>
      </c>
      <c r="AE92">
        <v>0</v>
      </c>
      <c r="AF92">
        <v>0</v>
      </c>
      <c r="AG92">
        <v>0</v>
      </c>
      <c r="AH92">
        <v>60</v>
      </c>
      <c r="AI92" t="s">
        <v>44</v>
      </c>
      <c r="AJ92">
        <v>1</v>
      </c>
    </row>
    <row r="93" spans="1:37" ht="14.25" customHeight="1" x14ac:dyDescent="0.3">
      <c r="A93" t="s">
        <v>62</v>
      </c>
      <c r="B93">
        <v>1</v>
      </c>
      <c r="C93" t="s">
        <v>843</v>
      </c>
      <c r="D93" s="31">
        <v>355435</v>
      </c>
      <c r="E93" s="31">
        <v>3982369</v>
      </c>
      <c r="F93">
        <v>1950</v>
      </c>
      <c r="G93" s="24"/>
      <c r="H93" s="24"/>
      <c r="I93">
        <v>444</v>
      </c>
      <c r="J93" s="20">
        <v>3</v>
      </c>
      <c r="K93">
        <v>1</v>
      </c>
      <c r="M93">
        <v>3</v>
      </c>
      <c r="N93" t="s">
        <v>153</v>
      </c>
      <c r="O93">
        <v>13.8</v>
      </c>
      <c r="P93">
        <v>15.8</v>
      </c>
      <c r="Q93">
        <v>70.5</v>
      </c>
      <c r="R93">
        <v>12.2</v>
      </c>
      <c r="S93" s="5">
        <f>(R93/3.14159)*100</f>
        <v>388.33838915962934</v>
      </c>
      <c r="T93" t="s">
        <v>95</v>
      </c>
      <c r="U93">
        <v>40</v>
      </c>
      <c r="V93">
        <v>10</v>
      </c>
      <c r="W93">
        <v>50</v>
      </c>
      <c r="X93" s="1">
        <f>100-U93</f>
        <v>60</v>
      </c>
      <c r="Y93">
        <v>0</v>
      </c>
      <c r="Z93">
        <v>1</v>
      </c>
      <c r="AA93" t="s">
        <v>45</v>
      </c>
      <c r="AB93">
        <v>4</v>
      </c>
      <c r="AE93">
        <v>5</v>
      </c>
      <c r="AF93">
        <v>0</v>
      </c>
      <c r="AG93">
        <v>0</v>
      </c>
      <c r="AH93">
        <v>63</v>
      </c>
      <c r="AI93" t="s">
        <v>66</v>
      </c>
      <c r="AJ93">
        <v>3</v>
      </c>
    </row>
    <row r="94" spans="1:37" ht="14.25" customHeight="1" x14ac:dyDescent="0.3">
      <c r="A94" t="s">
        <v>62</v>
      </c>
      <c r="B94">
        <v>1</v>
      </c>
      <c r="C94" s="31" t="s">
        <v>853</v>
      </c>
      <c r="D94" s="31">
        <v>355467</v>
      </c>
      <c r="E94" s="31">
        <v>3982429</v>
      </c>
      <c r="F94">
        <v>1950</v>
      </c>
      <c r="G94" s="24"/>
      <c r="H94" s="24"/>
      <c r="I94" s="71">
        <v>153</v>
      </c>
      <c r="J94" s="20">
        <v>2</v>
      </c>
      <c r="K94">
        <v>1</v>
      </c>
      <c r="M94">
        <v>3</v>
      </c>
      <c r="N94" t="s">
        <v>94</v>
      </c>
      <c r="O94">
        <v>15</v>
      </c>
      <c r="P94">
        <v>23</v>
      </c>
      <c r="Q94">
        <v>53</v>
      </c>
      <c r="R94">
        <v>6.5</v>
      </c>
      <c r="S94" s="5">
        <f>(R94/3.14159)*100</f>
        <v>206.90160078176976</v>
      </c>
      <c r="T94" t="s">
        <v>97</v>
      </c>
      <c r="U94">
        <v>75</v>
      </c>
      <c r="V94">
        <v>25</v>
      </c>
      <c r="W94">
        <v>0</v>
      </c>
      <c r="X94" s="1">
        <f>100-U94</f>
        <v>25</v>
      </c>
      <c r="Y94">
        <v>0</v>
      </c>
      <c r="Z94">
        <v>0</v>
      </c>
      <c r="AA94" t="s">
        <v>45</v>
      </c>
      <c r="AB94">
        <v>2</v>
      </c>
      <c r="AE94">
        <v>25</v>
      </c>
      <c r="AF94">
        <v>0</v>
      </c>
      <c r="AG94">
        <v>0</v>
      </c>
      <c r="AH94">
        <v>52.4</v>
      </c>
      <c r="AI94" t="s">
        <v>51</v>
      </c>
      <c r="AJ94">
        <v>1</v>
      </c>
    </row>
    <row r="95" spans="1:37" ht="14.25" customHeight="1" x14ac:dyDescent="0.3">
      <c r="A95" t="s">
        <v>62</v>
      </c>
      <c r="B95">
        <v>1</v>
      </c>
      <c r="C95" s="31" t="s">
        <v>854</v>
      </c>
      <c r="D95" s="31">
        <v>355507</v>
      </c>
      <c r="E95" s="31">
        <v>3982410</v>
      </c>
      <c r="F95">
        <v>1950</v>
      </c>
      <c r="G95" s="24"/>
      <c r="H95" s="24"/>
      <c r="I95" s="71">
        <v>272</v>
      </c>
      <c r="J95" s="20">
        <v>2</v>
      </c>
      <c r="K95">
        <v>1</v>
      </c>
      <c r="M95">
        <v>3</v>
      </c>
      <c r="N95" t="s">
        <v>94</v>
      </c>
      <c r="O95">
        <v>17</v>
      </c>
      <c r="P95">
        <v>28.4</v>
      </c>
      <c r="Q95">
        <v>61.8</v>
      </c>
      <c r="R95">
        <v>6.7</v>
      </c>
      <c r="S95" s="5">
        <f>(R95/3.14159)*100</f>
        <v>213.26780388274727</v>
      </c>
      <c r="T95" t="s">
        <v>97</v>
      </c>
      <c r="U95">
        <v>85</v>
      </c>
      <c r="V95">
        <v>0</v>
      </c>
      <c r="W95">
        <v>15</v>
      </c>
      <c r="X95" s="1">
        <f>100-U95</f>
        <v>15</v>
      </c>
      <c r="Y95">
        <v>1</v>
      </c>
      <c r="Z95">
        <v>1</v>
      </c>
      <c r="AA95" t="s">
        <v>45</v>
      </c>
      <c r="AB95">
        <v>3</v>
      </c>
      <c r="AE95">
        <v>1</v>
      </c>
      <c r="AF95">
        <v>0</v>
      </c>
      <c r="AG95">
        <v>0</v>
      </c>
      <c r="AH95">
        <v>54.5</v>
      </c>
      <c r="AI95" t="s">
        <v>51</v>
      </c>
      <c r="AJ95">
        <v>1</v>
      </c>
    </row>
    <row r="96" spans="1:37" ht="14.25" customHeight="1" x14ac:dyDescent="0.3">
      <c r="A96" t="s">
        <v>62</v>
      </c>
      <c r="B96">
        <v>2</v>
      </c>
      <c r="C96" t="s">
        <v>844</v>
      </c>
      <c r="D96" s="31">
        <v>355581</v>
      </c>
      <c r="E96" s="31">
        <v>3982643</v>
      </c>
      <c r="F96">
        <v>1922</v>
      </c>
      <c r="G96" s="24"/>
      <c r="H96" s="24"/>
      <c r="I96" s="71">
        <v>225</v>
      </c>
      <c r="J96" s="20">
        <v>2</v>
      </c>
      <c r="K96">
        <v>1</v>
      </c>
      <c r="M96">
        <v>3</v>
      </c>
      <c r="N96" t="s">
        <v>94</v>
      </c>
      <c r="O96">
        <v>13.5</v>
      </c>
      <c r="P96">
        <v>14.9</v>
      </c>
      <c r="Q96" s="31">
        <v>74.8</v>
      </c>
      <c r="R96" s="31">
        <v>12.4</v>
      </c>
      <c r="S96" s="5">
        <f>(R96/3.14159)*100</f>
        <v>394.70459226060689</v>
      </c>
      <c r="T96" t="s">
        <v>95</v>
      </c>
      <c r="U96">
        <v>95</v>
      </c>
      <c r="V96">
        <v>5</v>
      </c>
      <c r="W96">
        <v>0</v>
      </c>
      <c r="X96" s="1">
        <f>100-U96</f>
        <v>5</v>
      </c>
      <c r="Y96">
        <v>0</v>
      </c>
      <c r="Z96">
        <v>0</v>
      </c>
      <c r="AA96" t="s">
        <v>45</v>
      </c>
      <c r="AB96">
        <v>3</v>
      </c>
      <c r="AC96">
        <v>25.5</v>
      </c>
      <c r="AE96">
        <v>5</v>
      </c>
      <c r="AF96">
        <v>0</v>
      </c>
      <c r="AG96">
        <v>1</v>
      </c>
      <c r="AH96">
        <v>34.200000000000003</v>
      </c>
      <c r="AI96" t="s">
        <v>51</v>
      </c>
      <c r="AJ96">
        <v>1</v>
      </c>
    </row>
    <row r="97" spans="1:37" ht="14.25" customHeight="1" x14ac:dyDescent="0.3">
      <c r="A97" t="s">
        <v>62</v>
      </c>
      <c r="B97">
        <v>2</v>
      </c>
      <c r="C97" t="s">
        <v>845</v>
      </c>
      <c r="D97" s="31">
        <v>355583</v>
      </c>
      <c r="E97" s="31">
        <v>3982662</v>
      </c>
      <c r="F97">
        <v>1922</v>
      </c>
      <c r="G97" s="24"/>
      <c r="H97" s="24"/>
      <c r="I97">
        <v>225</v>
      </c>
      <c r="J97" s="20">
        <v>2</v>
      </c>
      <c r="K97">
        <v>1</v>
      </c>
      <c r="M97">
        <v>3</v>
      </c>
      <c r="N97" t="s">
        <v>94</v>
      </c>
      <c r="O97">
        <v>5.9</v>
      </c>
      <c r="Q97" s="31">
        <v>66.400000000000006</v>
      </c>
      <c r="R97">
        <v>9.3000000000000007</v>
      </c>
      <c r="S97" s="5">
        <f>(R97/3.14159)*100</f>
        <v>296.02844419545522</v>
      </c>
      <c r="T97" t="s">
        <v>97</v>
      </c>
      <c r="U97">
        <v>95</v>
      </c>
      <c r="V97">
        <v>5</v>
      </c>
      <c r="W97">
        <v>0</v>
      </c>
      <c r="X97" s="1">
        <f>100-U97</f>
        <v>5</v>
      </c>
      <c r="Y97">
        <v>0</v>
      </c>
      <c r="Z97">
        <v>0</v>
      </c>
      <c r="AA97" t="s">
        <v>45</v>
      </c>
      <c r="AB97">
        <v>4</v>
      </c>
      <c r="AC97">
        <v>25.6</v>
      </c>
      <c r="AE97">
        <v>5</v>
      </c>
      <c r="AF97">
        <v>0</v>
      </c>
      <c r="AG97">
        <v>1</v>
      </c>
      <c r="AH97" s="31">
        <v>43.4</v>
      </c>
      <c r="AI97" t="s">
        <v>51</v>
      </c>
      <c r="AJ97">
        <v>1</v>
      </c>
    </row>
    <row r="98" spans="1:37" ht="14.25" customHeight="1" x14ac:dyDescent="0.3">
      <c r="A98" t="s">
        <v>62</v>
      </c>
      <c r="B98">
        <v>2</v>
      </c>
      <c r="C98" t="s">
        <v>846</v>
      </c>
      <c r="D98" s="31">
        <v>355601</v>
      </c>
      <c r="E98" s="31">
        <v>3982675</v>
      </c>
      <c r="F98">
        <v>1922</v>
      </c>
      <c r="G98" s="24"/>
      <c r="H98" s="24"/>
      <c r="I98">
        <v>191</v>
      </c>
      <c r="J98" s="20">
        <v>2</v>
      </c>
      <c r="K98">
        <v>1</v>
      </c>
      <c r="M98">
        <v>3</v>
      </c>
      <c r="N98" t="s">
        <v>94</v>
      </c>
      <c r="O98">
        <v>20.3</v>
      </c>
      <c r="Q98" s="31">
        <v>47.8</v>
      </c>
      <c r="R98" s="31">
        <v>4.9000000000000004</v>
      </c>
      <c r="S98" s="5">
        <f>(R98/3.14159)*100</f>
        <v>155.97197597394953</v>
      </c>
      <c r="T98" t="s">
        <v>855</v>
      </c>
      <c r="U98">
        <v>99</v>
      </c>
      <c r="V98">
        <v>1</v>
      </c>
      <c r="W98">
        <v>0</v>
      </c>
      <c r="X98" s="1">
        <f>100-U98</f>
        <v>1</v>
      </c>
      <c r="Y98">
        <v>0</v>
      </c>
      <c r="Z98">
        <v>1</v>
      </c>
      <c r="AA98" t="s">
        <v>45</v>
      </c>
      <c r="AB98">
        <v>2</v>
      </c>
      <c r="AE98">
        <v>0</v>
      </c>
      <c r="AF98">
        <v>0</v>
      </c>
      <c r="AG98">
        <v>1</v>
      </c>
      <c r="AH98" s="31">
        <v>105.3</v>
      </c>
      <c r="AI98" t="s">
        <v>51</v>
      </c>
      <c r="AJ98">
        <v>1</v>
      </c>
    </row>
    <row r="99" spans="1:37" ht="14.25" customHeight="1" x14ac:dyDescent="0.3">
      <c r="A99" t="s">
        <v>62</v>
      </c>
      <c r="B99">
        <v>2</v>
      </c>
      <c r="C99" t="s">
        <v>847</v>
      </c>
      <c r="D99" s="31">
        <v>355535</v>
      </c>
      <c r="E99" s="31">
        <v>3982653</v>
      </c>
      <c r="F99">
        <v>1922</v>
      </c>
      <c r="G99" s="24"/>
      <c r="H99" s="24"/>
      <c r="I99">
        <v>248</v>
      </c>
      <c r="J99" s="20">
        <v>2</v>
      </c>
      <c r="K99">
        <v>1</v>
      </c>
      <c r="M99">
        <v>3</v>
      </c>
      <c r="N99" t="s">
        <v>94</v>
      </c>
      <c r="Q99" s="31"/>
      <c r="R99">
        <v>10</v>
      </c>
      <c r="S99" s="5">
        <f>(R99/3.14159)*100</f>
        <v>318.31015504887654</v>
      </c>
      <c r="T99" t="s">
        <v>97</v>
      </c>
      <c r="U99">
        <v>95</v>
      </c>
      <c r="V99">
        <v>5</v>
      </c>
      <c r="W99">
        <v>0</v>
      </c>
      <c r="X99" s="1">
        <f>100-U99</f>
        <v>5</v>
      </c>
      <c r="Y99">
        <v>0</v>
      </c>
      <c r="Z99">
        <v>0</v>
      </c>
      <c r="AA99" t="s">
        <v>45</v>
      </c>
      <c r="AB99">
        <v>3</v>
      </c>
      <c r="AC99">
        <v>15.2</v>
      </c>
      <c r="AF99">
        <v>0</v>
      </c>
      <c r="AG99">
        <v>0</v>
      </c>
      <c r="AH99" s="31">
        <v>121</v>
      </c>
      <c r="AI99" t="s">
        <v>51</v>
      </c>
      <c r="AJ99">
        <v>1</v>
      </c>
    </row>
    <row r="100" spans="1:37" ht="14.25" customHeight="1" x14ac:dyDescent="0.3">
      <c r="A100" t="s">
        <v>62</v>
      </c>
      <c r="B100">
        <v>2</v>
      </c>
      <c r="C100" t="s">
        <v>850</v>
      </c>
      <c r="D100" s="31">
        <v>355593</v>
      </c>
      <c r="E100" s="31">
        <v>3982614</v>
      </c>
      <c r="F100">
        <v>1922</v>
      </c>
      <c r="G100" s="24"/>
      <c r="H100" s="24"/>
      <c r="I100">
        <v>165</v>
      </c>
      <c r="J100" s="20">
        <v>2</v>
      </c>
      <c r="K100">
        <v>1</v>
      </c>
      <c r="M100">
        <v>3</v>
      </c>
      <c r="N100" t="s">
        <v>94</v>
      </c>
      <c r="O100">
        <v>9.8000000000000007</v>
      </c>
      <c r="Q100" s="31">
        <v>51.3</v>
      </c>
      <c r="R100">
        <v>4.3</v>
      </c>
      <c r="S100" s="5">
        <f>(R100/3.14159)*100</f>
        <v>136.8733666710169</v>
      </c>
      <c r="T100" t="s">
        <v>97</v>
      </c>
      <c r="U100">
        <v>90</v>
      </c>
      <c r="V100">
        <v>10</v>
      </c>
      <c r="W100">
        <v>0</v>
      </c>
      <c r="X100" s="1">
        <f>100-U100</f>
        <v>10</v>
      </c>
      <c r="Y100">
        <v>0</v>
      </c>
      <c r="Z100">
        <v>0</v>
      </c>
      <c r="AA100" t="s">
        <v>45</v>
      </c>
      <c r="AB100">
        <v>2</v>
      </c>
      <c r="AC100">
        <v>20.5</v>
      </c>
      <c r="AE100">
        <v>10</v>
      </c>
      <c r="AF100">
        <v>0</v>
      </c>
      <c r="AG100">
        <v>0</v>
      </c>
      <c r="AH100" s="31">
        <v>50.2</v>
      </c>
      <c r="AI100" t="s">
        <v>51</v>
      </c>
      <c r="AJ100">
        <v>1</v>
      </c>
    </row>
    <row r="101" spans="1:37" ht="14.25" customHeight="1" x14ac:dyDescent="0.3">
      <c r="A101" t="s">
        <v>62</v>
      </c>
      <c r="B101">
        <v>2</v>
      </c>
      <c r="C101" t="s">
        <v>851</v>
      </c>
      <c r="D101" s="31">
        <v>355666</v>
      </c>
      <c r="E101" s="31">
        <v>3982594</v>
      </c>
      <c r="F101">
        <v>1922</v>
      </c>
      <c r="G101" s="24"/>
      <c r="H101" s="24"/>
      <c r="I101">
        <v>221</v>
      </c>
      <c r="J101" s="20">
        <v>2</v>
      </c>
      <c r="K101">
        <v>1</v>
      </c>
      <c r="M101">
        <v>3</v>
      </c>
      <c r="N101" t="s">
        <v>94</v>
      </c>
      <c r="O101">
        <v>13.4</v>
      </c>
      <c r="Q101" s="31">
        <v>56.2</v>
      </c>
      <c r="R101">
        <v>6.2</v>
      </c>
      <c r="S101" s="5">
        <f>(R101/3.14159)*100</f>
        <v>197.35229613030344</v>
      </c>
      <c r="T101" t="s">
        <v>97</v>
      </c>
      <c r="U101">
        <v>90</v>
      </c>
      <c r="V101">
        <v>10</v>
      </c>
      <c r="W101">
        <v>0</v>
      </c>
      <c r="X101" s="1">
        <f>100-U101</f>
        <v>10</v>
      </c>
      <c r="Y101">
        <v>0</v>
      </c>
      <c r="Z101">
        <v>0</v>
      </c>
      <c r="AA101" t="s">
        <v>45</v>
      </c>
      <c r="AB101">
        <v>2</v>
      </c>
      <c r="AC101">
        <v>25.9</v>
      </c>
      <c r="AE101">
        <v>10</v>
      </c>
      <c r="AF101">
        <v>0</v>
      </c>
      <c r="AG101">
        <v>1</v>
      </c>
      <c r="AH101" s="31">
        <v>77.8</v>
      </c>
      <c r="AI101" t="s">
        <v>51</v>
      </c>
      <c r="AJ101">
        <v>1</v>
      </c>
    </row>
    <row r="102" spans="1:37" ht="14.25" customHeight="1" x14ac:dyDescent="0.3">
      <c r="A102" t="s">
        <v>62</v>
      </c>
      <c r="B102">
        <v>3</v>
      </c>
      <c r="C102" s="31" t="s">
        <v>852</v>
      </c>
      <c r="D102" s="31">
        <v>355797</v>
      </c>
      <c r="E102" s="31">
        <v>3982543</v>
      </c>
      <c r="F102">
        <v>1912</v>
      </c>
      <c r="G102" s="24"/>
      <c r="H102" s="24"/>
      <c r="I102">
        <v>284</v>
      </c>
      <c r="J102" s="20">
        <v>2</v>
      </c>
      <c r="K102">
        <v>1</v>
      </c>
      <c r="M102">
        <v>2</v>
      </c>
      <c r="N102" t="s">
        <v>94</v>
      </c>
      <c r="Q102" s="31">
        <v>35.5</v>
      </c>
      <c r="R102">
        <v>7.6</v>
      </c>
      <c r="S102" s="5">
        <f>(R102/3.14159)*100</f>
        <v>241.91571783714613</v>
      </c>
      <c r="T102" t="s">
        <v>97</v>
      </c>
      <c r="U102">
        <v>95</v>
      </c>
      <c r="V102">
        <v>5</v>
      </c>
      <c r="W102">
        <v>0</v>
      </c>
      <c r="X102" s="1">
        <f>100-U102</f>
        <v>5</v>
      </c>
      <c r="Y102">
        <v>0</v>
      </c>
      <c r="Z102">
        <v>0</v>
      </c>
      <c r="AA102" t="s">
        <v>45</v>
      </c>
      <c r="AB102">
        <v>2</v>
      </c>
      <c r="AE102">
        <v>0</v>
      </c>
      <c r="AF102">
        <v>0</v>
      </c>
      <c r="AG102">
        <v>1</v>
      </c>
      <c r="AH102" s="31">
        <v>53.2</v>
      </c>
      <c r="AI102" t="s">
        <v>51</v>
      </c>
      <c r="AJ102">
        <v>1</v>
      </c>
      <c r="AK102" t="s">
        <v>978</v>
      </c>
    </row>
    <row r="103" spans="1:37" ht="14.25" customHeight="1" x14ac:dyDescent="0.3">
      <c r="A103" s="1" t="s">
        <v>62</v>
      </c>
      <c r="B103" s="1">
        <v>5</v>
      </c>
      <c r="C103" s="1" t="s">
        <v>313</v>
      </c>
      <c r="D103" s="1">
        <v>356187</v>
      </c>
      <c r="E103" s="1">
        <v>3982619</v>
      </c>
      <c r="F103">
        <v>1892</v>
      </c>
      <c r="G103" s="1">
        <v>3</v>
      </c>
      <c r="H103" s="1">
        <v>166</v>
      </c>
      <c r="I103">
        <v>117</v>
      </c>
      <c r="J103" s="20">
        <v>2</v>
      </c>
      <c r="K103" s="70">
        <v>1</v>
      </c>
      <c r="L103" s="38"/>
      <c r="M103" s="70">
        <v>2</v>
      </c>
      <c r="N103" s="1" t="s">
        <v>94</v>
      </c>
      <c r="O103" s="1">
        <v>11.7</v>
      </c>
      <c r="P103" s="1">
        <v>11.7</v>
      </c>
      <c r="Q103" s="1">
        <v>75.8</v>
      </c>
      <c r="R103" s="1">
        <v>10.7</v>
      </c>
      <c r="S103" s="5">
        <f>(R103/3.14159)*100</f>
        <v>340.59186590229785</v>
      </c>
      <c r="T103" s="1" t="s">
        <v>97</v>
      </c>
      <c r="U103" s="1">
        <v>100</v>
      </c>
      <c r="V103" s="1">
        <v>0</v>
      </c>
      <c r="W103" s="1">
        <v>0</v>
      </c>
      <c r="X103" s="1">
        <f>100-U103</f>
        <v>0</v>
      </c>
      <c r="Y103" s="1">
        <v>0</v>
      </c>
      <c r="Z103" s="1">
        <v>0</v>
      </c>
      <c r="AA103" s="1" t="s">
        <v>45</v>
      </c>
      <c r="AB103" s="10">
        <v>4</v>
      </c>
      <c r="AE103" s="1">
        <v>0</v>
      </c>
      <c r="AF103" s="1">
        <v>0</v>
      </c>
      <c r="AG103" s="1">
        <v>0</v>
      </c>
      <c r="AH103" s="1">
        <v>75.7</v>
      </c>
      <c r="AI103" s="1" t="s">
        <v>44</v>
      </c>
      <c r="AJ103">
        <v>1</v>
      </c>
    </row>
    <row r="104" spans="1:37" ht="14.25" customHeight="1" x14ac:dyDescent="0.3">
      <c r="A104" s="1" t="s">
        <v>62</v>
      </c>
      <c r="B104" s="1">
        <v>5</v>
      </c>
      <c r="C104" s="1" t="s">
        <v>314</v>
      </c>
      <c r="D104" s="1">
        <v>356168</v>
      </c>
      <c r="E104" s="1">
        <v>3982629</v>
      </c>
      <c r="F104">
        <v>1892</v>
      </c>
      <c r="G104" s="1">
        <v>3</v>
      </c>
      <c r="H104" s="1">
        <v>166</v>
      </c>
      <c r="I104">
        <v>218</v>
      </c>
      <c r="J104" s="20">
        <v>2</v>
      </c>
      <c r="K104" s="70">
        <v>1</v>
      </c>
      <c r="L104" s="38"/>
      <c r="M104" s="70">
        <v>2</v>
      </c>
      <c r="N104" s="1" t="s">
        <v>94</v>
      </c>
      <c r="O104" s="1">
        <v>18.3</v>
      </c>
      <c r="P104" s="1">
        <v>18.3</v>
      </c>
      <c r="Q104" s="1">
        <v>67.599999999999994</v>
      </c>
      <c r="R104" s="1">
        <v>10.3</v>
      </c>
      <c r="S104" s="5">
        <f>(R104/3.14159)*100</f>
        <v>327.85945970034282</v>
      </c>
      <c r="T104" s="1" t="s">
        <v>97</v>
      </c>
      <c r="U104" s="1">
        <v>100</v>
      </c>
      <c r="V104" s="1">
        <v>0</v>
      </c>
      <c r="W104" s="1">
        <v>0</v>
      </c>
      <c r="X104" s="1">
        <f>100-U104</f>
        <v>0</v>
      </c>
      <c r="Y104" s="1">
        <v>1</v>
      </c>
      <c r="Z104" s="1">
        <v>0</v>
      </c>
      <c r="AA104" s="1" t="s">
        <v>45</v>
      </c>
      <c r="AB104" s="10">
        <v>4</v>
      </c>
      <c r="AE104" s="1">
        <v>0</v>
      </c>
      <c r="AF104" s="1">
        <v>0</v>
      </c>
      <c r="AG104" s="1">
        <v>0</v>
      </c>
      <c r="AH104" s="1">
        <v>84.5</v>
      </c>
      <c r="AI104" s="1" t="s">
        <v>44</v>
      </c>
      <c r="AJ104">
        <v>1</v>
      </c>
    </row>
    <row r="105" spans="1:37" ht="14.25" customHeight="1" x14ac:dyDescent="0.3">
      <c r="A105" s="1" t="s">
        <v>62</v>
      </c>
      <c r="B105" s="1">
        <v>5</v>
      </c>
      <c r="C105" s="1" t="s">
        <v>315</v>
      </c>
      <c r="D105" s="1">
        <v>356353</v>
      </c>
      <c r="E105" s="1">
        <v>3982703</v>
      </c>
      <c r="F105">
        <v>1892</v>
      </c>
      <c r="G105" s="1">
        <v>3</v>
      </c>
      <c r="H105" s="1">
        <v>166</v>
      </c>
      <c r="I105">
        <v>146</v>
      </c>
      <c r="J105" s="20">
        <v>2</v>
      </c>
      <c r="K105" s="1">
        <v>1</v>
      </c>
      <c r="L105" s="38"/>
      <c r="M105" s="1">
        <v>2</v>
      </c>
      <c r="N105" s="1" t="s">
        <v>94</v>
      </c>
      <c r="O105" s="1">
        <v>12.5</v>
      </c>
      <c r="P105" s="1">
        <v>12.5</v>
      </c>
      <c r="Q105" s="1">
        <v>72</v>
      </c>
      <c r="R105" s="1">
        <v>18.600000000000001</v>
      </c>
      <c r="S105" s="5">
        <f>(R105/3.14159)*100</f>
        <v>592.05688839091044</v>
      </c>
      <c r="T105" s="1" t="s">
        <v>95</v>
      </c>
      <c r="U105" s="1">
        <v>100</v>
      </c>
      <c r="V105" s="1">
        <v>0</v>
      </c>
      <c r="W105" s="1">
        <v>0</v>
      </c>
      <c r="X105" s="1">
        <f>100-U105</f>
        <v>0</v>
      </c>
      <c r="Y105" s="1">
        <v>0</v>
      </c>
      <c r="Z105" s="1">
        <v>0</v>
      </c>
      <c r="AA105" s="1" t="s">
        <v>45</v>
      </c>
      <c r="AB105" s="10">
        <v>4</v>
      </c>
      <c r="AE105" s="1">
        <v>0</v>
      </c>
      <c r="AF105" s="1">
        <v>0</v>
      </c>
      <c r="AG105" s="1">
        <v>1</v>
      </c>
      <c r="AH105" s="1">
        <v>116.4</v>
      </c>
      <c r="AI105" s="1" t="s">
        <v>51</v>
      </c>
      <c r="AJ105">
        <v>1</v>
      </c>
    </row>
    <row r="106" spans="1:37" ht="14.25" customHeight="1" x14ac:dyDescent="0.3">
      <c r="A106" s="1" t="s">
        <v>62</v>
      </c>
      <c r="B106" s="1">
        <v>5</v>
      </c>
      <c r="C106" s="1" t="s">
        <v>316</v>
      </c>
      <c r="D106" s="1">
        <v>356363</v>
      </c>
      <c r="E106" s="1">
        <v>3982680</v>
      </c>
      <c r="F106">
        <v>1892</v>
      </c>
      <c r="G106" s="1">
        <v>3</v>
      </c>
      <c r="H106" s="1">
        <v>166</v>
      </c>
      <c r="I106">
        <v>33</v>
      </c>
      <c r="J106" s="20">
        <v>1</v>
      </c>
      <c r="K106" s="1">
        <v>1</v>
      </c>
      <c r="L106" s="38"/>
      <c r="M106" s="1">
        <v>2</v>
      </c>
      <c r="N106" s="1" t="s">
        <v>94</v>
      </c>
      <c r="O106" s="1">
        <v>2.5</v>
      </c>
      <c r="P106" s="1">
        <v>2.5</v>
      </c>
      <c r="Q106" s="1">
        <v>47</v>
      </c>
      <c r="R106" s="1">
        <v>3.4</v>
      </c>
      <c r="S106" s="5">
        <f>(R106/3.14159)*100</f>
        <v>108.22545271661801</v>
      </c>
      <c r="T106" s="1" t="s">
        <v>102</v>
      </c>
      <c r="U106" s="1">
        <v>99</v>
      </c>
      <c r="V106" s="1">
        <v>0</v>
      </c>
      <c r="W106" s="1">
        <v>1</v>
      </c>
      <c r="X106" s="1">
        <f>100-U106</f>
        <v>1</v>
      </c>
      <c r="Y106" s="1">
        <v>0</v>
      </c>
      <c r="Z106" s="1">
        <v>0</v>
      </c>
      <c r="AA106" s="1" t="s">
        <v>45</v>
      </c>
      <c r="AB106" s="10">
        <v>1</v>
      </c>
      <c r="AE106" s="1">
        <v>0</v>
      </c>
      <c r="AF106" s="1">
        <v>0</v>
      </c>
      <c r="AG106" s="1">
        <v>0</v>
      </c>
      <c r="AH106" s="1">
        <v>123.6</v>
      </c>
      <c r="AI106" s="1" t="s">
        <v>51</v>
      </c>
      <c r="AJ106">
        <v>1</v>
      </c>
      <c r="AK106" s="19" t="s">
        <v>317</v>
      </c>
    </row>
    <row r="107" spans="1:37" ht="14.25" customHeight="1" x14ac:dyDescent="0.3">
      <c r="A107" s="1" t="s">
        <v>62</v>
      </c>
      <c r="B107" s="1">
        <v>5</v>
      </c>
      <c r="C107" s="1" t="s">
        <v>318</v>
      </c>
      <c r="D107" s="1">
        <v>356398</v>
      </c>
      <c r="E107" s="1">
        <v>3982664</v>
      </c>
      <c r="F107">
        <v>1892</v>
      </c>
      <c r="G107" s="1">
        <v>3</v>
      </c>
      <c r="H107" s="1">
        <v>166</v>
      </c>
      <c r="I107">
        <v>33</v>
      </c>
      <c r="J107" s="20">
        <v>1</v>
      </c>
      <c r="K107" s="1">
        <v>1</v>
      </c>
      <c r="L107" s="38"/>
      <c r="M107" s="1">
        <v>2</v>
      </c>
      <c r="N107" s="1" t="s">
        <v>94</v>
      </c>
      <c r="O107" s="1">
        <v>8.6</v>
      </c>
      <c r="P107" s="1">
        <v>8.6</v>
      </c>
      <c r="Q107" s="1">
        <v>44.5</v>
      </c>
      <c r="R107" s="1">
        <v>2.8</v>
      </c>
      <c r="S107" s="5">
        <f>(R107/3.14159)*100</f>
        <v>89.126843413685421</v>
      </c>
      <c r="T107" s="1" t="s">
        <v>102</v>
      </c>
      <c r="U107" s="1">
        <v>99</v>
      </c>
      <c r="V107" s="1">
        <v>0</v>
      </c>
      <c r="W107" s="1">
        <v>1</v>
      </c>
      <c r="X107" s="1">
        <f>100-U107</f>
        <v>1</v>
      </c>
      <c r="Y107" s="1">
        <v>0</v>
      </c>
      <c r="Z107" s="1">
        <v>0</v>
      </c>
      <c r="AA107" s="1" t="s">
        <v>45</v>
      </c>
      <c r="AB107" s="10">
        <v>1</v>
      </c>
      <c r="AE107" s="1">
        <v>0</v>
      </c>
      <c r="AF107" s="1">
        <v>0</v>
      </c>
      <c r="AG107" s="1">
        <v>0</v>
      </c>
      <c r="AH107" s="1">
        <v>123.6</v>
      </c>
      <c r="AI107" s="1" t="s">
        <v>51</v>
      </c>
      <c r="AJ107">
        <v>1</v>
      </c>
    </row>
    <row r="108" spans="1:37" ht="14.25" customHeight="1" x14ac:dyDescent="0.3">
      <c r="A108" s="1" t="s">
        <v>62</v>
      </c>
      <c r="B108" s="1">
        <v>5</v>
      </c>
      <c r="C108" s="1" t="s">
        <v>319</v>
      </c>
      <c r="D108" s="1">
        <v>356380</v>
      </c>
      <c r="E108" s="1">
        <v>3982621</v>
      </c>
      <c r="F108">
        <v>1892</v>
      </c>
      <c r="G108" s="1">
        <v>3</v>
      </c>
      <c r="H108" s="1">
        <v>166</v>
      </c>
      <c r="I108">
        <v>255</v>
      </c>
      <c r="J108" s="20">
        <v>2</v>
      </c>
      <c r="K108" s="1">
        <v>1</v>
      </c>
      <c r="L108" s="38"/>
      <c r="M108" s="1">
        <v>2</v>
      </c>
      <c r="N108" s="1" t="s">
        <v>94</v>
      </c>
      <c r="O108" s="1">
        <v>2.5</v>
      </c>
      <c r="P108" s="1">
        <v>5.2</v>
      </c>
      <c r="Q108" s="1">
        <v>39</v>
      </c>
      <c r="R108" s="1">
        <v>3.1</v>
      </c>
      <c r="S108" s="5">
        <f>(R108/3.14159)*100</f>
        <v>98.676148065151722</v>
      </c>
      <c r="T108" s="1" t="s">
        <v>102</v>
      </c>
      <c r="U108" s="1">
        <v>99</v>
      </c>
      <c r="V108" s="1">
        <v>0</v>
      </c>
      <c r="W108" s="1">
        <v>1</v>
      </c>
      <c r="X108" s="1">
        <f>100-U108</f>
        <v>1</v>
      </c>
      <c r="Y108" s="1">
        <v>0</v>
      </c>
      <c r="Z108" s="1">
        <v>0</v>
      </c>
      <c r="AA108" s="1" t="s">
        <v>45</v>
      </c>
      <c r="AB108" s="10">
        <v>1</v>
      </c>
      <c r="AC108" s="1">
        <v>5.2</v>
      </c>
      <c r="AE108" s="1">
        <v>10</v>
      </c>
      <c r="AF108" s="1">
        <v>0</v>
      </c>
      <c r="AG108" s="1">
        <v>0</v>
      </c>
      <c r="AH108" s="1">
        <v>123.5</v>
      </c>
      <c r="AI108" s="1" t="s">
        <v>51</v>
      </c>
      <c r="AJ108">
        <v>1</v>
      </c>
      <c r="AK108" s="71"/>
    </row>
    <row r="109" spans="1:37" ht="14.25" customHeight="1" x14ac:dyDescent="0.3">
      <c r="A109" s="1" t="s">
        <v>62</v>
      </c>
      <c r="B109" s="1">
        <v>8</v>
      </c>
      <c r="C109" s="1" t="s">
        <v>320</v>
      </c>
      <c r="D109" s="1">
        <v>356286</v>
      </c>
      <c r="E109" s="1">
        <v>3982722</v>
      </c>
      <c r="F109">
        <v>1890</v>
      </c>
      <c r="G109">
        <v>8</v>
      </c>
      <c r="H109">
        <v>61</v>
      </c>
      <c r="I109">
        <v>83</v>
      </c>
      <c r="J109" s="20">
        <v>2</v>
      </c>
      <c r="K109" s="1">
        <v>1</v>
      </c>
      <c r="L109" s="38"/>
      <c r="M109" s="1">
        <v>2</v>
      </c>
      <c r="N109" s="1" t="s">
        <v>153</v>
      </c>
      <c r="O109" s="1">
        <v>18</v>
      </c>
      <c r="P109" s="1">
        <v>18</v>
      </c>
      <c r="Q109" s="1">
        <v>67.3</v>
      </c>
      <c r="R109" s="1">
        <v>18.100000000000001</v>
      </c>
      <c r="S109" s="5">
        <f>(R109/3.14159)*100</f>
        <v>576.14138063846656</v>
      </c>
      <c r="T109" s="1" t="s">
        <v>97</v>
      </c>
      <c r="U109" s="1">
        <v>100</v>
      </c>
      <c r="V109" s="1">
        <v>0</v>
      </c>
      <c r="W109" s="1">
        <v>0</v>
      </c>
      <c r="X109" s="1">
        <f>100-U109</f>
        <v>0</v>
      </c>
      <c r="Y109" s="1">
        <v>1</v>
      </c>
      <c r="Z109" s="1">
        <v>0</v>
      </c>
      <c r="AA109" s="1" t="s">
        <v>45</v>
      </c>
      <c r="AB109" s="10">
        <v>4</v>
      </c>
      <c r="AE109" s="1">
        <v>0</v>
      </c>
      <c r="AF109" s="1">
        <v>0</v>
      </c>
      <c r="AG109" s="1">
        <v>1</v>
      </c>
      <c r="AH109" s="1">
        <v>98.5</v>
      </c>
      <c r="AI109" s="1" t="s">
        <v>51</v>
      </c>
      <c r="AJ109">
        <v>1</v>
      </c>
    </row>
    <row r="110" spans="1:37" ht="14.25" customHeight="1" x14ac:dyDescent="0.3">
      <c r="A110" s="1" t="s">
        <v>62</v>
      </c>
      <c r="B110" s="1">
        <v>8</v>
      </c>
      <c r="C110" s="1" t="s">
        <v>291</v>
      </c>
      <c r="D110" s="1">
        <v>356274</v>
      </c>
      <c r="E110" s="1">
        <v>3982700</v>
      </c>
      <c r="F110">
        <v>1890</v>
      </c>
      <c r="G110">
        <v>8</v>
      </c>
      <c r="H110">
        <v>61</v>
      </c>
      <c r="I110">
        <v>126</v>
      </c>
      <c r="J110" s="20">
        <v>2</v>
      </c>
      <c r="K110" s="1">
        <v>1</v>
      </c>
      <c r="L110" s="38"/>
      <c r="M110" s="1">
        <v>2</v>
      </c>
      <c r="N110" s="1" t="s">
        <v>153</v>
      </c>
      <c r="O110" s="1">
        <v>11.8</v>
      </c>
      <c r="P110" s="1">
        <v>11.8</v>
      </c>
      <c r="Q110" s="1">
        <v>62.2</v>
      </c>
      <c r="R110" s="1">
        <v>18.899999999999999</v>
      </c>
      <c r="S110" s="5">
        <f>(R110/3.14159)*100</f>
        <v>601.60619304237662</v>
      </c>
      <c r="T110" s="1" t="s">
        <v>97</v>
      </c>
      <c r="U110" s="1">
        <v>75</v>
      </c>
      <c r="V110" s="1">
        <v>20</v>
      </c>
      <c r="W110" s="1">
        <v>5</v>
      </c>
      <c r="X110" s="1">
        <f>100-U110</f>
        <v>25</v>
      </c>
      <c r="Y110" s="1">
        <v>0</v>
      </c>
      <c r="Z110" s="1">
        <v>0</v>
      </c>
      <c r="AA110" s="1" t="s">
        <v>45</v>
      </c>
      <c r="AB110" s="10">
        <v>1</v>
      </c>
      <c r="AE110" s="1">
        <v>0</v>
      </c>
      <c r="AF110" s="1">
        <v>0</v>
      </c>
      <c r="AG110" s="1">
        <v>1</v>
      </c>
      <c r="AH110" s="1">
        <v>94.7</v>
      </c>
      <c r="AI110" s="1" t="s">
        <v>51</v>
      </c>
      <c r="AJ110">
        <v>1</v>
      </c>
      <c r="AK110" s="1" t="s">
        <v>292</v>
      </c>
    </row>
    <row r="111" spans="1:37" ht="14.25" customHeight="1" x14ac:dyDescent="0.3">
      <c r="A111" s="1" t="s">
        <v>62</v>
      </c>
      <c r="B111" s="1">
        <v>8</v>
      </c>
      <c r="C111" s="1" t="s">
        <v>293</v>
      </c>
      <c r="D111" s="1">
        <v>356396</v>
      </c>
      <c r="E111" s="1">
        <v>3982747</v>
      </c>
      <c r="F111">
        <v>1890</v>
      </c>
      <c r="G111">
        <v>8</v>
      </c>
      <c r="H111">
        <v>61</v>
      </c>
      <c r="I111">
        <v>24</v>
      </c>
      <c r="J111" s="17">
        <v>1</v>
      </c>
      <c r="K111" s="70">
        <v>1</v>
      </c>
      <c r="L111" s="38"/>
      <c r="M111" s="70">
        <v>2</v>
      </c>
      <c r="N111" s="1" t="s">
        <v>153</v>
      </c>
      <c r="O111" s="1">
        <v>9.6</v>
      </c>
      <c r="P111" s="1">
        <v>9.6</v>
      </c>
      <c r="Q111" s="1">
        <v>47.8</v>
      </c>
      <c r="R111" s="1">
        <v>5.9</v>
      </c>
      <c r="S111" s="5">
        <f>(R111/3.14159)*100</f>
        <v>187.80299147883716</v>
      </c>
      <c r="T111" s="1" t="s">
        <v>102</v>
      </c>
      <c r="U111" s="1">
        <v>100</v>
      </c>
      <c r="V111" s="1">
        <v>0</v>
      </c>
      <c r="W111" s="1">
        <v>0</v>
      </c>
      <c r="X111" s="1">
        <f>100-U111</f>
        <v>0</v>
      </c>
      <c r="Y111" s="1">
        <v>0</v>
      </c>
      <c r="Z111" s="1">
        <v>0</v>
      </c>
      <c r="AA111" s="1" t="s">
        <v>45</v>
      </c>
      <c r="AB111" s="10">
        <v>2</v>
      </c>
      <c r="AE111" s="1">
        <v>0</v>
      </c>
      <c r="AF111" s="1">
        <v>0</v>
      </c>
      <c r="AG111" s="1">
        <v>0</v>
      </c>
      <c r="AH111" s="1">
        <v>140.6</v>
      </c>
      <c r="AI111" s="1" t="s">
        <v>44</v>
      </c>
      <c r="AJ111">
        <v>1</v>
      </c>
    </row>
    <row r="112" spans="1:37" ht="14.25" customHeight="1" x14ac:dyDescent="0.3">
      <c r="A112" s="1" t="s">
        <v>62</v>
      </c>
      <c r="B112" s="1">
        <v>8</v>
      </c>
      <c r="C112" s="1" t="s">
        <v>294</v>
      </c>
      <c r="D112" s="1">
        <v>356375</v>
      </c>
      <c r="E112" s="1">
        <v>3982765</v>
      </c>
      <c r="F112">
        <v>1890</v>
      </c>
      <c r="G112">
        <v>8</v>
      </c>
      <c r="H112">
        <v>61</v>
      </c>
      <c r="I112">
        <v>45</v>
      </c>
      <c r="J112" s="20">
        <v>1</v>
      </c>
      <c r="K112" s="70">
        <v>1</v>
      </c>
      <c r="L112" s="38"/>
      <c r="M112" s="70">
        <v>2</v>
      </c>
      <c r="N112" s="1" t="s">
        <v>153</v>
      </c>
      <c r="O112" s="1">
        <v>6</v>
      </c>
      <c r="P112" s="1">
        <v>6</v>
      </c>
      <c r="Q112" s="1">
        <v>36.700000000000003</v>
      </c>
      <c r="R112" s="1">
        <v>3.1</v>
      </c>
      <c r="S112" s="5">
        <f>(R112/3.14159)*100</f>
        <v>98.676148065151722</v>
      </c>
      <c r="T112" s="1" t="s">
        <v>102</v>
      </c>
      <c r="U112" s="1">
        <v>100</v>
      </c>
      <c r="V112" s="1">
        <v>0</v>
      </c>
      <c r="W112" s="1">
        <v>0</v>
      </c>
      <c r="X112" s="1">
        <f>100-U112</f>
        <v>0</v>
      </c>
      <c r="Y112" s="1">
        <v>0</v>
      </c>
      <c r="Z112" s="1">
        <v>0</v>
      </c>
      <c r="AA112" s="1" t="s">
        <v>45</v>
      </c>
      <c r="AB112" s="10">
        <v>4</v>
      </c>
      <c r="AE112" s="1">
        <v>0</v>
      </c>
      <c r="AF112" s="1">
        <v>0</v>
      </c>
      <c r="AG112" s="1">
        <v>0</v>
      </c>
      <c r="AH112" s="1">
        <v>140.6</v>
      </c>
      <c r="AI112" s="1" t="s">
        <v>295</v>
      </c>
      <c r="AJ112">
        <v>1</v>
      </c>
    </row>
    <row r="113" spans="1:37" ht="14.25" customHeight="1" x14ac:dyDescent="0.3">
      <c r="A113" s="1" t="s">
        <v>62</v>
      </c>
      <c r="B113" s="1">
        <v>8</v>
      </c>
      <c r="C113" s="1" t="s">
        <v>296</v>
      </c>
      <c r="D113" s="1">
        <v>356362</v>
      </c>
      <c r="E113" s="1">
        <v>3982815</v>
      </c>
      <c r="F113">
        <v>1890</v>
      </c>
      <c r="G113">
        <v>8</v>
      </c>
      <c r="H113">
        <v>61</v>
      </c>
      <c r="I113">
        <v>121</v>
      </c>
      <c r="J113" s="20">
        <v>2</v>
      </c>
      <c r="K113" s="70">
        <v>1</v>
      </c>
      <c r="L113" s="38"/>
      <c r="M113" s="70">
        <v>2</v>
      </c>
      <c r="N113" s="1" t="s">
        <v>153</v>
      </c>
      <c r="O113" s="1">
        <v>17.7</v>
      </c>
      <c r="P113" s="1">
        <v>17.7</v>
      </c>
      <c r="Q113" s="1">
        <v>64.2</v>
      </c>
      <c r="R113" s="1">
        <v>20.5</v>
      </c>
      <c r="S113" s="5">
        <f>(R113/3.14159)*100</f>
        <v>652.53581785019696</v>
      </c>
      <c r="T113" s="1" t="s">
        <v>95</v>
      </c>
      <c r="U113" s="1">
        <v>100</v>
      </c>
      <c r="V113" s="1">
        <v>0</v>
      </c>
      <c r="W113" s="1">
        <v>0</v>
      </c>
      <c r="X113" s="1">
        <f>100-U113</f>
        <v>0</v>
      </c>
      <c r="Y113" s="1">
        <v>0</v>
      </c>
      <c r="Z113" s="1">
        <v>0</v>
      </c>
      <c r="AA113" s="1" t="s">
        <v>45</v>
      </c>
      <c r="AB113" s="10">
        <v>2</v>
      </c>
      <c r="AE113" s="1">
        <v>0</v>
      </c>
      <c r="AF113" s="1">
        <v>0</v>
      </c>
      <c r="AG113" s="1">
        <v>1</v>
      </c>
      <c r="AH113" s="1">
        <v>111.7</v>
      </c>
      <c r="AI113" s="1" t="s">
        <v>297</v>
      </c>
      <c r="AJ113">
        <v>2</v>
      </c>
    </row>
    <row r="114" spans="1:37" ht="14.25" customHeight="1" x14ac:dyDescent="0.3">
      <c r="A114" s="1" t="s">
        <v>62</v>
      </c>
      <c r="B114" s="1">
        <v>8</v>
      </c>
      <c r="C114" s="1" t="s">
        <v>298</v>
      </c>
      <c r="D114" s="1">
        <v>356359</v>
      </c>
      <c r="E114" s="1">
        <v>3982811</v>
      </c>
      <c r="F114">
        <v>1890</v>
      </c>
      <c r="G114">
        <v>8</v>
      </c>
      <c r="H114">
        <v>61</v>
      </c>
      <c r="I114">
        <v>121</v>
      </c>
      <c r="J114" s="20">
        <v>2</v>
      </c>
      <c r="K114" s="70">
        <v>1</v>
      </c>
      <c r="L114" s="38"/>
      <c r="M114" s="70">
        <v>2</v>
      </c>
      <c r="N114" s="1" t="s">
        <v>153</v>
      </c>
      <c r="O114" s="1">
        <v>16.899999999999999</v>
      </c>
      <c r="P114" s="1">
        <v>16.899999999999999</v>
      </c>
      <c r="Q114" s="1">
        <v>49.8</v>
      </c>
      <c r="R114" s="1">
        <v>6.8</v>
      </c>
      <c r="S114" s="5">
        <f>(R114/3.14159)*100</f>
        <v>216.45090543323602</v>
      </c>
      <c r="T114" s="1" t="s">
        <v>97</v>
      </c>
      <c r="U114" s="1">
        <v>99</v>
      </c>
      <c r="V114" s="1">
        <v>1</v>
      </c>
      <c r="W114" s="1">
        <v>0</v>
      </c>
      <c r="X114" s="1">
        <f>100-U114</f>
        <v>1</v>
      </c>
      <c r="Y114" s="1">
        <v>1</v>
      </c>
      <c r="Z114" s="1">
        <v>0</v>
      </c>
      <c r="AA114" s="1" t="s">
        <v>45</v>
      </c>
      <c r="AB114" s="10">
        <v>3</v>
      </c>
      <c r="AE114" s="1">
        <v>0</v>
      </c>
      <c r="AF114" s="1">
        <v>0</v>
      </c>
      <c r="AG114" s="1">
        <v>0</v>
      </c>
      <c r="AH114" s="1">
        <v>101.5</v>
      </c>
      <c r="AI114" s="1" t="s">
        <v>299</v>
      </c>
      <c r="AJ114">
        <v>3</v>
      </c>
    </row>
    <row r="115" spans="1:37" ht="14.25" customHeight="1" x14ac:dyDescent="0.3">
      <c r="A115" s="1" t="s">
        <v>62</v>
      </c>
      <c r="B115" s="1">
        <v>8</v>
      </c>
      <c r="C115" s="1" t="s">
        <v>300</v>
      </c>
      <c r="D115" s="1">
        <v>356325</v>
      </c>
      <c r="E115" s="1">
        <v>3982756</v>
      </c>
      <c r="F115">
        <v>1890</v>
      </c>
      <c r="G115">
        <v>8</v>
      </c>
      <c r="H115">
        <v>61</v>
      </c>
      <c r="I115">
        <v>58</v>
      </c>
      <c r="J115" s="17">
        <v>1</v>
      </c>
      <c r="K115" s="70">
        <v>1</v>
      </c>
      <c r="L115" s="38"/>
      <c r="M115" s="70">
        <v>2</v>
      </c>
      <c r="N115" s="1" t="s">
        <v>94</v>
      </c>
      <c r="O115" s="1">
        <v>34</v>
      </c>
      <c r="P115" s="1">
        <v>34</v>
      </c>
      <c r="Q115" s="1">
        <v>68.400000000000006</v>
      </c>
      <c r="R115" s="1">
        <v>12.5</v>
      </c>
      <c r="S115" s="5">
        <f>(R115/3.14159)*100</f>
        <v>397.88769381109563</v>
      </c>
      <c r="T115" s="1" t="s">
        <v>95</v>
      </c>
      <c r="U115" s="1">
        <v>100</v>
      </c>
      <c r="V115" s="1">
        <v>0</v>
      </c>
      <c r="W115" s="1">
        <v>0</v>
      </c>
      <c r="X115" s="1">
        <f>100-U115</f>
        <v>0</v>
      </c>
      <c r="Y115" s="1">
        <v>1</v>
      </c>
      <c r="Z115" s="1">
        <v>0</v>
      </c>
      <c r="AA115" s="1" t="s">
        <v>45</v>
      </c>
      <c r="AB115" s="10">
        <v>2</v>
      </c>
      <c r="AE115" s="1">
        <v>0</v>
      </c>
      <c r="AF115" s="1">
        <v>0</v>
      </c>
      <c r="AG115" s="1">
        <v>0</v>
      </c>
      <c r="AH115" s="1">
        <v>93.6</v>
      </c>
      <c r="AI115" s="1" t="s">
        <v>55</v>
      </c>
      <c r="AJ115">
        <v>3</v>
      </c>
    </row>
    <row r="116" spans="1:37" ht="14.25" customHeight="1" x14ac:dyDescent="0.3">
      <c r="A116" s="1" t="s">
        <v>62</v>
      </c>
      <c r="B116" s="1">
        <v>8</v>
      </c>
      <c r="C116" s="1" t="s">
        <v>301</v>
      </c>
      <c r="D116" s="1">
        <v>356330</v>
      </c>
      <c r="E116" s="1">
        <v>3982847</v>
      </c>
      <c r="F116">
        <v>1890</v>
      </c>
      <c r="G116">
        <v>8</v>
      </c>
      <c r="H116">
        <v>61</v>
      </c>
      <c r="I116">
        <v>216</v>
      </c>
      <c r="J116" s="20">
        <v>2</v>
      </c>
      <c r="K116" s="1">
        <v>1</v>
      </c>
      <c r="L116" s="38"/>
      <c r="M116" s="1">
        <v>2</v>
      </c>
      <c r="N116" s="1" t="s">
        <v>153</v>
      </c>
      <c r="O116" s="1">
        <v>12.4</v>
      </c>
      <c r="P116" s="1">
        <v>12.4</v>
      </c>
      <c r="Q116" s="1">
        <v>65.3</v>
      </c>
      <c r="R116" s="1">
        <v>14.9</v>
      </c>
      <c r="S116" s="5">
        <f>(R116/3.14159)*100</f>
        <v>474.28213102282604</v>
      </c>
      <c r="T116" s="1" t="s">
        <v>95</v>
      </c>
      <c r="U116" s="1">
        <v>99</v>
      </c>
      <c r="V116" s="1">
        <v>1</v>
      </c>
      <c r="W116" s="1">
        <v>0</v>
      </c>
      <c r="X116" s="1">
        <f>100-U116</f>
        <v>1</v>
      </c>
      <c r="Y116" s="1">
        <v>0</v>
      </c>
      <c r="Z116" s="1">
        <v>0</v>
      </c>
      <c r="AA116" s="1" t="s">
        <v>45</v>
      </c>
      <c r="AB116" s="10">
        <v>4</v>
      </c>
      <c r="AE116" s="1">
        <v>0</v>
      </c>
      <c r="AF116" s="1">
        <v>0</v>
      </c>
      <c r="AG116" s="1">
        <v>1</v>
      </c>
      <c r="AH116" s="1">
        <v>83.1</v>
      </c>
      <c r="AI116" s="1" t="s">
        <v>51</v>
      </c>
      <c r="AJ116">
        <v>1</v>
      </c>
    </row>
    <row r="117" spans="1:37" ht="14.25" customHeight="1" x14ac:dyDescent="0.3">
      <c r="A117" s="1" t="s">
        <v>62</v>
      </c>
      <c r="B117" s="1">
        <v>8</v>
      </c>
      <c r="C117" s="1" t="s">
        <v>302</v>
      </c>
      <c r="D117" s="1">
        <v>356307</v>
      </c>
      <c r="E117" s="1">
        <v>3982894</v>
      </c>
      <c r="F117">
        <v>1890</v>
      </c>
      <c r="G117">
        <v>8</v>
      </c>
      <c r="H117">
        <v>61</v>
      </c>
      <c r="I117">
        <v>485</v>
      </c>
      <c r="J117" s="20">
        <v>3</v>
      </c>
      <c r="K117" s="70">
        <v>1</v>
      </c>
      <c r="L117" s="38"/>
      <c r="M117" s="70">
        <v>2</v>
      </c>
      <c r="N117" s="1" t="s">
        <v>94</v>
      </c>
      <c r="O117" s="1">
        <v>17.8</v>
      </c>
      <c r="P117" s="1">
        <v>17.8</v>
      </c>
      <c r="Q117" s="1">
        <v>74.400000000000006</v>
      </c>
      <c r="R117" s="1">
        <v>11.04</v>
      </c>
      <c r="S117" s="5">
        <f>(R117/3.14159)*100</f>
        <v>351.41441117395965</v>
      </c>
      <c r="T117" s="1" t="s">
        <v>95</v>
      </c>
      <c r="U117" s="1">
        <v>99</v>
      </c>
      <c r="V117" s="1">
        <v>1</v>
      </c>
      <c r="W117" s="1">
        <v>0</v>
      </c>
      <c r="X117" s="1">
        <f>100-U117</f>
        <v>1</v>
      </c>
      <c r="Y117" s="1">
        <v>0</v>
      </c>
      <c r="Z117" s="1">
        <v>0</v>
      </c>
      <c r="AA117" s="1" t="s">
        <v>45</v>
      </c>
      <c r="AB117" s="10">
        <v>4</v>
      </c>
      <c r="AE117" s="1">
        <v>0</v>
      </c>
      <c r="AF117" s="1">
        <v>0</v>
      </c>
      <c r="AG117" s="1">
        <v>1</v>
      </c>
      <c r="AH117" s="1">
        <v>85.7</v>
      </c>
      <c r="AI117" s="1" t="s">
        <v>44</v>
      </c>
      <c r="AJ117">
        <v>1</v>
      </c>
    </row>
    <row r="118" spans="1:37" ht="14.25" customHeight="1" x14ac:dyDescent="0.3">
      <c r="A118" s="1" t="s">
        <v>62</v>
      </c>
      <c r="B118" s="1">
        <v>8</v>
      </c>
      <c r="C118" s="1" t="s">
        <v>303</v>
      </c>
      <c r="D118" s="1">
        <v>356274</v>
      </c>
      <c r="E118" s="1">
        <v>3982860</v>
      </c>
      <c r="F118">
        <v>1890</v>
      </c>
      <c r="G118">
        <v>8</v>
      </c>
      <c r="H118">
        <v>61</v>
      </c>
      <c r="I118">
        <v>291</v>
      </c>
      <c r="J118" s="20">
        <v>2</v>
      </c>
      <c r="K118" s="1">
        <v>1</v>
      </c>
      <c r="L118" s="38"/>
      <c r="M118" s="1">
        <v>2</v>
      </c>
      <c r="N118" s="1" t="s">
        <v>94</v>
      </c>
      <c r="O118" s="1">
        <v>24.4</v>
      </c>
      <c r="P118" s="1">
        <v>24.4</v>
      </c>
      <c r="Q118" s="1">
        <v>68.8</v>
      </c>
      <c r="R118" s="1">
        <v>15.16</v>
      </c>
      <c r="S118" s="5">
        <f>(R118/3.14159)*100</f>
        <v>482.55819505409681</v>
      </c>
      <c r="T118" s="1" t="s">
        <v>95</v>
      </c>
      <c r="U118" s="1">
        <v>85</v>
      </c>
      <c r="V118" s="1">
        <v>15</v>
      </c>
      <c r="W118" s="1">
        <v>0</v>
      </c>
      <c r="X118" s="1">
        <f>100-U118</f>
        <v>15</v>
      </c>
      <c r="Y118" s="1">
        <v>0</v>
      </c>
      <c r="Z118" s="1">
        <v>1</v>
      </c>
      <c r="AA118" s="1" t="s">
        <v>45</v>
      </c>
      <c r="AB118" s="10">
        <v>4</v>
      </c>
      <c r="AE118" s="1">
        <v>0</v>
      </c>
      <c r="AF118" s="1">
        <v>0</v>
      </c>
      <c r="AG118" s="1">
        <v>1</v>
      </c>
      <c r="AH118" s="1">
        <v>32.43</v>
      </c>
      <c r="AI118" s="1" t="s">
        <v>51</v>
      </c>
      <c r="AJ118">
        <v>1</v>
      </c>
      <c r="AK118" s="1" t="s">
        <v>304</v>
      </c>
    </row>
    <row r="119" spans="1:37" ht="14.25" customHeight="1" x14ac:dyDescent="0.3">
      <c r="A119" s="1" t="s">
        <v>62</v>
      </c>
      <c r="B119" s="1">
        <v>8</v>
      </c>
      <c r="C119" s="1" t="s">
        <v>305</v>
      </c>
      <c r="D119" s="1">
        <v>356268</v>
      </c>
      <c r="E119" s="1">
        <v>3982892</v>
      </c>
      <c r="F119">
        <v>1890</v>
      </c>
      <c r="G119">
        <v>8</v>
      </c>
      <c r="H119">
        <v>61</v>
      </c>
      <c r="I119">
        <v>763</v>
      </c>
      <c r="J119" s="20">
        <v>4</v>
      </c>
      <c r="K119" s="70">
        <v>1</v>
      </c>
      <c r="L119" s="38"/>
      <c r="M119" s="70">
        <v>2</v>
      </c>
      <c r="N119" s="1" t="s">
        <v>94</v>
      </c>
      <c r="O119" s="1">
        <v>15.3</v>
      </c>
      <c r="P119" s="1">
        <v>15.3</v>
      </c>
      <c r="Q119" s="1">
        <v>67.7</v>
      </c>
      <c r="R119" s="1">
        <v>12.2</v>
      </c>
      <c r="S119" s="5">
        <f>(R119/3.14159)*100</f>
        <v>388.33838915962934</v>
      </c>
      <c r="T119" s="1" t="s">
        <v>95</v>
      </c>
      <c r="U119" s="1">
        <v>90</v>
      </c>
      <c r="V119" s="1">
        <v>10</v>
      </c>
      <c r="W119" s="1">
        <v>0</v>
      </c>
      <c r="X119" s="1">
        <f>100-U119</f>
        <v>10</v>
      </c>
      <c r="Y119" s="1">
        <v>0</v>
      </c>
      <c r="Z119" s="1">
        <v>1</v>
      </c>
      <c r="AA119" s="1" t="s">
        <v>45</v>
      </c>
      <c r="AB119" s="10">
        <v>4</v>
      </c>
      <c r="AE119" s="1">
        <v>0</v>
      </c>
      <c r="AF119" s="1">
        <v>0</v>
      </c>
      <c r="AG119" s="1">
        <v>1</v>
      </c>
      <c r="AH119" s="1">
        <v>62.33</v>
      </c>
      <c r="AI119" s="1" t="s">
        <v>44</v>
      </c>
      <c r="AJ119">
        <v>1</v>
      </c>
      <c r="AK119" s="1" t="s">
        <v>306</v>
      </c>
    </row>
    <row r="120" spans="1:37" ht="14.25" customHeight="1" x14ac:dyDescent="0.3">
      <c r="A120" s="1" t="s">
        <v>62</v>
      </c>
      <c r="B120" s="1">
        <v>8</v>
      </c>
      <c r="C120" s="1" t="s">
        <v>307</v>
      </c>
      <c r="D120" s="1">
        <v>356193</v>
      </c>
      <c r="E120" s="1">
        <v>3982826</v>
      </c>
      <c r="F120">
        <v>1890</v>
      </c>
      <c r="G120">
        <v>8</v>
      </c>
      <c r="H120">
        <v>61</v>
      </c>
      <c r="I120">
        <v>28</v>
      </c>
      <c r="J120" s="17">
        <v>1</v>
      </c>
      <c r="K120" s="1">
        <v>1</v>
      </c>
      <c r="L120" s="38"/>
      <c r="M120" s="1">
        <v>2</v>
      </c>
      <c r="N120" s="1" t="s">
        <v>153</v>
      </c>
      <c r="O120" s="1">
        <v>6.6</v>
      </c>
      <c r="P120" s="1">
        <v>6.6</v>
      </c>
      <c r="Q120" s="1">
        <v>84.7</v>
      </c>
      <c r="R120" s="17">
        <v>19</v>
      </c>
      <c r="S120" s="5">
        <f>(R120/3.14159)*100</f>
        <v>604.78929459286542</v>
      </c>
      <c r="T120" s="1" t="s">
        <v>95</v>
      </c>
      <c r="U120" s="1">
        <v>99</v>
      </c>
      <c r="V120" s="1">
        <v>1</v>
      </c>
      <c r="W120" s="1">
        <v>0</v>
      </c>
      <c r="X120" s="1">
        <f>100-U120</f>
        <v>1</v>
      </c>
      <c r="Y120" s="1">
        <v>0</v>
      </c>
      <c r="Z120" s="1">
        <v>1</v>
      </c>
      <c r="AA120" s="1" t="s">
        <v>45</v>
      </c>
      <c r="AB120" s="10">
        <v>3</v>
      </c>
      <c r="AE120" s="1">
        <v>0</v>
      </c>
      <c r="AF120" s="1">
        <v>0</v>
      </c>
      <c r="AG120" s="1">
        <v>1</v>
      </c>
      <c r="AH120" s="1">
        <v>60.67</v>
      </c>
      <c r="AI120" s="1" t="s">
        <v>51</v>
      </c>
      <c r="AJ120">
        <v>1</v>
      </c>
      <c r="AK120" s="1" t="s">
        <v>308</v>
      </c>
    </row>
    <row r="121" spans="1:37" ht="14.25" customHeight="1" x14ac:dyDescent="0.3">
      <c r="A121" s="1" t="s">
        <v>62</v>
      </c>
      <c r="B121" s="1">
        <v>8</v>
      </c>
      <c r="C121" s="1" t="s">
        <v>309</v>
      </c>
      <c r="D121" s="1">
        <v>356227</v>
      </c>
      <c r="E121" s="1">
        <v>3982878</v>
      </c>
      <c r="F121">
        <v>1890</v>
      </c>
      <c r="G121">
        <v>8</v>
      </c>
      <c r="H121">
        <v>61</v>
      </c>
      <c r="I121">
        <v>672</v>
      </c>
      <c r="J121" s="20">
        <v>4</v>
      </c>
      <c r="K121" s="70">
        <v>1</v>
      </c>
      <c r="L121" s="38"/>
      <c r="M121" s="70">
        <v>2</v>
      </c>
      <c r="N121" s="1" t="s">
        <v>94</v>
      </c>
      <c r="O121" s="1">
        <v>13.4</v>
      </c>
      <c r="P121" s="1">
        <v>13.4</v>
      </c>
      <c r="Q121" s="1">
        <v>55.1</v>
      </c>
      <c r="R121" s="1">
        <v>17.809999999999999</v>
      </c>
      <c r="S121" s="5">
        <f>(R121/3.14159)*100</f>
        <v>566.91038614204899</v>
      </c>
      <c r="U121" s="1">
        <v>99</v>
      </c>
      <c r="V121" s="1">
        <v>1</v>
      </c>
      <c r="W121" s="1">
        <v>0</v>
      </c>
      <c r="X121" s="1">
        <f>100-U121</f>
        <v>1</v>
      </c>
      <c r="Y121" s="1">
        <v>0</v>
      </c>
      <c r="Z121" s="1">
        <v>0</v>
      </c>
      <c r="AA121" s="1" t="s">
        <v>45</v>
      </c>
      <c r="AB121" s="10">
        <v>3</v>
      </c>
      <c r="AE121" s="1">
        <v>0</v>
      </c>
      <c r="AF121" s="1">
        <v>0</v>
      </c>
      <c r="AG121" s="1">
        <v>1</v>
      </c>
      <c r="AH121" s="1">
        <v>56</v>
      </c>
      <c r="AI121" s="1" t="s">
        <v>44</v>
      </c>
      <c r="AJ121">
        <v>1</v>
      </c>
    </row>
    <row r="122" spans="1:37" ht="14.25" customHeight="1" x14ac:dyDescent="0.3">
      <c r="A122" s="1" t="s">
        <v>62</v>
      </c>
      <c r="B122" s="1">
        <v>8</v>
      </c>
      <c r="C122" s="1" t="s">
        <v>310</v>
      </c>
      <c r="D122" s="1">
        <v>356237</v>
      </c>
      <c r="E122" s="1">
        <v>3982762</v>
      </c>
      <c r="F122">
        <v>1890</v>
      </c>
      <c r="G122">
        <v>8</v>
      </c>
      <c r="H122">
        <v>61</v>
      </c>
      <c r="I122">
        <v>79</v>
      </c>
      <c r="J122" s="20">
        <v>2</v>
      </c>
      <c r="K122" s="70">
        <v>1</v>
      </c>
      <c r="L122" s="38"/>
      <c r="M122" s="70">
        <v>2</v>
      </c>
      <c r="N122" s="1" t="s">
        <v>94</v>
      </c>
      <c r="O122" s="1">
        <v>8.6</v>
      </c>
      <c r="P122" s="1">
        <v>8.6</v>
      </c>
      <c r="Q122" s="1">
        <v>79.099999999999994</v>
      </c>
      <c r="R122" s="1">
        <v>13.51</v>
      </c>
      <c r="S122" s="5">
        <f>(R122/3.14159)*100</f>
        <v>430.03701947103218</v>
      </c>
      <c r="T122" s="1" t="s">
        <v>97</v>
      </c>
      <c r="U122" s="1">
        <v>99</v>
      </c>
      <c r="V122" s="1">
        <v>0</v>
      </c>
      <c r="W122" s="1">
        <v>1</v>
      </c>
      <c r="X122" s="1">
        <f>100-U122</f>
        <v>1</v>
      </c>
      <c r="Y122" s="1">
        <v>0</v>
      </c>
      <c r="Z122" s="1">
        <v>1</v>
      </c>
      <c r="AA122" s="1" t="s">
        <v>45</v>
      </c>
      <c r="AB122" s="10">
        <v>4</v>
      </c>
      <c r="AE122" s="1">
        <v>0</v>
      </c>
      <c r="AF122" s="1">
        <v>0</v>
      </c>
      <c r="AG122" s="1">
        <v>1</v>
      </c>
      <c r="AH122" s="1">
        <v>53.84</v>
      </c>
      <c r="AI122" s="1" t="s">
        <v>44</v>
      </c>
      <c r="AJ122">
        <v>1</v>
      </c>
      <c r="AK122" s="1" t="s">
        <v>311</v>
      </c>
    </row>
    <row r="123" spans="1:37" ht="14.25" customHeight="1" x14ac:dyDescent="0.3">
      <c r="A123" s="1" t="s">
        <v>62</v>
      </c>
      <c r="B123" s="1">
        <v>8</v>
      </c>
      <c r="C123" s="1" t="s">
        <v>312</v>
      </c>
      <c r="D123" s="1">
        <v>356232</v>
      </c>
      <c r="E123" s="1">
        <v>3982779</v>
      </c>
      <c r="F123">
        <v>1890</v>
      </c>
      <c r="G123">
        <v>8</v>
      </c>
      <c r="H123">
        <v>61</v>
      </c>
      <c r="I123">
        <v>109</v>
      </c>
      <c r="J123" s="20">
        <v>2</v>
      </c>
      <c r="K123" s="70">
        <v>1</v>
      </c>
      <c r="L123" s="38"/>
      <c r="M123" s="70">
        <v>2</v>
      </c>
      <c r="N123" s="1" t="s">
        <v>94</v>
      </c>
      <c r="O123" s="1">
        <v>12</v>
      </c>
      <c r="P123" s="1">
        <v>12</v>
      </c>
      <c r="Q123" s="1">
        <v>75.5</v>
      </c>
      <c r="R123" s="1">
        <v>12.4</v>
      </c>
      <c r="S123" s="5">
        <f>(R123/3.14159)*100</f>
        <v>394.70459226060689</v>
      </c>
      <c r="T123" s="1" t="s">
        <v>97</v>
      </c>
      <c r="U123" s="1">
        <v>100</v>
      </c>
      <c r="V123" s="1">
        <v>0</v>
      </c>
      <c r="W123" s="1">
        <v>0</v>
      </c>
      <c r="X123" s="1">
        <f>100-U123</f>
        <v>0</v>
      </c>
      <c r="Y123" s="1">
        <v>0</v>
      </c>
      <c r="Z123" s="1">
        <v>1</v>
      </c>
      <c r="AA123" s="1" t="s">
        <v>45</v>
      </c>
      <c r="AB123" s="10">
        <v>4</v>
      </c>
      <c r="AE123" s="1">
        <v>0</v>
      </c>
      <c r="AF123" s="1">
        <v>0</v>
      </c>
      <c r="AG123" s="1">
        <v>1</v>
      </c>
      <c r="AH123" s="1">
        <v>51.97</v>
      </c>
      <c r="AI123" s="1" t="s">
        <v>44</v>
      </c>
      <c r="AJ123">
        <v>1</v>
      </c>
    </row>
    <row r="124" spans="1:37" ht="14.25" customHeight="1" x14ac:dyDescent="0.3">
      <c r="A124" s="1" t="s">
        <v>62</v>
      </c>
      <c r="B124" s="1">
        <v>8</v>
      </c>
      <c r="C124" s="30" t="s">
        <v>289</v>
      </c>
      <c r="D124" s="1">
        <v>356342</v>
      </c>
      <c r="E124" s="1">
        <v>3982914</v>
      </c>
      <c r="F124">
        <v>1890</v>
      </c>
      <c r="G124">
        <v>8</v>
      </c>
      <c r="H124">
        <v>61</v>
      </c>
      <c r="I124">
        <v>608</v>
      </c>
      <c r="J124" s="20">
        <v>3</v>
      </c>
      <c r="K124" s="1">
        <v>1</v>
      </c>
      <c r="L124" s="38"/>
      <c r="M124" s="1">
        <v>2</v>
      </c>
      <c r="N124" s="1" t="s">
        <v>94</v>
      </c>
      <c r="O124" s="1">
        <v>17.8</v>
      </c>
      <c r="P124" s="1">
        <v>17.8</v>
      </c>
      <c r="Q124" s="10">
        <v>63.9</v>
      </c>
      <c r="R124" s="1">
        <v>8.3000000000000007</v>
      </c>
      <c r="S124" s="5">
        <f>(R124/3.14159)*100</f>
        <v>264.19742869056756</v>
      </c>
      <c r="T124" s="1" t="s">
        <v>95</v>
      </c>
      <c r="U124" s="1">
        <v>99</v>
      </c>
      <c r="V124" s="1">
        <v>1</v>
      </c>
      <c r="W124" s="1">
        <v>0</v>
      </c>
      <c r="X124" s="1">
        <f>100-U124</f>
        <v>1</v>
      </c>
      <c r="Y124" s="1">
        <v>0</v>
      </c>
      <c r="Z124" s="1">
        <v>1</v>
      </c>
      <c r="AA124" s="1" t="s">
        <v>45</v>
      </c>
      <c r="AB124" s="10">
        <v>2</v>
      </c>
      <c r="AE124" s="1">
        <v>0</v>
      </c>
      <c r="AF124" s="1">
        <v>0</v>
      </c>
      <c r="AG124" s="1">
        <v>0</v>
      </c>
      <c r="AH124" s="1">
        <v>130</v>
      </c>
      <c r="AI124" s="1" t="s">
        <v>51</v>
      </c>
      <c r="AJ124">
        <v>1</v>
      </c>
      <c r="AK124" s="1" t="s">
        <v>290</v>
      </c>
    </row>
    <row r="125" spans="1:37" ht="14.25" customHeight="1" x14ac:dyDescent="0.3">
      <c r="A125" t="s">
        <v>62</v>
      </c>
      <c r="B125">
        <v>8</v>
      </c>
      <c r="C125" t="s">
        <v>831</v>
      </c>
      <c r="D125">
        <v>356156</v>
      </c>
      <c r="E125">
        <v>3982798</v>
      </c>
      <c r="F125">
        <v>1890</v>
      </c>
      <c r="G125">
        <v>8</v>
      </c>
      <c r="H125">
        <v>61</v>
      </c>
      <c r="I125">
        <v>125</v>
      </c>
      <c r="J125" s="20">
        <v>2</v>
      </c>
      <c r="K125" s="71">
        <v>1</v>
      </c>
      <c r="M125" s="71">
        <v>2</v>
      </c>
      <c r="N125" t="s">
        <v>94</v>
      </c>
      <c r="O125">
        <v>5.2</v>
      </c>
      <c r="P125">
        <v>5.2</v>
      </c>
      <c r="Q125">
        <v>77.8</v>
      </c>
      <c r="R125">
        <v>17.7</v>
      </c>
      <c r="S125" s="5">
        <f>(R125/3.14159)*100</f>
        <v>563.40897443651147</v>
      </c>
      <c r="T125" t="s">
        <v>95</v>
      </c>
      <c r="U125">
        <v>95</v>
      </c>
      <c r="V125">
        <v>5</v>
      </c>
      <c r="W125">
        <v>0</v>
      </c>
      <c r="X125" s="1">
        <f>100-U125</f>
        <v>5</v>
      </c>
      <c r="Y125">
        <v>0</v>
      </c>
      <c r="Z125">
        <v>0</v>
      </c>
      <c r="AA125" t="s">
        <v>45</v>
      </c>
      <c r="AB125">
        <v>3</v>
      </c>
      <c r="AE125">
        <v>0</v>
      </c>
      <c r="AF125">
        <v>0</v>
      </c>
      <c r="AG125">
        <v>1</v>
      </c>
      <c r="AH125" s="31">
        <v>17.2</v>
      </c>
      <c r="AI125" t="s">
        <v>55</v>
      </c>
      <c r="AJ125">
        <v>3</v>
      </c>
      <c r="AK125" t="s">
        <v>838</v>
      </c>
    </row>
    <row r="126" spans="1:37" ht="14.25" customHeight="1" x14ac:dyDescent="0.3">
      <c r="A126" t="s">
        <v>62</v>
      </c>
      <c r="B126">
        <v>8</v>
      </c>
      <c r="C126" t="s">
        <v>832</v>
      </c>
      <c r="D126">
        <v>356147</v>
      </c>
      <c r="E126" s="31">
        <v>3982732</v>
      </c>
      <c r="F126">
        <v>1890</v>
      </c>
      <c r="G126">
        <v>8</v>
      </c>
      <c r="H126">
        <v>61</v>
      </c>
      <c r="I126">
        <v>-32</v>
      </c>
      <c r="J126" s="20">
        <v>1</v>
      </c>
      <c r="K126" s="71">
        <v>1</v>
      </c>
      <c r="M126" s="71">
        <v>2</v>
      </c>
      <c r="N126" t="s">
        <v>94</v>
      </c>
      <c r="O126">
        <v>12.6</v>
      </c>
      <c r="P126">
        <v>12.6</v>
      </c>
      <c r="R126">
        <v>15.3</v>
      </c>
      <c r="S126" s="5">
        <f>(R126/3.14159)*100</f>
        <v>487.01453722478112</v>
      </c>
      <c r="T126" t="s">
        <v>95</v>
      </c>
      <c r="U126">
        <v>90</v>
      </c>
      <c r="V126">
        <v>10</v>
      </c>
      <c r="W126">
        <v>0</v>
      </c>
      <c r="X126" s="1">
        <f>100-U126</f>
        <v>10</v>
      </c>
      <c r="Y126">
        <v>0</v>
      </c>
      <c r="Z126">
        <v>0</v>
      </c>
      <c r="AA126" t="s">
        <v>45</v>
      </c>
      <c r="AB126">
        <v>4</v>
      </c>
      <c r="AE126">
        <v>0</v>
      </c>
      <c r="AF126">
        <v>0</v>
      </c>
      <c r="AG126">
        <v>1</v>
      </c>
      <c r="AH126" s="31">
        <v>17.399999999999999</v>
      </c>
      <c r="AI126" t="s">
        <v>55</v>
      </c>
      <c r="AJ126">
        <v>3</v>
      </c>
    </row>
    <row r="127" spans="1:37" ht="14.25" customHeight="1" x14ac:dyDescent="0.3">
      <c r="A127" t="s">
        <v>62</v>
      </c>
      <c r="B127">
        <v>8</v>
      </c>
      <c r="C127" t="s">
        <v>833</v>
      </c>
      <c r="D127">
        <v>356193</v>
      </c>
      <c r="E127">
        <v>3982705</v>
      </c>
      <c r="F127">
        <v>1890</v>
      </c>
      <c r="G127">
        <v>8</v>
      </c>
      <c r="H127">
        <v>61</v>
      </c>
      <c r="I127">
        <v>-43</v>
      </c>
      <c r="J127" s="20">
        <v>1</v>
      </c>
      <c r="K127" s="71">
        <v>1</v>
      </c>
      <c r="M127" s="71">
        <v>2</v>
      </c>
      <c r="N127" t="s">
        <v>94</v>
      </c>
      <c r="O127">
        <v>12.2</v>
      </c>
      <c r="P127">
        <v>12.2</v>
      </c>
      <c r="Q127">
        <v>53</v>
      </c>
      <c r="R127">
        <v>5.6</v>
      </c>
      <c r="S127" s="5">
        <f>(R127/3.14159)*100</f>
        <v>178.25368682737084</v>
      </c>
      <c r="T127" t="s">
        <v>95</v>
      </c>
      <c r="U127">
        <v>95</v>
      </c>
      <c r="V127">
        <v>5</v>
      </c>
      <c r="W127">
        <v>0</v>
      </c>
      <c r="X127" s="1">
        <f>100-U127</f>
        <v>5</v>
      </c>
      <c r="Y127">
        <v>0</v>
      </c>
      <c r="Z127">
        <v>0</v>
      </c>
      <c r="AA127" t="s">
        <v>45</v>
      </c>
      <c r="AB127">
        <v>2</v>
      </c>
      <c r="AE127">
        <v>0</v>
      </c>
      <c r="AF127">
        <v>0</v>
      </c>
      <c r="AG127">
        <v>0</v>
      </c>
      <c r="AH127" s="31">
        <v>26.6</v>
      </c>
      <c r="AI127" t="s">
        <v>55</v>
      </c>
      <c r="AJ127">
        <v>3</v>
      </c>
    </row>
    <row r="128" spans="1:37" ht="14.25" customHeight="1" x14ac:dyDescent="0.3">
      <c r="A128" t="s">
        <v>62</v>
      </c>
      <c r="B128">
        <v>9</v>
      </c>
      <c r="C128" t="s">
        <v>858</v>
      </c>
      <c r="D128" s="31">
        <v>355233</v>
      </c>
      <c r="E128" s="31">
        <v>3983008</v>
      </c>
      <c r="F128">
        <v>2075</v>
      </c>
      <c r="G128">
        <v>16</v>
      </c>
      <c r="H128">
        <v>57</v>
      </c>
      <c r="I128">
        <v>1092</v>
      </c>
      <c r="J128" s="20">
        <v>4</v>
      </c>
      <c r="K128">
        <v>0</v>
      </c>
      <c r="M128">
        <v>4</v>
      </c>
      <c r="N128" t="s">
        <v>153</v>
      </c>
      <c r="O128">
        <v>22.2</v>
      </c>
      <c r="Q128">
        <v>47</v>
      </c>
      <c r="R128" s="31">
        <v>12.5</v>
      </c>
      <c r="S128" s="5">
        <f>(R128/3.14159)*100</f>
        <v>397.88769381109563</v>
      </c>
      <c r="T128" t="s">
        <v>97</v>
      </c>
      <c r="U128">
        <v>0</v>
      </c>
      <c r="V128">
        <v>100</v>
      </c>
      <c r="W128">
        <v>0</v>
      </c>
      <c r="X128" s="1">
        <f>100-U128</f>
        <v>100</v>
      </c>
      <c r="Y128">
        <v>0</v>
      </c>
      <c r="AA128" t="s">
        <v>45</v>
      </c>
      <c r="AB128">
        <v>3</v>
      </c>
      <c r="AG128">
        <v>1</v>
      </c>
      <c r="AH128" s="31">
        <v>20.5</v>
      </c>
      <c r="AI128" t="s">
        <v>59</v>
      </c>
      <c r="AJ128">
        <v>1</v>
      </c>
    </row>
    <row r="129" spans="1:37" ht="14.25" customHeight="1" x14ac:dyDescent="0.3">
      <c r="A129" t="s">
        <v>62</v>
      </c>
      <c r="B129">
        <v>9</v>
      </c>
      <c r="C129" t="s">
        <v>859</v>
      </c>
      <c r="D129" s="31">
        <v>355244</v>
      </c>
      <c r="E129" s="31">
        <v>3982998</v>
      </c>
      <c r="F129">
        <v>2075</v>
      </c>
      <c r="G129">
        <v>16</v>
      </c>
      <c r="H129">
        <v>57</v>
      </c>
      <c r="I129">
        <v>1092</v>
      </c>
      <c r="J129" s="20">
        <v>4</v>
      </c>
      <c r="K129">
        <v>0</v>
      </c>
      <c r="M129">
        <v>4</v>
      </c>
      <c r="N129" t="s">
        <v>153</v>
      </c>
      <c r="O129">
        <v>18.100000000000001</v>
      </c>
      <c r="Q129">
        <v>53.8</v>
      </c>
      <c r="R129">
        <v>17.5</v>
      </c>
      <c r="S129" s="5">
        <f>(R129/3.14159)*100</f>
        <v>557.04277133553398</v>
      </c>
      <c r="T129" t="s">
        <v>97</v>
      </c>
      <c r="U129">
        <v>0</v>
      </c>
      <c r="V129">
        <v>100</v>
      </c>
      <c r="W129">
        <v>0</v>
      </c>
      <c r="X129" s="1">
        <f>100-U129</f>
        <v>100</v>
      </c>
      <c r="Y129">
        <v>0</v>
      </c>
      <c r="AA129" t="s">
        <v>45</v>
      </c>
      <c r="AB129">
        <v>3</v>
      </c>
      <c r="AG129">
        <v>1</v>
      </c>
      <c r="AH129" s="31">
        <v>35.9</v>
      </c>
      <c r="AI129" t="s">
        <v>59</v>
      </c>
      <c r="AJ129">
        <v>1</v>
      </c>
      <c r="AK129" t="s">
        <v>862</v>
      </c>
    </row>
    <row r="130" spans="1:37" ht="14.25" customHeight="1" x14ac:dyDescent="0.3">
      <c r="A130" t="s">
        <v>62</v>
      </c>
      <c r="B130">
        <v>9</v>
      </c>
      <c r="C130" t="s">
        <v>860</v>
      </c>
      <c r="D130" s="31">
        <v>355283</v>
      </c>
      <c r="E130" s="31">
        <v>3982985</v>
      </c>
      <c r="F130">
        <v>2075</v>
      </c>
      <c r="G130">
        <v>16</v>
      </c>
      <c r="H130">
        <v>57</v>
      </c>
      <c r="I130">
        <v>1118</v>
      </c>
      <c r="J130" s="20">
        <v>4</v>
      </c>
      <c r="K130">
        <v>0</v>
      </c>
      <c r="M130">
        <v>4</v>
      </c>
      <c r="N130" t="s">
        <v>153</v>
      </c>
      <c r="O130">
        <v>15.5</v>
      </c>
      <c r="Q130">
        <v>66.099999999999994</v>
      </c>
      <c r="R130" s="31">
        <v>16.2</v>
      </c>
      <c r="S130" s="5">
        <f>(R130/3.14159)*100</f>
        <v>515.66245117918004</v>
      </c>
      <c r="T130" t="s">
        <v>95</v>
      </c>
      <c r="U130">
        <v>0</v>
      </c>
      <c r="V130">
        <v>100</v>
      </c>
      <c r="W130">
        <v>0</v>
      </c>
      <c r="X130" s="1">
        <f>100-U130</f>
        <v>100</v>
      </c>
      <c r="Y130">
        <v>0</v>
      </c>
      <c r="AA130" t="s">
        <v>45</v>
      </c>
      <c r="AB130">
        <v>4</v>
      </c>
      <c r="AG130">
        <v>1</v>
      </c>
      <c r="AH130">
        <v>58.7</v>
      </c>
      <c r="AI130" t="s">
        <v>60</v>
      </c>
      <c r="AJ130">
        <v>1</v>
      </c>
      <c r="AK130" s="71"/>
    </row>
    <row r="131" spans="1:37" ht="14.25" customHeight="1" x14ac:dyDescent="0.3">
      <c r="A131" t="s">
        <v>62</v>
      </c>
      <c r="B131">
        <v>9</v>
      </c>
      <c r="C131" t="s">
        <v>861</v>
      </c>
      <c r="D131" s="31">
        <v>355278</v>
      </c>
      <c r="E131" s="31">
        <v>3982984</v>
      </c>
      <c r="F131">
        <v>2075</v>
      </c>
      <c r="G131">
        <v>16</v>
      </c>
      <c r="H131">
        <v>57</v>
      </c>
      <c r="I131">
        <v>1118</v>
      </c>
      <c r="J131" s="20">
        <v>4</v>
      </c>
      <c r="K131">
        <v>0</v>
      </c>
      <c r="M131">
        <v>4</v>
      </c>
      <c r="N131" t="s">
        <v>153</v>
      </c>
      <c r="O131" s="31">
        <v>15.3</v>
      </c>
      <c r="Q131">
        <v>64.8</v>
      </c>
      <c r="R131">
        <v>9.8000000000000007</v>
      </c>
      <c r="S131" s="5">
        <f>(R131/3.14159)*100</f>
        <v>311.94395194789905</v>
      </c>
      <c r="T131" t="s">
        <v>97</v>
      </c>
      <c r="U131">
        <v>0</v>
      </c>
      <c r="V131">
        <v>100</v>
      </c>
      <c r="W131">
        <v>0</v>
      </c>
      <c r="X131" s="1">
        <f>100-U131</f>
        <v>100</v>
      </c>
      <c r="Y131">
        <v>0</v>
      </c>
      <c r="AA131" t="s">
        <v>45</v>
      </c>
      <c r="AB131">
        <v>2</v>
      </c>
      <c r="AG131">
        <v>1</v>
      </c>
      <c r="AH131">
        <v>56.2</v>
      </c>
      <c r="AI131" t="s">
        <v>60</v>
      </c>
      <c r="AJ131">
        <v>1</v>
      </c>
    </row>
    <row r="132" spans="1:37" ht="14.25" customHeight="1" x14ac:dyDescent="0.3">
      <c r="A132" s="1" t="s">
        <v>62</v>
      </c>
      <c r="B132" s="1">
        <v>12</v>
      </c>
      <c r="C132" s="1" t="s">
        <v>264</v>
      </c>
      <c r="D132" s="1">
        <v>356507</v>
      </c>
      <c r="E132" s="1">
        <v>3982971</v>
      </c>
      <c r="F132" s="1">
        <v>1929</v>
      </c>
      <c r="G132" s="1">
        <v>8</v>
      </c>
      <c r="H132" s="1">
        <v>94</v>
      </c>
      <c r="I132">
        <v>487</v>
      </c>
      <c r="J132" s="20">
        <v>3</v>
      </c>
      <c r="K132" s="1">
        <v>1</v>
      </c>
      <c r="L132" s="38"/>
      <c r="M132" s="1">
        <v>3</v>
      </c>
      <c r="N132" s="1" t="s">
        <v>94</v>
      </c>
      <c r="O132" s="1">
        <v>16.8</v>
      </c>
      <c r="P132" s="1">
        <v>16.8</v>
      </c>
      <c r="Q132" s="1">
        <v>55.3</v>
      </c>
      <c r="R132" s="1">
        <v>7.5</v>
      </c>
      <c r="S132" s="5">
        <f>(R132/3.14159)*100</f>
        <v>238.73261628665739</v>
      </c>
      <c r="T132" s="1" t="s">
        <v>97</v>
      </c>
      <c r="U132" s="1">
        <v>85</v>
      </c>
      <c r="V132" s="1">
        <v>15</v>
      </c>
      <c r="W132" s="1">
        <v>0</v>
      </c>
      <c r="X132" s="1">
        <f>100-U132</f>
        <v>15</v>
      </c>
      <c r="Y132" s="1">
        <v>0</v>
      </c>
      <c r="Z132" s="1">
        <v>0</v>
      </c>
      <c r="AA132" s="1" t="s">
        <v>45</v>
      </c>
      <c r="AB132" s="10">
        <v>4</v>
      </c>
      <c r="AC132" s="1">
        <v>21.7</v>
      </c>
      <c r="AE132" s="1">
        <v>5</v>
      </c>
      <c r="AG132" s="1">
        <v>1</v>
      </c>
      <c r="AH132" s="1">
        <v>23</v>
      </c>
      <c r="AI132" s="1" t="s">
        <v>66</v>
      </c>
      <c r="AJ132">
        <v>3</v>
      </c>
      <c r="AK132" s="1" t="s">
        <v>265</v>
      </c>
    </row>
    <row r="133" spans="1:37" ht="14.25" customHeight="1" x14ac:dyDescent="0.3">
      <c r="A133" s="1" t="s">
        <v>62</v>
      </c>
      <c r="B133" s="1">
        <v>12</v>
      </c>
      <c r="C133" s="1" t="s">
        <v>266</v>
      </c>
      <c r="D133" s="1">
        <v>356467</v>
      </c>
      <c r="E133" s="1">
        <v>3983006</v>
      </c>
      <c r="F133" s="1">
        <v>1929</v>
      </c>
      <c r="G133" s="1">
        <v>8</v>
      </c>
      <c r="H133" s="1">
        <v>94</v>
      </c>
      <c r="I133">
        <v>355</v>
      </c>
      <c r="J133" s="20">
        <v>3</v>
      </c>
      <c r="K133" s="1">
        <v>1</v>
      </c>
      <c r="L133" s="38"/>
      <c r="M133" s="1">
        <v>3</v>
      </c>
      <c r="N133" s="1" t="s">
        <v>94</v>
      </c>
      <c r="O133" s="1">
        <v>29.2</v>
      </c>
      <c r="P133" s="1">
        <v>29.2</v>
      </c>
      <c r="Q133" s="1">
        <v>69.8</v>
      </c>
      <c r="R133" s="1">
        <v>7.8</v>
      </c>
      <c r="S133" s="5">
        <f>(R133/3.14159)*100</f>
        <v>248.28192093812368</v>
      </c>
      <c r="T133" s="1" t="s">
        <v>95</v>
      </c>
      <c r="U133" s="1">
        <v>95</v>
      </c>
      <c r="V133" s="1">
        <v>5</v>
      </c>
      <c r="W133" s="1">
        <v>0</v>
      </c>
      <c r="X133" s="1">
        <f>100-U133</f>
        <v>5</v>
      </c>
      <c r="Y133" s="1">
        <v>0</v>
      </c>
      <c r="Z133" s="1">
        <v>0</v>
      </c>
      <c r="AA133" s="1" t="s">
        <v>45</v>
      </c>
      <c r="AB133" s="10">
        <v>3</v>
      </c>
      <c r="AE133" s="1">
        <v>0</v>
      </c>
      <c r="AG133" s="1">
        <v>1</v>
      </c>
      <c r="AH133" s="1">
        <v>39.9</v>
      </c>
      <c r="AI133" s="1" t="s">
        <v>66</v>
      </c>
      <c r="AJ133">
        <v>3</v>
      </c>
    </row>
    <row r="134" spans="1:37" ht="14.25" customHeight="1" x14ac:dyDescent="0.3">
      <c r="A134" s="1" t="s">
        <v>62</v>
      </c>
      <c r="B134" s="1">
        <v>12</v>
      </c>
      <c r="C134" s="1" t="s">
        <v>267</v>
      </c>
      <c r="D134" s="1">
        <v>356417</v>
      </c>
      <c r="E134" s="1">
        <v>3983097</v>
      </c>
      <c r="F134" s="1">
        <v>1929</v>
      </c>
      <c r="G134" s="1">
        <v>8</v>
      </c>
      <c r="H134" s="1">
        <v>94</v>
      </c>
      <c r="I134">
        <v>540</v>
      </c>
      <c r="J134" s="20">
        <v>3</v>
      </c>
      <c r="K134" s="1">
        <v>1</v>
      </c>
      <c r="L134" s="38"/>
      <c r="M134" s="1">
        <v>3</v>
      </c>
      <c r="N134" s="1" t="s">
        <v>94</v>
      </c>
      <c r="O134" s="1">
        <v>8.1999999999999993</v>
      </c>
      <c r="P134" s="1">
        <v>21.5</v>
      </c>
      <c r="Q134" s="1">
        <v>48.9</v>
      </c>
      <c r="R134" s="1">
        <v>3.8</v>
      </c>
      <c r="S134" s="5">
        <f>(R134/3.14159)*100</f>
        <v>120.95785891857307</v>
      </c>
      <c r="T134" s="1" t="s">
        <v>102</v>
      </c>
      <c r="U134" s="1">
        <v>80</v>
      </c>
      <c r="V134" s="1">
        <v>15</v>
      </c>
      <c r="W134" s="1">
        <v>5</v>
      </c>
      <c r="X134" s="1">
        <f>100-U134</f>
        <v>20</v>
      </c>
      <c r="Y134" s="1">
        <v>0</v>
      </c>
      <c r="Z134" s="1">
        <v>0</v>
      </c>
      <c r="AA134" s="1" t="s">
        <v>45</v>
      </c>
      <c r="AB134" s="10">
        <v>1</v>
      </c>
      <c r="AC134" s="1">
        <v>21.9</v>
      </c>
      <c r="AE134" s="1">
        <v>10</v>
      </c>
      <c r="AG134" s="1">
        <v>1</v>
      </c>
      <c r="AH134" s="1">
        <v>42.9</v>
      </c>
      <c r="AI134" s="1" t="s">
        <v>66</v>
      </c>
      <c r="AJ134">
        <v>3</v>
      </c>
      <c r="AK134" s="19" t="s">
        <v>268</v>
      </c>
    </row>
    <row r="135" spans="1:37" ht="14.25" customHeight="1" x14ac:dyDescent="0.3">
      <c r="A135" s="1" t="s">
        <v>62</v>
      </c>
      <c r="B135" s="1">
        <v>12</v>
      </c>
      <c r="C135" s="1" t="s">
        <v>269</v>
      </c>
      <c r="D135" s="1">
        <v>356434</v>
      </c>
      <c r="E135" s="1">
        <v>3983114</v>
      </c>
      <c r="F135" s="1">
        <v>1929</v>
      </c>
      <c r="G135" s="1">
        <v>8</v>
      </c>
      <c r="H135" s="1">
        <v>94</v>
      </c>
      <c r="I135">
        <v>611</v>
      </c>
      <c r="J135" s="20">
        <v>3</v>
      </c>
      <c r="K135" s="1">
        <v>1</v>
      </c>
      <c r="L135" s="38"/>
      <c r="M135" s="1">
        <v>2</v>
      </c>
      <c r="N135" s="1" t="s">
        <v>153</v>
      </c>
      <c r="O135" s="1">
        <v>18</v>
      </c>
      <c r="P135" s="1">
        <v>18</v>
      </c>
      <c r="Q135" s="1">
        <v>57.5</v>
      </c>
      <c r="R135" s="1">
        <v>6.9</v>
      </c>
      <c r="S135" s="5">
        <f>(R135/3.14159)*100</f>
        <v>219.63400698372482</v>
      </c>
      <c r="T135" s="1" t="s">
        <v>95</v>
      </c>
      <c r="U135" s="1">
        <v>95</v>
      </c>
      <c r="V135" s="1">
        <v>5</v>
      </c>
      <c r="W135" s="1">
        <v>0</v>
      </c>
      <c r="X135" s="1">
        <f>100-U135</f>
        <v>5</v>
      </c>
      <c r="Y135" s="1">
        <v>0</v>
      </c>
      <c r="Z135" s="1">
        <v>0</v>
      </c>
      <c r="AA135" s="1" t="s">
        <v>45</v>
      </c>
      <c r="AB135" s="10">
        <v>4</v>
      </c>
      <c r="AC135" s="1">
        <v>21.1</v>
      </c>
      <c r="AE135" s="1">
        <v>1</v>
      </c>
      <c r="AG135" s="1">
        <v>1</v>
      </c>
      <c r="AH135" s="1">
        <v>97</v>
      </c>
      <c r="AI135" s="1" t="s">
        <v>66</v>
      </c>
      <c r="AJ135">
        <v>3</v>
      </c>
    </row>
    <row r="136" spans="1:37" ht="14.25" customHeight="1" x14ac:dyDescent="0.3">
      <c r="A136" s="1" t="s">
        <v>62</v>
      </c>
      <c r="B136" s="1">
        <v>12</v>
      </c>
      <c r="C136" s="1" t="s">
        <v>270</v>
      </c>
      <c r="D136" s="1">
        <v>356348</v>
      </c>
      <c r="E136" s="1">
        <v>3983127</v>
      </c>
      <c r="F136" s="1">
        <v>1929</v>
      </c>
      <c r="G136" s="1">
        <v>8</v>
      </c>
      <c r="H136" s="1">
        <v>94</v>
      </c>
      <c r="I136" s="71">
        <v>788</v>
      </c>
      <c r="J136" s="20">
        <v>4</v>
      </c>
      <c r="K136" s="1">
        <v>1</v>
      </c>
      <c r="L136" s="38"/>
      <c r="M136" s="1">
        <v>3</v>
      </c>
      <c r="N136" s="1" t="s">
        <v>94</v>
      </c>
      <c r="O136" s="1">
        <v>16.399999999999999</v>
      </c>
      <c r="P136" s="1">
        <v>38.9</v>
      </c>
      <c r="Q136" s="1">
        <v>63.2</v>
      </c>
      <c r="R136" s="1">
        <v>7.7</v>
      </c>
      <c r="S136" s="5">
        <f>(R136/3.14159)*100</f>
        <v>245.09881938763493</v>
      </c>
      <c r="T136" s="1" t="s">
        <v>97</v>
      </c>
      <c r="U136" s="1">
        <v>15</v>
      </c>
      <c r="V136" s="1">
        <v>85</v>
      </c>
      <c r="W136" s="1">
        <v>0</v>
      </c>
      <c r="X136" s="1">
        <f>100-U136</f>
        <v>85</v>
      </c>
      <c r="Y136" s="1">
        <v>0</v>
      </c>
      <c r="Z136" s="1">
        <v>0</v>
      </c>
      <c r="AA136" s="1" t="s">
        <v>45</v>
      </c>
      <c r="AB136" s="10">
        <v>3</v>
      </c>
      <c r="AC136" s="1">
        <v>57.8</v>
      </c>
      <c r="AD136" s="1">
        <v>63.2</v>
      </c>
      <c r="AE136" s="1">
        <v>10</v>
      </c>
      <c r="AF136" s="1">
        <v>75</v>
      </c>
      <c r="AG136" s="1">
        <v>0</v>
      </c>
      <c r="AH136" s="1">
        <v>129.9</v>
      </c>
      <c r="AI136" s="1" t="s">
        <v>53</v>
      </c>
      <c r="AJ136">
        <v>2</v>
      </c>
      <c r="AK136" s="1" t="s">
        <v>271</v>
      </c>
    </row>
    <row r="137" spans="1:37" ht="14.25" customHeight="1" x14ac:dyDescent="0.3">
      <c r="A137" s="1" t="s">
        <v>62</v>
      </c>
      <c r="B137" s="1">
        <v>12</v>
      </c>
      <c r="C137" s="1" t="s">
        <v>272</v>
      </c>
      <c r="D137" s="1">
        <v>356343</v>
      </c>
      <c r="E137" s="1">
        <v>3983108</v>
      </c>
      <c r="F137" s="1">
        <v>1929</v>
      </c>
      <c r="G137" s="1">
        <v>8</v>
      </c>
      <c r="H137" s="1">
        <v>94</v>
      </c>
      <c r="I137" s="71">
        <v>602</v>
      </c>
      <c r="J137" s="20">
        <v>3</v>
      </c>
      <c r="K137" s="1">
        <v>1</v>
      </c>
      <c r="L137" s="38"/>
      <c r="M137" s="1">
        <v>3</v>
      </c>
      <c r="N137" s="1" t="s">
        <v>94</v>
      </c>
      <c r="O137" s="1">
        <v>17.600000000000001</v>
      </c>
      <c r="P137" s="1">
        <v>17.600000000000001</v>
      </c>
      <c r="Q137" s="1">
        <v>55.7</v>
      </c>
      <c r="R137" s="1">
        <v>5.6</v>
      </c>
      <c r="S137" s="5">
        <f>(R137/3.14159)*100</f>
        <v>178.25368682737084</v>
      </c>
      <c r="T137" s="1" t="s">
        <v>97</v>
      </c>
      <c r="U137" s="1">
        <v>95</v>
      </c>
      <c r="V137" s="1">
        <v>5</v>
      </c>
      <c r="W137" s="1">
        <v>0</v>
      </c>
      <c r="X137" s="1">
        <f>100-U137</f>
        <v>5</v>
      </c>
      <c r="Y137" s="1">
        <v>0</v>
      </c>
      <c r="Z137" s="1">
        <v>0</v>
      </c>
      <c r="AA137" s="1" t="s">
        <v>45</v>
      </c>
      <c r="AB137" s="10">
        <v>3</v>
      </c>
      <c r="AC137" s="1">
        <v>19.7</v>
      </c>
      <c r="AE137" s="1">
        <v>5</v>
      </c>
      <c r="AG137" s="1">
        <v>0</v>
      </c>
      <c r="AH137" s="1">
        <v>140.5</v>
      </c>
      <c r="AI137" s="1" t="s">
        <v>53</v>
      </c>
      <c r="AJ137">
        <v>2</v>
      </c>
      <c r="AK137" s="1" t="s">
        <v>273</v>
      </c>
    </row>
    <row r="138" spans="1:37" ht="14.25" customHeight="1" x14ac:dyDescent="0.3">
      <c r="A138" s="1" t="s">
        <v>62</v>
      </c>
      <c r="B138" s="1">
        <v>12</v>
      </c>
      <c r="C138" s="1" t="s">
        <v>274</v>
      </c>
      <c r="D138" s="1">
        <v>356346</v>
      </c>
      <c r="E138" s="1">
        <v>3983070</v>
      </c>
      <c r="F138" s="1">
        <v>1929</v>
      </c>
      <c r="G138" s="1">
        <v>8</v>
      </c>
      <c r="H138" s="1">
        <v>94</v>
      </c>
      <c r="I138">
        <v>569</v>
      </c>
      <c r="J138" s="20">
        <v>3</v>
      </c>
      <c r="K138" s="1">
        <v>1</v>
      </c>
      <c r="L138" s="38"/>
      <c r="M138" s="1">
        <v>3</v>
      </c>
      <c r="N138" s="1" t="s">
        <v>94</v>
      </c>
      <c r="O138" s="1">
        <v>16.899999999999999</v>
      </c>
      <c r="P138" s="1">
        <v>16.899999999999999</v>
      </c>
      <c r="Q138" s="1">
        <v>68.400000000000006</v>
      </c>
      <c r="R138" s="1">
        <v>12.2</v>
      </c>
      <c r="S138" s="5">
        <f>(R138/3.14159)*100</f>
        <v>388.33838915962934</v>
      </c>
      <c r="T138" s="1" t="s">
        <v>97</v>
      </c>
      <c r="U138" s="1">
        <v>100</v>
      </c>
      <c r="V138" s="1">
        <v>0</v>
      </c>
      <c r="W138" s="1">
        <v>0</v>
      </c>
      <c r="X138" s="1">
        <f>100-U138</f>
        <v>0</v>
      </c>
      <c r="Y138" s="1">
        <v>0</v>
      </c>
      <c r="Z138" s="1">
        <v>0</v>
      </c>
      <c r="AA138" s="1" t="s">
        <v>45</v>
      </c>
      <c r="AB138" s="10">
        <v>3</v>
      </c>
      <c r="AE138" s="1">
        <v>0</v>
      </c>
      <c r="AG138" s="1">
        <v>1</v>
      </c>
      <c r="AH138" s="1">
        <v>116</v>
      </c>
      <c r="AI138" s="1" t="s">
        <v>66</v>
      </c>
      <c r="AJ138">
        <v>3</v>
      </c>
    </row>
    <row r="139" spans="1:37" ht="14.25" customHeight="1" x14ac:dyDescent="0.3">
      <c r="A139" s="1" t="s">
        <v>62</v>
      </c>
      <c r="B139" s="1">
        <v>12</v>
      </c>
      <c r="C139" s="1" t="s">
        <v>275</v>
      </c>
      <c r="D139" s="1">
        <v>356343</v>
      </c>
      <c r="E139" s="1">
        <v>3983059</v>
      </c>
      <c r="F139" s="1">
        <v>1929</v>
      </c>
      <c r="G139" s="1">
        <v>8</v>
      </c>
      <c r="H139" s="1">
        <v>94</v>
      </c>
      <c r="I139">
        <v>569</v>
      </c>
      <c r="J139" s="20">
        <v>3</v>
      </c>
      <c r="K139" s="1">
        <v>1</v>
      </c>
      <c r="L139" s="38"/>
      <c r="M139" s="1">
        <v>3</v>
      </c>
      <c r="N139" s="1" t="s">
        <v>94</v>
      </c>
      <c r="O139" s="1">
        <v>14.3</v>
      </c>
      <c r="P139" s="1">
        <v>14.3</v>
      </c>
      <c r="Q139" s="1">
        <v>75.2</v>
      </c>
      <c r="R139" s="1">
        <v>10.4</v>
      </c>
      <c r="S139" s="5">
        <f>(R139/3.14159)*100</f>
        <v>331.04256125083162</v>
      </c>
      <c r="T139" s="1" t="s">
        <v>97</v>
      </c>
      <c r="U139" s="1">
        <v>95</v>
      </c>
      <c r="V139" s="1">
        <v>5</v>
      </c>
      <c r="W139" s="1">
        <v>0</v>
      </c>
      <c r="X139" s="1">
        <f>100-U139</f>
        <v>5</v>
      </c>
      <c r="Y139" s="1">
        <v>1</v>
      </c>
      <c r="Z139" s="1">
        <v>0</v>
      </c>
      <c r="AA139" s="1" t="s">
        <v>45</v>
      </c>
      <c r="AB139" s="10">
        <v>4</v>
      </c>
      <c r="AC139" s="1">
        <v>20.7</v>
      </c>
      <c r="AE139" s="1">
        <v>5</v>
      </c>
      <c r="AF139" s="1">
        <v>0</v>
      </c>
      <c r="AG139" s="1">
        <v>1</v>
      </c>
      <c r="AH139" s="1">
        <v>112</v>
      </c>
      <c r="AI139" s="1" t="s">
        <v>66</v>
      </c>
      <c r="AJ139">
        <v>3</v>
      </c>
    </row>
    <row r="140" spans="1:37" ht="14.25" customHeight="1" x14ac:dyDescent="0.3">
      <c r="A140" s="1" t="s">
        <v>62</v>
      </c>
      <c r="B140" s="1">
        <v>12</v>
      </c>
      <c r="C140" s="1" t="s">
        <v>276</v>
      </c>
      <c r="D140" s="1">
        <v>356326</v>
      </c>
      <c r="E140" s="1">
        <v>3983021</v>
      </c>
      <c r="F140" s="1">
        <v>1929</v>
      </c>
      <c r="G140" s="1">
        <v>8</v>
      </c>
      <c r="H140" s="1">
        <v>94</v>
      </c>
      <c r="I140">
        <v>293</v>
      </c>
      <c r="J140" s="20">
        <v>2</v>
      </c>
      <c r="K140" s="1">
        <v>1</v>
      </c>
      <c r="L140" s="38"/>
      <c r="M140" s="1">
        <v>3</v>
      </c>
      <c r="N140" s="1" t="s">
        <v>94</v>
      </c>
      <c r="O140" s="1">
        <v>11.3</v>
      </c>
      <c r="P140" s="1">
        <v>11.3</v>
      </c>
      <c r="Q140" s="1">
        <v>68.7</v>
      </c>
      <c r="R140" s="1">
        <v>12.1</v>
      </c>
      <c r="S140" s="5">
        <f>(R140/3.14159)*100</f>
        <v>385.1552876091406</v>
      </c>
      <c r="T140" s="1" t="s">
        <v>95</v>
      </c>
      <c r="U140" s="1">
        <v>95</v>
      </c>
      <c r="V140" s="1">
        <v>5</v>
      </c>
      <c r="W140" s="1">
        <v>0</v>
      </c>
      <c r="X140" s="1">
        <f>100-U140</f>
        <v>5</v>
      </c>
      <c r="Y140" s="1">
        <v>1</v>
      </c>
      <c r="Z140" s="1">
        <v>0</v>
      </c>
      <c r="AA140" s="1" t="s">
        <v>45</v>
      </c>
      <c r="AB140" s="10">
        <v>4</v>
      </c>
      <c r="AC140" s="1">
        <v>26.5</v>
      </c>
      <c r="AE140" s="1">
        <v>5</v>
      </c>
      <c r="AF140" s="1">
        <v>0</v>
      </c>
      <c r="AG140" s="1">
        <v>1</v>
      </c>
      <c r="AH140" s="1">
        <v>129</v>
      </c>
      <c r="AI140" s="1" t="s">
        <v>66</v>
      </c>
      <c r="AJ140">
        <v>3</v>
      </c>
    </row>
    <row r="141" spans="1:37" ht="14.25" customHeight="1" x14ac:dyDescent="0.3">
      <c r="A141" s="1" t="s">
        <v>62</v>
      </c>
      <c r="B141" s="1">
        <v>12</v>
      </c>
      <c r="C141" s="1" t="s">
        <v>277</v>
      </c>
      <c r="D141" s="1">
        <v>356403</v>
      </c>
      <c r="E141" s="1">
        <v>3983009</v>
      </c>
      <c r="F141" s="1">
        <v>1929</v>
      </c>
      <c r="G141" s="1">
        <v>8</v>
      </c>
      <c r="H141" s="1">
        <v>94</v>
      </c>
      <c r="I141">
        <v>436</v>
      </c>
      <c r="J141" s="20">
        <v>3</v>
      </c>
      <c r="K141" s="1">
        <v>1</v>
      </c>
      <c r="L141" s="38"/>
      <c r="M141" s="1">
        <v>3</v>
      </c>
      <c r="N141" s="1" t="s">
        <v>94</v>
      </c>
      <c r="O141" s="1">
        <v>6.9</v>
      </c>
      <c r="P141" s="1">
        <v>9.6999999999999993</v>
      </c>
      <c r="Q141" s="1">
        <v>49.5</v>
      </c>
      <c r="R141" s="70">
        <v>6.2</v>
      </c>
      <c r="S141" s="5">
        <f>(R141/3.14159)*100</f>
        <v>197.35229613030344</v>
      </c>
      <c r="T141" s="1" t="s">
        <v>97</v>
      </c>
      <c r="U141" s="1">
        <v>95</v>
      </c>
      <c r="V141" s="1">
        <v>5</v>
      </c>
      <c r="W141" s="1">
        <v>0</v>
      </c>
      <c r="X141" s="1">
        <f>100-U141</f>
        <v>5</v>
      </c>
      <c r="Y141" s="1">
        <v>0</v>
      </c>
      <c r="Z141" s="1">
        <v>0</v>
      </c>
      <c r="AA141" s="1" t="s">
        <v>45</v>
      </c>
      <c r="AB141" s="10">
        <v>1</v>
      </c>
      <c r="AC141" s="1">
        <v>25.7</v>
      </c>
      <c r="AE141" s="1">
        <v>5</v>
      </c>
      <c r="AF141" s="1">
        <v>0</v>
      </c>
      <c r="AG141" s="1">
        <v>1</v>
      </c>
      <c r="AH141" s="1">
        <v>51.5</v>
      </c>
      <c r="AI141" s="1" t="s">
        <v>66</v>
      </c>
      <c r="AJ141">
        <v>3</v>
      </c>
    </row>
    <row r="142" spans="1:37" ht="14.25" customHeight="1" x14ac:dyDescent="0.3">
      <c r="A142" s="1" t="s">
        <v>62</v>
      </c>
      <c r="B142" s="1">
        <v>12</v>
      </c>
      <c r="C142" s="1" t="s">
        <v>278</v>
      </c>
      <c r="D142" s="1">
        <v>356386</v>
      </c>
      <c r="E142" s="1">
        <v>3982992</v>
      </c>
      <c r="F142" s="1">
        <v>1929</v>
      </c>
      <c r="G142" s="1">
        <v>8</v>
      </c>
      <c r="H142" s="1">
        <v>94</v>
      </c>
      <c r="I142">
        <v>451</v>
      </c>
      <c r="J142" s="20">
        <v>3</v>
      </c>
      <c r="K142" s="1">
        <v>1</v>
      </c>
      <c r="L142" s="38"/>
      <c r="M142" s="1">
        <v>3</v>
      </c>
      <c r="N142" s="1" t="s">
        <v>94</v>
      </c>
      <c r="O142" s="1">
        <v>11.9</v>
      </c>
      <c r="P142" s="1">
        <v>16.899999999999999</v>
      </c>
      <c r="Q142" s="1">
        <v>60.2</v>
      </c>
      <c r="R142" s="1">
        <v>7</v>
      </c>
      <c r="S142" s="5">
        <f>(R142/3.14159)*100</f>
        <v>222.81710853421356</v>
      </c>
      <c r="T142" s="1" t="s">
        <v>97</v>
      </c>
      <c r="U142" s="1">
        <v>95</v>
      </c>
      <c r="V142" s="1">
        <v>5</v>
      </c>
      <c r="W142" s="1">
        <v>0</v>
      </c>
      <c r="X142" s="1">
        <f>100-U142</f>
        <v>5</v>
      </c>
      <c r="Y142" s="1">
        <v>0</v>
      </c>
      <c r="Z142" s="1">
        <v>0</v>
      </c>
      <c r="AA142" s="1" t="s">
        <v>45</v>
      </c>
      <c r="AB142" s="10">
        <v>2</v>
      </c>
      <c r="AC142" s="1">
        <v>20.2</v>
      </c>
      <c r="AE142" s="1">
        <v>5</v>
      </c>
      <c r="AF142" s="1">
        <v>0</v>
      </c>
      <c r="AG142" s="1">
        <v>0</v>
      </c>
      <c r="AH142" s="1">
        <v>69.599999999999994</v>
      </c>
      <c r="AI142" s="1" t="s">
        <v>66</v>
      </c>
      <c r="AJ142">
        <v>3</v>
      </c>
      <c r="AK142" t="s">
        <v>792</v>
      </c>
    </row>
    <row r="143" spans="1:37" ht="14.25" customHeight="1" x14ac:dyDescent="0.3">
      <c r="A143" s="1" t="s">
        <v>62</v>
      </c>
      <c r="B143" s="1">
        <v>12</v>
      </c>
      <c r="C143" s="1" t="s">
        <v>279</v>
      </c>
      <c r="D143" s="1">
        <v>356407</v>
      </c>
      <c r="E143" s="1">
        <v>3982983</v>
      </c>
      <c r="F143" s="1">
        <v>1929</v>
      </c>
      <c r="G143" s="1">
        <v>8</v>
      </c>
      <c r="H143" s="1">
        <v>94</v>
      </c>
      <c r="I143">
        <v>451</v>
      </c>
      <c r="J143" s="20">
        <v>3</v>
      </c>
      <c r="K143" s="1">
        <v>1</v>
      </c>
      <c r="L143" s="38"/>
      <c r="M143" s="1">
        <v>3</v>
      </c>
      <c r="N143" s="1" t="s">
        <v>94</v>
      </c>
      <c r="O143" s="1">
        <v>12</v>
      </c>
      <c r="P143" s="1">
        <v>12.8</v>
      </c>
      <c r="Q143" s="1">
        <v>52.8</v>
      </c>
      <c r="R143" s="1">
        <v>4.8</v>
      </c>
      <c r="S143" s="5">
        <f>(R143/3.14159)*100</f>
        <v>152.78887442346075</v>
      </c>
      <c r="T143" s="1" t="s">
        <v>97</v>
      </c>
      <c r="U143" s="1">
        <v>95</v>
      </c>
      <c r="V143" s="1">
        <v>5</v>
      </c>
      <c r="W143" s="1">
        <v>0</v>
      </c>
      <c r="X143" s="1">
        <f>100-U143</f>
        <v>5</v>
      </c>
      <c r="Y143" s="1">
        <v>1</v>
      </c>
      <c r="Z143" s="1">
        <v>0</v>
      </c>
      <c r="AA143" s="1" t="s">
        <v>45</v>
      </c>
      <c r="AB143" s="10">
        <v>1</v>
      </c>
      <c r="AC143" s="1">
        <v>13.3</v>
      </c>
      <c r="AE143" s="1">
        <v>1</v>
      </c>
      <c r="AF143" s="1">
        <v>0</v>
      </c>
      <c r="AG143" s="1">
        <v>0</v>
      </c>
      <c r="AH143" s="1">
        <v>62.4</v>
      </c>
      <c r="AI143" s="1" t="s">
        <v>66</v>
      </c>
      <c r="AJ143">
        <v>3</v>
      </c>
      <c r="AK143" t="s">
        <v>792</v>
      </c>
    </row>
    <row r="144" spans="1:37" ht="14.25" customHeight="1" x14ac:dyDescent="0.3">
      <c r="A144" s="1" t="s">
        <v>62</v>
      </c>
      <c r="B144" s="1">
        <v>12</v>
      </c>
      <c r="C144" s="1" t="s">
        <v>280</v>
      </c>
      <c r="D144" s="1">
        <v>356437</v>
      </c>
      <c r="E144" s="1">
        <v>3982933</v>
      </c>
      <c r="F144" s="1">
        <v>1929</v>
      </c>
      <c r="G144" s="1">
        <v>8</v>
      </c>
      <c r="H144" s="1">
        <v>94</v>
      </c>
      <c r="I144">
        <v>441</v>
      </c>
      <c r="J144" s="20">
        <v>3</v>
      </c>
      <c r="K144" s="1">
        <v>1</v>
      </c>
      <c r="L144" s="38"/>
      <c r="M144" s="1">
        <v>3</v>
      </c>
      <c r="N144" s="1" t="s">
        <v>153</v>
      </c>
      <c r="O144" s="1">
        <v>16.600000000000001</v>
      </c>
      <c r="P144" s="1">
        <v>35.299999999999997</v>
      </c>
      <c r="Q144" s="1">
        <v>61.7</v>
      </c>
      <c r="R144" s="1">
        <v>11.3</v>
      </c>
      <c r="S144" s="5">
        <f>(R144/3.14159)*100</f>
        <v>359.69047520523054</v>
      </c>
      <c r="T144" s="1" t="s">
        <v>95</v>
      </c>
      <c r="U144" s="1">
        <v>60</v>
      </c>
      <c r="V144" s="1">
        <v>40</v>
      </c>
      <c r="W144" s="1">
        <v>0</v>
      </c>
      <c r="X144" s="1">
        <f>100-U144</f>
        <v>40</v>
      </c>
      <c r="Y144" s="1">
        <v>0</v>
      </c>
      <c r="Z144" s="1">
        <v>0</v>
      </c>
      <c r="AA144" s="1" t="s">
        <v>45</v>
      </c>
      <c r="AB144" s="10">
        <v>4</v>
      </c>
      <c r="AC144" s="1">
        <v>46.3</v>
      </c>
      <c r="AD144" s="1">
        <v>28.6</v>
      </c>
      <c r="AE144" s="1">
        <v>20</v>
      </c>
      <c r="AF144" s="1">
        <v>20</v>
      </c>
      <c r="AG144" s="1">
        <v>1</v>
      </c>
      <c r="AH144" s="1">
        <v>93.5</v>
      </c>
      <c r="AI144" s="1" t="s">
        <v>66</v>
      </c>
      <c r="AJ144">
        <v>3</v>
      </c>
      <c r="AK144" s="1" t="s">
        <v>793</v>
      </c>
    </row>
    <row r="145" spans="1:37" ht="14.25" customHeight="1" x14ac:dyDescent="0.3">
      <c r="A145" s="1" t="s">
        <v>62</v>
      </c>
      <c r="B145" s="1">
        <v>12</v>
      </c>
      <c r="C145" s="1" t="s">
        <v>281</v>
      </c>
      <c r="D145" s="1">
        <v>356409</v>
      </c>
      <c r="E145" s="1">
        <v>3982937</v>
      </c>
      <c r="F145" s="1">
        <v>1929</v>
      </c>
      <c r="G145" s="1">
        <v>8</v>
      </c>
      <c r="H145" s="1">
        <v>94</v>
      </c>
      <c r="I145">
        <v>541</v>
      </c>
      <c r="J145" s="20">
        <v>3</v>
      </c>
      <c r="K145" s="1">
        <v>1</v>
      </c>
      <c r="L145" s="38"/>
      <c r="M145" s="1">
        <v>3</v>
      </c>
      <c r="N145" s="1" t="s">
        <v>153</v>
      </c>
      <c r="O145" s="1">
        <v>19</v>
      </c>
      <c r="P145" s="1">
        <v>19.5</v>
      </c>
      <c r="Q145" s="1">
        <v>55.1</v>
      </c>
      <c r="R145" s="1">
        <v>12.3</v>
      </c>
      <c r="S145" s="5">
        <f>(R145/3.14159)*100</f>
        <v>391.52149071011814</v>
      </c>
      <c r="T145" s="1" t="s">
        <v>97</v>
      </c>
      <c r="U145" s="1">
        <v>90</v>
      </c>
      <c r="V145" s="1">
        <v>10</v>
      </c>
      <c r="W145" s="1">
        <v>0</v>
      </c>
      <c r="X145" s="1">
        <f>100-U145</f>
        <v>10</v>
      </c>
      <c r="Y145" s="1">
        <v>1</v>
      </c>
      <c r="Z145" s="1">
        <v>1</v>
      </c>
      <c r="AA145" s="1" t="s">
        <v>45</v>
      </c>
      <c r="AB145" s="10">
        <v>2</v>
      </c>
      <c r="AC145" s="1">
        <v>32.6</v>
      </c>
      <c r="AE145" s="1">
        <v>10</v>
      </c>
      <c r="AF145" s="1">
        <v>0</v>
      </c>
      <c r="AG145" s="1">
        <v>1</v>
      </c>
      <c r="AH145" s="1">
        <v>97</v>
      </c>
      <c r="AI145" s="1" t="s">
        <v>66</v>
      </c>
      <c r="AJ145">
        <v>3</v>
      </c>
      <c r="AK145" s="1" t="s">
        <v>794</v>
      </c>
    </row>
    <row r="146" spans="1:37" ht="14.25" customHeight="1" x14ac:dyDescent="0.3">
      <c r="A146" s="1" t="s">
        <v>62</v>
      </c>
      <c r="B146" s="1">
        <v>12</v>
      </c>
      <c r="C146" s="1" t="s">
        <v>282</v>
      </c>
      <c r="D146" s="1">
        <v>356411</v>
      </c>
      <c r="E146" s="1">
        <v>3982914</v>
      </c>
      <c r="F146" s="1">
        <v>1929</v>
      </c>
      <c r="G146" s="1">
        <v>8</v>
      </c>
      <c r="H146" s="1">
        <v>94</v>
      </c>
      <c r="I146">
        <v>480</v>
      </c>
      <c r="J146" s="20">
        <v>3</v>
      </c>
      <c r="K146" s="1">
        <v>1</v>
      </c>
      <c r="L146" s="38"/>
      <c r="M146" s="1">
        <v>3</v>
      </c>
      <c r="N146" s="1" t="s">
        <v>153</v>
      </c>
      <c r="O146" s="1">
        <v>9.6999999999999993</v>
      </c>
      <c r="P146" s="1">
        <v>9.8000000000000007</v>
      </c>
      <c r="Q146" s="1">
        <v>57.2</v>
      </c>
      <c r="R146" s="1">
        <v>8.8000000000000007</v>
      </c>
      <c r="S146" s="5">
        <f>(R146/3.14159)*100</f>
        <v>280.11293644301134</v>
      </c>
      <c r="T146" s="1" t="s">
        <v>97</v>
      </c>
      <c r="U146" s="1">
        <v>95</v>
      </c>
      <c r="V146" s="1">
        <v>5</v>
      </c>
      <c r="W146" s="1">
        <v>0</v>
      </c>
      <c r="X146" s="1">
        <f>100-U146</f>
        <v>5</v>
      </c>
      <c r="Y146" s="1">
        <v>1</v>
      </c>
      <c r="Z146" s="1">
        <v>1</v>
      </c>
      <c r="AA146" s="1" t="s">
        <v>45</v>
      </c>
      <c r="AB146" s="10">
        <v>3</v>
      </c>
      <c r="AC146" s="1">
        <v>28.8</v>
      </c>
      <c r="AE146" s="1">
        <v>5</v>
      </c>
      <c r="AF146" s="1">
        <v>0</v>
      </c>
      <c r="AG146" s="1">
        <v>0</v>
      </c>
      <c r="AH146" s="1">
        <v>122.5</v>
      </c>
      <c r="AI146" s="1" t="s">
        <v>66</v>
      </c>
      <c r="AJ146">
        <v>3</v>
      </c>
      <c r="AK146" s="1" t="s">
        <v>283</v>
      </c>
    </row>
    <row r="147" spans="1:37" ht="14.25" customHeight="1" x14ac:dyDescent="0.3">
      <c r="A147" s="1" t="s">
        <v>62</v>
      </c>
      <c r="B147" s="1">
        <v>12</v>
      </c>
      <c r="C147" s="1" t="s">
        <v>284</v>
      </c>
      <c r="D147" s="1">
        <v>356420</v>
      </c>
      <c r="E147" s="1">
        <v>3982874</v>
      </c>
      <c r="F147" s="1">
        <v>1929</v>
      </c>
      <c r="G147" s="1">
        <v>8</v>
      </c>
      <c r="H147" s="1">
        <v>94</v>
      </c>
      <c r="I147">
        <v>648</v>
      </c>
      <c r="J147" s="20">
        <v>4</v>
      </c>
      <c r="K147" s="1">
        <v>1</v>
      </c>
      <c r="L147" s="38"/>
      <c r="M147" s="1">
        <v>3</v>
      </c>
      <c r="N147" s="1" t="s">
        <v>153</v>
      </c>
      <c r="O147" s="1">
        <v>12</v>
      </c>
      <c r="P147" s="1">
        <v>12.2</v>
      </c>
      <c r="Q147" s="1">
        <v>55.5</v>
      </c>
      <c r="R147" s="1">
        <v>12.8</v>
      </c>
      <c r="S147" s="5">
        <f>(R147/3.14159)*100</f>
        <v>407.43699846256203</v>
      </c>
      <c r="T147" s="1" t="s">
        <v>95</v>
      </c>
      <c r="U147" s="1">
        <v>59</v>
      </c>
      <c r="V147" s="1">
        <v>40</v>
      </c>
      <c r="W147" s="1">
        <v>1</v>
      </c>
      <c r="X147" s="1">
        <f>100-U147</f>
        <v>41</v>
      </c>
      <c r="Y147" s="1">
        <v>0</v>
      </c>
      <c r="Z147" s="1">
        <v>1</v>
      </c>
      <c r="AA147" s="1" t="s">
        <v>45</v>
      </c>
      <c r="AB147" s="10">
        <v>2</v>
      </c>
      <c r="AC147" s="1">
        <v>53.5</v>
      </c>
      <c r="AD147" s="1">
        <v>28.5</v>
      </c>
      <c r="AE147" s="1">
        <v>20</v>
      </c>
      <c r="AF147" s="1">
        <v>10</v>
      </c>
      <c r="AG147" s="1">
        <v>1</v>
      </c>
      <c r="AH147" s="1">
        <v>149</v>
      </c>
      <c r="AI147" s="1" t="s">
        <v>66</v>
      </c>
      <c r="AJ147">
        <v>3</v>
      </c>
    </row>
    <row r="148" spans="1:37" ht="14.25" customHeight="1" x14ac:dyDescent="0.3">
      <c r="A148" s="1" t="s">
        <v>62</v>
      </c>
      <c r="B148" s="1">
        <v>12</v>
      </c>
      <c r="C148" s="1" t="s">
        <v>285</v>
      </c>
      <c r="D148" s="1">
        <v>356350</v>
      </c>
      <c r="E148" s="1">
        <v>3982973</v>
      </c>
      <c r="F148" s="1">
        <v>1929</v>
      </c>
      <c r="G148" s="1">
        <v>8</v>
      </c>
      <c r="H148" s="1">
        <v>94</v>
      </c>
      <c r="I148">
        <v>389</v>
      </c>
      <c r="J148" s="20">
        <v>3</v>
      </c>
      <c r="K148" s="1">
        <v>1</v>
      </c>
      <c r="L148" s="38"/>
      <c r="M148" s="1">
        <v>3</v>
      </c>
      <c r="N148" s="1" t="s">
        <v>94</v>
      </c>
      <c r="O148" s="1">
        <v>18.399999999999999</v>
      </c>
      <c r="P148" s="1">
        <v>18.5</v>
      </c>
      <c r="Q148" s="1">
        <v>35.799999999999997</v>
      </c>
      <c r="R148" s="1">
        <v>4.7</v>
      </c>
      <c r="S148" s="5">
        <f>(R148/3.14159)*100</f>
        <v>149.60577287297198</v>
      </c>
      <c r="T148" s="1" t="s">
        <v>102</v>
      </c>
      <c r="U148" s="1">
        <v>99</v>
      </c>
      <c r="V148" s="1">
        <v>1</v>
      </c>
      <c r="W148" s="1">
        <v>0</v>
      </c>
      <c r="X148" s="1">
        <f>100-U148</f>
        <v>1</v>
      </c>
      <c r="Y148" s="1">
        <v>0</v>
      </c>
      <c r="Z148" s="1">
        <v>0</v>
      </c>
      <c r="AA148" s="1" t="s">
        <v>45</v>
      </c>
      <c r="AB148" s="10">
        <v>1</v>
      </c>
      <c r="AC148" s="1">
        <v>18.399999999999999</v>
      </c>
      <c r="AE148" s="1">
        <v>1</v>
      </c>
      <c r="AF148" s="1">
        <v>0</v>
      </c>
      <c r="AG148" s="1">
        <v>1</v>
      </c>
      <c r="AH148" s="1">
        <v>98</v>
      </c>
      <c r="AI148" s="1" t="s">
        <v>66</v>
      </c>
      <c r="AJ148">
        <v>3</v>
      </c>
    </row>
    <row r="149" spans="1:37" ht="14.25" customHeight="1" x14ac:dyDescent="0.3">
      <c r="A149" s="1" t="s">
        <v>62</v>
      </c>
      <c r="B149" s="1">
        <v>12</v>
      </c>
      <c r="C149" s="1" t="s">
        <v>286</v>
      </c>
      <c r="D149" s="1">
        <v>356352</v>
      </c>
      <c r="E149" s="1">
        <v>3982954</v>
      </c>
      <c r="F149" s="1">
        <v>1929</v>
      </c>
      <c r="G149" s="1">
        <v>8</v>
      </c>
      <c r="H149" s="1">
        <v>94</v>
      </c>
      <c r="I149">
        <v>306</v>
      </c>
      <c r="J149" s="20">
        <v>2</v>
      </c>
      <c r="K149" s="1">
        <v>1</v>
      </c>
      <c r="L149" s="38"/>
      <c r="M149" s="1">
        <v>3</v>
      </c>
      <c r="N149" s="1" t="s">
        <v>94</v>
      </c>
      <c r="O149" s="1">
        <v>18.5</v>
      </c>
      <c r="P149" s="1">
        <v>33.5</v>
      </c>
      <c r="Q149" s="1">
        <v>63.6</v>
      </c>
      <c r="R149" s="1">
        <v>6.1</v>
      </c>
      <c r="S149" s="5">
        <f>(R149/3.14159)*100</f>
        <v>194.16919457981467</v>
      </c>
      <c r="T149" s="1" t="s">
        <v>97</v>
      </c>
      <c r="U149" s="1">
        <v>100</v>
      </c>
      <c r="V149" s="1">
        <v>0</v>
      </c>
      <c r="W149" s="1">
        <v>0</v>
      </c>
      <c r="X149" s="1">
        <f>100-U149</f>
        <v>0</v>
      </c>
      <c r="Y149" s="1">
        <v>0</v>
      </c>
      <c r="Z149" s="1">
        <v>0</v>
      </c>
      <c r="AA149" s="1" t="s">
        <v>45</v>
      </c>
      <c r="AB149" s="10">
        <v>3</v>
      </c>
      <c r="AE149" s="1">
        <v>0</v>
      </c>
      <c r="AF149" s="1">
        <v>0</v>
      </c>
      <c r="AG149" s="1">
        <v>0</v>
      </c>
      <c r="AH149" s="1">
        <v>103.5</v>
      </c>
      <c r="AI149" s="1" t="s">
        <v>66</v>
      </c>
      <c r="AJ149">
        <v>3</v>
      </c>
    </row>
    <row r="150" spans="1:37" ht="14.25" customHeight="1" x14ac:dyDescent="0.3">
      <c r="A150" s="1" t="s">
        <v>62</v>
      </c>
      <c r="B150" s="1">
        <v>12</v>
      </c>
      <c r="C150" s="1" t="s">
        <v>287</v>
      </c>
      <c r="D150" s="1">
        <v>356356</v>
      </c>
      <c r="E150" s="1">
        <v>3982960</v>
      </c>
      <c r="F150" s="1">
        <v>1929</v>
      </c>
      <c r="G150" s="1">
        <v>8</v>
      </c>
      <c r="H150" s="1">
        <v>94</v>
      </c>
      <c r="I150">
        <v>492</v>
      </c>
      <c r="J150" s="20">
        <v>3</v>
      </c>
      <c r="K150" s="1">
        <v>1</v>
      </c>
      <c r="L150" s="38"/>
      <c r="M150" s="1">
        <v>3</v>
      </c>
      <c r="N150" s="1" t="s">
        <v>94</v>
      </c>
      <c r="O150" s="1">
        <v>6.2</v>
      </c>
      <c r="P150" s="1">
        <v>7.5</v>
      </c>
      <c r="Q150" s="1">
        <v>44.5</v>
      </c>
      <c r="R150" s="1">
        <v>3.7</v>
      </c>
      <c r="S150" s="5">
        <f>(R150/3.14159)*100</f>
        <v>117.77475736808431</v>
      </c>
      <c r="T150" s="1" t="s">
        <v>101</v>
      </c>
      <c r="U150" s="1">
        <v>95</v>
      </c>
      <c r="V150" s="1">
        <v>5</v>
      </c>
      <c r="W150" s="1">
        <v>0</v>
      </c>
      <c r="X150" s="1">
        <f>100-U150</f>
        <v>5</v>
      </c>
      <c r="Y150" s="1">
        <v>0</v>
      </c>
      <c r="Z150" s="1">
        <v>0</v>
      </c>
      <c r="AA150" s="1" t="s">
        <v>45</v>
      </c>
      <c r="AB150" s="10">
        <v>1</v>
      </c>
      <c r="AC150" s="1">
        <v>12.9</v>
      </c>
      <c r="AE150" s="1">
        <v>5</v>
      </c>
      <c r="AF150" s="1">
        <v>0</v>
      </c>
      <c r="AG150" s="1">
        <v>0</v>
      </c>
      <c r="AH150" s="1">
        <v>106.2</v>
      </c>
      <c r="AI150" s="1" t="s">
        <v>66</v>
      </c>
      <c r="AJ150">
        <v>3</v>
      </c>
    </row>
    <row r="151" spans="1:37" ht="14.25" customHeight="1" x14ac:dyDescent="0.3">
      <c r="A151" s="1" t="s">
        <v>62</v>
      </c>
      <c r="B151" s="1">
        <v>12</v>
      </c>
      <c r="C151" s="1" t="s">
        <v>288</v>
      </c>
      <c r="D151" s="1">
        <v>356345</v>
      </c>
      <c r="E151" s="1">
        <v>3982955</v>
      </c>
      <c r="F151" s="1">
        <v>1929</v>
      </c>
      <c r="G151" s="1">
        <v>8</v>
      </c>
      <c r="H151" s="1">
        <v>94</v>
      </c>
      <c r="I151">
        <v>348</v>
      </c>
      <c r="J151" s="20">
        <v>3</v>
      </c>
      <c r="K151" s="1">
        <v>1</v>
      </c>
      <c r="L151" s="38"/>
      <c r="M151" s="1">
        <v>3</v>
      </c>
      <c r="N151" s="1" t="s">
        <v>94</v>
      </c>
      <c r="O151" s="1">
        <v>11.7</v>
      </c>
      <c r="P151" s="1">
        <v>12.8</v>
      </c>
      <c r="Q151" s="1">
        <v>65.8</v>
      </c>
      <c r="R151" s="1">
        <v>6.8</v>
      </c>
      <c r="S151" s="5">
        <f>(R151/3.14159)*100</f>
        <v>216.45090543323602</v>
      </c>
      <c r="T151" s="1" t="s">
        <v>97</v>
      </c>
      <c r="U151" s="1">
        <v>99</v>
      </c>
      <c r="V151" s="1">
        <v>1</v>
      </c>
      <c r="W151" s="1">
        <v>0</v>
      </c>
      <c r="X151" s="1">
        <f>100-U151</f>
        <v>1</v>
      </c>
      <c r="Y151" s="1">
        <v>0</v>
      </c>
      <c r="Z151" s="1">
        <v>0</v>
      </c>
      <c r="AA151" s="1" t="s">
        <v>45</v>
      </c>
      <c r="AB151" s="10">
        <v>2</v>
      </c>
      <c r="AC151" s="1">
        <v>15.8</v>
      </c>
      <c r="AE151" s="1">
        <v>1</v>
      </c>
      <c r="AF151" s="1">
        <v>0</v>
      </c>
      <c r="AG151" s="1">
        <v>1</v>
      </c>
      <c r="AH151" s="1">
        <v>111.5</v>
      </c>
      <c r="AI151" s="1" t="s">
        <v>66</v>
      </c>
      <c r="AJ151">
        <v>3</v>
      </c>
    </row>
    <row r="152" spans="1:37" ht="14.25" customHeight="1" x14ac:dyDescent="0.3">
      <c r="A152" t="s">
        <v>62</v>
      </c>
      <c r="B152">
        <v>12</v>
      </c>
      <c r="C152" s="31" t="s">
        <v>848</v>
      </c>
      <c r="D152" s="31">
        <v>356249</v>
      </c>
      <c r="E152" s="31">
        <v>3983085</v>
      </c>
      <c r="F152" s="1">
        <v>1929</v>
      </c>
      <c r="G152" s="1">
        <v>8</v>
      </c>
      <c r="H152" s="1">
        <v>94</v>
      </c>
      <c r="I152">
        <v>544</v>
      </c>
      <c r="J152" s="20">
        <v>3</v>
      </c>
      <c r="K152">
        <v>1</v>
      </c>
      <c r="M152">
        <v>3</v>
      </c>
      <c r="N152" t="s">
        <v>153</v>
      </c>
      <c r="O152">
        <v>11.7</v>
      </c>
      <c r="P152">
        <v>13.5</v>
      </c>
      <c r="Q152">
        <v>62</v>
      </c>
      <c r="R152">
        <v>9.1</v>
      </c>
      <c r="S152" s="5">
        <f>(R152/3.14159)*100</f>
        <v>289.66224109447762</v>
      </c>
      <c r="T152" t="s">
        <v>95</v>
      </c>
      <c r="U152">
        <v>85</v>
      </c>
      <c r="V152">
        <v>15</v>
      </c>
      <c r="W152">
        <v>0</v>
      </c>
      <c r="X152" s="1">
        <f>100-U152</f>
        <v>15</v>
      </c>
      <c r="Y152">
        <v>0</v>
      </c>
      <c r="Z152">
        <v>0</v>
      </c>
      <c r="AA152" t="s">
        <v>45</v>
      </c>
      <c r="AB152">
        <v>4</v>
      </c>
      <c r="AE152">
        <v>10</v>
      </c>
      <c r="AF152">
        <v>0</v>
      </c>
      <c r="AG152">
        <v>1</v>
      </c>
      <c r="AH152">
        <v>47</v>
      </c>
      <c r="AI152" t="s">
        <v>51</v>
      </c>
      <c r="AJ152">
        <v>1</v>
      </c>
    </row>
    <row r="153" spans="1:37" ht="14.25" customHeight="1" x14ac:dyDescent="0.3">
      <c r="A153" t="s">
        <v>62</v>
      </c>
      <c r="B153">
        <v>12</v>
      </c>
      <c r="C153" s="31" t="s">
        <v>849</v>
      </c>
      <c r="D153" s="31">
        <v>356239</v>
      </c>
      <c r="E153" s="31">
        <v>3983053</v>
      </c>
      <c r="F153" s="1">
        <v>1929</v>
      </c>
      <c r="G153" s="1">
        <v>8</v>
      </c>
      <c r="H153" s="1">
        <v>94</v>
      </c>
      <c r="I153">
        <v>598</v>
      </c>
      <c r="J153" s="20">
        <v>3</v>
      </c>
      <c r="K153">
        <v>1</v>
      </c>
      <c r="M153">
        <v>3</v>
      </c>
      <c r="N153" t="s">
        <v>153</v>
      </c>
      <c r="O153">
        <v>6.8</v>
      </c>
      <c r="P153">
        <v>17.8</v>
      </c>
      <c r="Q153">
        <v>45.8</v>
      </c>
      <c r="R153">
        <v>5.8</v>
      </c>
      <c r="S153" s="5">
        <f>(R153/3.14159)*100</f>
        <v>184.61988992834839</v>
      </c>
      <c r="T153" t="s">
        <v>97</v>
      </c>
      <c r="U153">
        <v>90</v>
      </c>
      <c r="V153">
        <v>10</v>
      </c>
      <c r="W153">
        <v>0</v>
      </c>
      <c r="X153" s="1">
        <f>100-U153</f>
        <v>10</v>
      </c>
      <c r="Y153">
        <v>0</v>
      </c>
      <c r="Z153">
        <v>0</v>
      </c>
      <c r="AA153" t="s">
        <v>45</v>
      </c>
      <c r="AB153">
        <v>4</v>
      </c>
      <c r="AE153">
        <v>5</v>
      </c>
      <c r="AF153">
        <v>0</v>
      </c>
      <c r="AG153">
        <v>1</v>
      </c>
      <c r="AH153">
        <v>20.5</v>
      </c>
      <c r="AI153" t="s">
        <v>51</v>
      </c>
      <c r="AJ153">
        <v>1</v>
      </c>
    </row>
    <row r="154" spans="1:37" ht="14.25" customHeight="1" x14ac:dyDescent="0.3">
      <c r="A154" t="s">
        <v>62</v>
      </c>
      <c r="B154">
        <v>13</v>
      </c>
      <c r="C154" t="s">
        <v>866</v>
      </c>
      <c r="D154">
        <v>355600</v>
      </c>
      <c r="E154">
        <v>3983193</v>
      </c>
      <c r="F154">
        <v>2086</v>
      </c>
      <c r="G154" s="1">
        <v>10</v>
      </c>
      <c r="H154" s="1">
        <v>41</v>
      </c>
      <c r="I154">
        <v>467</v>
      </c>
      <c r="J154" s="20">
        <v>3</v>
      </c>
      <c r="K154" s="71">
        <v>1</v>
      </c>
      <c r="M154" s="71">
        <v>3</v>
      </c>
      <c r="N154" t="s">
        <v>153</v>
      </c>
      <c r="O154">
        <v>10.5</v>
      </c>
      <c r="P154">
        <v>13</v>
      </c>
      <c r="Q154">
        <v>52.2</v>
      </c>
      <c r="R154">
        <v>7.1</v>
      </c>
      <c r="S154" s="5">
        <f>(R154/3.14159)*100</f>
        <v>226.00021008470233</v>
      </c>
      <c r="T154" t="s">
        <v>97</v>
      </c>
      <c r="U154">
        <v>20</v>
      </c>
      <c r="V154">
        <v>80</v>
      </c>
      <c r="W154">
        <v>0</v>
      </c>
      <c r="X154" s="1">
        <f>100-U154</f>
        <v>80</v>
      </c>
      <c r="Y154">
        <v>1</v>
      </c>
      <c r="Z154">
        <v>0</v>
      </c>
      <c r="AA154" t="s">
        <v>45</v>
      </c>
      <c r="AB154">
        <v>3</v>
      </c>
      <c r="AC154">
        <v>52.2</v>
      </c>
      <c r="AD154">
        <v>46.5</v>
      </c>
      <c r="AE154">
        <v>50</v>
      </c>
      <c r="AF154">
        <v>30</v>
      </c>
      <c r="AG154">
        <v>0</v>
      </c>
      <c r="AH154">
        <v>51.3</v>
      </c>
      <c r="AI154" t="s">
        <v>44</v>
      </c>
      <c r="AJ154">
        <v>1</v>
      </c>
    </row>
    <row r="155" spans="1:37" ht="14.25" customHeight="1" x14ac:dyDescent="0.3">
      <c r="A155" t="s">
        <v>62</v>
      </c>
      <c r="B155">
        <v>13</v>
      </c>
      <c r="C155" t="s">
        <v>867</v>
      </c>
      <c r="D155">
        <v>355196</v>
      </c>
      <c r="E155">
        <v>3983253</v>
      </c>
      <c r="F155">
        <v>2086</v>
      </c>
      <c r="G155" s="1">
        <v>10</v>
      </c>
      <c r="H155" s="1">
        <v>41</v>
      </c>
      <c r="I155">
        <v>598</v>
      </c>
      <c r="J155" s="20">
        <v>3</v>
      </c>
      <c r="K155">
        <v>1</v>
      </c>
      <c r="M155">
        <v>3</v>
      </c>
      <c r="N155" t="s">
        <v>153</v>
      </c>
      <c r="O155">
        <v>6.5</v>
      </c>
      <c r="P155">
        <v>11.9</v>
      </c>
      <c r="Q155">
        <v>48.7</v>
      </c>
      <c r="R155">
        <v>15.7</v>
      </c>
      <c r="S155" s="5">
        <f>(R155/3.14159)*100</f>
        <v>499.74694342673615</v>
      </c>
      <c r="T155" t="s">
        <v>95</v>
      </c>
      <c r="U155">
        <v>75</v>
      </c>
      <c r="V155">
        <v>25</v>
      </c>
      <c r="W155">
        <v>0</v>
      </c>
      <c r="X155" s="1">
        <f>100-U155</f>
        <v>25</v>
      </c>
      <c r="Y155">
        <v>0</v>
      </c>
      <c r="Z155">
        <v>0</v>
      </c>
      <c r="AA155" t="s">
        <v>45</v>
      </c>
      <c r="AB155">
        <v>4</v>
      </c>
      <c r="AC155">
        <v>28.8</v>
      </c>
      <c r="AD155">
        <v>15.7</v>
      </c>
      <c r="AE155">
        <v>20</v>
      </c>
      <c r="AF155">
        <v>5</v>
      </c>
      <c r="AG155">
        <v>1</v>
      </c>
      <c r="AH155">
        <v>54.7</v>
      </c>
      <c r="AI155" t="s">
        <v>66</v>
      </c>
      <c r="AJ155">
        <v>3</v>
      </c>
      <c r="AK155" t="s">
        <v>873</v>
      </c>
    </row>
    <row r="156" spans="1:37" ht="14.25" customHeight="1" x14ac:dyDescent="0.3">
      <c r="A156" t="s">
        <v>62</v>
      </c>
      <c r="B156">
        <v>13</v>
      </c>
      <c r="C156" t="s">
        <v>868</v>
      </c>
      <c r="D156">
        <v>355242</v>
      </c>
      <c r="E156">
        <v>3983198</v>
      </c>
      <c r="F156">
        <v>2086</v>
      </c>
      <c r="G156" s="1">
        <v>10</v>
      </c>
      <c r="H156" s="1">
        <v>41</v>
      </c>
      <c r="I156" s="71">
        <v>825</v>
      </c>
      <c r="J156" s="20">
        <v>4</v>
      </c>
      <c r="K156">
        <v>1</v>
      </c>
      <c r="M156">
        <v>3</v>
      </c>
      <c r="N156" t="s">
        <v>153</v>
      </c>
      <c r="O156">
        <v>7.2</v>
      </c>
      <c r="P156">
        <v>20.7</v>
      </c>
      <c r="Q156">
        <v>58.3</v>
      </c>
      <c r="R156">
        <v>7.9</v>
      </c>
      <c r="S156" s="5">
        <f>(R156/3.14159)*100</f>
        <v>251.46502248861248</v>
      </c>
      <c r="T156" t="s">
        <v>97</v>
      </c>
      <c r="U156">
        <v>75</v>
      </c>
      <c r="V156">
        <v>25</v>
      </c>
      <c r="W156">
        <v>0</v>
      </c>
      <c r="X156" s="1">
        <f>100-U156</f>
        <v>25</v>
      </c>
      <c r="Y156">
        <v>0</v>
      </c>
      <c r="Z156">
        <v>0</v>
      </c>
      <c r="AA156" t="s">
        <v>45</v>
      </c>
      <c r="AB156">
        <v>3</v>
      </c>
      <c r="AC156">
        <v>28.7</v>
      </c>
      <c r="AD156">
        <v>11.3</v>
      </c>
      <c r="AE156">
        <v>15</v>
      </c>
      <c r="AF156">
        <v>10</v>
      </c>
      <c r="AG156">
        <v>1</v>
      </c>
      <c r="AH156">
        <v>21.8</v>
      </c>
      <c r="AI156" t="s">
        <v>53</v>
      </c>
      <c r="AJ156">
        <v>2</v>
      </c>
    </row>
    <row r="157" spans="1:37" ht="14.25" customHeight="1" x14ac:dyDescent="0.3">
      <c r="A157" t="s">
        <v>62</v>
      </c>
      <c r="B157">
        <v>13</v>
      </c>
      <c r="C157" t="s">
        <v>869</v>
      </c>
      <c r="D157">
        <v>355259</v>
      </c>
      <c r="E157">
        <v>3983192</v>
      </c>
      <c r="F157">
        <v>2086</v>
      </c>
      <c r="G157" s="1">
        <v>10</v>
      </c>
      <c r="H157" s="1">
        <v>41</v>
      </c>
      <c r="I157">
        <v>864</v>
      </c>
      <c r="J157" s="20">
        <v>4</v>
      </c>
      <c r="K157">
        <v>1</v>
      </c>
      <c r="M157">
        <v>3</v>
      </c>
      <c r="N157" t="s">
        <v>153</v>
      </c>
      <c r="O157">
        <v>7</v>
      </c>
      <c r="P157">
        <v>16</v>
      </c>
      <c r="Q157">
        <v>48.3</v>
      </c>
      <c r="R157">
        <v>5.8</v>
      </c>
      <c r="S157" s="5">
        <f>(R157/3.14159)*100</f>
        <v>184.61988992834839</v>
      </c>
      <c r="T157" t="s">
        <v>97</v>
      </c>
      <c r="U157">
        <v>20</v>
      </c>
      <c r="V157">
        <v>80</v>
      </c>
      <c r="W157">
        <v>0</v>
      </c>
      <c r="X157" s="1">
        <f>100-U157</f>
        <v>80</v>
      </c>
      <c r="Y157">
        <v>0</v>
      </c>
      <c r="Z157">
        <v>0</v>
      </c>
      <c r="AA157" t="s">
        <v>45</v>
      </c>
      <c r="AB157">
        <v>3</v>
      </c>
      <c r="AC157">
        <v>42.5</v>
      </c>
      <c r="AD157">
        <v>33.9</v>
      </c>
      <c r="AE157">
        <v>65</v>
      </c>
      <c r="AF157">
        <v>15</v>
      </c>
      <c r="AG157">
        <v>0</v>
      </c>
      <c r="AH157">
        <v>30</v>
      </c>
      <c r="AI157" t="s">
        <v>51</v>
      </c>
      <c r="AJ157">
        <v>1</v>
      </c>
    </row>
    <row r="158" spans="1:37" ht="14.25" customHeight="1" x14ac:dyDescent="0.3">
      <c r="A158" t="s">
        <v>62</v>
      </c>
      <c r="B158">
        <v>13</v>
      </c>
      <c r="C158" t="s">
        <v>870</v>
      </c>
      <c r="D158">
        <v>355281</v>
      </c>
      <c r="E158">
        <v>3983193</v>
      </c>
      <c r="F158">
        <v>2086</v>
      </c>
      <c r="G158" s="1">
        <v>10</v>
      </c>
      <c r="H158" s="1">
        <v>41</v>
      </c>
      <c r="I158">
        <v>954</v>
      </c>
      <c r="J158" s="20">
        <v>4</v>
      </c>
      <c r="K158">
        <v>1</v>
      </c>
      <c r="M158">
        <v>2</v>
      </c>
      <c r="N158" t="s">
        <v>153</v>
      </c>
      <c r="O158">
        <v>4.8</v>
      </c>
      <c r="P158">
        <v>8.5</v>
      </c>
      <c r="Q158">
        <v>66.099999999999994</v>
      </c>
      <c r="R158">
        <v>16.7</v>
      </c>
      <c r="S158" s="5">
        <f>(R158/3.14159)*100</f>
        <v>531.57795893162381</v>
      </c>
      <c r="T158" t="s">
        <v>97</v>
      </c>
      <c r="U158">
        <v>95</v>
      </c>
      <c r="V158">
        <v>5</v>
      </c>
      <c r="W158">
        <v>0</v>
      </c>
      <c r="X158" s="1">
        <f>100-U158</f>
        <v>5</v>
      </c>
      <c r="Y158">
        <v>0</v>
      </c>
      <c r="Z158">
        <v>0</v>
      </c>
      <c r="AA158" t="s">
        <v>45</v>
      </c>
      <c r="AB158">
        <v>4</v>
      </c>
      <c r="AC158">
        <v>21.4</v>
      </c>
      <c r="AD158">
        <v>14.4</v>
      </c>
      <c r="AE158">
        <v>5</v>
      </c>
      <c r="AF158">
        <v>1</v>
      </c>
      <c r="AG158">
        <v>1</v>
      </c>
      <c r="AH158">
        <v>44.7</v>
      </c>
      <c r="AI158" t="s">
        <v>51</v>
      </c>
      <c r="AJ158">
        <v>1</v>
      </c>
    </row>
    <row r="159" spans="1:37" ht="14.25" customHeight="1" x14ac:dyDescent="0.3">
      <c r="A159" t="s">
        <v>62</v>
      </c>
      <c r="B159">
        <v>13</v>
      </c>
      <c r="C159" t="s">
        <v>897</v>
      </c>
      <c r="D159" s="31">
        <v>355293</v>
      </c>
      <c r="E159" s="31">
        <v>3983200</v>
      </c>
      <c r="F159">
        <v>2086</v>
      </c>
      <c r="G159" s="1">
        <v>10</v>
      </c>
      <c r="H159" s="1">
        <v>41</v>
      </c>
      <c r="I159">
        <v>1044</v>
      </c>
      <c r="J159" s="20">
        <v>4</v>
      </c>
      <c r="K159">
        <v>1</v>
      </c>
      <c r="M159">
        <v>3</v>
      </c>
      <c r="N159" t="s">
        <v>153</v>
      </c>
      <c r="O159">
        <v>10.1</v>
      </c>
      <c r="P159">
        <v>21.8</v>
      </c>
      <c r="Q159">
        <v>34.799999999999997</v>
      </c>
      <c r="R159">
        <v>14.5</v>
      </c>
      <c r="S159" s="5">
        <f>(R159/3.14159)*100</f>
        <v>461.54972482087101</v>
      </c>
      <c r="T159" t="s">
        <v>102</v>
      </c>
      <c r="U159">
        <v>20</v>
      </c>
      <c r="V159">
        <v>80</v>
      </c>
      <c r="W159">
        <v>0</v>
      </c>
      <c r="X159" s="1">
        <f>100-U159</f>
        <v>80</v>
      </c>
      <c r="Y159">
        <v>0</v>
      </c>
      <c r="Z159">
        <v>0</v>
      </c>
      <c r="AA159" t="s">
        <v>45</v>
      </c>
      <c r="AB159">
        <v>1</v>
      </c>
      <c r="AC159">
        <v>31.6</v>
      </c>
      <c r="AD159">
        <v>34.6</v>
      </c>
      <c r="AE159">
        <v>45</v>
      </c>
      <c r="AF159">
        <v>35</v>
      </c>
      <c r="AG159">
        <v>1</v>
      </c>
      <c r="AH159">
        <v>56.8</v>
      </c>
      <c r="AI159" t="s">
        <v>66</v>
      </c>
      <c r="AJ159">
        <v>3</v>
      </c>
      <c r="AK159" t="s">
        <v>906</v>
      </c>
    </row>
    <row r="160" spans="1:37" ht="14.25" customHeight="1" x14ac:dyDescent="0.3">
      <c r="A160" t="s">
        <v>62</v>
      </c>
      <c r="B160">
        <v>14</v>
      </c>
      <c r="C160" t="s">
        <v>874</v>
      </c>
      <c r="D160">
        <v>355465</v>
      </c>
      <c r="E160">
        <v>3983206</v>
      </c>
      <c r="F160">
        <v>2069</v>
      </c>
      <c r="G160" s="24"/>
      <c r="H160" s="24"/>
      <c r="I160">
        <v>1188</v>
      </c>
      <c r="J160" s="20">
        <v>4</v>
      </c>
      <c r="K160">
        <v>0</v>
      </c>
      <c r="M160">
        <v>4</v>
      </c>
      <c r="N160" t="s">
        <v>243</v>
      </c>
      <c r="O160">
        <v>19</v>
      </c>
      <c r="Q160">
        <v>60.5</v>
      </c>
      <c r="R160">
        <v>9.8000000000000007</v>
      </c>
      <c r="S160" s="5">
        <f>(R160/3.14159)*100</f>
        <v>311.94395194789905</v>
      </c>
      <c r="T160" t="s">
        <v>97</v>
      </c>
      <c r="U160">
        <v>0</v>
      </c>
      <c r="V160">
        <v>100</v>
      </c>
      <c r="W160">
        <v>0</v>
      </c>
      <c r="X160" s="1">
        <f>100-U160</f>
        <v>100</v>
      </c>
      <c r="Y160">
        <v>0</v>
      </c>
      <c r="AA160" t="s">
        <v>45</v>
      </c>
      <c r="AB160">
        <v>4</v>
      </c>
      <c r="AG160">
        <v>0</v>
      </c>
      <c r="AH160" s="31">
        <v>16</v>
      </c>
      <c r="AI160" t="s">
        <v>51</v>
      </c>
      <c r="AJ160">
        <v>1</v>
      </c>
    </row>
    <row r="161" spans="1:37" ht="14.25" customHeight="1" x14ac:dyDescent="0.3">
      <c r="A161" t="s">
        <v>62</v>
      </c>
      <c r="B161">
        <v>14</v>
      </c>
      <c r="C161" t="s">
        <v>875</v>
      </c>
      <c r="D161">
        <v>355444</v>
      </c>
      <c r="E161">
        <v>3983212</v>
      </c>
      <c r="F161">
        <v>2069</v>
      </c>
      <c r="G161" s="24"/>
      <c r="H161" s="24"/>
      <c r="I161">
        <v>1207</v>
      </c>
      <c r="J161" s="20">
        <v>4</v>
      </c>
      <c r="K161">
        <v>1</v>
      </c>
      <c r="M161">
        <v>4</v>
      </c>
      <c r="N161" t="s">
        <v>243</v>
      </c>
      <c r="O161">
        <v>14.7</v>
      </c>
      <c r="P161">
        <v>41.4</v>
      </c>
      <c r="Q161">
        <v>53.7</v>
      </c>
      <c r="R161">
        <v>12.3</v>
      </c>
      <c r="S161" s="5">
        <f>(R161/3.14159)*100</f>
        <v>391.52149071011814</v>
      </c>
      <c r="T161" t="s">
        <v>97</v>
      </c>
      <c r="U161">
        <v>10</v>
      </c>
      <c r="V161">
        <v>90</v>
      </c>
      <c r="W161">
        <v>0</v>
      </c>
      <c r="X161" s="1">
        <f>100-U161</f>
        <v>90</v>
      </c>
      <c r="Y161">
        <v>0</v>
      </c>
      <c r="Z161">
        <v>0</v>
      </c>
      <c r="AA161" t="s">
        <v>45</v>
      </c>
      <c r="AB161">
        <v>4</v>
      </c>
      <c r="AC161">
        <v>53.7</v>
      </c>
      <c r="AD161">
        <v>38.4</v>
      </c>
      <c r="AE161">
        <v>70</v>
      </c>
      <c r="AF161">
        <v>20</v>
      </c>
      <c r="AG161">
        <v>1</v>
      </c>
      <c r="AH161" s="31">
        <v>17.5</v>
      </c>
      <c r="AI161" t="s">
        <v>51</v>
      </c>
      <c r="AJ161">
        <v>1</v>
      </c>
    </row>
    <row r="162" spans="1:37" ht="14.25" customHeight="1" x14ac:dyDescent="0.3">
      <c r="A162" t="s">
        <v>62</v>
      </c>
      <c r="B162">
        <v>14</v>
      </c>
      <c r="C162" t="s">
        <v>876</v>
      </c>
      <c r="D162">
        <v>355427</v>
      </c>
      <c r="E162">
        <v>3983247</v>
      </c>
      <c r="F162">
        <v>2069</v>
      </c>
      <c r="G162" s="24"/>
      <c r="H162" s="24"/>
      <c r="I162">
        <v>1264</v>
      </c>
      <c r="J162" s="20">
        <v>4</v>
      </c>
      <c r="K162">
        <v>0</v>
      </c>
      <c r="M162">
        <v>4</v>
      </c>
      <c r="N162" t="s">
        <v>243</v>
      </c>
      <c r="O162">
        <v>15.3</v>
      </c>
      <c r="Q162">
        <v>49.4</v>
      </c>
      <c r="R162">
        <v>5.9</v>
      </c>
      <c r="S162" s="5">
        <f>(R162/3.14159)*100</f>
        <v>187.80299147883716</v>
      </c>
      <c r="T162" t="s">
        <v>102</v>
      </c>
      <c r="U162">
        <v>0</v>
      </c>
      <c r="V162">
        <v>100</v>
      </c>
      <c r="W162">
        <v>0</v>
      </c>
      <c r="X162" s="1">
        <f>100-U162</f>
        <v>100</v>
      </c>
      <c r="Y162">
        <v>0</v>
      </c>
      <c r="AA162" t="s">
        <v>45</v>
      </c>
      <c r="AB162">
        <v>2</v>
      </c>
      <c r="AG162">
        <v>0</v>
      </c>
      <c r="AH162" s="31">
        <v>24.9</v>
      </c>
      <c r="AI162" t="s">
        <v>51</v>
      </c>
      <c r="AJ162">
        <v>1</v>
      </c>
    </row>
    <row r="163" spans="1:37" ht="14.25" customHeight="1" x14ac:dyDescent="0.3">
      <c r="A163" t="s">
        <v>62</v>
      </c>
      <c r="B163">
        <v>14</v>
      </c>
      <c r="C163" t="s">
        <v>877</v>
      </c>
      <c r="D163">
        <v>355436</v>
      </c>
      <c r="E163">
        <v>3983245</v>
      </c>
      <c r="F163">
        <v>2069</v>
      </c>
      <c r="G163" s="24"/>
      <c r="H163" s="24"/>
      <c r="I163">
        <v>1251</v>
      </c>
      <c r="J163" s="20">
        <v>4</v>
      </c>
      <c r="K163">
        <v>0</v>
      </c>
      <c r="M163">
        <v>4</v>
      </c>
      <c r="N163" t="s">
        <v>243</v>
      </c>
      <c r="O163">
        <v>14.4</v>
      </c>
      <c r="Q163" s="31">
        <v>44.7</v>
      </c>
      <c r="R163">
        <v>3.9</v>
      </c>
      <c r="S163" s="5">
        <f>(R163/3.14159)*100</f>
        <v>124.14096046906184</v>
      </c>
      <c r="T163" t="s">
        <v>102</v>
      </c>
      <c r="U163">
        <v>0</v>
      </c>
      <c r="V163">
        <v>100</v>
      </c>
      <c r="W163">
        <v>0</v>
      </c>
      <c r="X163" s="1">
        <f>100-U163</f>
        <v>100</v>
      </c>
      <c r="Y163">
        <v>0</v>
      </c>
      <c r="AA163" t="s">
        <v>45</v>
      </c>
      <c r="AB163">
        <v>2</v>
      </c>
      <c r="AG163">
        <v>0</v>
      </c>
      <c r="AH163" s="31">
        <v>24.9</v>
      </c>
      <c r="AI163" t="s">
        <v>51</v>
      </c>
      <c r="AJ163">
        <v>1</v>
      </c>
    </row>
    <row r="164" spans="1:37" ht="14.25" customHeight="1" x14ac:dyDescent="0.3">
      <c r="A164" t="s">
        <v>62</v>
      </c>
      <c r="B164">
        <v>14</v>
      </c>
      <c r="C164" t="s">
        <v>878</v>
      </c>
      <c r="D164">
        <v>355425</v>
      </c>
      <c r="E164">
        <v>3983254</v>
      </c>
      <c r="F164">
        <v>2069</v>
      </c>
      <c r="G164" s="24"/>
      <c r="H164" s="24"/>
      <c r="I164">
        <v>1264</v>
      </c>
      <c r="J164" s="20">
        <v>4</v>
      </c>
      <c r="K164">
        <v>1</v>
      </c>
      <c r="M164">
        <v>4</v>
      </c>
      <c r="N164" t="s">
        <v>243</v>
      </c>
      <c r="O164">
        <v>14.6</v>
      </c>
      <c r="P164">
        <v>58</v>
      </c>
      <c r="Q164">
        <v>58.2</v>
      </c>
      <c r="R164">
        <v>5.7</v>
      </c>
      <c r="S164" s="5">
        <f>(R164/3.14159)*100</f>
        <v>181.43678837785964</v>
      </c>
      <c r="T164" t="s">
        <v>97</v>
      </c>
      <c r="U164">
        <v>1</v>
      </c>
      <c r="V164">
        <v>99</v>
      </c>
      <c r="W164">
        <v>0</v>
      </c>
      <c r="X164" s="1">
        <f>100-U164</f>
        <v>99</v>
      </c>
      <c r="Y164">
        <v>0</v>
      </c>
      <c r="AA164" t="s">
        <v>45</v>
      </c>
      <c r="AB164">
        <v>1</v>
      </c>
      <c r="AC164">
        <v>58</v>
      </c>
      <c r="AD164">
        <v>45.8</v>
      </c>
      <c r="AE164">
        <v>30</v>
      </c>
      <c r="AF164">
        <v>70</v>
      </c>
      <c r="AG164">
        <v>0</v>
      </c>
      <c r="AH164">
        <v>33.799999999999997</v>
      </c>
      <c r="AI164" t="s">
        <v>51</v>
      </c>
      <c r="AJ164">
        <v>1</v>
      </c>
    </row>
    <row r="165" spans="1:37" ht="14.25" customHeight="1" x14ac:dyDescent="0.3">
      <c r="A165" t="s">
        <v>62</v>
      </c>
      <c r="B165">
        <v>14</v>
      </c>
      <c r="C165" t="s">
        <v>879</v>
      </c>
      <c r="D165">
        <v>355426</v>
      </c>
      <c r="E165">
        <v>3983253</v>
      </c>
      <c r="F165">
        <v>2069</v>
      </c>
      <c r="G165" s="24"/>
      <c r="H165" s="24"/>
      <c r="I165">
        <v>1264</v>
      </c>
      <c r="J165" s="20">
        <v>4</v>
      </c>
      <c r="K165">
        <v>0</v>
      </c>
      <c r="M165">
        <v>4</v>
      </c>
      <c r="N165" t="s">
        <v>243</v>
      </c>
      <c r="O165">
        <v>8.6999999999999993</v>
      </c>
      <c r="Q165">
        <v>44.8</v>
      </c>
      <c r="R165">
        <v>4.2</v>
      </c>
      <c r="S165" s="5">
        <f>(R165/3.14159)*100</f>
        <v>133.69026512052815</v>
      </c>
      <c r="T165" t="s">
        <v>102</v>
      </c>
      <c r="U165">
        <v>0</v>
      </c>
      <c r="V165">
        <v>100</v>
      </c>
      <c r="W165">
        <v>0</v>
      </c>
      <c r="X165" s="1">
        <f>100-U165</f>
        <v>100</v>
      </c>
      <c r="Y165">
        <v>0</v>
      </c>
      <c r="Z165">
        <v>0</v>
      </c>
      <c r="AA165" t="s">
        <v>45</v>
      </c>
      <c r="AB165">
        <v>2</v>
      </c>
      <c r="AG165">
        <v>1</v>
      </c>
      <c r="AH165">
        <v>31.7</v>
      </c>
      <c r="AI165" t="s">
        <v>51</v>
      </c>
      <c r="AJ165">
        <v>1</v>
      </c>
    </row>
    <row r="166" spans="1:37" ht="14.25" customHeight="1" x14ac:dyDescent="0.3">
      <c r="A166" t="s">
        <v>62</v>
      </c>
      <c r="B166">
        <v>14</v>
      </c>
      <c r="C166" t="s">
        <v>880</v>
      </c>
      <c r="D166">
        <v>355431</v>
      </c>
      <c r="E166">
        <v>3983248</v>
      </c>
      <c r="F166">
        <v>2069</v>
      </c>
      <c r="G166" s="24"/>
      <c r="H166" s="24"/>
      <c r="I166">
        <v>1264</v>
      </c>
      <c r="J166" s="20">
        <v>4</v>
      </c>
      <c r="K166">
        <v>0</v>
      </c>
      <c r="M166">
        <v>4</v>
      </c>
      <c r="N166" t="s">
        <v>243</v>
      </c>
      <c r="O166">
        <v>18.600000000000001</v>
      </c>
      <c r="Q166">
        <v>48.5</v>
      </c>
      <c r="R166" s="31">
        <v>4.8</v>
      </c>
      <c r="S166" s="5">
        <f>(R166/3.14159)*100</f>
        <v>152.78887442346075</v>
      </c>
      <c r="T166" t="s">
        <v>102</v>
      </c>
      <c r="U166">
        <v>0</v>
      </c>
      <c r="V166">
        <v>100</v>
      </c>
      <c r="W166">
        <v>0</v>
      </c>
      <c r="X166" s="1">
        <f>100-U166</f>
        <v>100</v>
      </c>
      <c r="Y166">
        <v>0</v>
      </c>
      <c r="AA166" t="s">
        <v>45</v>
      </c>
      <c r="AB166">
        <v>3</v>
      </c>
      <c r="AG166">
        <v>1</v>
      </c>
      <c r="AH166">
        <v>35.1</v>
      </c>
      <c r="AI166" t="s">
        <v>51</v>
      </c>
      <c r="AJ166">
        <v>1</v>
      </c>
    </row>
    <row r="167" spans="1:37" ht="14.25" customHeight="1" x14ac:dyDescent="0.3">
      <c r="A167" t="s">
        <v>62</v>
      </c>
      <c r="B167">
        <v>14</v>
      </c>
      <c r="C167" t="s">
        <v>918</v>
      </c>
      <c r="D167">
        <v>355488</v>
      </c>
      <c r="E167">
        <v>3983232</v>
      </c>
      <c r="F167">
        <v>2069</v>
      </c>
      <c r="G167" s="24"/>
      <c r="H167" s="24"/>
      <c r="I167">
        <v>1110</v>
      </c>
      <c r="J167" s="20">
        <v>4</v>
      </c>
      <c r="K167" s="71">
        <v>0</v>
      </c>
      <c r="M167" s="71">
        <v>4</v>
      </c>
      <c r="N167" t="s">
        <v>153</v>
      </c>
      <c r="O167">
        <v>6.8</v>
      </c>
      <c r="Q167">
        <v>30.6</v>
      </c>
      <c r="R167">
        <v>3.4</v>
      </c>
      <c r="S167" s="5">
        <f>(R167/3.14159)*100</f>
        <v>108.22545271661801</v>
      </c>
      <c r="T167" t="s">
        <v>102</v>
      </c>
      <c r="U167">
        <v>0</v>
      </c>
      <c r="V167">
        <v>100</v>
      </c>
      <c r="W167">
        <v>0</v>
      </c>
      <c r="X167" s="1">
        <f>100-U167</f>
        <v>100</v>
      </c>
      <c r="Y167">
        <v>0</v>
      </c>
      <c r="AA167" t="s">
        <v>45</v>
      </c>
      <c r="AB167">
        <v>2</v>
      </c>
      <c r="AG167">
        <v>0</v>
      </c>
      <c r="AH167">
        <v>38.6</v>
      </c>
      <c r="AI167" t="s">
        <v>44</v>
      </c>
      <c r="AJ167">
        <v>1</v>
      </c>
    </row>
    <row r="168" spans="1:37" ht="14.25" customHeight="1" x14ac:dyDescent="0.3">
      <c r="A168" t="s">
        <v>62</v>
      </c>
      <c r="B168">
        <v>14</v>
      </c>
      <c r="C168" t="s">
        <v>919</v>
      </c>
      <c r="D168">
        <v>355503</v>
      </c>
      <c r="E168">
        <v>3983237</v>
      </c>
      <c r="F168">
        <v>2069</v>
      </c>
      <c r="G168" s="24"/>
      <c r="H168" s="24"/>
      <c r="I168">
        <v>1046</v>
      </c>
      <c r="J168" s="20">
        <v>4</v>
      </c>
      <c r="K168" s="71">
        <v>0</v>
      </c>
      <c r="M168" s="71">
        <v>4</v>
      </c>
      <c r="N168" t="s">
        <v>153</v>
      </c>
      <c r="O168">
        <v>13.3</v>
      </c>
      <c r="Q168">
        <v>48.3</v>
      </c>
      <c r="R168">
        <v>4.8</v>
      </c>
      <c r="S168" s="5">
        <f>(R168/3.14159)*100</f>
        <v>152.78887442346075</v>
      </c>
      <c r="T168" t="s">
        <v>97</v>
      </c>
      <c r="U168">
        <v>0</v>
      </c>
      <c r="V168">
        <v>100</v>
      </c>
      <c r="W168">
        <v>0</v>
      </c>
      <c r="X168" s="1">
        <f>100-U168</f>
        <v>100</v>
      </c>
      <c r="Y168">
        <v>0</v>
      </c>
      <c r="AA168" t="s">
        <v>45</v>
      </c>
      <c r="AB168">
        <v>2</v>
      </c>
      <c r="AG168">
        <v>0</v>
      </c>
      <c r="AH168">
        <v>54.3</v>
      </c>
      <c r="AI168" t="s">
        <v>44</v>
      </c>
      <c r="AJ168">
        <v>1</v>
      </c>
    </row>
    <row r="169" spans="1:37" ht="14.25" customHeight="1" x14ac:dyDescent="0.3">
      <c r="A169" t="s">
        <v>62</v>
      </c>
      <c r="B169">
        <v>15</v>
      </c>
      <c r="C169" t="s">
        <v>891</v>
      </c>
      <c r="D169">
        <v>355665</v>
      </c>
      <c r="E169">
        <v>3983197</v>
      </c>
      <c r="F169">
        <v>2037</v>
      </c>
      <c r="G169" s="24"/>
      <c r="H169" s="24"/>
      <c r="I169">
        <v>558</v>
      </c>
      <c r="J169" s="20">
        <v>3</v>
      </c>
      <c r="K169">
        <v>1</v>
      </c>
      <c r="M169">
        <v>3</v>
      </c>
      <c r="N169" t="s">
        <v>153</v>
      </c>
      <c r="O169">
        <v>5.5</v>
      </c>
      <c r="P169">
        <v>12.4</v>
      </c>
      <c r="Q169">
        <v>63.3</v>
      </c>
      <c r="R169">
        <v>12.1</v>
      </c>
      <c r="S169" s="5">
        <f>(R169/3.14159)*100</f>
        <v>385.1552876091406</v>
      </c>
      <c r="T169" t="s">
        <v>95</v>
      </c>
      <c r="U169">
        <v>60</v>
      </c>
      <c r="V169">
        <v>40</v>
      </c>
      <c r="W169">
        <v>0</v>
      </c>
      <c r="X169" s="1">
        <f>100-U169</f>
        <v>40</v>
      </c>
      <c r="Y169">
        <v>0</v>
      </c>
      <c r="Z169">
        <v>1</v>
      </c>
      <c r="AA169" t="s">
        <v>45</v>
      </c>
      <c r="AB169">
        <v>4</v>
      </c>
      <c r="AC169">
        <v>38.700000000000003</v>
      </c>
      <c r="AD169">
        <v>41.4</v>
      </c>
      <c r="AE169">
        <v>20</v>
      </c>
      <c r="AF169">
        <v>20</v>
      </c>
      <c r="AG169">
        <v>1</v>
      </c>
      <c r="AH169">
        <v>35.5</v>
      </c>
      <c r="AI169" t="s">
        <v>66</v>
      </c>
      <c r="AJ169">
        <v>3</v>
      </c>
    </row>
    <row r="170" spans="1:37" ht="14.25" customHeight="1" x14ac:dyDescent="0.3">
      <c r="A170" t="s">
        <v>62</v>
      </c>
      <c r="B170">
        <v>15</v>
      </c>
      <c r="C170" t="s">
        <v>892</v>
      </c>
      <c r="D170">
        <v>355660</v>
      </c>
      <c r="E170">
        <v>3983233</v>
      </c>
      <c r="F170">
        <v>2037</v>
      </c>
      <c r="G170" s="24"/>
      <c r="H170" s="24"/>
      <c r="I170">
        <v>547</v>
      </c>
      <c r="J170" s="20">
        <v>3</v>
      </c>
      <c r="K170">
        <v>1</v>
      </c>
      <c r="M170">
        <v>3</v>
      </c>
      <c r="N170" t="s">
        <v>153</v>
      </c>
      <c r="O170">
        <v>16.3</v>
      </c>
      <c r="P170">
        <v>18.8</v>
      </c>
      <c r="Q170">
        <v>52.2</v>
      </c>
      <c r="R170">
        <v>9.6999999999999993</v>
      </c>
      <c r="S170" s="5">
        <f>(R170/3.14159)*100</f>
        <v>308.76085039741025</v>
      </c>
      <c r="T170" t="s">
        <v>95</v>
      </c>
      <c r="U170">
        <v>85</v>
      </c>
      <c r="V170">
        <v>15</v>
      </c>
      <c r="W170">
        <v>0</v>
      </c>
      <c r="X170" s="1">
        <f>100-U170</f>
        <v>15</v>
      </c>
      <c r="Y170">
        <v>1</v>
      </c>
      <c r="Z170">
        <v>0</v>
      </c>
      <c r="AA170" t="s">
        <v>45</v>
      </c>
      <c r="AB170">
        <v>4</v>
      </c>
      <c r="AC170">
        <v>33.799999999999997</v>
      </c>
      <c r="AD170">
        <v>25.5</v>
      </c>
      <c r="AE170">
        <v>10</v>
      </c>
      <c r="AF170">
        <v>5</v>
      </c>
      <c r="AG170">
        <v>1</v>
      </c>
      <c r="AH170">
        <v>25.3</v>
      </c>
      <c r="AI170" t="s">
        <v>66</v>
      </c>
      <c r="AJ170">
        <v>3</v>
      </c>
    </row>
    <row r="171" spans="1:37" ht="14.25" customHeight="1" x14ac:dyDescent="0.3">
      <c r="A171" t="s">
        <v>62</v>
      </c>
      <c r="B171">
        <v>15</v>
      </c>
      <c r="C171" t="s">
        <v>864</v>
      </c>
      <c r="D171">
        <v>355605</v>
      </c>
      <c r="E171">
        <v>3983278</v>
      </c>
      <c r="F171">
        <v>2037</v>
      </c>
      <c r="G171" s="24"/>
      <c r="H171" s="24"/>
      <c r="I171">
        <v>253</v>
      </c>
      <c r="J171" s="20">
        <v>2</v>
      </c>
      <c r="K171" s="71">
        <v>1</v>
      </c>
      <c r="M171" s="71">
        <v>2</v>
      </c>
      <c r="N171" t="s">
        <v>153</v>
      </c>
      <c r="O171">
        <v>16.600000000000001</v>
      </c>
      <c r="P171">
        <v>16.600000000000001</v>
      </c>
      <c r="Q171">
        <v>60.3</v>
      </c>
      <c r="R171">
        <v>16.600000000000001</v>
      </c>
      <c r="S171" s="5">
        <f>(R171/3.14159)*100</f>
        <v>528.39485738113513</v>
      </c>
      <c r="T171" t="s">
        <v>95</v>
      </c>
      <c r="U171">
        <v>95</v>
      </c>
      <c r="V171">
        <v>4</v>
      </c>
      <c r="W171">
        <v>1</v>
      </c>
      <c r="X171" s="1">
        <f>100-U171</f>
        <v>5</v>
      </c>
      <c r="Y171">
        <v>1</v>
      </c>
      <c r="Z171">
        <v>0</v>
      </c>
      <c r="AA171" t="s">
        <v>45</v>
      </c>
      <c r="AB171">
        <v>4</v>
      </c>
      <c r="AC171">
        <v>35.5</v>
      </c>
      <c r="AE171">
        <v>1</v>
      </c>
      <c r="AF171">
        <v>0</v>
      </c>
      <c r="AG171">
        <v>1</v>
      </c>
      <c r="AH171">
        <v>59.8</v>
      </c>
      <c r="AI171" t="s">
        <v>44</v>
      </c>
      <c r="AJ171">
        <v>1</v>
      </c>
      <c r="AK171" t="s">
        <v>894</v>
      </c>
    </row>
    <row r="172" spans="1:37" ht="14.25" customHeight="1" x14ac:dyDescent="0.3">
      <c r="A172" t="s">
        <v>62</v>
      </c>
      <c r="B172">
        <v>15</v>
      </c>
      <c r="C172" t="s">
        <v>893</v>
      </c>
      <c r="D172">
        <v>355604</v>
      </c>
      <c r="E172">
        <v>3983241</v>
      </c>
      <c r="F172">
        <v>2037</v>
      </c>
      <c r="G172" s="24"/>
      <c r="H172" s="24"/>
      <c r="I172">
        <v>675</v>
      </c>
      <c r="J172" s="20">
        <v>4</v>
      </c>
      <c r="K172" s="71">
        <v>1</v>
      </c>
      <c r="M172" s="71">
        <v>3</v>
      </c>
      <c r="N172" t="s">
        <v>153</v>
      </c>
      <c r="O172">
        <v>9.5</v>
      </c>
      <c r="P172">
        <v>15.9</v>
      </c>
      <c r="Q172">
        <v>56.7</v>
      </c>
      <c r="R172">
        <v>15.9</v>
      </c>
      <c r="S172" s="5">
        <f>(R172/3.14159)*100</f>
        <v>506.11314652771375</v>
      </c>
      <c r="T172" t="s">
        <v>97</v>
      </c>
      <c r="U172">
        <v>85</v>
      </c>
      <c r="V172">
        <v>14</v>
      </c>
      <c r="W172">
        <v>1</v>
      </c>
      <c r="X172" s="1">
        <f>100-U172</f>
        <v>15</v>
      </c>
      <c r="Y172">
        <v>0</v>
      </c>
      <c r="Z172">
        <v>1</v>
      </c>
      <c r="AA172" t="s">
        <v>45</v>
      </c>
      <c r="AB172">
        <v>3</v>
      </c>
      <c r="AC172">
        <v>34.200000000000003</v>
      </c>
      <c r="AE172">
        <v>15</v>
      </c>
      <c r="AF172">
        <v>0</v>
      </c>
      <c r="AG172">
        <v>1</v>
      </c>
      <c r="AH172">
        <v>39.4</v>
      </c>
      <c r="AI172" t="s">
        <v>44</v>
      </c>
      <c r="AJ172">
        <v>1</v>
      </c>
    </row>
    <row r="173" spans="1:37" ht="14.25" customHeight="1" x14ac:dyDescent="0.3">
      <c r="A173" t="s">
        <v>62</v>
      </c>
      <c r="B173">
        <v>15</v>
      </c>
      <c r="C173" t="s">
        <v>863</v>
      </c>
      <c r="D173">
        <v>355587</v>
      </c>
      <c r="E173">
        <v>3983228</v>
      </c>
      <c r="F173">
        <v>2037</v>
      </c>
      <c r="G173" s="24"/>
      <c r="H173" s="24"/>
      <c r="I173">
        <v>675</v>
      </c>
      <c r="J173" s="20">
        <v>4</v>
      </c>
      <c r="K173" s="71">
        <v>1</v>
      </c>
      <c r="M173" s="71">
        <v>3</v>
      </c>
      <c r="N173" t="s">
        <v>153</v>
      </c>
      <c r="O173">
        <v>14.9</v>
      </c>
      <c r="P173">
        <v>23.8</v>
      </c>
      <c r="Q173">
        <v>62.4</v>
      </c>
      <c r="R173">
        <v>12.4</v>
      </c>
      <c r="S173" s="5">
        <f>(R173/3.14159)*100</f>
        <v>394.70459226060689</v>
      </c>
      <c r="T173" t="s">
        <v>95</v>
      </c>
      <c r="U173">
        <v>45</v>
      </c>
      <c r="V173">
        <v>55</v>
      </c>
      <c r="W173">
        <v>0</v>
      </c>
      <c r="X173" s="1">
        <f>100-U173</f>
        <v>55</v>
      </c>
      <c r="Y173">
        <v>0</v>
      </c>
      <c r="Z173">
        <v>0</v>
      </c>
      <c r="AA173" t="s">
        <v>45</v>
      </c>
      <c r="AB173">
        <v>2</v>
      </c>
      <c r="AC173">
        <v>62.4</v>
      </c>
      <c r="AD173">
        <v>43.4</v>
      </c>
      <c r="AE173">
        <v>40</v>
      </c>
      <c r="AF173">
        <v>15</v>
      </c>
      <c r="AG173">
        <v>1</v>
      </c>
      <c r="AH173">
        <v>58.4</v>
      </c>
      <c r="AI173" t="s">
        <v>44</v>
      </c>
      <c r="AJ173">
        <v>1</v>
      </c>
      <c r="AK173" t="s">
        <v>872</v>
      </c>
    </row>
    <row r="174" spans="1:37" ht="14.25" customHeight="1" x14ac:dyDescent="0.3">
      <c r="A174" t="s">
        <v>62</v>
      </c>
      <c r="B174">
        <v>15</v>
      </c>
      <c r="C174" t="s">
        <v>865</v>
      </c>
      <c r="D174">
        <v>355600</v>
      </c>
      <c r="E174">
        <v>3983199</v>
      </c>
      <c r="F174">
        <v>2037</v>
      </c>
      <c r="G174" s="24"/>
      <c r="H174" s="24"/>
      <c r="I174">
        <v>467</v>
      </c>
      <c r="J174" s="20">
        <v>3</v>
      </c>
      <c r="K174" s="71">
        <v>1</v>
      </c>
      <c r="M174" s="71">
        <v>3</v>
      </c>
      <c r="N174" t="s">
        <v>153</v>
      </c>
      <c r="O174">
        <v>20.7</v>
      </c>
      <c r="P174">
        <v>20.7</v>
      </c>
      <c r="Q174">
        <v>52.7</v>
      </c>
      <c r="R174">
        <v>8.9</v>
      </c>
      <c r="S174" s="5">
        <f>(R174/3.14159)*100</f>
        <v>283.29603799350014</v>
      </c>
      <c r="T174" t="s">
        <v>97</v>
      </c>
      <c r="U174">
        <v>20</v>
      </c>
      <c r="V174">
        <v>80</v>
      </c>
      <c r="W174">
        <v>0</v>
      </c>
      <c r="X174" s="1">
        <f>100-U174</f>
        <v>80</v>
      </c>
      <c r="Y174">
        <v>0</v>
      </c>
      <c r="Z174">
        <v>0</v>
      </c>
      <c r="AA174" t="s">
        <v>45</v>
      </c>
      <c r="AB174">
        <v>4</v>
      </c>
      <c r="AC174">
        <v>52.7</v>
      </c>
      <c r="AD174">
        <v>49.1</v>
      </c>
      <c r="AE174">
        <v>50</v>
      </c>
      <c r="AF174">
        <v>30</v>
      </c>
      <c r="AG174">
        <v>1</v>
      </c>
      <c r="AH174">
        <v>54.3</v>
      </c>
      <c r="AI174" t="s">
        <v>44</v>
      </c>
      <c r="AJ174">
        <v>1</v>
      </c>
      <c r="AK174" t="s">
        <v>871</v>
      </c>
    </row>
    <row r="175" spans="1:37" ht="14.25" customHeight="1" x14ac:dyDescent="0.3">
      <c r="A175" t="s">
        <v>62</v>
      </c>
      <c r="B175">
        <v>16</v>
      </c>
      <c r="C175" t="s">
        <v>882</v>
      </c>
      <c r="D175">
        <v>354875</v>
      </c>
      <c r="E175">
        <v>3983387</v>
      </c>
      <c r="F175">
        <v>2119</v>
      </c>
      <c r="G175">
        <v>19</v>
      </c>
      <c r="H175">
        <v>114</v>
      </c>
      <c r="I175" s="71">
        <v>422</v>
      </c>
      <c r="J175" s="20">
        <v>3</v>
      </c>
      <c r="K175">
        <v>1</v>
      </c>
      <c r="M175">
        <v>3</v>
      </c>
      <c r="N175" t="s">
        <v>153</v>
      </c>
      <c r="O175">
        <v>10.199999999999999</v>
      </c>
      <c r="P175">
        <v>22.2</v>
      </c>
      <c r="Q175">
        <v>65.7</v>
      </c>
      <c r="R175" s="31"/>
      <c r="S175" s="5"/>
      <c r="T175" t="s">
        <v>97</v>
      </c>
      <c r="U175">
        <v>30</v>
      </c>
      <c r="V175">
        <v>70</v>
      </c>
      <c r="W175">
        <v>0</v>
      </c>
      <c r="X175" s="1">
        <f>100-U175</f>
        <v>70</v>
      </c>
      <c r="Y175">
        <v>0</v>
      </c>
      <c r="Z175">
        <v>0</v>
      </c>
      <c r="AA175" t="s">
        <v>45</v>
      </c>
      <c r="AB175">
        <v>4</v>
      </c>
      <c r="AC175">
        <v>64.7</v>
      </c>
      <c r="AD175">
        <v>62</v>
      </c>
      <c r="AE175">
        <v>40</v>
      </c>
      <c r="AF175">
        <v>30</v>
      </c>
      <c r="AG175">
        <v>0</v>
      </c>
      <c r="AH175" s="31"/>
      <c r="AI175" t="s">
        <v>53</v>
      </c>
      <c r="AJ175">
        <v>2</v>
      </c>
      <c r="AK175" s="68" t="s">
        <v>907</v>
      </c>
    </row>
    <row r="176" spans="1:37" ht="14.25" customHeight="1" x14ac:dyDescent="0.3">
      <c r="A176" t="s">
        <v>62</v>
      </c>
      <c r="B176">
        <v>16</v>
      </c>
      <c r="C176" t="s">
        <v>883</v>
      </c>
      <c r="D176">
        <v>354841</v>
      </c>
      <c r="E176">
        <v>3983427</v>
      </c>
      <c r="F176">
        <v>2119</v>
      </c>
      <c r="G176">
        <v>19</v>
      </c>
      <c r="H176">
        <v>114</v>
      </c>
      <c r="I176" s="71">
        <v>171</v>
      </c>
      <c r="J176" s="20">
        <v>2</v>
      </c>
      <c r="K176">
        <v>1</v>
      </c>
      <c r="M176">
        <v>3</v>
      </c>
      <c r="N176" t="s">
        <v>153</v>
      </c>
      <c r="O176">
        <v>7</v>
      </c>
      <c r="P176">
        <v>7.2</v>
      </c>
      <c r="Q176">
        <v>70.099999999999994</v>
      </c>
      <c r="R176">
        <v>12.9</v>
      </c>
      <c r="S176" s="5">
        <f>(R176/3.14159)*100</f>
        <v>410.62010001305077</v>
      </c>
      <c r="T176" t="s">
        <v>97</v>
      </c>
      <c r="U176">
        <v>90</v>
      </c>
      <c r="V176">
        <v>10</v>
      </c>
      <c r="W176">
        <v>1</v>
      </c>
      <c r="X176" s="1">
        <f>100-U176</f>
        <v>10</v>
      </c>
      <c r="Y176">
        <v>0</v>
      </c>
      <c r="Z176">
        <v>0</v>
      </c>
      <c r="AA176" t="s">
        <v>45</v>
      </c>
      <c r="AB176">
        <v>3</v>
      </c>
      <c r="AC176">
        <v>58.3</v>
      </c>
      <c r="AD176">
        <v>19</v>
      </c>
      <c r="AE176">
        <v>5</v>
      </c>
      <c r="AF176">
        <v>5</v>
      </c>
      <c r="AG176">
        <v>0</v>
      </c>
      <c r="AH176">
        <v>19.5</v>
      </c>
      <c r="AI176" t="s">
        <v>53</v>
      </c>
      <c r="AJ176">
        <v>2</v>
      </c>
    </row>
    <row r="177" spans="1:37" ht="14.25" customHeight="1" x14ac:dyDescent="0.3">
      <c r="A177" t="s">
        <v>62</v>
      </c>
      <c r="B177">
        <v>16</v>
      </c>
      <c r="C177" t="s">
        <v>884</v>
      </c>
      <c r="D177">
        <v>354851</v>
      </c>
      <c r="E177">
        <v>3983425</v>
      </c>
      <c r="F177">
        <v>2119</v>
      </c>
      <c r="G177">
        <v>19</v>
      </c>
      <c r="H177">
        <v>114</v>
      </c>
      <c r="I177" s="71">
        <v>180</v>
      </c>
      <c r="J177" s="20">
        <v>2</v>
      </c>
      <c r="K177">
        <v>1</v>
      </c>
      <c r="M177">
        <v>3</v>
      </c>
      <c r="N177" t="s">
        <v>153</v>
      </c>
      <c r="O177">
        <v>14.9</v>
      </c>
      <c r="P177">
        <v>17</v>
      </c>
      <c r="Q177">
        <v>72.400000000000006</v>
      </c>
      <c r="R177" s="31"/>
      <c r="S177" s="5"/>
      <c r="T177" t="s">
        <v>97</v>
      </c>
      <c r="U177">
        <v>90</v>
      </c>
      <c r="V177">
        <v>10</v>
      </c>
      <c r="W177">
        <v>1</v>
      </c>
      <c r="X177" s="1">
        <f>100-U177</f>
        <v>10</v>
      </c>
      <c r="Y177">
        <v>0</v>
      </c>
      <c r="Z177">
        <v>0</v>
      </c>
      <c r="AA177" t="s">
        <v>45</v>
      </c>
      <c r="AB177">
        <v>4</v>
      </c>
      <c r="AC177">
        <v>58.5</v>
      </c>
      <c r="AD177">
        <v>17.399999999999999</v>
      </c>
      <c r="AE177">
        <v>5</v>
      </c>
      <c r="AF177">
        <v>5</v>
      </c>
      <c r="AG177">
        <v>1</v>
      </c>
      <c r="AH177" s="31"/>
      <c r="AI177" t="s">
        <v>53</v>
      </c>
      <c r="AJ177">
        <v>2</v>
      </c>
      <c r="AK177" s="31" t="s">
        <v>908</v>
      </c>
    </row>
    <row r="178" spans="1:37" ht="14.25" customHeight="1" x14ac:dyDescent="0.3">
      <c r="A178" t="s">
        <v>62</v>
      </c>
      <c r="B178">
        <v>16</v>
      </c>
      <c r="C178" t="s">
        <v>885</v>
      </c>
      <c r="D178">
        <v>354822</v>
      </c>
      <c r="E178">
        <v>3983439</v>
      </c>
      <c r="F178">
        <v>2119</v>
      </c>
      <c r="G178">
        <v>19</v>
      </c>
      <c r="H178">
        <v>114</v>
      </c>
      <c r="I178" s="71">
        <v>161</v>
      </c>
      <c r="J178" s="20">
        <v>2</v>
      </c>
      <c r="K178">
        <v>1</v>
      </c>
      <c r="M178">
        <v>3</v>
      </c>
      <c r="N178" t="s">
        <v>153</v>
      </c>
      <c r="O178">
        <v>8</v>
      </c>
      <c r="P178">
        <v>9.1999999999999993</v>
      </c>
      <c r="Q178">
        <v>66.099999999999994</v>
      </c>
      <c r="R178">
        <v>13.7</v>
      </c>
      <c r="S178" s="5">
        <f>(R178/3.14159)*100</f>
        <v>436.08491241696078</v>
      </c>
      <c r="T178" t="s">
        <v>97</v>
      </c>
      <c r="U178">
        <v>60</v>
      </c>
      <c r="V178">
        <v>35</v>
      </c>
      <c r="W178">
        <v>5</v>
      </c>
      <c r="X178" s="1">
        <f>100-U178</f>
        <v>40</v>
      </c>
      <c r="Y178">
        <v>1</v>
      </c>
      <c r="Z178">
        <v>1</v>
      </c>
      <c r="AA178" t="s">
        <v>45</v>
      </c>
      <c r="AB178">
        <v>3</v>
      </c>
      <c r="AC178">
        <v>65.900000000000006</v>
      </c>
      <c r="AD178">
        <v>60.1</v>
      </c>
      <c r="AE178">
        <v>10</v>
      </c>
      <c r="AF178">
        <v>5</v>
      </c>
      <c r="AG178">
        <v>0</v>
      </c>
      <c r="AH178">
        <v>37.700000000000003</v>
      </c>
      <c r="AI178" t="s">
        <v>53</v>
      </c>
      <c r="AJ178">
        <v>2</v>
      </c>
    </row>
    <row r="179" spans="1:37" ht="14.25" customHeight="1" x14ac:dyDescent="0.3">
      <c r="A179" t="s">
        <v>62</v>
      </c>
      <c r="B179">
        <v>16</v>
      </c>
      <c r="C179" t="s">
        <v>886</v>
      </c>
      <c r="D179">
        <v>354880</v>
      </c>
      <c r="E179">
        <v>3983441</v>
      </c>
      <c r="F179">
        <v>2119</v>
      </c>
      <c r="G179">
        <v>19</v>
      </c>
      <c r="H179">
        <v>114</v>
      </c>
      <c r="I179" s="71">
        <v>215</v>
      </c>
      <c r="J179" s="20">
        <v>2</v>
      </c>
      <c r="K179">
        <v>1</v>
      </c>
      <c r="M179">
        <v>3</v>
      </c>
      <c r="N179" t="s">
        <v>94</v>
      </c>
      <c r="O179">
        <v>7.6</v>
      </c>
      <c r="P179">
        <v>7.6</v>
      </c>
      <c r="Q179">
        <v>47.1</v>
      </c>
      <c r="R179">
        <v>16.399999999999999</v>
      </c>
      <c r="S179" s="5">
        <f>(R179/3.14159)*100</f>
        <v>522.02865428015753</v>
      </c>
      <c r="T179" t="s">
        <v>102</v>
      </c>
      <c r="U179">
        <v>50</v>
      </c>
      <c r="V179">
        <v>35</v>
      </c>
      <c r="W179">
        <v>15</v>
      </c>
      <c r="X179" s="1">
        <f>100-U179</f>
        <v>50</v>
      </c>
      <c r="Y179">
        <v>0</v>
      </c>
      <c r="Z179">
        <v>1</v>
      </c>
      <c r="AA179" t="s">
        <v>45</v>
      </c>
      <c r="AB179">
        <v>3</v>
      </c>
      <c r="AC179">
        <v>46</v>
      </c>
      <c r="AD179">
        <v>47.1</v>
      </c>
      <c r="AE179">
        <v>20</v>
      </c>
      <c r="AF179">
        <v>15</v>
      </c>
      <c r="AG179">
        <v>1</v>
      </c>
      <c r="AH179">
        <v>47.6</v>
      </c>
      <c r="AI179" t="s">
        <v>53</v>
      </c>
      <c r="AJ179">
        <v>2</v>
      </c>
    </row>
    <row r="180" spans="1:37" ht="14.25" customHeight="1" x14ac:dyDescent="0.3">
      <c r="A180" t="s">
        <v>62</v>
      </c>
      <c r="B180">
        <v>16</v>
      </c>
      <c r="C180" t="s">
        <v>887</v>
      </c>
      <c r="D180">
        <v>354802</v>
      </c>
      <c r="E180">
        <v>3983384</v>
      </c>
      <c r="F180">
        <v>2119</v>
      </c>
      <c r="G180">
        <v>19</v>
      </c>
      <c r="H180">
        <v>114</v>
      </c>
      <c r="I180">
        <v>752</v>
      </c>
      <c r="J180" s="20">
        <v>4</v>
      </c>
      <c r="K180">
        <v>0</v>
      </c>
      <c r="M180">
        <v>4</v>
      </c>
      <c r="N180" t="s">
        <v>94</v>
      </c>
      <c r="O180">
        <v>18.7</v>
      </c>
      <c r="Q180">
        <v>53.3</v>
      </c>
      <c r="R180">
        <v>6.4</v>
      </c>
      <c r="S180" s="5">
        <f>(R180/3.14159)*100</f>
        <v>203.71849923128102</v>
      </c>
      <c r="T180" t="s">
        <v>97</v>
      </c>
      <c r="U180">
        <v>0</v>
      </c>
      <c r="V180">
        <v>100</v>
      </c>
      <c r="W180">
        <v>0</v>
      </c>
      <c r="X180" s="1">
        <f>100-U180</f>
        <v>100</v>
      </c>
      <c r="Y180">
        <v>0</v>
      </c>
      <c r="AA180" t="s">
        <v>45</v>
      </c>
      <c r="AB180">
        <v>2</v>
      </c>
      <c r="AG180">
        <v>0</v>
      </c>
      <c r="AH180">
        <v>52.7</v>
      </c>
      <c r="AI180" t="s">
        <v>66</v>
      </c>
      <c r="AJ180">
        <v>3</v>
      </c>
    </row>
    <row r="181" spans="1:37" ht="14.25" customHeight="1" x14ac:dyDescent="0.3">
      <c r="A181" t="s">
        <v>62</v>
      </c>
      <c r="B181" s="31">
        <v>16</v>
      </c>
      <c r="C181" t="s">
        <v>856</v>
      </c>
      <c r="D181" s="31">
        <v>354790</v>
      </c>
      <c r="E181" s="31">
        <v>3983387</v>
      </c>
      <c r="F181">
        <v>2119</v>
      </c>
      <c r="G181">
        <v>19</v>
      </c>
      <c r="H181">
        <v>114</v>
      </c>
      <c r="I181" s="71">
        <v>716</v>
      </c>
      <c r="J181" s="20">
        <v>4</v>
      </c>
      <c r="K181">
        <v>0</v>
      </c>
      <c r="M181">
        <v>4</v>
      </c>
      <c r="N181" t="s">
        <v>94</v>
      </c>
      <c r="O181">
        <v>17.8</v>
      </c>
      <c r="Q181">
        <v>59.5</v>
      </c>
      <c r="R181" s="31">
        <v>7.4</v>
      </c>
      <c r="S181" s="5">
        <f>(R181/3.14159)*100</f>
        <v>235.54951473616862</v>
      </c>
      <c r="T181" t="s">
        <v>97</v>
      </c>
      <c r="U181">
        <v>0</v>
      </c>
      <c r="V181">
        <v>100</v>
      </c>
      <c r="W181">
        <v>0</v>
      </c>
      <c r="X181" s="1">
        <f>100-U181</f>
        <v>100</v>
      </c>
      <c r="Y181">
        <v>0</v>
      </c>
      <c r="AA181" t="s">
        <v>45</v>
      </c>
      <c r="AB181">
        <v>3</v>
      </c>
      <c r="AG181">
        <v>1</v>
      </c>
      <c r="AH181">
        <v>60.6</v>
      </c>
      <c r="AI181" t="s">
        <v>53</v>
      </c>
      <c r="AJ181">
        <v>2</v>
      </c>
    </row>
    <row r="182" spans="1:37" ht="14.25" customHeight="1" x14ac:dyDescent="0.3">
      <c r="A182" t="s">
        <v>62</v>
      </c>
      <c r="B182" s="31">
        <v>16</v>
      </c>
      <c r="C182" t="s">
        <v>857</v>
      </c>
      <c r="D182" s="31">
        <v>354800</v>
      </c>
      <c r="E182" s="31">
        <v>3983402</v>
      </c>
      <c r="F182">
        <v>2119</v>
      </c>
      <c r="G182">
        <v>19</v>
      </c>
      <c r="H182">
        <v>114</v>
      </c>
      <c r="I182">
        <v>787</v>
      </c>
      <c r="J182" s="20">
        <v>4</v>
      </c>
      <c r="K182">
        <v>0</v>
      </c>
      <c r="M182">
        <v>4</v>
      </c>
      <c r="N182" t="s">
        <v>94</v>
      </c>
      <c r="O182" s="31">
        <v>9.8000000000000007</v>
      </c>
      <c r="Q182">
        <v>46.3</v>
      </c>
      <c r="R182">
        <v>9.1999999999999993</v>
      </c>
      <c r="S182" s="5">
        <f>(R182/3.14159)*100</f>
        <v>292.84534264496637</v>
      </c>
      <c r="T182" t="s">
        <v>102</v>
      </c>
      <c r="U182">
        <v>0</v>
      </c>
      <c r="V182">
        <v>100</v>
      </c>
      <c r="W182">
        <v>0</v>
      </c>
      <c r="X182" s="1">
        <f>100-U182</f>
        <v>100</v>
      </c>
      <c r="Y182">
        <v>0</v>
      </c>
      <c r="AA182" t="s">
        <v>45</v>
      </c>
      <c r="AB182">
        <v>2</v>
      </c>
      <c r="AG182">
        <v>0</v>
      </c>
      <c r="AH182">
        <v>45.8</v>
      </c>
      <c r="AI182" t="s">
        <v>51</v>
      </c>
      <c r="AJ182">
        <v>1</v>
      </c>
    </row>
    <row r="183" spans="1:37" ht="14.25" customHeight="1" x14ac:dyDescent="0.3">
      <c r="A183" t="s">
        <v>62</v>
      </c>
      <c r="B183">
        <v>17</v>
      </c>
      <c r="C183" t="s">
        <v>898</v>
      </c>
      <c r="D183">
        <v>355282</v>
      </c>
      <c r="E183">
        <v>3983430</v>
      </c>
      <c r="F183">
        <v>2128</v>
      </c>
      <c r="G183">
        <v>16</v>
      </c>
      <c r="H183">
        <v>20</v>
      </c>
      <c r="I183">
        <v>313</v>
      </c>
      <c r="J183" s="20">
        <v>2</v>
      </c>
      <c r="K183">
        <v>1</v>
      </c>
      <c r="M183">
        <v>3</v>
      </c>
      <c r="N183" t="s">
        <v>243</v>
      </c>
      <c r="O183">
        <v>10.1</v>
      </c>
      <c r="P183">
        <v>11.3</v>
      </c>
      <c r="Q183">
        <v>61.6</v>
      </c>
      <c r="R183">
        <v>8.6</v>
      </c>
      <c r="S183" s="5">
        <f>(R183/3.14159)*100</f>
        <v>273.74673334203379</v>
      </c>
      <c r="T183" t="s">
        <v>95</v>
      </c>
      <c r="U183">
        <v>95</v>
      </c>
      <c r="V183">
        <v>5</v>
      </c>
      <c r="W183">
        <v>0</v>
      </c>
      <c r="X183" s="1">
        <f>100-U183</f>
        <v>5</v>
      </c>
      <c r="Y183">
        <v>0</v>
      </c>
      <c r="Z183">
        <v>0</v>
      </c>
      <c r="AA183" t="s">
        <v>45</v>
      </c>
      <c r="AB183">
        <v>4</v>
      </c>
      <c r="AC183">
        <v>17.5</v>
      </c>
      <c r="AD183">
        <v>16.100000000000001</v>
      </c>
      <c r="AE183">
        <v>1</v>
      </c>
      <c r="AF183">
        <v>5</v>
      </c>
      <c r="AG183">
        <v>1</v>
      </c>
      <c r="AH183">
        <v>39.1</v>
      </c>
      <c r="AI183" t="s">
        <v>51</v>
      </c>
      <c r="AJ183">
        <v>1</v>
      </c>
    </row>
    <row r="184" spans="1:37" ht="14.25" customHeight="1" x14ac:dyDescent="0.3">
      <c r="A184" t="s">
        <v>62</v>
      </c>
      <c r="B184">
        <v>17</v>
      </c>
      <c r="C184" t="s">
        <v>899</v>
      </c>
      <c r="D184">
        <v>355286</v>
      </c>
      <c r="E184">
        <v>3983456</v>
      </c>
      <c r="F184">
        <v>2128</v>
      </c>
      <c r="G184">
        <v>16</v>
      </c>
      <c r="H184">
        <v>20</v>
      </c>
      <c r="I184">
        <v>287</v>
      </c>
      <c r="J184" s="20">
        <v>2</v>
      </c>
      <c r="K184">
        <v>1</v>
      </c>
      <c r="M184">
        <v>3</v>
      </c>
      <c r="N184" t="s">
        <v>243</v>
      </c>
      <c r="O184">
        <v>19.600000000000001</v>
      </c>
      <c r="P184">
        <v>17.600000000000001</v>
      </c>
      <c r="Q184">
        <v>44.8</v>
      </c>
      <c r="R184">
        <v>3.5</v>
      </c>
      <c r="S184" s="5">
        <f>(R184/3.14159)*100</f>
        <v>111.40855426710678</v>
      </c>
      <c r="T184" t="s">
        <v>97</v>
      </c>
      <c r="U184">
        <v>100</v>
      </c>
      <c r="V184">
        <v>0</v>
      </c>
      <c r="W184">
        <v>0</v>
      </c>
      <c r="X184" s="1">
        <f>100-U184</f>
        <v>0</v>
      </c>
      <c r="Y184">
        <v>0</v>
      </c>
      <c r="Z184">
        <v>0</v>
      </c>
      <c r="AA184" t="s">
        <v>45</v>
      </c>
      <c r="AB184">
        <v>2</v>
      </c>
      <c r="AE184">
        <v>0</v>
      </c>
      <c r="AF184">
        <v>0</v>
      </c>
      <c r="AG184">
        <v>0</v>
      </c>
      <c r="AH184">
        <v>39.5</v>
      </c>
      <c r="AI184" t="s">
        <v>51</v>
      </c>
      <c r="AJ184">
        <v>1</v>
      </c>
    </row>
    <row r="185" spans="1:37" ht="14.25" customHeight="1" x14ac:dyDescent="0.3">
      <c r="A185" t="s">
        <v>62</v>
      </c>
      <c r="B185">
        <v>17</v>
      </c>
      <c r="C185" t="s">
        <v>900</v>
      </c>
      <c r="D185">
        <v>355283</v>
      </c>
      <c r="E185">
        <v>3983465</v>
      </c>
      <c r="F185">
        <v>2128</v>
      </c>
      <c r="G185">
        <v>16</v>
      </c>
      <c r="H185">
        <v>20</v>
      </c>
      <c r="I185">
        <v>352</v>
      </c>
      <c r="J185" s="20">
        <v>3</v>
      </c>
      <c r="K185">
        <v>1</v>
      </c>
      <c r="M185">
        <v>3</v>
      </c>
      <c r="N185" t="s">
        <v>243</v>
      </c>
      <c r="O185">
        <v>16.2</v>
      </c>
      <c r="P185">
        <v>16.2</v>
      </c>
      <c r="Q185">
        <v>45.5</v>
      </c>
      <c r="R185">
        <v>4.2</v>
      </c>
      <c r="S185" s="5">
        <f>(R185/3.14159)*100</f>
        <v>133.69026512052815</v>
      </c>
      <c r="T185" t="s">
        <v>97</v>
      </c>
      <c r="U185">
        <v>99</v>
      </c>
      <c r="V185">
        <v>0</v>
      </c>
      <c r="W185">
        <v>1</v>
      </c>
      <c r="X185" s="1">
        <f>100-U185</f>
        <v>1</v>
      </c>
      <c r="Y185">
        <v>0</v>
      </c>
      <c r="Z185">
        <v>1</v>
      </c>
      <c r="AA185" t="s">
        <v>45</v>
      </c>
      <c r="AB185">
        <v>3</v>
      </c>
      <c r="AE185">
        <v>0</v>
      </c>
      <c r="AF185">
        <v>0</v>
      </c>
      <c r="AG185">
        <v>0</v>
      </c>
      <c r="AH185">
        <v>43.3</v>
      </c>
      <c r="AI185" t="s">
        <v>51</v>
      </c>
      <c r="AJ185">
        <v>1</v>
      </c>
    </row>
    <row r="186" spans="1:37" ht="14.25" customHeight="1" x14ac:dyDescent="0.3">
      <c r="A186" t="s">
        <v>62</v>
      </c>
      <c r="B186">
        <v>17</v>
      </c>
      <c r="C186" t="s">
        <v>901</v>
      </c>
      <c r="D186">
        <v>355274</v>
      </c>
      <c r="E186">
        <v>3983480</v>
      </c>
      <c r="F186">
        <v>2128</v>
      </c>
      <c r="G186">
        <v>16</v>
      </c>
      <c r="H186">
        <v>20</v>
      </c>
      <c r="I186">
        <v>319</v>
      </c>
      <c r="J186" s="20">
        <v>3</v>
      </c>
      <c r="K186">
        <v>1</v>
      </c>
      <c r="M186">
        <v>2</v>
      </c>
      <c r="N186" t="s">
        <v>243</v>
      </c>
      <c r="O186">
        <v>8.6</v>
      </c>
      <c r="P186">
        <v>8.6</v>
      </c>
      <c r="Q186">
        <v>40.6</v>
      </c>
      <c r="R186">
        <v>3.8</v>
      </c>
      <c r="S186" s="5">
        <f>(R186/3.14159)*100</f>
        <v>120.95785891857307</v>
      </c>
      <c r="T186" t="s">
        <v>102</v>
      </c>
      <c r="U186">
        <v>95</v>
      </c>
      <c r="V186">
        <v>4</v>
      </c>
      <c r="W186">
        <v>1</v>
      </c>
      <c r="X186" s="1">
        <f>100-U186</f>
        <v>5</v>
      </c>
      <c r="Y186">
        <v>0</v>
      </c>
      <c r="Z186">
        <v>1</v>
      </c>
      <c r="AA186" t="s">
        <v>45</v>
      </c>
      <c r="AB186">
        <v>2</v>
      </c>
      <c r="AE186">
        <v>0</v>
      </c>
      <c r="AF186">
        <v>0</v>
      </c>
      <c r="AG186">
        <v>0</v>
      </c>
      <c r="AH186">
        <v>52.8</v>
      </c>
      <c r="AI186" t="s">
        <v>51</v>
      </c>
      <c r="AJ186">
        <v>1</v>
      </c>
      <c r="AK186" t="s">
        <v>904</v>
      </c>
    </row>
    <row r="187" spans="1:37" ht="14.25" customHeight="1" x14ac:dyDescent="0.3">
      <c r="A187" t="s">
        <v>62</v>
      </c>
      <c r="B187">
        <v>17</v>
      </c>
      <c r="C187" t="s">
        <v>902</v>
      </c>
      <c r="D187">
        <v>355266</v>
      </c>
      <c r="E187">
        <v>3983483</v>
      </c>
      <c r="F187">
        <v>2128</v>
      </c>
      <c r="G187">
        <v>16</v>
      </c>
      <c r="H187">
        <v>20</v>
      </c>
      <c r="I187">
        <v>247</v>
      </c>
      <c r="J187" s="20">
        <v>2</v>
      </c>
      <c r="K187">
        <v>1</v>
      </c>
      <c r="M187">
        <v>2</v>
      </c>
      <c r="N187" t="s">
        <v>243</v>
      </c>
      <c r="O187">
        <v>9.1</v>
      </c>
      <c r="P187">
        <v>9.1</v>
      </c>
      <c r="Q187">
        <v>39.700000000000003</v>
      </c>
      <c r="R187">
        <v>3.4</v>
      </c>
      <c r="S187" s="5">
        <f>(R187/3.14159)*100</f>
        <v>108.22545271661801</v>
      </c>
      <c r="T187" t="s">
        <v>102</v>
      </c>
      <c r="U187">
        <v>95</v>
      </c>
      <c r="V187">
        <v>4</v>
      </c>
      <c r="W187">
        <v>1</v>
      </c>
      <c r="X187" s="1">
        <f>100-U187</f>
        <v>5</v>
      </c>
      <c r="Y187">
        <v>0</v>
      </c>
      <c r="Z187">
        <v>1</v>
      </c>
      <c r="AA187" t="s">
        <v>45</v>
      </c>
      <c r="AB187">
        <v>2</v>
      </c>
      <c r="AE187">
        <v>0</v>
      </c>
      <c r="AF187">
        <v>0</v>
      </c>
      <c r="AG187">
        <v>0</v>
      </c>
      <c r="AH187">
        <v>51.7</v>
      </c>
      <c r="AI187" t="s">
        <v>51</v>
      </c>
      <c r="AJ187">
        <v>1</v>
      </c>
      <c r="AK187" t="s">
        <v>905</v>
      </c>
    </row>
    <row r="188" spans="1:37" ht="14.25" customHeight="1" x14ac:dyDescent="0.3">
      <c r="A188" t="s">
        <v>62</v>
      </c>
      <c r="B188">
        <v>17</v>
      </c>
      <c r="C188" t="s">
        <v>903</v>
      </c>
      <c r="D188">
        <v>355282</v>
      </c>
      <c r="E188">
        <v>3983442</v>
      </c>
      <c r="F188">
        <v>2128</v>
      </c>
      <c r="G188">
        <v>16</v>
      </c>
      <c r="H188">
        <v>20</v>
      </c>
      <c r="I188">
        <v>267</v>
      </c>
      <c r="J188" s="20">
        <v>2</v>
      </c>
      <c r="K188">
        <v>1</v>
      </c>
      <c r="M188">
        <v>3</v>
      </c>
      <c r="N188" t="s">
        <v>243</v>
      </c>
      <c r="O188">
        <v>6</v>
      </c>
      <c r="P188">
        <v>12.8</v>
      </c>
      <c r="Q188" s="31"/>
      <c r="R188" s="31"/>
      <c r="S188" s="10"/>
      <c r="T188" t="s">
        <v>97</v>
      </c>
      <c r="U188">
        <v>90</v>
      </c>
      <c r="V188">
        <v>1</v>
      </c>
      <c r="W188">
        <v>9</v>
      </c>
      <c r="X188" s="1">
        <f>100-U188</f>
        <v>10</v>
      </c>
      <c r="Y188">
        <v>1</v>
      </c>
      <c r="Z188">
        <v>1</v>
      </c>
      <c r="AA188" t="s">
        <v>45</v>
      </c>
      <c r="AB188">
        <v>4</v>
      </c>
      <c r="AC188">
        <v>7</v>
      </c>
      <c r="AD188">
        <v>7</v>
      </c>
      <c r="AE188">
        <v>1</v>
      </c>
      <c r="AF188">
        <v>1</v>
      </c>
      <c r="AG188">
        <v>0</v>
      </c>
      <c r="AH188">
        <v>4.3</v>
      </c>
      <c r="AI188" t="s">
        <v>51</v>
      </c>
      <c r="AJ188">
        <v>1</v>
      </c>
      <c r="AK188" t="s">
        <v>909</v>
      </c>
    </row>
    <row r="189" spans="1:37" ht="14.25" customHeight="1" x14ac:dyDescent="0.3">
      <c r="A189" t="s">
        <v>62</v>
      </c>
      <c r="B189">
        <v>17</v>
      </c>
      <c r="C189" t="s">
        <v>910</v>
      </c>
      <c r="D189">
        <v>355248</v>
      </c>
      <c r="E189">
        <v>3983442</v>
      </c>
      <c r="F189">
        <v>2128</v>
      </c>
      <c r="G189">
        <v>16</v>
      </c>
      <c r="H189">
        <v>20</v>
      </c>
      <c r="I189">
        <v>198</v>
      </c>
      <c r="J189" s="20">
        <v>2</v>
      </c>
      <c r="K189">
        <v>1</v>
      </c>
      <c r="M189">
        <v>3</v>
      </c>
      <c r="N189" t="s">
        <v>243</v>
      </c>
      <c r="O189">
        <v>5.3</v>
      </c>
      <c r="P189">
        <v>8.6</v>
      </c>
      <c r="Q189">
        <v>64.400000000000006</v>
      </c>
      <c r="R189" s="31">
        <v>5.5</v>
      </c>
      <c r="S189" s="5">
        <f>(R189/3.14159)*100</f>
        <v>175.07058527688207</v>
      </c>
      <c r="T189" t="s">
        <v>97</v>
      </c>
      <c r="U189">
        <v>90</v>
      </c>
      <c r="V189">
        <v>1</v>
      </c>
      <c r="W189">
        <v>10</v>
      </c>
      <c r="X189" s="1">
        <f>100-U189</f>
        <v>10</v>
      </c>
      <c r="Y189">
        <v>1</v>
      </c>
      <c r="Z189">
        <v>1</v>
      </c>
      <c r="AA189" t="s">
        <v>45</v>
      </c>
      <c r="AB189">
        <v>4</v>
      </c>
      <c r="AC189">
        <v>14.5</v>
      </c>
      <c r="AD189">
        <v>14.4</v>
      </c>
      <c r="AE189">
        <v>1</v>
      </c>
      <c r="AF189">
        <v>1</v>
      </c>
      <c r="AG189">
        <v>1</v>
      </c>
      <c r="AH189">
        <v>9.3000000000000007</v>
      </c>
      <c r="AI189" t="s">
        <v>51</v>
      </c>
      <c r="AJ189">
        <v>1</v>
      </c>
      <c r="AK189" s="31" t="s">
        <v>917</v>
      </c>
    </row>
    <row r="190" spans="1:37" ht="14.25" customHeight="1" x14ac:dyDescent="0.3">
      <c r="A190" t="s">
        <v>62</v>
      </c>
      <c r="B190">
        <v>17</v>
      </c>
      <c r="C190" t="s">
        <v>911</v>
      </c>
      <c r="D190">
        <v>355221</v>
      </c>
      <c r="E190">
        <v>3983443</v>
      </c>
      <c r="F190">
        <v>2128</v>
      </c>
      <c r="G190">
        <v>16</v>
      </c>
      <c r="H190">
        <v>20</v>
      </c>
      <c r="I190">
        <v>204</v>
      </c>
      <c r="J190" s="20">
        <v>2</v>
      </c>
      <c r="K190">
        <v>1</v>
      </c>
      <c r="M190">
        <v>3</v>
      </c>
      <c r="N190" t="s">
        <v>243</v>
      </c>
      <c r="O190">
        <v>9.3000000000000007</v>
      </c>
      <c r="P190">
        <v>19.100000000000001</v>
      </c>
      <c r="Q190">
        <v>57</v>
      </c>
      <c r="R190">
        <v>9</v>
      </c>
      <c r="S190" s="5">
        <f>(R190/3.14159)*100</f>
        <v>286.47913954398888</v>
      </c>
      <c r="T190" t="s">
        <v>97</v>
      </c>
      <c r="U190">
        <v>90</v>
      </c>
      <c r="V190">
        <v>10</v>
      </c>
      <c r="W190">
        <v>1</v>
      </c>
      <c r="X190" s="1">
        <f>100-U190</f>
        <v>10</v>
      </c>
      <c r="Y190">
        <v>0</v>
      </c>
      <c r="Z190">
        <v>1</v>
      </c>
      <c r="AA190" t="s">
        <v>45</v>
      </c>
      <c r="AB190">
        <v>4</v>
      </c>
      <c r="AC190">
        <v>24.9</v>
      </c>
      <c r="AD190">
        <v>19.100000000000001</v>
      </c>
      <c r="AE190">
        <v>5</v>
      </c>
      <c r="AF190">
        <v>5</v>
      </c>
      <c r="AG190">
        <v>1</v>
      </c>
      <c r="AH190">
        <v>24.2</v>
      </c>
      <c r="AI190" t="s">
        <v>51</v>
      </c>
      <c r="AJ190">
        <v>1</v>
      </c>
    </row>
    <row r="191" spans="1:37" ht="14.25" customHeight="1" x14ac:dyDescent="0.3">
      <c r="A191" t="s">
        <v>62</v>
      </c>
      <c r="B191">
        <v>17</v>
      </c>
      <c r="C191" t="s">
        <v>912</v>
      </c>
      <c r="D191">
        <v>355200</v>
      </c>
      <c r="E191">
        <v>3983419</v>
      </c>
      <c r="F191">
        <v>2128</v>
      </c>
      <c r="G191">
        <v>16</v>
      </c>
      <c r="H191">
        <v>20</v>
      </c>
      <c r="I191">
        <v>289</v>
      </c>
      <c r="J191" s="20">
        <v>2</v>
      </c>
      <c r="K191">
        <v>0</v>
      </c>
      <c r="M191">
        <v>4</v>
      </c>
      <c r="N191" t="s">
        <v>243</v>
      </c>
      <c r="O191">
        <v>21.5</v>
      </c>
      <c r="Q191">
        <v>61.2</v>
      </c>
      <c r="R191">
        <v>5.6</v>
      </c>
      <c r="S191" s="5">
        <f>(R191/3.14159)*100</f>
        <v>178.25368682737084</v>
      </c>
      <c r="T191" t="s">
        <v>97</v>
      </c>
      <c r="U191">
        <v>0</v>
      </c>
      <c r="V191">
        <v>100</v>
      </c>
      <c r="W191">
        <v>0</v>
      </c>
      <c r="X191" s="1">
        <f>100-U191</f>
        <v>100</v>
      </c>
      <c r="Y191">
        <v>0</v>
      </c>
      <c r="AA191" t="s">
        <v>45</v>
      </c>
      <c r="AB191">
        <v>3</v>
      </c>
      <c r="AG191">
        <v>0</v>
      </c>
      <c r="AH191">
        <v>48.7</v>
      </c>
      <c r="AI191" t="s">
        <v>51</v>
      </c>
      <c r="AJ191">
        <v>1</v>
      </c>
    </row>
    <row r="192" spans="1:37" ht="14.25" customHeight="1" x14ac:dyDescent="0.3">
      <c r="A192" t="s">
        <v>62</v>
      </c>
      <c r="B192">
        <v>17</v>
      </c>
      <c r="C192" t="s">
        <v>913</v>
      </c>
      <c r="D192">
        <v>355196</v>
      </c>
      <c r="E192">
        <v>3983416</v>
      </c>
      <c r="F192">
        <v>2128</v>
      </c>
      <c r="G192">
        <v>16</v>
      </c>
      <c r="H192">
        <v>20</v>
      </c>
      <c r="I192">
        <v>325</v>
      </c>
      <c r="J192" s="20">
        <v>3</v>
      </c>
      <c r="K192">
        <v>0</v>
      </c>
      <c r="M192">
        <v>4</v>
      </c>
      <c r="N192" t="s">
        <v>243</v>
      </c>
      <c r="O192">
        <v>25.7</v>
      </c>
      <c r="Q192">
        <v>61.6</v>
      </c>
      <c r="R192">
        <v>5.0999999999999996</v>
      </c>
      <c r="S192" s="5">
        <f>(R192/3.14159)*100</f>
        <v>162.33817907492701</v>
      </c>
      <c r="T192" t="s">
        <v>97</v>
      </c>
      <c r="U192">
        <v>0</v>
      </c>
      <c r="V192">
        <v>100</v>
      </c>
      <c r="W192">
        <v>0</v>
      </c>
      <c r="X192" s="1">
        <f>100-U192</f>
        <v>100</v>
      </c>
      <c r="Y192">
        <v>0</v>
      </c>
      <c r="AA192" t="s">
        <v>45</v>
      </c>
      <c r="AB192">
        <v>2</v>
      </c>
      <c r="AG192">
        <v>0</v>
      </c>
      <c r="AH192">
        <v>55</v>
      </c>
      <c r="AI192" t="s">
        <v>51</v>
      </c>
      <c r="AJ192">
        <v>1</v>
      </c>
    </row>
    <row r="193" spans="1:37" ht="14.25" customHeight="1" x14ac:dyDescent="0.3">
      <c r="A193" t="s">
        <v>62</v>
      </c>
      <c r="B193">
        <v>17</v>
      </c>
      <c r="C193" t="s">
        <v>914</v>
      </c>
      <c r="D193">
        <v>355195</v>
      </c>
      <c r="E193">
        <v>3983412</v>
      </c>
      <c r="F193">
        <v>2128</v>
      </c>
      <c r="G193">
        <v>16</v>
      </c>
      <c r="H193">
        <v>20</v>
      </c>
      <c r="I193">
        <v>325</v>
      </c>
      <c r="J193" s="20">
        <v>3</v>
      </c>
      <c r="K193">
        <v>0</v>
      </c>
      <c r="M193">
        <v>4</v>
      </c>
      <c r="N193" t="s">
        <v>243</v>
      </c>
      <c r="O193">
        <v>17.600000000000001</v>
      </c>
      <c r="Q193">
        <v>60.6</v>
      </c>
      <c r="R193">
        <v>4.3</v>
      </c>
      <c r="S193" s="5">
        <f>(R193/3.14159)*100</f>
        <v>136.8733666710169</v>
      </c>
      <c r="T193" t="s">
        <v>97</v>
      </c>
      <c r="U193">
        <v>0</v>
      </c>
      <c r="V193">
        <v>100</v>
      </c>
      <c r="W193">
        <v>0</v>
      </c>
      <c r="X193" s="1">
        <f>100-U193</f>
        <v>100</v>
      </c>
      <c r="Y193">
        <v>0</v>
      </c>
      <c r="AA193" t="s">
        <v>45</v>
      </c>
      <c r="AB193">
        <v>2</v>
      </c>
      <c r="AG193">
        <v>0</v>
      </c>
      <c r="AH193">
        <v>55.9</v>
      </c>
      <c r="AI193" t="s">
        <v>51</v>
      </c>
      <c r="AJ193">
        <v>1</v>
      </c>
    </row>
    <row r="194" spans="1:37" ht="14.25" customHeight="1" x14ac:dyDescent="0.3">
      <c r="A194" t="s">
        <v>62</v>
      </c>
      <c r="B194">
        <v>17</v>
      </c>
      <c r="C194" t="s">
        <v>915</v>
      </c>
      <c r="D194">
        <v>355196</v>
      </c>
      <c r="E194">
        <v>3983414</v>
      </c>
      <c r="F194">
        <v>2128</v>
      </c>
      <c r="G194">
        <v>16</v>
      </c>
      <c r="H194">
        <v>20</v>
      </c>
      <c r="I194">
        <v>325</v>
      </c>
      <c r="J194" s="20">
        <v>3</v>
      </c>
      <c r="K194">
        <v>1</v>
      </c>
      <c r="M194">
        <v>4</v>
      </c>
      <c r="N194" t="s">
        <v>243</v>
      </c>
      <c r="O194">
        <v>23.5</v>
      </c>
      <c r="P194">
        <v>41.7</v>
      </c>
      <c r="Q194">
        <v>62.6</v>
      </c>
      <c r="R194">
        <v>5.6</v>
      </c>
      <c r="S194" s="5">
        <f>(R194/3.14159)*100</f>
        <v>178.25368682737084</v>
      </c>
      <c r="T194" t="s">
        <v>97</v>
      </c>
      <c r="U194">
        <v>15</v>
      </c>
      <c r="V194">
        <v>85</v>
      </c>
      <c r="W194">
        <v>0</v>
      </c>
      <c r="X194" s="1">
        <f>100-U194</f>
        <v>85</v>
      </c>
      <c r="Y194">
        <v>0</v>
      </c>
      <c r="Z194">
        <v>0</v>
      </c>
      <c r="AA194" t="s">
        <v>45</v>
      </c>
      <c r="AB194">
        <v>2</v>
      </c>
      <c r="AC194">
        <v>60.3</v>
      </c>
      <c r="AD194">
        <v>62.6</v>
      </c>
      <c r="AE194">
        <v>10</v>
      </c>
      <c r="AF194">
        <v>75</v>
      </c>
      <c r="AG194">
        <v>1</v>
      </c>
      <c r="AH194">
        <v>57.9</v>
      </c>
      <c r="AI194" t="s">
        <v>51</v>
      </c>
      <c r="AJ194">
        <v>1</v>
      </c>
    </row>
    <row r="195" spans="1:37" ht="14.25" customHeight="1" x14ac:dyDescent="0.3">
      <c r="A195" t="s">
        <v>62</v>
      </c>
      <c r="B195">
        <v>17</v>
      </c>
      <c r="C195" t="s">
        <v>916</v>
      </c>
      <c r="D195">
        <v>355198</v>
      </c>
      <c r="E195">
        <v>3983413</v>
      </c>
      <c r="F195">
        <v>2128</v>
      </c>
      <c r="G195">
        <v>16</v>
      </c>
      <c r="H195">
        <v>20</v>
      </c>
      <c r="I195">
        <v>325</v>
      </c>
      <c r="J195" s="20">
        <v>3</v>
      </c>
      <c r="K195">
        <v>0</v>
      </c>
      <c r="M195">
        <v>4</v>
      </c>
      <c r="N195" t="s">
        <v>243</v>
      </c>
      <c r="O195">
        <v>23.9</v>
      </c>
      <c r="Q195">
        <v>56.2</v>
      </c>
      <c r="R195">
        <v>3.5</v>
      </c>
      <c r="S195" s="5">
        <f>(R195/3.14159)*100</f>
        <v>111.40855426710678</v>
      </c>
      <c r="T195" t="s">
        <v>97</v>
      </c>
      <c r="U195">
        <v>0</v>
      </c>
      <c r="V195">
        <v>100</v>
      </c>
      <c r="W195">
        <v>0</v>
      </c>
      <c r="X195" s="1">
        <f>100-U195</f>
        <v>100</v>
      </c>
      <c r="Y195">
        <v>0</v>
      </c>
      <c r="AA195" t="s">
        <v>45</v>
      </c>
      <c r="AB195">
        <v>1</v>
      </c>
      <c r="AG195">
        <v>0</v>
      </c>
      <c r="AH195">
        <v>60</v>
      </c>
      <c r="AI195" t="s">
        <v>51</v>
      </c>
      <c r="AJ195">
        <v>1</v>
      </c>
    </row>
    <row r="196" spans="1:37" ht="14.25" customHeight="1" x14ac:dyDescent="0.3">
      <c r="A196" t="s">
        <v>62</v>
      </c>
      <c r="B196">
        <v>17</v>
      </c>
      <c r="C196" t="s">
        <v>881</v>
      </c>
      <c r="D196">
        <v>355198</v>
      </c>
      <c r="E196">
        <v>3983408</v>
      </c>
      <c r="F196">
        <v>2128</v>
      </c>
      <c r="G196">
        <v>16</v>
      </c>
      <c r="H196">
        <v>20</v>
      </c>
      <c r="I196">
        <v>465</v>
      </c>
      <c r="J196" s="20">
        <v>3</v>
      </c>
      <c r="K196">
        <v>0</v>
      </c>
      <c r="M196">
        <v>4</v>
      </c>
      <c r="N196" t="s">
        <v>243</v>
      </c>
      <c r="O196">
        <v>18.7</v>
      </c>
      <c r="Q196">
        <v>64</v>
      </c>
      <c r="R196">
        <v>5.0999999999999996</v>
      </c>
      <c r="S196" s="5">
        <f>(R196/3.14159)*100</f>
        <v>162.33817907492701</v>
      </c>
      <c r="T196" t="s">
        <v>97</v>
      </c>
      <c r="U196">
        <v>0</v>
      </c>
      <c r="V196">
        <v>10</v>
      </c>
      <c r="W196">
        <v>0</v>
      </c>
      <c r="X196" s="1">
        <f>100-U196</f>
        <v>100</v>
      </c>
      <c r="Y196">
        <v>0</v>
      </c>
      <c r="AA196" t="s">
        <v>45</v>
      </c>
      <c r="AB196">
        <v>3</v>
      </c>
      <c r="AD196">
        <v>64</v>
      </c>
      <c r="AE196">
        <v>0</v>
      </c>
      <c r="AF196">
        <v>100</v>
      </c>
      <c r="AG196">
        <v>1</v>
      </c>
      <c r="AH196">
        <v>56.8</v>
      </c>
      <c r="AI196" t="s">
        <v>51</v>
      </c>
      <c r="AJ196">
        <v>1</v>
      </c>
    </row>
    <row r="197" spans="1:37" ht="14.25" customHeight="1" x14ac:dyDescent="0.3">
      <c r="A197" t="s">
        <v>62</v>
      </c>
      <c r="B197">
        <v>18</v>
      </c>
      <c r="C197" t="s">
        <v>920</v>
      </c>
      <c r="D197">
        <v>355591</v>
      </c>
      <c r="E197">
        <v>3983402</v>
      </c>
      <c r="F197">
        <v>2081</v>
      </c>
      <c r="G197" s="24"/>
      <c r="H197" s="24"/>
      <c r="I197">
        <v>364</v>
      </c>
      <c r="J197" s="20">
        <v>3</v>
      </c>
      <c r="K197" s="71">
        <v>1</v>
      </c>
      <c r="M197" s="71">
        <v>3</v>
      </c>
      <c r="N197" t="s">
        <v>153</v>
      </c>
      <c r="O197">
        <v>13.1</v>
      </c>
      <c r="P197">
        <v>13.1</v>
      </c>
      <c r="Q197">
        <v>52.5</v>
      </c>
      <c r="R197">
        <v>9.3000000000000007</v>
      </c>
      <c r="S197" s="5">
        <f>(R197/3.14159)*100</f>
        <v>296.02844419545522</v>
      </c>
      <c r="T197" t="s">
        <v>95</v>
      </c>
      <c r="U197">
        <v>95</v>
      </c>
      <c r="V197">
        <v>4</v>
      </c>
      <c r="W197">
        <v>1</v>
      </c>
      <c r="X197" s="1">
        <f>100-U197</f>
        <v>5</v>
      </c>
      <c r="Y197">
        <v>0</v>
      </c>
      <c r="Z197">
        <v>0</v>
      </c>
      <c r="AA197" t="s">
        <v>45</v>
      </c>
      <c r="AB197">
        <v>4</v>
      </c>
      <c r="AE197">
        <v>0</v>
      </c>
      <c r="AF197">
        <v>0</v>
      </c>
      <c r="AG197">
        <v>0</v>
      </c>
      <c r="AH197">
        <v>55.7</v>
      </c>
      <c r="AI197" t="s">
        <v>44</v>
      </c>
      <c r="AJ197">
        <v>1</v>
      </c>
    </row>
    <row r="198" spans="1:37" ht="14.25" customHeight="1" x14ac:dyDescent="0.3">
      <c r="A198" t="s">
        <v>62</v>
      </c>
      <c r="B198">
        <v>18</v>
      </c>
      <c r="C198" t="s">
        <v>921</v>
      </c>
      <c r="D198">
        <v>355620</v>
      </c>
      <c r="E198">
        <v>3983414</v>
      </c>
      <c r="F198">
        <v>2081</v>
      </c>
      <c r="G198" s="24"/>
      <c r="H198" s="24"/>
      <c r="I198" s="71">
        <v>454</v>
      </c>
      <c r="J198" s="20">
        <v>3</v>
      </c>
      <c r="K198">
        <v>1</v>
      </c>
      <c r="M198">
        <v>3</v>
      </c>
      <c r="N198" t="s">
        <v>153</v>
      </c>
      <c r="O198">
        <v>17.5</v>
      </c>
      <c r="P198" s="31">
        <v>20.8</v>
      </c>
      <c r="Q198">
        <v>49.6</v>
      </c>
      <c r="R198">
        <v>6.8</v>
      </c>
      <c r="S198" s="5">
        <f>(R198/3.14159)*100</f>
        <v>216.45090543323602</v>
      </c>
      <c r="T198" t="s">
        <v>95</v>
      </c>
      <c r="U198">
        <v>95</v>
      </c>
      <c r="V198">
        <v>5</v>
      </c>
      <c r="W198">
        <v>0</v>
      </c>
      <c r="X198" s="1">
        <f>100-U198</f>
        <v>5</v>
      </c>
      <c r="Y198">
        <v>0</v>
      </c>
      <c r="Z198">
        <v>0</v>
      </c>
      <c r="AA198" t="s">
        <v>45</v>
      </c>
      <c r="AB198">
        <v>4</v>
      </c>
      <c r="AC198">
        <v>20.8</v>
      </c>
      <c r="AE198">
        <v>5</v>
      </c>
      <c r="AF198">
        <v>0</v>
      </c>
      <c r="AG198">
        <v>0</v>
      </c>
      <c r="AH198">
        <v>14.9</v>
      </c>
      <c r="AI198" t="s">
        <v>53</v>
      </c>
      <c r="AJ198">
        <v>2</v>
      </c>
    </row>
    <row r="199" spans="1:37" ht="14.25" customHeight="1" x14ac:dyDescent="0.3">
      <c r="A199" t="s">
        <v>62</v>
      </c>
      <c r="B199">
        <v>18</v>
      </c>
      <c r="C199" t="s">
        <v>922</v>
      </c>
      <c r="D199">
        <v>355643</v>
      </c>
      <c r="E199">
        <v>3983405</v>
      </c>
      <c r="F199">
        <v>2081</v>
      </c>
      <c r="G199" s="24"/>
      <c r="H199" s="24"/>
      <c r="I199" s="71">
        <v>276</v>
      </c>
      <c r="J199" s="20">
        <v>2</v>
      </c>
      <c r="K199">
        <v>1</v>
      </c>
      <c r="M199">
        <v>3</v>
      </c>
      <c r="N199" t="s">
        <v>153</v>
      </c>
      <c r="O199">
        <v>9.1</v>
      </c>
      <c r="P199">
        <v>13.1</v>
      </c>
      <c r="Q199">
        <v>42.5</v>
      </c>
      <c r="R199">
        <v>3.9</v>
      </c>
      <c r="S199" s="5">
        <f>(R199/3.14159)*100</f>
        <v>124.14096046906184</v>
      </c>
      <c r="T199" t="s">
        <v>102</v>
      </c>
      <c r="U199">
        <v>99</v>
      </c>
      <c r="V199">
        <v>1</v>
      </c>
      <c r="W199">
        <v>0</v>
      </c>
      <c r="X199" s="1">
        <f>100-U199</f>
        <v>1</v>
      </c>
      <c r="Y199">
        <v>0</v>
      </c>
      <c r="Z199">
        <v>0</v>
      </c>
      <c r="AA199" t="s">
        <v>45</v>
      </c>
      <c r="AB199">
        <v>3</v>
      </c>
      <c r="AC199">
        <v>13.1</v>
      </c>
      <c r="AE199">
        <v>1</v>
      </c>
      <c r="AF199">
        <v>0</v>
      </c>
      <c r="AG199">
        <v>1</v>
      </c>
      <c r="AH199">
        <v>19</v>
      </c>
      <c r="AI199" t="s">
        <v>53</v>
      </c>
      <c r="AJ199">
        <v>2</v>
      </c>
    </row>
    <row r="200" spans="1:37" ht="14.25" customHeight="1" x14ac:dyDescent="0.3">
      <c r="A200" t="s">
        <v>62</v>
      </c>
      <c r="B200">
        <v>18</v>
      </c>
      <c r="C200" t="s">
        <v>923</v>
      </c>
      <c r="D200">
        <v>355645</v>
      </c>
      <c r="E200">
        <v>3983403</v>
      </c>
      <c r="F200">
        <v>2081</v>
      </c>
      <c r="G200" s="24"/>
      <c r="H200" s="24"/>
      <c r="I200">
        <v>276</v>
      </c>
      <c r="J200" s="20">
        <v>2</v>
      </c>
      <c r="K200">
        <v>1</v>
      </c>
      <c r="M200">
        <v>3</v>
      </c>
      <c r="N200" t="s">
        <v>153</v>
      </c>
      <c r="O200">
        <v>9.4</v>
      </c>
      <c r="P200">
        <v>9.4</v>
      </c>
      <c r="Q200">
        <v>35.4</v>
      </c>
      <c r="R200">
        <v>3.6</v>
      </c>
      <c r="S200" s="5">
        <f>(R200/3.14159)*100</f>
        <v>114.59165581759557</v>
      </c>
      <c r="T200" t="s">
        <v>97</v>
      </c>
      <c r="U200">
        <v>98</v>
      </c>
      <c r="V200">
        <v>2</v>
      </c>
      <c r="W200">
        <v>0</v>
      </c>
      <c r="X200" s="1">
        <f>100-U200</f>
        <v>2</v>
      </c>
      <c r="Y200">
        <v>0</v>
      </c>
      <c r="Z200">
        <v>0</v>
      </c>
      <c r="AA200" t="s">
        <v>45</v>
      </c>
      <c r="AB200">
        <v>1</v>
      </c>
      <c r="AC200">
        <v>9.4</v>
      </c>
      <c r="AD200">
        <v>9.1</v>
      </c>
      <c r="AE200">
        <v>1</v>
      </c>
      <c r="AF200">
        <v>1</v>
      </c>
      <c r="AG200">
        <v>1</v>
      </c>
      <c r="AH200">
        <v>19.3</v>
      </c>
      <c r="AI200" t="s">
        <v>51</v>
      </c>
      <c r="AJ200">
        <v>1</v>
      </c>
    </row>
    <row r="201" spans="1:37" ht="14.25" customHeight="1" x14ac:dyDescent="0.3">
      <c r="A201" t="s">
        <v>62</v>
      </c>
      <c r="B201">
        <v>18</v>
      </c>
      <c r="C201" t="s">
        <v>924</v>
      </c>
      <c r="D201">
        <v>355646</v>
      </c>
      <c r="E201">
        <v>3983404</v>
      </c>
      <c r="F201">
        <v>2081</v>
      </c>
      <c r="G201" s="24"/>
      <c r="H201" s="24"/>
      <c r="I201" s="71">
        <v>276</v>
      </c>
      <c r="J201" s="20">
        <v>2</v>
      </c>
      <c r="K201">
        <v>1</v>
      </c>
      <c r="M201">
        <v>3</v>
      </c>
      <c r="N201" t="s">
        <v>153</v>
      </c>
      <c r="O201">
        <v>9.6999999999999993</v>
      </c>
      <c r="P201">
        <v>12.5</v>
      </c>
      <c r="Q201">
        <v>46.4</v>
      </c>
      <c r="R201">
        <v>5.5</v>
      </c>
      <c r="S201" s="5">
        <f>(R201/3.14159)*100</f>
        <v>175.07058527688207</v>
      </c>
      <c r="T201" t="s">
        <v>102</v>
      </c>
      <c r="U201">
        <v>94</v>
      </c>
      <c r="V201">
        <v>6</v>
      </c>
      <c r="W201">
        <v>0</v>
      </c>
      <c r="X201" s="1">
        <f>100-U201</f>
        <v>6</v>
      </c>
      <c r="Y201">
        <v>0</v>
      </c>
      <c r="Z201">
        <v>0</v>
      </c>
      <c r="AA201" t="s">
        <v>45</v>
      </c>
      <c r="AB201">
        <v>1</v>
      </c>
      <c r="AC201">
        <v>12.5</v>
      </c>
      <c r="AD201">
        <v>11.7</v>
      </c>
      <c r="AE201">
        <v>3</v>
      </c>
      <c r="AF201">
        <v>1</v>
      </c>
      <c r="AG201">
        <v>1</v>
      </c>
      <c r="AH201">
        <v>15.9</v>
      </c>
      <c r="AI201" t="s">
        <v>53</v>
      </c>
      <c r="AJ201">
        <v>2</v>
      </c>
    </row>
    <row r="202" spans="1:37" ht="14.25" customHeight="1" x14ac:dyDescent="0.3">
      <c r="A202" t="s">
        <v>62</v>
      </c>
      <c r="B202">
        <v>19</v>
      </c>
      <c r="C202" t="s">
        <v>925</v>
      </c>
      <c r="D202">
        <v>355808</v>
      </c>
      <c r="E202">
        <v>3983429</v>
      </c>
      <c r="F202">
        <v>2048</v>
      </c>
      <c r="G202" s="24"/>
      <c r="H202" s="24"/>
      <c r="I202">
        <v>166</v>
      </c>
      <c r="J202" s="20">
        <v>2</v>
      </c>
      <c r="K202">
        <v>1</v>
      </c>
      <c r="M202">
        <v>3</v>
      </c>
      <c r="N202" t="s">
        <v>153</v>
      </c>
      <c r="O202">
        <v>9.3000000000000007</v>
      </c>
      <c r="P202">
        <v>12.1</v>
      </c>
      <c r="Q202">
        <v>62.1</v>
      </c>
      <c r="R202">
        <v>9.6</v>
      </c>
      <c r="S202" s="5">
        <f>(R202/3.14159)*100</f>
        <v>305.57774884692151</v>
      </c>
      <c r="T202" t="s">
        <v>97</v>
      </c>
      <c r="U202">
        <v>65</v>
      </c>
      <c r="V202">
        <v>35</v>
      </c>
      <c r="W202">
        <v>1</v>
      </c>
      <c r="X202" s="1">
        <f>100-U202</f>
        <v>35</v>
      </c>
      <c r="Y202">
        <v>0</v>
      </c>
      <c r="Z202">
        <v>0</v>
      </c>
      <c r="AA202" t="s">
        <v>45</v>
      </c>
      <c r="AB202">
        <v>4</v>
      </c>
      <c r="AC202">
        <v>45.6</v>
      </c>
      <c r="AD202">
        <v>42.8</v>
      </c>
      <c r="AE202">
        <v>15</v>
      </c>
      <c r="AF202">
        <v>20</v>
      </c>
      <c r="AG202">
        <v>1</v>
      </c>
      <c r="AH202">
        <v>42.7</v>
      </c>
      <c r="AI202" t="s">
        <v>51</v>
      </c>
      <c r="AJ202">
        <v>1</v>
      </c>
    </row>
    <row r="203" spans="1:37" ht="14.25" customHeight="1" x14ac:dyDescent="0.3">
      <c r="A203" t="s">
        <v>62</v>
      </c>
      <c r="B203">
        <v>19</v>
      </c>
      <c r="C203" t="s">
        <v>926</v>
      </c>
      <c r="D203">
        <v>355807</v>
      </c>
      <c r="E203">
        <v>3983435</v>
      </c>
      <c r="F203">
        <v>2048</v>
      </c>
      <c r="G203" s="24"/>
      <c r="H203" s="24"/>
      <c r="I203">
        <v>166</v>
      </c>
      <c r="J203" s="20">
        <v>2</v>
      </c>
      <c r="K203">
        <v>1</v>
      </c>
      <c r="M203">
        <v>3</v>
      </c>
      <c r="N203" t="s">
        <v>153</v>
      </c>
      <c r="O203">
        <v>21.4</v>
      </c>
      <c r="P203">
        <v>21.4</v>
      </c>
      <c r="Q203">
        <v>46.9</v>
      </c>
      <c r="R203" s="71">
        <v>9.5</v>
      </c>
      <c r="S203" s="5">
        <f>(R203/3.14159)*100</f>
        <v>302.39464729643271</v>
      </c>
      <c r="T203" t="s">
        <v>97</v>
      </c>
      <c r="U203">
        <v>99</v>
      </c>
      <c r="V203">
        <v>1</v>
      </c>
      <c r="W203">
        <v>0</v>
      </c>
      <c r="X203" s="1">
        <f>100-U203</f>
        <v>1</v>
      </c>
      <c r="Y203">
        <v>0</v>
      </c>
      <c r="Z203">
        <v>0</v>
      </c>
      <c r="AA203" t="s">
        <v>45</v>
      </c>
      <c r="AB203">
        <v>1</v>
      </c>
      <c r="AG203">
        <v>0</v>
      </c>
      <c r="AH203">
        <v>46.8</v>
      </c>
      <c r="AI203" t="s">
        <v>51</v>
      </c>
      <c r="AJ203">
        <v>1</v>
      </c>
      <c r="AK203" t="s">
        <v>933</v>
      </c>
    </row>
    <row r="204" spans="1:37" ht="14.25" customHeight="1" x14ac:dyDescent="0.3">
      <c r="A204" t="s">
        <v>62</v>
      </c>
      <c r="B204">
        <v>19</v>
      </c>
      <c r="C204" t="s">
        <v>927</v>
      </c>
      <c r="D204">
        <v>355846</v>
      </c>
      <c r="E204">
        <v>3983451</v>
      </c>
      <c r="F204">
        <v>2048</v>
      </c>
      <c r="G204" s="24"/>
      <c r="H204" s="24"/>
      <c r="I204">
        <v>190</v>
      </c>
      <c r="J204" s="20">
        <v>2</v>
      </c>
      <c r="K204">
        <v>1</v>
      </c>
      <c r="M204">
        <v>3</v>
      </c>
      <c r="N204" t="s">
        <v>153</v>
      </c>
      <c r="O204">
        <v>11.1</v>
      </c>
      <c r="P204">
        <v>11.1</v>
      </c>
      <c r="Q204">
        <v>65.3</v>
      </c>
      <c r="R204">
        <v>12.4</v>
      </c>
      <c r="S204" s="5">
        <f>(R204/3.14159)*100</f>
        <v>394.70459226060689</v>
      </c>
      <c r="T204" t="s">
        <v>95</v>
      </c>
      <c r="U204">
        <v>100</v>
      </c>
      <c r="V204">
        <v>0</v>
      </c>
      <c r="W204">
        <v>0</v>
      </c>
      <c r="X204" s="1">
        <f>100-U204</f>
        <v>0</v>
      </c>
      <c r="Y204">
        <v>0</v>
      </c>
      <c r="Z204">
        <v>1</v>
      </c>
      <c r="AA204" t="s">
        <v>45</v>
      </c>
      <c r="AB204">
        <v>4</v>
      </c>
      <c r="AG204">
        <v>1</v>
      </c>
      <c r="AH204">
        <v>32.700000000000003</v>
      </c>
      <c r="AI204" t="s">
        <v>51</v>
      </c>
      <c r="AJ204">
        <v>1</v>
      </c>
    </row>
    <row r="205" spans="1:37" ht="14.25" customHeight="1" x14ac:dyDescent="0.3">
      <c r="A205" t="s">
        <v>62</v>
      </c>
      <c r="B205">
        <v>19</v>
      </c>
      <c r="C205" t="s">
        <v>928</v>
      </c>
      <c r="D205">
        <v>355851</v>
      </c>
      <c r="E205">
        <v>3983481</v>
      </c>
      <c r="F205">
        <v>2048</v>
      </c>
      <c r="G205" s="24"/>
      <c r="H205" s="24"/>
      <c r="I205" s="71">
        <v>242</v>
      </c>
      <c r="J205" s="20">
        <v>2</v>
      </c>
      <c r="K205">
        <v>1</v>
      </c>
      <c r="M205">
        <v>3</v>
      </c>
      <c r="N205" t="s">
        <v>153</v>
      </c>
      <c r="O205">
        <v>16.7</v>
      </c>
      <c r="P205">
        <v>16.7</v>
      </c>
      <c r="Q205">
        <v>69.599999999999994</v>
      </c>
      <c r="R205">
        <v>10.3</v>
      </c>
      <c r="S205" s="5">
        <f>(R205/3.14159)*100</f>
        <v>327.85945970034282</v>
      </c>
      <c r="T205" t="s">
        <v>97</v>
      </c>
      <c r="U205">
        <v>100</v>
      </c>
      <c r="V205">
        <v>0</v>
      </c>
      <c r="W205">
        <v>0</v>
      </c>
      <c r="X205" s="1">
        <f>100-U205</f>
        <v>0</v>
      </c>
      <c r="Y205">
        <v>0</v>
      </c>
      <c r="Z205">
        <v>1</v>
      </c>
      <c r="AA205" t="s">
        <v>45</v>
      </c>
      <c r="AB205">
        <v>4</v>
      </c>
      <c r="AG205">
        <v>1</v>
      </c>
      <c r="AH205">
        <v>45.9</v>
      </c>
      <c r="AI205" t="s">
        <v>53</v>
      </c>
      <c r="AJ205">
        <v>2</v>
      </c>
    </row>
    <row r="206" spans="1:37" ht="14.25" customHeight="1" x14ac:dyDescent="0.3">
      <c r="A206" t="s">
        <v>62</v>
      </c>
      <c r="B206">
        <v>19</v>
      </c>
      <c r="C206" t="s">
        <v>929</v>
      </c>
      <c r="D206">
        <v>355862</v>
      </c>
      <c r="E206">
        <v>3983480</v>
      </c>
      <c r="F206">
        <v>2048</v>
      </c>
      <c r="G206" s="24"/>
      <c r="H206" s="24"/>
      <c r="I206">
        <v>433</v>
      </c>
      <c r="J206" s="20">
        <v>3</v>
      </c>
      <c r="K206">
        <v>1</v>
      </c>
      <c r="M206">
        <v>3</v>
      </c>
      <c r="N206" t="s">
        <v>153</v>
      </c>
      <c r="O206">
        <v>9.8000000000000007</v>
      </c>
      <c r="P206">
        <v>9.8000000000000007</v>
      </c>
      <c r="Q206">
        <v>44.8</v>
      </c>
      <c r="R206">
        <v>6.6</v>
      </c>
      <c r="S206" s="5">
        <f>(R206/3.14159)*100</f>
        <v>210.0847023322585</v>
      </c>
      <c r="T206" t="s">
        <v>102</v>
      </c>
      <c r="U206">
        <v>90</v>
      </c>
      <c r="V206">
        <v>5</v>
      </c>
      <c r="W206">
        <v>5</v>
      </c>
      <c r="X206" s="1">
        <f>100-U206</f>
        <v>10</v>
      </c>
      <c r="Y206">
        <v>0</v>
      </c>
      <c r="Z206">
        <v>1</v>
      </c>
      <c r="AA206" t="s">
        <v>45</v>
      </c>
      <c r="AB206">
        <v>1</v>
      </c>
      <c r="AG206">
        <v>1</v>
      </c>
      <c r="AH206">
        <v>46</v>
      </c>
      <c r="AI206" t="s">
        <v>51</v>
      </c>
      <c r="AJ206">
        <v>1</v>
      </c>
      <c r="AK206" t="s">
        <v>934</v>
      </c>
    </row>
    <row r="207" spans="1:37" ht="14.25" customHeight="1" x14ac:dyDescent="0.3">
      <c r="A207" t="s">
        <v>62</v>
      </c>
      <c r="B207">
        <v>19</v>
      </c>
      <c r="C207" t="s">
        <v>930</v>
      </c>
      <c r="D207">
        <v>355858</v>
      </c>
      <c r="E207">
        <v>3983474</v>
      </c>
      <c r="F207">
        <v>2048</v>
      </c>
      <c r="G207" s="24"/>
      <c r="H207" s="24"/>
      <c r="I207">
        <v>242</v>
      </c>
      <c r="J207" s="20">
        <v>2</v>
      </c>
      <c r="K207">
        <v>1</v>
      </c>
      <c r="M207">
        <v>3</v>
      </c>
      <c r="N207" t="s">
        <v>153</v>
      </c>
      <c r="O207">
        <v>16.8</v>
      </c>
      <c r="P207">
        <v>16.8</v>
      </c>
      <c r="Q207">
        <v>58.2</v>
      </c>
      <c r="R207">
        <v>7.1</v>
      </c>
      <c r="S207" s="5">
        <f>(R207/3.14159)*100</f>
        <v>226.00021008470233</v>
      </c>
      <c r="T207" t="s">
        <v>97</v>
      </c>
      <c r="U207">
        <v>99</v>
      </c>
      <c r="V207">
        <v>1</v>
      </c>
      <c r="W207">
        <v>0</v>
      </c>
      <c r="X207" s="1">
        <f>100-U207</f>
        <v>1</v>
      </c>
      <c r="Y207">
        <v>0</v>
      </c>
      <c r="Z207">
        <v>1</v>
      </c>
      <c r="AA207" t="s">
        <v>45</v>
      </c>
      <c r="AB207">
        <v>3</v>
      </c>
      <c r="AG207">
        <v>1</v>
      </c>
      <c r="AH207">
        <v>47.5</v>
      </c>
      <c r="AI207" t="s">
        <v>51</v>
      </c>
      <c r="AJ207">
        <v>1</v>
      </c>
      <c r="AK207" t="s">
        <v>932</v>
      </c>
    </row>
    <row r="208" spans="1:37" ht="14.25" customHeight="1" x14ac:dyDescent="0.3">
      <c r="A208" t="s">
        <v>62</v>
      </c>
      <c r="B208">
        <v>19</v>
      </c>
      <c r="C208" t="s">
        <v>931</v>
      </c>
      <c r="D208">
        <v>355869</v>
      </c>
      <c r="E208">
        <v>3983502</v>
      </c>
      <c r="F208">
        <v>2048</v>
      </c>
      <c r="G208" s="24"/>
      <c r="H208" s="24"/>
      <c r="I208">
        <v>554</v>
      </c>
      <c r="J208" s="20">
        <v>3</v>
      </c>
      <c r="K208">
        <v>1</v>
      </c>
      <c r="M208">
        <v>4</v>
      </c>
      <c r="N208" t="s">
        <v>153</v>
      </c>
      <c r="O208">
        <v>15.3</v>
      </c>
      <c r="P208">
        <v>16.5</v>
      </c>
      <c r="Q208">
        <v>53.5</v>
      </c>
      <c r="R208">
        <v>8</v>
      </c>
      <c r="S208" s="5">
        <f>(R208/3.14159)*100</f>
        <v>254.64812403910125</v>
      </c>
      <c r="T208" t="s">
        <v>97</v>
      </c>
      <c r="U208">
        <v>30</v>
      </c>
      <c r="V208">
        <v>70</v>
      </c>
      <c r="W208">
        <v>0</v>
      </c>
      <c r="X208" s="1">
        <f>100-U208</f>
        <v>70</v>
      </c>
      <c r="Y208">
        <v>0</v>
      </c>
      <c r="Z208">
        <v>1</v>
      </c>
      <c r="AA208" t="s">
        <v>45</v>
      </c>
      <c r="AB208">
        <v>2</v>
      </c>
      <c r="AC208">
        <v>46.1</v>
      </c>
      <c r="AD208">
        <v>44</v>
      </c>
      <c r="AE208">
        <v>40</v>
      </c>
      <c r="AF208">
        <v>30</v>
      </c>
      <c r="AG208">
        <v>1</v>
      </c>
      <c r="AH208">
        <v>59.5</v>
      </c>
      <c r="AI208" t="s">
        <v>51</v>
      </c>
      <c r="AJ208">
        <v>1</v>
      </c>
      <c r="AK208" t="s">
        <v>935</v>
      </c>
    </row>
    <row r="209" spans="1:37" ht="14.25" customHeight="1" x14ac:dyDescent="0.3">
      <c r="A209" t="s">
        <v>62</v>
      </c>
      <c r="B209">
        <v>19</v>
      </c>
      <c r="C209" t="s">
        <v>888</v>
      </c>
      <c r="D209" s="31">
        <v>355838</v>
      </c>
      <c r="E209">
        <v>3983481</v>
      </c>
      <c r="F209">
        <v>2048</v>
      </c>
      <c r="G209" s="24"/>
      <c r="H209" s="24"/>
      <c r="I209">
        <v>624</v>
      </c>
      <c r="J209" s="20">
        <v>3</v>
      </c>
      <c r="K209" s="71">
        <v>1</v>
      </c>
      <c r="M209" s="71">
        <v>4</v>
      </c>
      <c r="N209" t="s">
        <v>153</v>
      </c>
      <c r="O209">
        <v>16.5</v>
      </c>
      <c r="P209">
        <v>48.2</v>
      </c>
      <c r="Q209">
        <v>55.2</v>
      </c>
      <c r="R209">
        <v>5.6</v>
      </c>
      <c r="S209" s="5">
        <f>(R209/3.14159)*100</f>
        <v>178.25368682737084</v>
      </c>
      <c r="T209" t="s">
        <v>97</v>
      </c>
      <c r="U209">
        <v>15</v>
      </c>
      <c r="V209">
        <v>85</v>
      </c>
      <c r="W209">
        <v>0</v>
      </c>
      <c r="X209" s="1">
        <f>100-U209</f>
        <v>85</v>
      </c>
      <c r="Y209">
        <v>0</v>
      </c>
      <c r="Z209">
        <v>0</v>
      </c>
      <c r="AA209" t="s">
        <v>45</v>
      </c>
      <c r="AB209">
        <v>2</v>
      </c>
      <c r="AC209">
        <v>47.2</v>
      </c>
      <c r="AD209">
        <v>46.8</v>
      </c>
      <c r="AE209">
        <v>10</v>
      </c>
      <c r="AF209">
        <v>75</v>
      </c>
      <c r="AG209">
        <v>0</v>
      </c>
      <c r="AH209">
        <v>61</v>
      </c>
      <c r="AI209" t="s">
        <v>44</v>
      </c>
      <c r="AJ209">
        <v>1</v>
      </c>
      <c r="AK209" t="s">
        <v>895</v>
      </c>
    </row>
    <row r="210" spans="1:37" ht="14.25" customHeight="1" x14ac:dyDescent="0.3">
      <c r="A210" t="s">
        <v>62</v>
      </c>
      <c r="B210">
        <v>19</v>
      </c>
      <c r="C210" t="s">
        <v>889</v>
      </c>
      <c r="D210">
        <v>355900</v>
      </c>
      <c r="E210">
        <v>3983447</v>
      </c>
      <c r="F210">
        <v>2048</v>
      </c>
      <c r="G210" s="24"/>
      <c r="H210" s="24"/>
      <c r="I210">
        <v>397</v>
      </c>
      <c r="J210" s="20">
        <v>3</v>
      </c>
      <c r="K210" s="71">
        <v>1</v>
      </c>
      <c r="M210" s="71">
        <v>3</v>
      </c>
      <c r="N210" t="s">
        <v>153</v>
      </c>
      <c r="O210">
        <v>9.6</v>
      </c>
      <c r="P210">
        <v>9.6</v>
      </c>
      <c r="Q210">
        <v>59.3</v>
      </c>
      <c r="R210">
        <v>13.6</v>
      </c>
      <c r="S210" s="5">
        <f>(R210/3.14159)*100</f>
        <v>432.90181086647203</v>
      </c>
      <c r="T210" t="s">
        <v>95</v>
      </c>
      <c r="U210">
        <v>99</v>
      </c>
      <c r="V210">
        <v>1</v>
      </c>
      <c r="W210">
        <v>0</v>
      </c>
      <c r="X210" s="1">
        <f>100-U210</f>
        <v>1</v>
      </c>
      <c r="Y210">
        <v>0</v>
      </c>
      <c r="Z210">
        <v>1</v>
      </c>
      <c r="AA210" t="s">
        <v>45</v>
      </c>
      <c r="AB210">
        <v>4</v>
      </c>
      <c r="AC210">
        <v>28.2</v>
      </c>
      <c r="AE210">
        <v>1</v>
      </c>
      <c r="AF210">
        <v>0</v>
      </c>
      <c r="AG210">
        <v>1</v>
      </c>
      <c r="AH210">
        <v>36.299999999999997</v>
      </c>
      <c r="AI210" t="s">
        <v>44</v>
      </c>
      <c r="AJ210">
        <v>1</v>
      </c>
    </row>
    <row r="211" spans="1:37" ht="14.25" customHeight="1" x14ac:dyDescent="0.3">
      <c r="A211" t="s">
        <v>62</v>
      </c>
      <c r="B211">
        <v>19</v>
      </c>
      <c r="C211" t="s">
        <v>890</v>
      </c>
      <c r="D211">
        <v>355902</v>
      </c>
      <c r="E211">
        <v>3983412</v>
      </c>
      <c r="F211">
        <v>2048</v>
      </c>
      <c r="G211" s="24"/>
      <c r="H211" s="24"/>
      <c r="I211">
        <v>259</v>
      </c>
      <c r="J211" s="20">
        <v>2</v>
      </c>
      <c r="K211" s="71">
        <v>1</v>
      </c>
      <c r="M211" s="71">
        <v>3</v>
      </c>
      <c r="N211" t="s">
        <v>153</v>
      </c>
      <c r="O211">
        <v>14.8</v>
      </c>
      <c r="P211">
        <v>14.8</v>
      </c>
      <c r="Q211">
        <v>45.9</v>
      </c>
      <c r="R211">
        <v>10.6</v>
      </c>
      <c r="S211" s="5">
        <f>(R211/3.14159)*100</f>
        <v>337.40876435180911</v>
      </c>
      <c r="T211" t="s">
        <v>95</v>
      </c>
      <c r="U211">
        <v>55</v>
      </c>
      <c r="V211" s="31">
        <v>35</v>
      </c>
      <c r="W211">
        <v>10</v>
      </c>
      <c r="X211" s="1">
        <f>100-U211</f>
        <v>45</v>
      </c>
      <c r="Y211">
        <v>0</v>
      </c>
      <c r="Z211">
        <v>1</v>
      </c>
      <c r="AA211" t="s">
        <v>45</v>
      </c>
      <c r="AB211">
        <v>1</v>
      </c>
      <c r="AC211">
        <v>35.299999999999997</v>
      </c>
      <c r="AD211" s="31">
        <v>42.2</v>
      </c>
      <c r="AE211">
        <v>15</v>
      </c>
      <c r="AF211">
        <v>15</v>
      </c>
      <c r="AG211">
        <v>1</v>
      </c>
      <c r="AH211">
        <v>45.1</v>
      </c>
      <c r="AI211" t="s">
        <v>44</v>
      </c>
      <c r="AJ211">
        <v>1</v>
      </c>
      <c r="AK211" t="s">
        <v>896</v>
      </c>
    </row>
    <row r="212" spans="1:37" ht="14.25" customHeight="1" x14ac:dyDescent="0.3">
      <c r="A212" t="s">
        <v>62</v>
      </c>
      <c r="B212">
        <v>20</v>
      </c>
      <c r="C212" t="s">
        <v>938</v>
      </c>
      <c r="D212">
        <v>355815</v>
      </c>
      <c r="E212">
        <v>3983658</v>
      </c>
      <c r="F212">
        <v>2080</v>
      </c>
      <c r="G212" s="24"/>
      <c r="H212" s="24"/>
      <c r="I212" s="71">
        <v>1114</v>
      </c>
      <c r="J212" s="20">
        <v>4</v>
      </c>
      <c r="K212">
        <v>0</v>
      </c>
      <c r="M212">
        <v>4</v>
      </c>
      <c r="N212" t="s">
        <v>153</v>
      </c>
      <c r="O212">
        <v>12.4</v>
      </c>
      <c r="Q212">
        <v>56.5</v>
      </c>
      <c r="R212">
        <v>8</v>
      </c>
      <c r="S212" s="5">
        <f>(R212/3.14159)*100</f>
        <v>254.64812403910125</v>
      </c>
      <c r="T212" t="s">
        <v>95</v>
      </c>
      <c r="U212">
        <v>0</v>
      </c>
      <c r="V212">
        <v>100</v>
      </c>
      <c r="W212">
        <v>0</v>
      </c>
      <c r="X212" s="1">
        <f>100-U212</f>
        <v>100</v>
      </c>
      <c r="Y212">
        <v>0</v>
      </c>
      <c r="AA212" t="s">
        <v>45</v>
      </c>
      <c r="AB212">
        <v>4</v>
      </c>
      <c r="AG212">
        <v>0</v>
      </c>
      <c r="AH212">
        <v>44.8</v>
      </c>
      <c r="AI212" t="s">
        <v>53</v>
      </c>
      <c r="AJ212">
        <v>2</v>
      </c>
    </row>
    <row r="213" spans="1:37" ht="14.25" customHeight="1" x14ac:dyDescent="0.3">
      <c r="A213" t="s">
        <v>62</v>
      </c>
      <c r="B213">
        <v>20</v>
      </c>
      <c r="C213" t="s">
        <v>939</v>
      </c>
      <c r="D213">
        <v>355801</v>
      </c>
      <c r="E213">
        <v>3983651</v>
      </c>
      <c r="F213">
        <v>2080</v>
      </c>
      <c r="G213" s="24"/>
      <c r="H213" s="24"/>
      <c r="I213" s="20">
        <v>1114</v>
      </c>
      <c r="J213" s="20">
        <v>4</v>
      </c>
      <c r="K213">
        <v>0</v>
      </c>
      <c r="M213">
        <v>4</v>
      </c>
      <c r="N213" t="s">
        <v>153</v>
      </c>
      <c r="O213">
        <v>2.5</v>
      </c>
      <c r="Q213">
        <v>39.5</v>
      </c>
      <c r="R213">
        <v>3.4</v>
      </c>
      <c r="S213" s="5">
        <f>(R213/3.14159)*100</f>
        <v>108.22545271661801</v>
      </c>
      <c r="T213" t="s">
        <v>101</v>
      </c>
      <c r="U213">
        <v>0</v>
      </c>
      <c r="V213">
        <v>100</v>
      </c>
      <c r="W213">
        <v>0</v>
      </c>
      <c r="X213" s="1">
        <f>100-U213</f>
        <v>100</v>
      </c>
      <c r="Y213">
        <v>0</v>
      </c>
      <c r="AA213" t="s">
        <v>45</v>
      </c>
      <c r="AB213">
        <v>2</v>
      </c>
      <c r="AG213">
        <v>0</v>
      </c>
      <c r="AH213">
        <v>41.1</v>
      </c>
      <c r="AI213" t="s">
        <v>53</v>
      </c>
      <c r="AJ213">
        <v>2</v>
      </c>
    </row>
    <row r="214" spans="1:37" ht="14.25" customHeight="1" x14ac:dyDescent="0.3">
      <c r="A214" t="s">
        <v>62</v>
      </c>
      <c r="B214">
        <v>20</v>
      </c>
      <c r="C214" t="s">
        <v>940</v>
      </c>
      <c r="D214">
        <v>355832</v>
      </c>
      <c r="E214">
        <v>3983664</v>
      </c>
      <c r="F214">
        <v>2080</v>
      </c>
      <c r="G214" s="24"/>
      <c r="H214" s="24"/>
      <c r="I214" s="20">
        <v>1011</v>
      </c>
      <c r="J214" s="20">
        <v>4</v>
      </c>
      <c r="K214">
        <v>0</v>
      </c>
      <c r="M214">
        <v>4</v>
      </c>
      <c r="N214" t="s">
        <v>153</v>
      </c>
      <c r="O214">
        <v>17.8</v>
      </c>
      <c r="Q214">
        <v>59.9</v>
      </c>
      <c r="R214">
        <v>14.5</v>
      </c>
      <c r="S214" s="5">
        <f>(R214/3.14159)*100</f>
        <v>461.54972482087101</v>
      </c>
      <c r="T214" t="s">
        <v>95</v>
      </c>
      <c r="U214">
        <v>0</v>
      </c>
      <c r="V214">
        <v>100</v>
      </c>
      <c r="W214">
        <v>0</v>
      </c>
      <c r="X214" s="1">
        <f>100-U214</f>
        <v>100</v>
      </c>
      <c r="Y214">
        <v>0</v>
      </c>
      <c r="AA214" t="s">
        <v>45</v>
      </c>
      <c r="AB214">
        <v>2</v>
      </c>
      <c r="AG214">
        <v>1</v>
      </c>
      <c r="AH214">
        <v>43.2</v>
      </c>
      <c r="AI214" t="s">
        <v>66</v>
      </c>
      <c r="AJ214">
        <v>3</v>
      </c>
      <c r="AK214" t="s">
        <v>943</v>
      </c>
    </row>
    <row r="215" spans="1:37" ht="14.25" customHeight="1" x14ac:dyDescent="0.3">
      <c r="A215" t="s">
        <v>62</v>
      </c>
      <c r="B215">
        <v>20</v>
      </c>
      <c r="C215" t="s">
        <v>941</v>
      </c>
      <c r="D215" s="31">
        <v>355878</v>
      </c>
      <c r="E215">
        <v>3983673</v>
      </c>
      <c r="F215">
        <v>2080</v>
      </c>
      <c r="G215" s="24"/>
      <c r="H215" s="24"/>
      <c r="I215" s="20">
        <v>881</v>
      </c>
      <c r="J215" s="20">
        <v>4</v>
      </c>
      <c r="K215" s="71">
        <v>0</v>
      </c>
      <c r="M215" s="71">
        <v>4</v>
      </c>
      <c r="N215" t="s">
        <v>153</v>
      </c>
      <c r="O215">
        <v>21.9</v>
      </c>
      <c r="Q215">
        <v>69.3</v>
      </c>
      <c r="R215">
        <v>13.4</v>
      </c>
      <c r="S215" s="5">
        <f>(R215/3.14159)*100</f>
        <v>426.53560776549455</v>
      </c>
      <c r="T215" t="s">
        <v>95</v>
      </c>
      <c r="U215">
        <v>0</v>
      </c>
      <c r="V215">
        <v>100</v>
      </c>
      <c r="W215">
        <v>0</v>
      </c>
      <c r="X215" s="1">
        <f>100-U215</f>
        <v>100</v>
      </c>
      <c r="Y215">
        <v>0</v>
      </c>
      <c r="AA215" t="s">
        <v>45</v>
      </c>
      <c r="AB215">
        <v>4</v>
      </c>
      <c r="AG215">
        <v>1</v>
      </c>
      <c r="AH215">
        <v>53.5</v>
      </c>
      <c r="AI215" t="s">
        <v>44</v>
      </c>
      <c r="AJ215">
        <v>1</v>
      </c>
    </row>
    <row r="216" spans="1:37" ht="14.25" customHeight="1" x14ac:dyDescent="0.3">
      <c r="A216" t="s">
        <v>62</v>
      </c>
      <c r="B216">
        <v>20</v>
      </c>
      <c r="C216" t="s">
        <v>942</v>
      </c>
      <c r="D216" s="20">
        <v>355855</v>
      </c>
      <c r="E216">
        <v>3983641</v>
      </c>
      <c r="F216">
        <v>2080</v>
      </c>
      <c r="G216" s="24"/>
      <c r="H216" s="24"/>
      <c r="I216" s="20">
        <v>1021</v>
      </c>
      <c r="J216" s="20">
        <v>4</v>
      </c>
      <c r="K216" s="71">
        <v>0</v>
      </c>
      <c r="M216" s="71">
        <v>4</v>
      </c>
      <c r="N216" t="s">
        <v>153</v>
      </c>
      <c r="O216">
        <v>10.199999999999999</v>
      </c>
      <c r="Q216">
        <v>58.7</v>
      </c>
      <c r="R216">
        <v>7.6</v>
      </c>
      <c r="S216" s="5">
        <f>(R216/3.14159)*100</f>
        <v>241.91571783714613</v>
      </c>
      <c r="T216" t="s">
        <v>95</v>
      </c>
      <c r="U216">
        <v>0</v>
      </c>
      <c r="V216">
        <v>100</v>
      </c>
      <c r="W216">
        <v>0</v>
      </c>
      <c r="X216" s="1">
        <f>100-U216</f>
        <v>100</v>
      </c>
      <c r="Y216">
        <v>0</v>
      </c>
      <c r="AA216" t="s">
        <v>45</v>
      </c>
      <c r="AB216">
        <v>4</v>
      </c>
      <c r="AG216">
        <v>0</v>
      </c>
      <c r="AH216">
        <v>19.100000000000001</v>
      </c>
      <c r="AI216" t="s">
        <v>44</v>
      </c>
      <c r="AJ216">
        <v>1</v>
      </c>
      <c r="AK216" t="s">
        <v>944</v>
      </c>
    </row>
    <row r="217" spans="1:37" ht="14.25" customHeight="1" x14ac:dyDescent="0.3">
      <c r="A217" t="s">
        <v>62</v>
      </c>
      <c r="B217">
        <v>20</v>
      </c>
      <c r="C217" t="s">
        <v>945</v>
      </c>
      <c r="D217">
        <v>355887</v>
      </c>
      <c r="E217">
        <v>3983635</v>
      </c>
      <c r="F217">
        <v>2080</v>
      </c>
      <c r="G217" s="24"/>
      <c r="H217" s="24"/>
      <c r="I217" s="20">
        <v>963</v>
      </c>
      <c r="J217" s="20">
        <v>4</v>
      </c>
      <c r="K217" s="71">
        <v>0</v>
      </c>
      <c r="M217" s="71">
        <v>4</v>
      </c>
      <c r="N217" t="s">
        <v>243</v>
      </c>
      <c r="O217">
        <v>18.100000000000001</v>
      </c>
      <c r="Q217">
        <v>64.400000000000006</v>
      </c>
      <c r="R217">
        <v>6</v>
      </c>
      <c r="S217" s="5">
        <f>(R217/3.14159)*100</f>
        <v>190.98609302932593</v>
      </c>
      <c r="T217" t="s">
        <v>94</v>
      </c>
      <c r="U217">
        <v>0</v>
      </c>
      <c r="V217">
        <v>100</v>
      </c>
      <c r="W217">
        <v>0</v>
      </c>
      <c r="X217" s="1">
        <f>100-U217</f>
        <v>100</v>
      </c>
      <c r="Y217">
        <v>0</v>
      </c>
      <c r="AA217" t="s">
        <v>45</v>
      </c>
      <c r="AB217">
        <v>4</v>
      </c>
      <c r="AG217">
        <v>0</v>
      </c>
      <c r="AH217">
        <v>37.6</v>
      </c>
      <c r="AI217" t="s">
        <v>44</v>
      </c>
      <c r="AJ217">
        <v>1</v>
      </c>
    </row>
    <row r="218" spans="1:37" ht="14.25" customHeight="1" x14ac:dyDescent="0.3">
      <c r="A218" t="s">
        <v>62</v>
      </c>
      <c r="B218">
        <v>20</v>
      </c>
      <c r="C218" t="s">
        <v>946</v>
      </c>
      <c r="D218">
        <v>355902</v>
      </c>
      <c r="E218">
        <v>3983638</v>
      </c>
      <c r="F218">
        <v>2080</v>
      </c>
      <c r="G218" s="24"/>
      <c r="H218" s="24"/>
      <c r="I218" s="20">
        <v>975</v>
      </c>
      <c r="J218" s="20">
        <v>4</v>
      </c>
      <c r="K218" s="71">
        <v>0</v>
      </c>
      <c r="M218" s="71">
        <v>4</v>
      </c>
      <c r="N218" t="s">
        <v>243</v>
      </c>
      <c r="O218">
        <v>11.9</v>
      </c>
      <c r="Q218">
        <v>63.1</v>
      </c>
      <c r="R218">
        <v>6.7</v>
      </c>
      <c r="S218" s="5">
        <f>(R218/3.14159)*100</f>
        <v>213.26780388274727</v>
      </c>
      <c r="T218" t="s">
        <v>94</v>
      </c>
      <c r="U218">
        <v>0</v>
      </c>
      <c r="V218">
        <v>100</v>
      </c>
      <c r="W218">
        <v>0</v>
      </c>
      <c r="X218" s="1">
        <f>100-U218</f>
        <v>100</v>
      </c>
      <c r="Y218">
        <v>0</v>
      </c>
      <c r="AA218" t="s">
        <v>45</v>
      </c>
      <c r="AB218">
        <v>4</v>
      </c>
      <c r="AG218">
        <v>0</v>
      </c>
      <c r="AH218">
        <v>50.3</v>
      </c>
      <c r="AI218" t="s">
        <v>44</v>
      </c>
      <c r="AJ218">
        <v>1</v>
      </c>
    </row>
    <row r="219" spans="1:37" ht="14.25" customHeight="1" x14ac:dyDescent="0.3">
      <c r="A219" t="s">
        <v>62</v>
      </c>
      <c r="B219">
        <v>20</v>
      </c>
      <c r="C219" t="s">
        <v>947</v>
      </c>
      <c r="D219">
        <v>355896</v>
      </c>
      <c r="E219">
        <v>3983609</v>
      </c>
      <c r="F219">
        <v>2080</v>
      </c>
      <c r="G219" s="24"/>
      <c r="H219" s="24"/>
      <c r="I219">
        <v>1019</v>
      </c>
      <c r="J219" s="20">
        <v>4</v>
      </c>
      <c r="K219" s="71">
        <v>0</v>
      </c>
      <c r="M219" s="71">
        <v>4</v>
      </c>
      <c r="N219" t="s">
        <v>243</v>
      </c>
      <c r="O219">
        <v>16.3</v>
      </c>
      <c r="Q219">
        <v>67.900000000000006</v>
      </c>
      <c r="R219">
        <v>8.8000000000000007</v>
      </c>
      <c r="S219" s="5">
        <f>(R219/3.14159)*100</f>
        <v>280.11293644301134</v>
      </c>
      <c r="T219" t="s">
        <v>95</v>
      </c>
      <c r="U219">
        <v>0</v>
      </c>
      <c r="V219">
        <v>100</v>
      </c>
      <c r="W219">
        <v>0</v>
      </c>
      <c r="X219" s="1">
        <f>100-U219</f>
        <v>100</v>
      </c>
      <c r="Y219">
        <v>0</v>
      </c>
      <c r="AA219" t="s">
        <v>45</v>
      </c>
      <c r="AB219">
        <v>4</v>
      </c>
      <c r="AG219">
        <v>0</v>
      </c>
      <c r="AH219">
        <v>49</v>
      </c>
      <c r="AI219" t="s">
        <v>44</v>
      </c>
      <c r="AJ219">
        <v>1</v>
      </c>
    </row>
    <row r="220" spans="1:37" ht="14.25" customHeight="1" x14ac:dyDescent="0.3">
      <c r="A220" t="s">
        <v>62</v>
      </c>
      <c r="B220">
        <v>20</v>
      </c>
      <c r="C220" t="s">
        <v>948</v>
      </c>
      <c r="D220">
        <v>355874</v>
      </c>
      <c r="E220">
        <v>3983613</v>
      </c>
      <c r="F220">
        <v>2080</v>
      </c>
      <c r="G220" s="24"/>
      <c r="H220" s="24"/>
      <c r="I220">
        <v>976</v>
      </c>
      <c r="J220" s="20">
        <v>4</v>
      </c>
      <c r="K220" s="71">
        <v>0</v>
      </c>
      <c r="M220" s="71">
        <v>4</v>
      </c>
      <c r="N220" t="s">
        <v>243</v>
      </c>
      <c r="O220">
        <v>7.7</v>
      </c>
      <c r="Q220">
        <v>53.5</v>
      </c>
      <c r="R220">
        <v>5.6</v>
      </c>
      <c r="S220" s="5">
        <f>(R220/3.14159)*100</f>
        <v>178.25368682737084</v>
      </c>
      <c r="T220" t="s">
        <v>94</v>
      </c>
      <c r="U220">
        <v>0</v>
      </c>
      <c r="V220">
        <v>100</v>
      </c>
      <c r="W220">
        <v>0</v>
      </c>
      <c r="X220" s="1">
        <f>100-U220</f>
        <v>100</v>
      </c>
      <c r="Y220">
        <v>0</v>
      </c>
      <c r="AA220" t="s">
        <v>45</v>
      </c>
      <c r="AB220">
        <v>4</v>
      </c>
      <c r="AG220">
        <v>1</v>
      </c>
      <c r="AH220">
        <v>23.5</v>
      </c>
      <c r="AI220" t="s">
        <v>44</v>
      </c>
      <c r="AJ220">
        <v>1</v>
      </c>
    </row>
    <row r="221" spans="1:37" ht="14.25" customHeight="1" x14ac:dyDescent="0.3">
      <c r="A221" t="s">
        <v>62</v>
      </c>
      <c r="B221">
        <v>20</v>
      </c>
      <c r="C221" t="s">
        <v>949</v>
      </c>
      <c r="D221">
        <v>355868</v>
      </c>
      <c r="E221">
        <v>3983609</v>
      </c>
      <c r="F221">
        <v>2080</v>
      </c>
      <c r="G221" s="24"/>
      <c r="H221" s="24"/>
      <c r="I221">
        <v>971</v>
      </c>
      <c r="J221" s="20">
        <v>4</v>
      </c>
      <c r="K221" s="71">
        <v>0</v>
      </c>
      <c r="M221" s="71">
        <v>4</v>
      </c>
      <c r="N221" t="s">
        <v>243</v>
      </c>
      <c r="O221">
        <v>19</v>
      </c>
      <c r="Q221">
        <v>59</v>
      </c>
      <c r="R221">
        <v>6.2</v>
      </c>
      <c r="S221" s="5">
        <f>(R221/3.14159)*100</f>
        <v>197.35229613030344</v>
      </c>
      <c r="T221" t="s">
        <v>94</v>
      </c>
      <c r="U221">
        <v>0</v>
      </c>
      <c r="V221">
        <v>100</v>
      </c>
      <c r="W221">
        <v>0</v>
      </c>
      <c r="X221" s="1">
        <f>100-U221</f>
        <v>100</v>
      </c>
      <c r="Y221">
        <v>0</v>
      </c>
      <c r="AA221" t="s">
        <v>45</v>
      </c>
      <c r="AB221">
        <v>4</v>
      </c>
      <c r="AG221">
        <v>0</v>
      </c>
      <c r="AH221">
        <v>22.6</v>
      </c>
      <c r="AI221" t="s">
        <v>44</v>
      </c>
      <c r="AJ221">
        <v>1</v>
      </c>
      <c r="AK221" s="20"/>
    </row>
    <row r="222" spans="1:37" ht="14.25" customHeight="1" x14ac:dyDescent="0.3">
      <c r="A222" t="s">
        <v>62</v>
      </c>
      <c r="B222">
        <v>21</v>
      </c>
      <c r="C222" t="s">
        <v>950</v>
      </c>
      <c r="D222">
        <v>355999</v>
      </c>
      <c r="E222">
        <v>3983669</v>
      </c>
      <c r="F222">
        <v>2061</v>
      </c>
      <c r="G222" s="24"/>
      <c r="H222" s="24"/>
      <c r="I222">
        <v>761</v>
      </c>
      <c r="J222" s="20">
        <v>4</v>
      </c>
      <c r="K222">
        <v>1</v>
      </c>
      <c r="M222">
        <v>4</v>
      </c>
      <c r="N222" t="s">
        <v>243</v>
      </c>
      <c r="O222">
        <v>11.2</v>
      </c>
      <c r="P222">
        <v>32.5</v>
      </c>
      <c r="Q222">
        <v>49.2</v>
      </c>
      <c r="R222">
        <v>14.3</v>
      </c>
      <c r="S222" s="5">
        <f>(R222/3.14159)*100</f>
        <v>455.18352171989352</v>
      </c>
      <c r="T222" t="s">
        <v>95</v>
      </c>
      <c r="U222">
        <v>10</v>
      </c>
      <c r="V222">
        <v>90</v>
      </c>
      <c r="W222">
        <v>0</v>
      </c>
      <c r="X222" s="1">
        <f>100-U222</f>
        <v>90</v>
      </c>
      <c r="Y222">
        <v>0</v>
      </c>
      <c r="Z222">
        <v>0</v>
      </c>
      <c r="AA222" t="s">
        <v>45</v>
      </c>
      <c r="AB222">
        <v>1</v>
      </c>
      <c r="AC222">
        <v>48.1</v>
      </c>
      <c r="AD222">
        <v>47.3</v>
      </c>
      <c r="AE222">
        <v>30</v>
      </c>
      <c r="AF222">
        <v>60</v>
      </c>
      <c r="AG222">
        <v>1</v>
      </c>
      <c r="AH222">
        <v>57.1</v>
      </c>
      <c r="AI222" t="s">
        <v>51</v>
      </c>
      <c r="AJ222">
        <v>1</v>
      </c>
      <c r="AK222" t="s">
        <v>956</v>
      </c>
    </row>
    <row r="223" spans="1:37" ht="14.25" customHeight="1" x14ac:dyDescent="0.3">
      <c r="A223" t="s">
        <v>62</v>
      </c>
      <c r="B223">
        <v>21</v>
      </c>
      <c r="C223" t="s">
        <v>951</v>
      </c>
      <c r="D223">
        <v>355985</v>
      </c>
      <c r="E223">
        <v>3983629</v>
      </c>
      <c r="F223">
        <v>2061</v>
      </c>
      <c r="G223" s="24"/>
      <c r="H223" s="24"/>
      <c r="I223">
        <v>567</v>
      </c>
      <c r="J223" s="20">
        <v>3</v>
      </c>
      <c r="K223">
        <v>1</v>
      </c>
      <c r="M223">
        <v>4</v>
      </c>
      <c r="N223" t="s">
        <v>153</v>
      </c>
      <c r="O223">
        <v>13.3</v>
      </c>
      <c r="P223">
        <v>30.6</v>
      </c>
      <c r="Q223">
        <v>61.7</v>
      </c>
      <c r="R223">
        <v>9</v>
      </c>
      <c r="S223" s="5">
        <f>(R223/3.14159)*100</f>
        <v>286.47913954398888</v>
      </c>
      <c r="T223" t="s">
        <v>97</v>
      </c>
      <c r="U223">
        <v>15</v>
      </c>
      <c r="V223">
        <v>85</v>
      </c>
      <c r="W223">
        <v>0</v>
      </c>
      <c r="X223" s="1">
        <f>100-U223</f>
        <v>85</v>
      </c>
      <c r="Y223">
        <v>0</v>
      </c>
      <c r="Z223">
        <v>0</v>
      </c>
      <c r="AA223" t="s">
        <v>45</v>
      </c>
      <c r="AB223">
        <v>2</v>
      </c>
      <c r="AC223">
        <v>56.8</v>
      </c>
      <c r="AD223">
        <v>41.4</v>
      </c>
      <c r="AE223">
        <v>75</v>
      </c>
      <c r="AF223">
        <v>10</v>
      </c>
      <c r="AG223">
        <v>0</v>
      </c>
      <c r="AH223">
        <v>57.8</v>
      </c>
      <c r="AI223" t="s">
        <v>51</v>
      </c>
      <c r="AJ223">
        <v>1</v>
      </c>
    </row>
    <row r="224" spans="1:37" ht="14.25" customHeight="1" x14ac:dyDescent="0.3">
      <c r="A224" t="s">
        <v>62</v>
      </c>
      <c r="B224">
        <v>21</v>
      </c>
      <c r="C224" t="s">
        <v>952</v>
      </c>
      <c r="D224">
        <v>355964</v>
      </c>
      <c r="E224">
        <v>3983608</v>
      </c>
      <c r="F224">
        <v>2061</v>
      </c>
      <c r="G224" s="24"/>
      <c r="H224" s="24"/>
      <c r="I224">
        <v>627</v>
      </c>
      <c r="J224" s="20">
        <v>3</v>
      </c>
      <c r="K224">
        <v>1</v>
      </c>
      <c r="M224">
        <v>4</v>
      </c>
      <c r="N224" t="s">
        <v>153</v>
      </c>
      <c r="O224">
        <v>13.8</v>
      </c>
      <c r="P224">
        <v>29.4</v>
      </c>
      <c r="Q224">
        <v>54.6</v>
      </c>
      <c r="R224">
        <v>7</v>
      </c>
      <c r="S224" s="5">
        <f>(R224/3.14159)*100</f>
        <v>222.81710853421356</v>
      </c>
      <c r="T224" t="s">
        <v>97</v>
      </c>
      <c r="U224">
        <v>15</v>
      </c>
      <c r="V224">
        <v>85</v>
      </c>
      <c r="W224">
        <v>0</v>
      </c>
      <c r="X224" s="1">
        <f>100-U224</f>
        <v>85</v>
      </c>
      <c r="Y224">
        <v>0</v>
      </c>
      <c r="Z224">
        <v>0</v>
      </c>
      <c r="AA224" t="s">
        <v>45</v>
      </c>
      <c r="AB224">
        <v>2</v>
      </c>
      <c r="AC224">
        <v>52.7</v>
      </c>
      <c r="AD224">
        <v>46.8</v>
      </c>
      <c r="AE224">
        <v>80</v>
      </c>
      <c r="AF224">
        <v>5</v>
      </c>
      <c r="AG224">
        <v>0</v>
      </c>
      <c r="AH224">
        <v>62.8</v>
      </c>
      <c r="AI224" t="s">
        <v>51</v>
      </c>
      <c r="AJ224">
        <v>1</v>
      </c>
      <c r="AK224" t="s">
        <v>957</v>
      </c>
    </row>
    <row r="225" spans="1:37" ht="14.25" customHeight="1" x14ac:dyDescent="0.3">
      <c r="A225" t="s">
        <v>62</v>
      </c>
      <c r="B225">
        <v>21</v>
      </c>
      <c r="C225" t="s">
        <v>953</v>
      </c>
      <c r="D225">
        <v>355927</v>
      </c>
      <c r="E225">
        <v>3983562</v>
      </c>
      <c r="F225">
        <v>2061</v>
      </c>
      <c r="G225" s="24"/>
      <c r="H225" s="24"/>
      <c r="I225">
        <v>969</v>
      </c>
      <c r="J225" s="20">
        <v>4</v>
      </c>
      <c r="K225">
        <v>0</v>
      </c>
      <c r="M225">
        <v>4</v>
      </c>
      <c r="N225" t="s">
        <v>153</v>
      </c>
      <c r="O225">
        <v>12.7</v>
      </c>
      <c r="Q225">
        <v>38.5</v>
      </c>
      <c r="R225">
        <v>11.1</v>
      </c>
      <c r="S225" s="5">
        <f>(R225/3.14159)*100</f>
        <v>353.32427210425294</v>
      </c>
      <c r="T225" t="s">
        <v>95</v>
      </c>
      <c r="U225">
        <v>0</v>
      </c>
      <c r="V225">
        <v>100</v>
      </c>
      <c r="W225">
        <v>0</v>
      </c>
      <c r="X225" s="1">
        <f>100-U225</f>
        <v>100</v>
      </c>
      <c r="Y225">
        <v>0</v>
      </c>
      <c r="Z225">
        <v>0</v>
      </c>
      <c r="AA225" t="s">
        <v>45</v>
      </c>
      <c r="AB225">
        <v>1</v>
      </c>
      <c r="AD225">
        <v>32.4</v>
      </c>
      <c r="AE225">
        <v>0</v>
      </c>
      <c r="AF225">
        <v>100</v>
      </c>
      <c r="AG225">
        <v>0</v>
      </c>
      <c r="AH225">
        <v>59.8</v>
      </c>
      <c r="AI225" t="s">
        <v>59</v>
      </c>
      <c r="AJ225">
        <v>1</v>
      </c>
      <c r="AK225" s="31" t="s">
        <v>959</v>
      </c>
    </row>
    <row r="226" spans="1:37" ht="14.25" customHeight="1" x14ac:dyDescent="0.3">
      <c r="A226" t="s">
        <v>62</v>
      </c>
      <c r="B226">
        <v>21</v>
      </c>
      <c r="C226" t="s">
        <v>954</v>
      </c>
      <c r="D226">
        <v>356066</v>
      </c>
      <c r="E226">
        <v>3983618</v>
      </c>
      <c r="F226">
        <v>2061</v>
      </c>
      <c r="G226" s="24"/>
      <c r="H226" s="24"/>
      <c r="I226">
        <v>890</v>
      </c>
      <c r="J226" s="20">
        <v>4</v>
      </c>
      <c r="K226" s="71">
        <v>1</v>
      </c>
      <c r="M226" s="71">
        <v>4</v>
      </c>
      <c r="N226" t="s">
        <v>153</v>
      </c>
      <c r="O226">
        <v>9.5</v>
      </c>
      <c r="P226">
        <v>36.700000000000003</v>
      </c>
      <c r="Q226">
        <v>54.3</v>
      </c>
      <c r="R226">
        <v>6.6</v>
      </c>
      <c r="S226" s="5">
        <f>(R226/3.14159)*100</f>
        <v>210.0847023322585</v>
      </c>
      <c r="T226" t="s">
        <v>95</v>
      </c>
      <c r="U226">
        <v>15</v>
      </c>
      <c r="V226">
        <v>85</v>
      </c>
      <c r="W226">
        <v>0</v>
      </c>
      <c r="X226" s="1">
        <f>100-U226</f>
        <v>85</v>
      </c>
      <c r="Y226">
        <v>0</v>
      </c>
      <c r="Z226">
        <v>0</v>
      </c>
      <c r="AA226" t="s">
        <v>45</v>
      </c>
      <c r="AB226">
        <v>3</v>
      </c>
      <c r="AC226">
        <v>54.2</v>
      </c>
      <c r="AD226">
        <v>42.8</v>
      </c>
      <c r="AE226">
        <v>45</v>
      </c>
      <c r="AF226">
        <v>40</v>
      </c>
      <c r="AG226">
        <v>0</v>
      </c>
      <c r="AH226">
        <v>22.2</v>
      </c>
      <c r="AI226" t="s">
        <v>44</v>
      </c>
      <c r="AJ226">
        <v>1</v>
      </c>
    </row>
    <row r="227" spans="1:37" ht="14.25" customHeight="1" x14ac:dyDescent="0.3">
      <c r="A227" t="s">
        <v>62</v>
      </c>
      <c r="B227">
        <v>21</v>
      </c>
      <c r="C227" t="s">
        <v>955</v>
      </c>
      <c r="D227">
        <v>356048</v>
      </c>
      <c r="E227">
        <v>3983643</v>
      </c>
      <c r="F227">
        <v>2061</v>
      </c>
      <c r="G227" s="24"/>
      <c r="H227" s="24"/>
      <c r="I227">
        <v>839</v>
      </c>
      <c r="J227" s="20">
        <v>4</v>
      </c>
      <c r="K227">
        <v>1</v>
      </c>
      <c r="M227">
        <v>4</v>
      </c>
      <c r="N227" t="s">
        <v>153</v>
      </c>
      <c r="O227">
        <v>11.7</v>
      </c>
      <c r="P227">
        <v>26.4</v>
      </c>
      <c r="Q227">
        <v>57.3</v>
      </c>
      <c r="R227">
        <v>9.1</v>
      </c>
      <c r="S227" s="5">
        <f>(R227/3.14159)*100</f>
        <v>289.66224109447762</v>
      </c>
      <c r="T227" t="s">
        <v>95</v>
      </c>
      <c r="U227">
        <v>45</v>
      </c>
      <c r="V227">
        <v>55</v>
      </c>
      <c r="W227">
        <v>0</v>
      </c>
      <c r="X227" s="1">
        <f>100-U227</f>
        <v>55</v>
      </c>
      <c r="Y227">
        <v>0</v>
      </c>
      <c r="Z227">
        <v>1</v>
      </c>
      <c r="AA227" t="s">
        <v>45</v>
      </c>
      <c r="AB227">
        <v>4</v>
      </c>
      <c r="AC227">
        <v>55.9</v>
      </c>
      <c r="AD227">
        <v>34.799999999999997</v>
      </c>
      <c r="AE227">
        <v>30</v>
      </c>
      <c r="AF227">
        <v>25</v>
      </c>
      <c r="AG227">
        <v>0</v>
      </c>
      <c r="AH227">
        <v>15.5</v>
      </c>
      <c r="AI227" t="s">
        <v>51</v>
      </c>
      <c r="AJ227">
        <v>1</v>
      </c>
      <c r="AK227" t="s">
        <v>958</v>
      </c>
    </row>
    <row r="228" spans="1:37" ht="14.25" customHeight="1" x14ac:dyDescent="0.3">
      <c r="A228" t="s">
        <v>62</v>
      </c>
      <c r="B228">
        <v>22</v>
      </c>
      <c r="C228" t="s">
        <v>936</v>
      </c>
      <c r="D228">
        <v>355821</v>
      </c>
      <c r="E228">
        <v>3983827</v>
      </c>
      <c r="F228">
        <v>2111</v>
      </c>
      <c r="G228" s="24"/>
      <c r="H228" s="24"/>
      <c r="I228">
        <v>1031</v>
      </c>
      <c r="J228" s="20">
        <v>4</v>
      </c>
      <c r="K228" s="71">
        <v>0</v>
      </c>
      <c r="M228" s="71">
        <v>4</v>
      </c>
      <c r="N228" t="s">
        <v>243</v>
      </c>
      <c r="O228">
        <v>16.7</v>
      </c>
      <c r="Q228">
        <v>71.3</v>
      </c>
      <c r="R228">
        <v>10.8</v>
      </c>
      <c r="S228" s="5">
        <f>(R228/3.14159)*100</f>
        <v>343.77496745278665</v>
      </c>
      <c r="T228" t="s">
        <v>95</v>
      </c>
      <c r="U228">
        <v>0</v>
      </c>
      <c r="V228">
        <v>100</v>
      </c>
      <c r="W228">
        <v>0</v>
      </c>
      <c r="X228" s="1">
        <f>100-U228</f>
        <v>100</v>
      </c>
      <c r="Y228">
        <v>0</v>
      </c>
      <c r="AA228" t="s">
        <v>45</v>
      </c>
      <c r="AB228">
        <v>4</v>
      </c>
      <c r="AG228">
        <v>0</v>
      </c>
      <c r="AH228">
        <v>20.9</v>
      </c>
      <c r="AI228" t="s">
        <v>44</v>
      </c>
      <c r="AJ228">
        <v>1</v>
      </c>
      <c r="AK228" t="s">
        <v>960</v>
      </c>
    </row>
    <row r="229" spans="1:37" ht="14.25" customHeight="1" x14ac:dyDescent="0.3">
      <c r="A229" t="s">
        <v>62</v>
      </c>
      <c r="B229">
        <v>22</v>
      </c>
      <c r="C229" t="s">
        <v>937</v>
      </c>
      <c r="D229">
        <v>355801</v>
      </c>
      <c r="E229">
        <v>3983822</v>
      </c>
      <c r="F229">
        <v>2111</v>
      </c>
      <c r="G229" s="24"/>
      <c r="H229" s="24"/>
      <c r="I229">
        <v>1178</v>
      </c>
      <c r="J229" s="20">
        <v>4</v>
      </c>
      <c r="K229" s="71">
        <v>0</v>
      </c>
      <c r="M229" s="71">
        <v>4</v>
      </c>
      <c r="N229" t="s">
        <v>243</v>
      </c>
      <c r="O229">
        <v>11.9</v>
      </c>
      <c r="Q229">
        <v>70.7</v>
      </c>
      <c r="R229">
        <v>14</v>
      </c>
      <c r="S229" s="5">
        <f>(R229/3.14159)*100</f>
        <v>445.63421706842712</v>
      </c>
      <c r="T229" t="s">
        <v>95</v>
      </c>
      <c r="U229">
        <v>0</v>
      </c>
      <c r="V229">
        <v>100</v>
      </c>
      <c r="W229">
        <v>0</v>
      </c>
      <c r="X229" s="1">
        <f>100-U229</f>
        <v>100</v>
      </c>
      <c r="Y229">
        <v>0</v>
      </c>
      <c r="AA229" t="s">
        <v>45</v>
      </c>
      <c r="AB229">
        <v>4</v>
      </c>
      <c r="AG229">
        <v>0</v>
      </c>
      <c r="AH229">
        <v>45.6</v>
      </c>
      <c r="AI229" t="s">
        <v>44</v>
      </c>
      <c r="AJ229">
        <v>1</v>
      </c>
    </row>
    <row r="230" spans="1:37" ht="14.25" customHeight="1" x14ac:dyDescent="0.3">
      <c r="A230" s="1" t="s">
        <v>68</v>
      </c>
      <c r="B230" s="1">
        <v>1</v>
      </c>
      <c r="C230" s="1" t="s">
        <v>405</v>
      </c>
      <c r="D230" s="1">
        <v>356279</v>
      </c>
      <c r="E230" s="1">
        <v>3976655</v>
      </c>
      <c r="F230">
        <v>2064</v>
      </c>
      <c r="G230" s="1">
        <v>10</v>
      </c>
      <c r="H230" s="1">
        <v>146</v>
      </c>
      <c r="I230">
        <v>416</v>
      </c>
      <c r="J230" s="20">
        <v>3</v>
      </c>
      <c r="K230" s="1">
        <v>1</v>
      </c>
      <c r="L230" s="38"/>
      <c r="M230" s="1">
        <v>3</v>
      </c>
      <c r="N230" s="1" t="s">
        <v>243</v>
      </c>
      <c r="O230" s="1">
        <v>4.9000000000000004</v>
      </c>
      <c r="P230" s="1">
        <v>17.2</v>
      </c>
      <c r="Q230" s="1">
        <v>56.2</v>
      </c>
      <c r="R230" s="1">
        <v>8.1999999999999993</v>
      </c>
      <c r="S230" s="5">
        <f>(R230/3.14159)*100</f>
        <v>261.01432714007876</v>
      </c>
      <c r="T230" s="1" t="s">
        <v>97</v>
      </c>
      <c r="U230" s="1">
        <v>70</v>
      </c>
      <c r="V230" s="1">
        <v>30</v>
      </c>
      <c r="W230" s="1">
        <v>0</v>
      </c>
      <c r="X230" s="1">
        <f>100-U230</f>
        <v>30</v>
      </c>
      <c r="Y230" s="1">
        <v>0</v>
      </c>
      <c r="Z230" s="1">
        <v>0</v>
      </c>
      <c r="AA230" s="1" t="s">
        <v>45</v>
      </c>
      <c r="AB230" s="10">
        <v>4</v>
      </c>
      <c r="AC230" s="1">
        <v>9.5</v>
      </c>
      <c r="AD230" s="1">
        <v>26.6</v>
      </c>
      <c r="AE230" s="1">
        <v>20</v>
      </c>
      <c r="AF230" s="1">
        <v>10</v>
      </c>
      <c r="AG230" s="1">
        <v>1</v>
      </c>
      <c r="AH230" s="1">
        <v>12</v>
      </c>
      <c r="AI230" s="1" t="s">
        <v>51</v>
      </c>
      <c r="AJ230">
        <v>1</v>
      </c>
    </row>
    <row r="231" spans="1:37" ht="14.25" customHeight="1" x14ac:dyDescent="0.3">
      <c r="A231" s="1" t="s">
        <v>68</v>
      </c>
      <c r="B231" s="1">
        <v>1</v>
      </c>
      <c r="C231" s="1" t="s">
        <v>406</v>
      </c>
      <c r="D231" s="1">
        <v>356324</v>
      </c>
      <c r="E231" s="1">
        <v>3976639</v>
      </c>
      <c r="F231">
        <v>2064</v>
      </c>
      <c r="G231" s="1">
        <v>10</v>
      </c>
      <c r="H231" s="1">
        <v>146</v>
      </c>
      <c r="I231">
        <v>174</v>
      </c>
      <c r="J231" s="20">
        <v>2</v>
      </c>
      <c r="K231" s="1">
        <v>1</v>
      </c>
      <c r="L231" s="38"/>
      <c r="M231" s="1">
        <v>3</v>
      </c>
      <c r="N231" s="1" t="s">
        <v>243</v>
      </c>
      <c r="O231" s="1">
        <v>18.399999999999999</v>
      </c>
      <c r="P231" s="1">
        <v>27.5</v>
      </c>
      <c r="Q231" s="1">
        <v>54.2</v>
      </c>
      <c r="R231" s="1">
        <v>7.8</v>
      </c>
      <c r="S231" s="5">
        <f>(R231/3.14159)*100</f>
        <v>248.28192093812368</v>
      </c>
      <c r="T231" s="1" t="s">
        <v>95</v>
      </c>
      <c r="U231" s="1">
        <v>65</v>
      </c>
      <c r="V231" s="1">
        <v>35</v>
      </c>
      <c r="W231" s="1">
        <v>0</v>
      </c>
      <c r="X231" s="1">
        <f>100-U231</f>
        <v>35</v>
      </c>
      <c r="Y231" s="1">
        <v>0</v>
      </c>
      <c r="Z231" s="1">
        <v>0</v>
      </c>
      <c r="AA231" s="1" t="s">
        <v>45</v>
      </c>
      <c r="AB231" s="10">
        <v>4</v>
      </c>
      <c r="AC231" s="1">
        <v>52.8</v>
      </c>
      <c r="AD231" s="1">
        <v>48.4</v>
      </c>
      <c r="AE231" s="1">
        <v>30</v>
      </c>
      <c r="AF231" s="1">
        <v>5</v>
      </c>
      <c r="AG231">
        <v>1</v>
      </c>
      <c r="AH231" s="1">
        <v>41.8</v>
      </c>
      <c r="AI231" s="1" t="s">
        <v>66</v>
      </c>
      <c r="AJ231">
        <v>3</v>
      </c>
    </row>
    <row r="232" spans="1:37" ht="14.25" customHeight="1" x14ac:dyDescent="0.3">
      <c r="A232" s="1" t="s">
        <v>68</v>
      </c>
      <c r="B232" s="1">
        <v>1</v>
      </c>
      <c r="C232" s="1" t="s">
        <v>407</v>
      </c>
      <c r="D232" s="1">
        <v>356345</v>
      </c>
      <c r="E232" s="1">
        <v>3976675</v>
      </c>
      <c r="F232">
        <v>2064</v>
      </c>
      <c r="G232" s="1">
        <v>10</v>
      </c>
      <c r="H232" s="1">
        <v>146</v>
      </c>
      <c r="I232">
        <v>289</v>
      </c>
      <c r="J232" s="20">
        <v>2</v>
      </c>
      <c r="K232" s="1">
        <v>1</v>
      </c>
      <c r="L232" s="38"/>
      <c r="M232" s="1">
        <v>3</v>
      </c>
      <c r="N232" s="1" t="s">
        <v>153</v>
      </c>
      <c r="O232" s="1">
        <v>8.6</v>
      </c>
      <c r="P232" s="1">
        <v>18.3</v>
      </c>
      <c r="Q232" s="1">
        <v>65.5</v>
      </c>
      <c r="R232" s="1">
        <v>16.100000000000001</v>
      </c>
      <c r="S232" s="5">
        <f>(R232/3.14159)*100</f>
        <v>512.47934962869124</v>
      </c>
      <c r="T232" s="1" t="s">
        <v>95</v>
      </c>
      <c r="U232" s="1">
        <v>70</v>
      </c>
      <c r="V232" s="1">
        <v>25</v>
      </c>
      <c r="W232" s="1">
        <v>5</v>
      </c>
      <c r="X232" s="1">
        <f>100-U232</f>
        <v>30</v>
      </c>
      <c r="Y232" s="1">
        <v>0</v>
      </c>
      <c r="Z232" s="1">
        <v>0</v>
      </c>
      <c r="AA232" s="1" t="s">
        <v>45</v>
      </c>
      <c r="AB232" s="10">
        <v>4</v>
      </c>
      <c r="AC232" s="1">
        <v>45</v>
      </c>
      <c r="AD232" s="1">
        <v>26.2</v>
      </c>
      <c r="AE232" s="1">
        <v>20</v>
      </c>
      <c r="AF232" s="1">
        <v>5</v>
      </c>
      <c r="AG232" s="1">
        <v>1</v>
      </c>
      <c r="AH232" s="1">
        <v>54.3</v>
      </c>
      <c r="AI232" s="1" t="s">
        <v>60</v>
      </c>
      <c r="AJ232">
        <v>1</v>
      </c>
    </row>
    <row r="233" spans="1:37" ht="14.25" customHeight="1" x14ac:dyDescent="0.3">
      <c r="A233" s="1" t="s">
        <v>68</v>
      </c>
      <c r="B233" s="1">
        <v>2</v>
      </c>
      <c r="C233" s="1" t="s">
        <v>478</v>
      </c>
      <c r="D233" s="1">
        <v>356480</v>
      </c>
      <c r="E233" s="1">
        <v>3976673</v>
      </c>
      <c r="F233">
        <v>2062</v>
      </c>
      <c r="G233" s="1">
        <v>23</v>
      </c>
      <c r="H233" s="1">
        <v>149</v>
      </c>
      <c r="I233">
        <v>329</v>
      </c>
      <c r="J233" s="20">
        <v>3</v>
      </c>
      <c r="K233" s="1">
        <v>1</v>
      </c>
      <c r="L233" s="38"/>
      <c r="M233" s="1">
        <v>3</v>
      </c>
      <c r="N233" s="1" t="s">
        <v>153</v>
      </c>
      <c r="O233" s="1">
        <v>10.1</v>
      </c>
      <c r="P233" s="1">
        <v>11.1</v>
      </c>
      <c r="Q233" s="1">
        <v>37.4</v>
      </c>
      <c r="R233" s="1">
        <v>10</v>
      </c>
      <c r="S233" s="5">
        <f>(R233/3.14159)*100</f>
        <v>318.31015504887654</v>
      </c>
      <c r="T233" s="1" t="s">
        <v>97</v>
      </c>
      <c r="U233" s="1">
        <v>40</v>
      </c>
      <c r="V233" s="1">
        <v>60</v>
      </c>
      <c r="W233" s="1">
        <v>1</v>
      </c>
      <c r="X233" s="1">
        <f>100-U233</f>
        <v>60</v>
      </c>
      <c r="Y233" s="1">
        <v>0</v>
      </c>
      <c r="Z233" s="1">
        <v>1</v>
      </c>
      <c r="AA233" s="1" t="s">
        <v>45</v>
      </c>
      <c r="AB233" s="10">
        <v>3</v>
      </c>
      <c r="AC233" s="1">
        <v>37.4</v>
      </c>
      <c r="AD233" s="1">
        <v>28.6</v>
      </c>
      <c r="AE233" s="1">
        <v>30</v>
      </c>
      <c r="AF233" s="1">
        <v>25</v>
      </c>
      <c r="AG233" s="1">
        <v>0</v>
      </c>
      <c r="AH233" s="17">
        <v>27.8</v>
      </c>
      <c r="AI233" s="1" t="s">
        <v>66</v>
      </c>
      <c r="AJ233">
        <v>3</v>
      </c>
    </row>
    <row r="234" spans="1:37" ht="14.25" customHeight="1" x14ac:dyDescent="0.3">
      <c r="A234" s="1" t="s">
        <v>68</v>
      </c>
      <c r="B234" s="1">
        <v>2</v>
      </c>
      <c r="C234" s="1" t="s">
        <v>479</v>
      </c>
      <c r="D234" s="1">
        <v>356456</v>
      </c>
      <c r="E234" s="1">
        <v>3976635</v>
      </c>
      <c r="F234">
        <v>2062</v>
      </c>
      <c r="G234" s="1">
        <v>23</v>
      </c>
      <c r="H234" s="1">
        <v>149</v>
      </c>
      <c r="I234">
        <v>405</v>
      </c>
      <c r="J234" s="20">
        <v>3</v>
      </c>
      <c r="K234" s="1">
        <v>1</v>
      </c>
      <c r="L234" s="38"/>
      <c r="M234" s="1">
        <v>3</v>
      </c>
      <c r="N234" s="1" t="s">
        <v>153</v>
      </c>
      <c r="O234" s="1">
        <v>18.399999999999999</v>
      </c>
      <c r="P234" s="1">
        <v>22.7</v>
      </c>
      <c r="Q234" s="1">
        <v>43.8</v>
      </c>
      <c r="R234" s="1">
        <v>13.3</v>
      </c>
      <c r="S234" s="5">
        <f>(R234/3.14159)*100</f>
        <v>423.35250621500575</v>
      </c>
      <c r="T234" s="1" t="s">
        <v>102</v>
      </c>
      <c r="U234" s="1">
        <v>30</v>
      </c>
      <c r="V234" s="1">
        <v>70</v>
      </c>
      <c r="W234" s="1">
        <v>0</v>
      </c>
      <c r="X234" s="1">
        <f>100-U234</f>
        <v>70</v>
      </c>
      <c r="Y234" s="1">
        <v>1</v>
      </c>
      <c r="Z234" s="1">
        <v>1</v>
      </c>
      <c r="AA234" s="1" t="s">
        <v>45</v>
      </c>
      <c r="AB234" s="10">
        <v>1</v>
      </c>
      <c r="AC234" s="1">
        <v>43.8</v>
      </c>
      <c r="AD234" s="1">
        <v>43.8</v>
      </c>
      <c r="AE234" s="1">
        <v>30</v>
      </c>
      <c r="AF234" s="1">
        <v>40</v>
      </c>
      <c r="AG234" s="1">
        <v>1</v>
      </c>
      <c r="AH234" s="1">
        <v>35.200000000000003</v>
      </c>
      <c r="AI234" s="1" t="s">
        <v>66</v>
      </c>
      <c r="AJ234">
        <v>3</v>
      </c>
      <c r="AK234" s="1" t="s">
        <v>480</v>
      </c>
    </row>
    <row r="235" spans="1:37" ht="14.25" customHeight="1" x14ac:dyDescent="0.3">
      <c r="A235" s="1" t="s">
        <v>68</v>
      </c>
      <c r="B235" s="1">
        <v>3</v>
      </c>
      <c r="C235" s="1" t="s">
        <v>399</v>
      </c>
      <c r="D235" s="1">
        <v>356281</v>
      </c>
      <c r="E235" s="1">
        <v>3976870</v>
      </c>
      <c r="F235">
        <v>2046</v>
      </c>
      <c r="G235" s="1">
        <v>9</v>
      </c>
      <c r="H235" s="1">
        <v>145</v>
      </c>
      <c r="I235">
        <v>414</v>
      </c>
      <c r="J235" s="20">
        <v>3</v>
      </c>
      <c r="K235" s="1">
        <v>1</v>
      </c>
      <c r="L235" s="38"/>
      <c r="M235" s="1">
        <v>4</v>
      </c>
      <c r="N235" s="1" t="s">
        <v>153</v>
      </c>
      <c r="O235" s="1">
        <v>14.8</v>
      </c>
      <c r="P235" s="1">
        <v>32.4</v>
      </c>
      <c r="Q235" s="1">
        <v>50.9</v>
      </c>
      <c r="R235" s="1">
        <v>21.5</v>
      </c>
      <c r="S235" s="5">
        <f>(R235/3.14159)*100</f>
        <v>684.36683335508462</v>
      </c>
      <c r="T235" s="1" t="s">
        <v>95</v>
      </c>
      <c r="U235" s="1">
        <v>1</v>
      </c>
      <c r="V235" s="1">
        <v>99</v>
      </c>
      <c r="W235" s="1">
        <v>0</v>
      </c>
      <c r="X235" s="1">
        <f>100-U235</f>
        <v>99</v>
      </c>
      <c r="Y235" s="1">
        <v>0</v>
      </c>
      <c r="Z235" s="1">
        <v>1</v>
      </c>
      <c r="AA235" s="1" t="s">
        <v>45</v>
      </c>
      <c r="AB235" s="10">
        <v>1</v>
      </c>
      <c r="AC235" s="1">
        <v>34.9</v>
      </c>
      <c r="AD235" s="1">
        <v>50.9</v>
      </c>
      <c r="AE235" s="1">
        <v>29</v>
      </c>
      <c r="AF235" s="1">
        <v>70</v>
      </c>
      <c r="AG235" s="1">
        <v>1</v>
      </c>
      <c r="AH235" s="1">
        <v>13.8</v>
      </c>
      <c r="AI235" s="1" t="s">
        <v>400</v>
      </c>
      <c r="AJ235">
        <v>2</v>
      </c>
      <c r="AK235" s="1" t="s">
        <v>401</v>
      </c>
    </row>
    <row r="236" spans="1:37" ht="14.25" customHeight="1" x14ac:dyDescent="0.3">
      <c r="A236" s="1" t="s">
        <v>68</v>
      </c>
      <c r="B236" s="1">
        <v>3</v>
      </c>
      <c r="C236" s="1" t="s">
        <v>402</v>
      </c>
      <c r="D236" s="1">
        <v>356272</v>
      </c>
      <c r="E236" s="1">
        <v>3976821</v>
      </c>
      <c r="F236">
        <v>2046</v>
      </c>
      <c r="G236" s="1">
        <v>9</v>
      </c>
      <c r="H236" s="1">
        <v>145</v>
      </c>
      <c r="I236">
        <v>701</v>
      </c>
      <c r="J236" s="20">
        <v>4</v>
      </c>
      <c r="K236" s="1">
        <v>0</v>
      </c>
      <c r="L236" s="38"/>
      <c r="M236" s="1">
        <v>4</v>
      </c>
      <c r="N236" s="1" t="s">
        <v>243</v>
      </c>
      <c r="O236" s="1">
        <v>10.1</v>
      </c>
      <c r="Q236" s="1">
        <v>47</v>
      </c>
      <c r="R236" s="1">
        <v>4.3</v>
      </c>
      <c r="S236" s="5">
        <f>(R236/3.14159)*100</f>
        <v>136.8733666710169</v>
      </c>
      <c r="T236" s="1" t="s">
        <v>97</v>
      </c>
      <c r="U236">
        <v>0</v>
      </c>
      <c r="V236">
        <v>100</v>
      </c>
      <c r="W236">
        <v>0</v>
      </c>
      <c r="X236" s="1">
        <f>100-U236</f>
        <v>100</v>
      </c>
      <c r="Y236" s="1">
        <v>0</v>
      </c>
      <c r="Z236">
        <v>0</v>
      </c>
      <c r="AA236" s="1" t="s">
        <v>45</v>
      </c>
      <c r="AB236" s="10">
        <v>2</v>
      </c>
      <c r="AG236" s="1">
        <v>0</v>
      </c>
      <c r="AH236" s="1">
        <v>37.799999999999997</v>
      </c>
      <c r="AI236" s="1" t="s">
        <v>51</v>
      </c>
      <c r="AJ236">
        <v>1</v>
      </c>
    </row>
    <row r="237" spans="1:37" ht="14.25" customHeight="1" x14ac:dyDescent="0.3">
      <c r="A237" s="1" t="s">
        <v>68</v>
      </c>
      <c r="B237" s="1">
        <v>3</v>
      </c>
      <c r="C237" s="1" t="s">
        <v>403</v>
      </c>
      <c r="D237" s="1">
        <v>356285</v>
      </c>
      <c r="E237" s="1">
        <v>3976834</v>
      </c>
      <c r="F237">
        <v>2046</v>
      </c>
      <c r="G237" s="1">
        <v>9</v>
      </c>
      <c r="H237" s="1">
        <v>145</v>
      </c>
      <c r="I237">
        <v>698</v>
      </c>
      <c r="J237" s="20">
        <v>4</v>
      </c>
      <c r="K237" s="1">
        <v>0</v>
      </c>
      <c r="L237" s="38"/>
      <c r="M237" s="1">
        <v>4</v>
      </c>
      <c r="N237" s="1" t="s">
        <v>243</v>
      </c>
      <c r="O237" s="1">
        <v>14.4</v>
      </c>
      <c r="Q237" s="1">
        <v>49</v>
      </c>
      <c r="R237" s="1">
        <v>4.5999999999999996</v>
      </c>
      <c r="S237" s="5">
        <f>(R237/3.14159)*100</f>
        <v>146.42267132248318</v>
      </c>
      <c r="T237" s="1" t="s">
        <v>97</v>
      </c>
      <c r="U237">
        <v>0</v>
      </c>
      <c r="V237">
        <v>100</v>
      </c>
      <c r="W237">
        <v>0</v>
      </c>
      <c r="X237" s="1">
        <f>100-U237</f>
        <v>100</v>
      </c>
      <c r="Y237" s="1">
        <v>0</v>
      </c>
      <c r="Z237">
        <v>0</v>
      </c>
      <c r="AA237" s="1" t="s">
        <v>45</v>
      </c>
      <c r="AB237" s="10">
        <v>2</v>
      </c>
      <c r="AG237" s="1">
        <v>0</v>
      </c>
      <c r="AH237" s="1">
        <v>30.7</v>
      </c>
      <c r="AI237" s="1" t="s">
        <v>51</v>
      </c>
      <c r="AJ237">
        <v>1</v>
      </c>
    </row>
    <row r="238" spans="1:37" ht="14.25" customHeight="1" x14ac:dyDescent="0.3">
      <c r="A238" s="1" t="s">
        <v>68</v>
      </c>
      <c r="B238" s="1">
        <v>3</v>
      </c>
      <c r="C238" s="1" t="s">
        <v>404</v>
      </c>
      <c r="D238" s="1">
        <v>356325</v>
      </c>
      <c r="E238" s="1">
        <v>3976886</v>
      </c>
      <c r="F238">
        <v>2046</v>
      </c>
      <c r="G238" s="1">
        <v>9</v>
      </c>
      <c r="H238" s="1">
        <v>145</v>
      </c>
      <c r="I238">
        <v>259</v>
      </c>
      <c r="J238" s="20">
        <v>2</v>
      </c>
      <c r="K238" s="1">
        <v>1</v>
      </c>
      <c r="L238" s="38"/>
      <c r="M238" s="1">
        <v>4</v>
      </c>
      <c r="N238" s="1" t="s">
        <v>153</v>
      </c>
      <c r="O238" s="1">
        <v>23.2</v>
      </c>
      <c r="P238" s="1">
        <v>54.5</v>
      </c>
      <c r="Q238" s="1">
        <v>57.6</v>
      </c>
      <c r="R238" s="1">
        <v>9.6</v>
      </c>
      <c r="S238" s="5">
        <f>(R238/3.14159)*100</f>
        <v>305.57774884692151</v>
      </c>
      <c r="T238" s="1" t="s">
        <v>97</v>
      </c>
      <c r="U238" s="1">
        <v>5</v>
      </c>
      <c r="V238" s="1">
        <v>95</v>
      </c>
      <c r="W238" s="1">
        <v>0</v>
      </c>
      <c r="X238" s="1">
        <f>100-U238</f>
        <v>95</v>
      </c>
      <c r="Y238" s="1">
        <v>0</v>
      </c>
      <c r="Z238" s="1">
        <v>0</v>
      </c>
      <c r="AA238" s="1" t="s">
        <v>45</v>
      </c>
      <c r="AB238" s="10">
        <v>2</v>
      </c>
      <c r="AC238" s="1">
        <v>56.5</v>
      </c>
      <c r="AD238" s="1">
        <v>39.5</v>
      </c>
      <c r="AE238" s="1">
        <v>40</v>
      </c>
      <c r="AF238" s="1">
        <v>55</v>
      </c>
      <c r="AG238" s="1">
        <v>1</v>
      </c>
      <c r="AH238" s="1">
        <v>43.5</v>
      </c>
      <c r="AI238" s="1" t="s">
        <v>60</v>
      </c>
      <c r="AJ238">
        <v>1</v>
      </c>
    </row>
    <row r="239" spans="1:37" ht="14.25" customHeight="1" x14ac:dyDescent="0.3">
      <c r="A239" s="1" t="s">
        <v>68</v>
      </c>
      <c r="B239" s="1">
        <v>4</v>
      </c>
      <c r="C239" s="1" t="s">
        <v>408</v>
      </c>
      <c r="D239" s="1">
        <v>356476</v>
      </c>
      <c r="E239" s="1">
        <v>3976880</v>
      </c>
      <c r="F239">
        <v>2004</v>
      </c>
      <c r="G239" s="1">
        <v>23</v>
      </c>
      <c r="H239" s="1">
        <v>130</v>
      </c>
      <c r="I239">
        <v>236</v>
      </c>
      <c r="J239" s="20">
        <v>2</v>
      </c>
      <c r="K239" s="1">
        <v>1</v>
      </c>
      <c r="L239" s="38"/>
      <c r="M239" s="1">
        <v>3</v>
      </c>
      <c r="N239" s="1" t="s">
        <v>153</v>
      </c>
      <c r="O239" s="1">
        <v>3.9</v>
      </c>
      <c r="P239" s="1">
        <v>19.3</v>
      </c>
      <c r="Q239" s="1">
        <v>52.8</v>
      </c>
      <c r="R239" s="1">
        <v>13</v>
      </c>
      <c r="S239" s="5">
        <f>(R239/3.14159)*100</f>
        <v>413.80320156353952</v>
      </c>
      <c r="T239" s="1" t="s">
        <v>95</v>
      </c>
      <c r="U239" s="1">
        <v>60</v>
      </c>
      <c r="V239" s="1">
        <v>35</v>
      </c>
      <c r="W239" s="1">
        <v>5</v>
      </c>
      <c r="X239" s="1">
        <f>100-U239</f>
        <v>40</v>
      </c>
      <c r="Y239" s="1">
        <v>0</v>
      </c>
      <c r="Z239" s="1">
        <v>0</v>
      </c>
      <c r="AA239" s="1" t="s">
        <v>45</v>
      </c>
      <c r="AB239" s="10">
        <v>4</v>
      </c>
      <c r="AC239" s="1">
        <v>45.2</v>
      </c>
      <c r="AD239" s="1">
        <v>41</v>
      </c>
      <c r="AE239" s="1">
        <v>25</v>
      </c>
      <c r="AF239" s="1">
        <v>15</v>
      </c>
      <c r="AG239" s="1">
        <v>1</v>
      </c>
      <c r="AH239" s="1">
        <v>34.4</v>
      </c>
      <c r="AI239" s="1" t="s">
        <v>51</v>
      </c>
      <c r="AJ239">
        <v>1</v>
      </c>
    </row>
    <row r="240" spans="1:37" ht="14.25" customHeight="1" x14ac:dyDescent="0.3">
      <c r="A240" s="1" t="s">
        <v>68</v>
      </c>
      <c r="B240" s="1">
        <v>4</v>
      </c>
      <c r="C240" s="1" t="s">
        <v>409</v>
      </c>
      <c r="D240" s="1">
        <v>356434</v>
      </c>
      <c r="E240" s="1">
        <v>3976836</v>
      </c>
      <c r="F240">
        <v>2004</v>
      </c>
      <c r="G240" s="1">
        <v>23</v>
      </c>
      <c r="H240" s="1">
        <v>130</v>
      </c>
      <c r="I240">
        <v>312</v>
      </c>
      <c r="J240" s="20">
        <v>2</v>
      </c>
      <c r="K240" s="1">
        <v>1</v>
      </c>
      <c r="L240" s="38"/>
      <c r="M240" s="1">
        <v>3</v>
      </c>
      <c r="N240" s="1" t="s">
        <v>153</v>
      </c>
      <c r="O240" s="1">
        <v>14.1</v>
      </c>
      <c r="P240" s="1">
        <v>23.6</v>
      </c>
      <c r="Q240" s="1">
        <v>57.8</v>
      </c>
      <c r="R240" s="1">
        <v>9.1</v>
      </c>
      <c r="S240" s="5">
        <f>(R240/3.14159)*100</f>
        <v>289.66224109447762</v>
      </c>
      <c r="T240" s="1" t="s">
        <v>97</v>
      </c>
      <c r="U240" s="1">
        <v>70</v>
      </c>
      <c r="V240" s="1">
        <v>20</v>
      </c>
      <c r="W240" s="1">
        <v>10</v>
      </c>
      <c r="X240" s="1">
        <f>100-U240</f>
        <v>30</v>
      </c>
      <c r="Y240" s="1">
        <v>0</v>
      </c>
      <c r="Z240" s="1">
        <v>0</v>
      </c>
      <c r="AA240" s="1" t="s">
        <v>45</v>
      </c>
      <c r="AB240" s="10">
        <v>4</v>
      </c>
      <c r="AC240" s="1">
        <v>43.8</v>
      </c>
      <c r="AD240" s="1">
        <v>28.6</v>
      </c>
      <c r="AE240" s="1">
        <v>25</v>
      </c>
      <c r="AF240" s="1">
        <v>5</v>
      </c>
      <c r="AG240" s="1">
        <v>0</v>
      </c>
      <c r="AH240" s="1">
        <v>37.700000000000003</v>
      </c>
      <c r="AI240" s="1" t="s">
        <v>51</v>
      </c>
      <c r="AJ240">
        <v>1</v>
      </c>
    </row>
    <row r="241" spans="1:37" ht="14.25" customHeight="1" x14ac:dyDescent="0.3">
      <c r="A241" s="1" t="s">
        <v>68</v>
      </c>
      <c r="B241" s="1">
        <v>4</v>
      </c>
      <c r="C241" s="1" t="s">
        <v>410</v>
      </c>
      <c r="D241" s="1">
        <v>356447</v>
      </c>
      <c r="E241" s="1">
        <v>3976801</v>
      </c>
      <c r="F241">
        <v>2004</v>
      </c>
      <c r="G241" s="1">
        <v>23</v>
      </c>
      <c r="H241" s="1">
        <v>130</v>
      </c>
      <c r="I241">
        <v>456</v>
      </c>
      <c r="J241" s="20">
        <v>3</v>
      </c>
      <c r="K241" s="1">
        <v>1</v>
      </c>
      <c r="L241" s="38"/>
      <c r="M241" s="1">
        <v>3</v>
      </c>
      <c r="N241" s="1" t="s">
        <v>153</v>
      </c>
      <c r="O241" s="1">
        <v>9.1999999999999993</v>
      </c>
      <c r="P241" s="1">
        <v>49.4</v>
      </c>
      <c r="Q241" s="1">
        <v>56.2</v>
      </c>
      <c r="R241" s="1">
        <v>19.600000000000001</v>
      </c>
      <c r="S241" s="5">
        <f>(R241/3.14159)*100</f>
        <v>623.8879038957981</v>
      </c>
      <c r="T241" s="1" t="s">
        <v>95</v>
      </c>
      <c r="U241" s="1">
        <v>20</v>
      </c>
      <c r="V241" s="1">
        <v>75</v>
      </c>
      <c r="W241" s="1">
        <v>5</v>
      </c>
      <c r="X241" s="1">
        <f>100-U241</f>
        <v>80</v>
      </c>
      <c r="Y241" s="1">
        <v>0</v>
      </c>
      <c r="Z241" s="1">
        <v>0</v>
      </c>
      <c r="AA241" s="1" t="s">
        <v>45</v>
      </c>
      <c r="AB241" s="10">
        <v>2</v>
      </c>
      <c r="AC241" s="1">
        <v>48.8</v>
      </c>
      <c r="AD241" s="1">
        <v>56.2</v>
      </c>
      <c r="AE241" s="1">
        <v>65</v>
      </c>
      <c r="AF241" s="1">
        <v>15</v>
      </c>
      <c r="AG241" s="1">
        <v>1</v>
      </c>
      <c r="AH241" s="1">
        <v>59.8</v>
      </c>
      <c r="AI241" s="1" t="s">
        <v>59</v>
      </c>
      <c r="AJ241">
        <v>1</v>
      </c>
      <c r="AK241" s="1" t="s">
        <v>411</v>
      </c>
    </row>
    <row r="242" spans="1:37" ht="14.25" customHeight="1" x14ac:dyDescent="0.3">
      <c r="A242" s="1" t="s">
        <v>68</v>
      </c>
      <c r="B242" s="1">
        <v>4</v>
      </c>
      <c r="C242" s="1" t="s">
        <v>412</v>
      </c>
      <c r="D242" s="1">
        <v>356480</v>
      </c>
      <c r="E242" s="1">
        <v>3976814</v>
      </c>
      <c r="F242">
        <v>2004</v>
      </c>
      <c r="G242" s="1">
        <v>23</v>
      </c>
      <c r="H242" s="1">
        <v>130</v>
      </c>
      <c r="I242">
        <v>539</v>
      </c>
      <c r="J242" s="20">
        <v>3</v>
      </c>
      <c r="K242" s="1">
        <v>0</v>
      </c>
      <c r="L242" s="61">
        <v>1</v>
      </c>
      <c r="M242" s="1">
        <v>3</v>
      </c>
      <c r="N242" s="1" t="s">
        <v>153</v>
      </c>
      <c r="Q242" s="1">
        <v>43.9</v>
      </c>
      <c r="R242" s="1">
        <v>10</v>
      </c>
      <c r="S242" s="5">
        <f>(R242/3.14159)*100</f>
        <v>318.31015504887654</v>
      </c>
      <c r="T242" s="1" t="s">
        <v>97</v>
      </c>
      <c r="U242" s="1">
        <v>0</v>
      </c>
      <c r="V242" s="1">
        <v>100</v>
      </c>
      <c r="W242">
        <v>0</v>
      </c>
      <c r="X242" s="1">
        <f>100-U242</f>
        <v>100</v>
      </c>
      <c r="Y242">
        <v>0</v>
      </c>
      <c r="Z242">
        <v>0</v>
      </c>
      <c r="AA242" s="1" t="s">
        <v>45</v>
      </c>
      <c r="AG242" s="1">
        <v>1</v>
      </c>
      <c r="AH242" s="1">
        <v>22.8</v>
      </c>
      <c r="AI242" s="1" t="s">
        <v>51</v>
      </c>
      <c r="AJ242">
        <v>1</v>
      </c>
      <c r="AK242" s="1" t="s">
        <v>413</v>
      </c>
    </row>
    <row r="243" spans="1:37" ht="14.25" customHeight="1" x14ac:dyDescent="0.3">
      <c r="A243" s="1" t="s">
        <v>68</v>
      </c>
      <c r="B243" s="1">
        <v>5</v>
      </c>
      <c r="C243" s="1" t="s">
        <v>416</v>
      </c>
      <c r="D243" s="1">
        <v>356657</v>
      </c>
      <c r="E243" s="1">
        <v>3976852</v>
      </c>
      <c r="F243">
        <v>1991</v>
      </c>
      <c r="G243" s="1">
        <v>25</v>
      </c>
      <c r="H243" s="1">
        <v>136</v>
      </c>
      <c r="I243">
        <v>386</v>
      </c>
      <c r="J243" s="20">
        <v>3</v>
      </c>
      <c r="K243" s="1">
        <v>1</v>
      </c>
      <c r="L243" s="38"/>
      <c r="M243" s="1">
        <v>3</v>
      </c>
      <c r="N243" s="1" t="s">
        <v>153</v>
      </c>
      <c r="O243" s="1">
        <v>13.6</v>
      </c>
      <c r="P243" s="1">
        <v>13.6</v>
      </c>
      <c r="Q243" s="1">
        <v>40.5</v>
      </c>
      <c r="R243" s="1">
        <v>13.9</v>
      </c>
      <c r="S243" s="5">
        <f>(R243/3.14159)*100</f>
        <v>442.45111551793838</v>
      </c>
      <c r="T243" s="1" t="s">
        <v>97</v>
      </c>
      <c r="U243" s="1">
        <v>85</v>
      </c>
      <c r="V243" s="1">
        <v>5</v>
      </c>
      <c r="W243" s="1">
        <v>10</v>
      </c>
      <c r="X243" s="1">
        <f>100-U243</f>
        <v>15</v>
      </c>
      <c r="Y243" s="1">
        <v>0</v>
      </c>
      <c r="Z243" s="1">
        <v>0</v>
      </c>
      <c r="AA243" s="1" t="s">
        <v>45</v>
      </c>
      <c r="AB243" s="10">
        <v>2</v>
      </c>
      <c r="AC243" s="1">
        <v>23.3</v>
      </c>
      <c r="AE243" s="1">
        <v>10</v>
      </c>
      <c r="AF243" s="1">
        <v>0</v>
      </c>
      <c r="AG243" s="1">
        <v>1</v>
      </c>
      <c r="AH243" s="1">
        <v>33.299999999999997</v>
      </c>
      <c r="AI243" s="1" t="s">
        <v>51</v>
      </c>
      <c r="AJ243">
        <v>1</v>
      </c>
    </row>
    <row r="244" spans="1:37" ht="14.25" customHeight="1" x14ac:dyDescent="0.3">
      <c r="A244" s="1" t="s">
        <v>68</v>
      </c>
      <c r="B244" s="1">
        <v>5</v>
      </c>
      <c r="C244" s="1" t="s">
        <v>417</v>
      </c>
      <c r="D244" s="1">
        <v>356636</v>
      </c>
      <c r="E244" s="1">
        <v>3976851</v>
      </c>
      <c r="F244">
        <v>1991</v>
      </c>
      <c r="G244" s="1">
        <v>25</v>
      </c>
      <c r="H244" s="1">
        <v>136</v>
      </c>
      <c r="I244">
        <v>319</v>
      </c>
      <c r="J244" s="20">
        <v>3</v>
      </c>
      <c r="K244" s="1">
        <v>1</v>
      </c>
      <c r="L244" s="38"/>
      <c r="M244" s="1">
        <v>3</v>
      </c>
      <c r="N244" s="1" t="s">
        <v>153</v>
      </c>
      <c r="O244" s="1">
        <v>13.7</v>
      </c>
      <c r="P244" s="1">
        <v>13.7</v>
      </c>
      <c r="Q244" s="1">
        <v>63.2</v>
      </c>
      <c r="R244" s="1">
        <v>12.3</v>
      </c>
      <c r="S244" s="5">
        <f>(R244/3.14159)*100</f>
        <v>391.52149071011814</v>
      </c>
      <c r="T244" s="1" t="s">
        <v>95</v>
      </c>
      <c r="U244" s="1">
        <v>94</v>
      </c>
      <c r="V244" s="1">
        <v>1</v>
      </c>
      <c r="W244" s="1">
        <v>5</v>
      </c>
      <c r="X244" s="1">
        <f>100-U244</f>
        <v>6</v>
      </c>
      <c r="Y244" s="1">
        <v>1</v>
      </c>
      <c r="Z244" s="1">
        <v>0</v>
      </c>
      <c r="AA244" s="1" t="s">
        <v>45</v>
      </c>
      <c r="AB244" s="10">
        <v>3</v>
      </c>
      <c r="AC244" s="1">
        <v>16.399999999999999</v>
      </c>
      <c r="AE244" s="1">
        <v>1</v>
      </c>
      <c r="AF244" s="1">
        <v>0</v>
      </c>
      <c r="AG244" s="1">
        <v>1</v>
      </c>
      <c r="AH244" s="1">
        <v>48.7</v>
      </c>
      <c r="AI244" s="1" t="s">
        <v>51</v>
      </c>
      <c r="AJ244">
        <v>1</v>
      </c>
    </row>
    <row r="245" spans="1:37" ht="14.25" customHeight="1" x14ac:dyDescent="0.3">
      <c r="A245" s="1" t="s">
        <v>68</v>
      </c>
      <c r="B245" s="1">
        <v>5</v>
      </c>
      <c r="C245" s="1" t="s">
        <v>418</v>
      </c>
      <c r="D245" s="1">
        <v>356643</v>
      </c>
      <c r="E245" s="17">
        <v>3976831</v>
      </c>
      <c r="F245">
        <v>1991</v>
      </c>
      <c r="G245" s="1">
        <v>25</v>
      </c>
      <c r="H245" s="1">
        <v>136</v>
      </c>
      <c r="I245" s="20">
        <v>242</v>
      </c>
      <c r="J245" s="20">
        <v>2</v>
      </c>
      <c r="K245" s="1">
        <v>1</v>
      </c>
      <c r="L245" s="38"/>
      <c r="M245" s="1">
        <v>3</v>
      </c>
      <c r="N245" s="1" t="s">
        <v>153</v>
      </c>
      <c r="O245" s="1">
        <v>8.6999999999999993</v>
      </c>
      <c r="P245" s="1">
        <v>8.6999999999999993</v>
      </c>
      <c r="Q245" s="1">
        <v>69.900000000000006</v>
      </c>
      <c r="R245" s="1">
        <v>14.3</v>
      </c>
      <c r="S245" s="5">
        <f>(R245/3.14159)*100</f>
        <v>455.18352171989352</v>
      </c>
      <c r="T245" s="1" t="s">
        <v>95</v>
      </c>
      <c r="U245" s="1">
        <v>94</v>
      </c>
      <c r="V245" s="1">
        <v>5</v>
      </c>
      <c r="W245" s="1">
        <v>1</v>
      </c>
      <c r="X245" s="1">
        <f>100-U245</f>
        <v>6</v>
      </c>
      <c r="Y245" s="1">
        <v>1</v>
      </c>
      <c r="Z245" s="1">
        <v>0</v>
      </c>
      <c r="AA245" s="1" t="s">
        <v>45</v>
      </c>
      <c r="AB245" s="10">
        <v>4</v>
      </c>
      <c r="AC245" s="1">
        <v>24</v>
      </c>
      <c r="AE245" s="1">
        <v>5</v>
      </c>
      <c r="AF245" s="1">
        <v>0</v>
      </c>
      <c r="AG245" s="1">
        <v>1</v>
      </c>
      <c r="AH245" s="1">
        <v>41.6</v>
      </c>
      <c r="AI245" s="1" t="s">
        <v>51</v>
      </c>
      <c r="AJ245">
        <v>1</v>
      </c>
    </row>
    <row r="246" spans="1:37" ht="14.25" customHeight="1" x14ac:dyDescent="0.3">
      <c r="A246" s="1" t="s">
        <v>68</v>
      </c>
      <c r="B246" s="1">
        <v>5</v>
      </c>
      <c r="C246" s="1" t="s">
        <v>419</v>
      </c>
      <c r="D246" s="1">
        <v>356676</v>
      </c>
      <c r="E246" s="1">
        <v>3976811</v>
      </c>
      <c r="F246">
        <v>1991</v>
      </c>
      <c r="G246" s="1">
        <v>25</v>
      </c>
      <c r="H246" s="1">
        <v>136</v>
      </c>
      <c r="I246" s="20">
        <v>611</v>
      </c>
      <c r="J246" s="20">
        <v>3</v>
      </c>
      <c r="K246" s="1">
        <v>1</v>
      </c>
      <c r="L246" s="38"/>
      <c r="M246" s="1">
        <v>3</v>
      </c>
      <c r="N246" s="1" t="s">
        <v>153</v>
      </c>
      <c r="O246" s="1">
        <v>6.8</v>
      </c>
      <c r="P246" s="1">
        <v>26.4</v>
      </c>
      <c r="Q246" s="1">
        <v>68.599999999999994</v>
      </c>
      <c r="R246" s="1">
        <v>14.5</v>
      </c>
      <c r="S246" s="5">
        <f>(R246/3.14159)*100</f>
        <v>461.54972482087101</v>
      </c>
      <c r="T246" s="1" t="s">
        <v>95</v>
      </c>
      <c r="U246" s="1">
        <v>80</v>
      </c>
      <c r="V246" s="1">
        <v>20</v>
      </c>
      <c r="W246">
        <v>0</v>
      </c>
      <c r="X246" s="1">
        <f>100-U246</f>
        <v>20</v>
      </c>
      <c r="Y246" s="1">
        <v>0</v>
      </c>
      <c r="Z246" s="1">
        <v>0</v>
      </c>
      <c r="AA246" s="1" t="s">
        <v>45</v>
      </c>
      <c r="AB246" s="10">
        <v>3</v>
      </c>
      <c r="AC246" s="1">
        <v>67.8</v>
      </c>
      <c r="AD246" s="1">
        <v>59.8</v>
      </c>
      <c r="AE246" s="1">
        <v>10</v>
      </c>
      <c r="AF246" s="1">
        <v>10</v>
      </c>
      <c r="AG246" s="1">
        <v>1</v>
      </c>
      <c r="AH246" s="1">
        <v>38.200000000000003</v>
      </c>
      <c r="AI246" s="1" t="s">
        <v>51</v>
      </c>
      <c r="AJ246">
        <v>1</v>
      </c>
    </row>
    <row r="247" spans="1:37" ht="14.25" customHeight="1" x14ac:dyDescent="0.3">
      <c r="A247" s="1" t="s">
        <v>68</v>
      </c>
      <c r="B247" s="1">
        <v>5</v>
      </c>
      <c r="C247" s="1" t="s">
        <v>420</v>
      </c>
      <c r="D247" s="1">
        <v>356693</v>
      </c>
      <c r="E247" s="1">
        <v>3976834</v>
      </c>
      <c r="F247">
        <v>1991</v>
      </c>
      <c r="G247" s="1">
        <v>25</v>
      </c>
      <c r="H247" s="1">
        <v>136</v>
      </c>
      <c r="I247" s="20">
        <v>362</v>
      </c>
      <c r="J247" s="20">
        <v>3</v>
      </c>
      <c r="K247" s="1">
        <v>1</v>
      </c>
      <c r="L247" s="38"/>
      <c r="M247" s="1">
        <v>3</v>
      </c>
      <c r="N247" s="1" t="s">
        <v>153</v>
      </c>
      <c r="O247" s="1">
        <v>3.8</v>
      </c>
      <c r="P247" s="1">
        <v>17.399999999999999</v>
      </c>
      <c r="Q247" s="1">
        <v>48.9</v>
      </c>
      <c r="R247" s="1">
        <v>3.9</v>
      </c>
      <c r="S247" s="5">
        <f>(R247/3.14159)*100</f>
        <v>124.14096046906184</v>
      </c>
      <c r="T247" s="1" t="s">
        <v>102</v>
      </c>
      <c r="U247" s="1">
        <v>50</v>
      </c>
      <c r="V247" s="1">
        <v>50</v>
      </c>
      <c r="W247">
        <v>0</v>
      </c>
      <c r="X247" s="1">
        <f>100-U247</f>
        <v>50</v>
      </c>
      <c r="Y247" s="1">
        <v>0</v>
      </c>
      <c r="Z247" s="1">
        <v>0</v>
      </c>
      <c r="AA247" s="1" t="s">
        <v>45</v>
      </c>
      <c r="AB247" s="10">
        <v>2</v>
      </c>
      <c r="AC247" s="1">
        <v>36</v>
      </c>
      <c r="AD247" s="1">
        <v>18.3</v>
      </c>
      <c r="AE247" s="1">
        <v>45</v>
      </c>
      <c r="AF247" s="1">
        <v>5</v>
      </c>
      <c r="AG247" s="1">
        <v>0</v>
      </c>
      <c r="AH247" s="1">
        <v>11.9</v>
      </c>
      <c r="AI247" s="1" t="s">
        <v>51</v>
      </c>
      <c r="AJ247">
        <v>1</v>
      </c>
    </row>
    <row r="248" spans="1:37" ht="14.25" customHeight="1" x14ac:dyDescent="0.3">
      <c r="A248" s="1" t="s">
        <v>68</v>
      </c>
      <c r="B248" s="1">
        <v>6</v>
      </c>
      <c r="C248" s="1" t="s">
        <v>425</v>
      </c>
      <c r="D248" s="17">
        <v>356243</v>
      </c>
      <c r="E248" s="1">
        <v>3976981</v>
      </c>
      <c r="F248">
        <v>1978</v>
      </c>
      <c r="G248" s="1">
        <v>28</v>
      </c>
      <c r="H248" s="1">
        <v>176</v>
      </c>
      <c r="I248" s="20">
        <v>777</v>
      </c>
      <c r="J248" s="20">
        <v>4</v>
      </c>
      <c r="K248" s="70">
        <v>0</v>
      </c>
      <c r="L248" s="38"/>
      <c r="M248" s="70">
        <v>3</v>
      </c>
      <c r="N248" s="1" t="s">
        <v>153</v>
      </c>
      <c r="O248" s="1">
        <v>19</v>
      </c>
      <c r="Q248" s="1">
        <v>77.7</v>
      </c>
      <c r="R248" s="1">
        <v>13.2</v>
      </c>
      <c r="S248" s="5">
        <f>(R248/3.14159)*100</f>
        <v>420.169404664517</v>
      </c>
      <c r="T248" s="1" t="s">
        <v>95</v>
      </c>
      <c r="U248" s="1">
        <v>0</v>
      </c>
      <c r="V248" s="1">
        <v>100</v>
      </c>
      <c r="W248" s="1">
        <v>0</v>
      </c>
      <c r="X248" s="1">
        <f>100-U248</f>
        <v>100</v>
      </c>
      <c r="Y248" s="1">
        <v>0</v>
      </c>
      <c r="Z248">
        <v>0</v>
      </c>
      <c r="AA248" s="1" t="s">
        <v>45</v>
      </c>
      <c r="AB248" s="10">
        <v>4</v>
      </c>
      <c r="AG248" s="1">
        <v>1</v>
      </c>
      <c r="AH248" s="1">
        <v>48.5</v>
      </c>
      <c r="AI248" s="1" t="s">
        <v>44</v>
      </c>
      <c r="AJ248">
        <v>1</v>
      </c>
    </row>
    <row r="249" spans="1:37" ht="14.25" customHeight="1" x14ac:dyDescent="0.3">
      <c r="A249" s="1" t="s">
        <v>68</v>
      </c>
      <c r="B249" s="17">
        <v>6</v>
      </c>
      <c r="C249" s="1" t="s">
        <v>426</v>
      </c>
      <c r="D249" s="1">
        <v>356328</v>
      </c>
      <c r="E249" s="1">
        <v>3977089</v>
      </c>
      <c r="F249">
        <v>1978</v>
      </c>
      <c r="G249" s="1">
        <v>28</v>
      </c>
      <c r="H249" s="1">
        <v>176</v>
      </c>
      <c r="I249" s="20">
        <v>792</v>
      </c>
      <c r="J249" s="20">
        <v>4</v>
      </c>
      <c r="K249" s="1">
        <v>0</v>
      </c>
      <c r="L249" s="38"/>
      <c r="M249" s="1">
        <v>3</v>
      </c>
      <c r="N249" s="1" t="s">
        <v>153</v>
      </c>
      <c r="O249" s="1">
        <v>15.5</v>
      </c>
      <c r="Q249" s="1">
        <v>58.6</v>
      </c>
      <c r="R249" s="1">
        <v>16</v>
      </c>
      <c r="S249" s="5">
        <f>(R249/3.14159)*100</f>
        <v>509.2962480782025</v>
      </c>
      <c r="T249" s="1" t="s">
        <v>95</v>
      </c>
      <c r="U249" s="1">
        <v>0</v>
      </c>
      <c r="V249" s="1">
        <v>100</v>
      </c>
      <c r="W249" s="1">
        <v>0</v>
      </c>
      <c r="X249" s="1">
        <f>100-U249</f>
        <v>100</v>
      </c>
      <c r="Y249" s="1">
        <v>0</v>
      </c>
      <c r="Z249">
        <v>0</v>
      </c>
      <c r="AA249" s="1" t="s">
        <v>45</v>
      </c>
      <c r="AB249" s="10">
        <v>3</v>
      </c>
      <c r="AG249" s="1">
        <v>1</v>
      </c>
      <c r="AH249" s="1">
        <v>56.6</v>
      </c>
      <c r="AI249" s="1" t="s">
        <v>66</v>
      </c>
      <c r="AJ249">
        <v>3</v>
      </c>
      <c r="AK249" s="1" t="s">
        <v>427</v>
      </c>
    </row>
    <row r="250" spans="1:37" ht="14.25" customHeight="1" x14ac:dyDescent="0.3">
      <c r="A250" s="1" t="s">
        <v>68</v>
      </c>
      <c r="B250" s="17">
        <v>7</v>
      </c>
      <c r="C250" s="1" t="s">
        <v>414</v>
      </c>
      <c r="D250" s="1">
        <v>356521</v>
      </c>
      <c r="E250" s="1">
        <v>3977068</v>
      </c>
      <c r="F250">
        <v>1943</v>
      </c>
      <c r="G250" s="1">
        <v>28</v>
      </c>
      <c r="H250" s="1">
        <v>151</v>
      </c>
      <c r="I250" s="20">
        <v>251</v>
      </c>
      <c r="J250" s="20">
        <v>2</v>
      </c>
      <c r="K250" s="1">
        <v>1</v>
      </c>
      <c r="L250" s="38"/>
      <c r="M250" s="1">
        <v>2</v>
      </c>
      <c r="N250" s="1" t="s">
        <v>94</v>
      </c>
      <c r="O250" s="1">
        <v>13</v>
      </c>
      <c r="P250" s="1">
        <v>13</v>
      </c>
      <c r="Q250" s="1">
        <v>66.2</v>
      </c>
      <c r="R250" s="1">
        <v>13.7</v>
      </c>
      <c r="S250" s="5">
        <f>(R250/3.14159)*100</f>
        <v>436.08491241696078</v>
      </c>
      <c r="T250" s="1" t="s">
        <v>95</v>
      </c>
      <c r="U250" s="1">
        <v>99</v>
      </c>
      <c r="V250" s="1">
        <v>0</v>
      </c>
      <c r="W250" s="1">
        <v>1</v>
      </c>
      <c r="X250" s="1">
        <f>100-U250</f>
        <v>1</v>
      </c>
      <c r="Y250" s="1">
        <v>0</v>
      </c>
      <c r="Z250" s="1">
        <v>0</v>
      </c>
      <c r="AA250" s="1" t="s">
        <v>45</v>
      </c>
      <c r="AB250" s="10">
        <v>3</v>
      </c>
      <c r="AE250" s="1">
        <v>0</v>
      </c>
      <c r="AF250" s="1">
        <v>0</v>
      </c>
      <c r="AG250" s="1">
        <v>1</v>
      </c>
      <c r="AH250" s="1">
        <v>44</v>
      </c>
      <c r="AI250" s="1" t="s">
        <v>51</v>
      </c>
      <c r="AJ250">
        <v>1</v>
      </c>
    </row>
    <row r="251" spans="1:37" ht="14.25" customHeight="1" x14ac:dyDescent="0.3">
      <c r="A251" s="1" t="s">
        <v>68</v>
      </c>
      <c r="B251" s="17">
        <v>7</v>
      </c>
      <c r="C251" s="1" t="s">
        <v>415</v>
      </c>
      <c r="D251" s="1">
        <v>356486</v>
      </c>
      <c r="E251" s="1">
        <v>3977121</v>
      </c>
      <c r="F251">
        <v>1943</v>
      </c>
      <c r="G251" s="1">
        <v>28</v>
      </c>
      <c r="H251" s="1">
        <v>151</v>
      </c>
      <c r="I251" s="20">
        <v>663</v>
      </c>
      <c r="J251" s="20">
        <v>4</v>
      </c>
      <c r="K251" s="1">
        <v>1</v>
      </c>
      <c r="L251" s="38"/>
      <c r="M251" s="1">
        <v>2</v>
      </c>
      <c r="N251" s="1" t="s">
        <v>94</v>
      </c>
      <c r="O251" s="1">
        <v>15.9</v>
      </c>
      <c r="P251" s="1">
        <v>25.1</v>
      </c>
      <c r="Q251" s="1">
        <v>65.599999999999994</v>
      </c>
      <c r="R251" s="1">
        <v>8.1999999999999993</v>
      </c>
      <c r="S251" s="5">
        <f>(R251/3.14159)*100</f>
        <v>261.01432714007876</v>
      </c>
      <c r="T251" s="1" t="s">
        <v>95</v>
      </c>
      <c r="U251" s="1">
        <v>75</v>
      </c>
      <c r="V251" s="1">
        <v>24</v>
      </c>
      <c r="W251" s="1">
        <v>1</v>
      </c>
      <c r="X251" s="1">
        <f>100-U251</f>
        <v>25</v>
      </c>
      <c r="Y251" s="1">
        <v>0</v>
      </c>
      <c r="Z251" s="1">
        <v>0</v>
      </c>
      <c r="AA251" s="1" t="s">
        <v>45</v>
      </c>
      <c r="AB251" s="10">
        <v>4</v>
      </c>
      <c r="AC251" s="1">
        <v>37.9</v>
      </c>
      <c r="AD251" s="1">
        <v>21.7</v>
      </c>
      <c r="AE251" s="1">
        <v>15</v>
      </c>
      <c r="AF251" s="1">
        <v>1</v>
      </c>
      <c r="AG251" s="1">
        <v>0</v>
      </c>
      <c r="AH251" s="1">
        <v>52.8</v>
      </c>
      <c r="AI251" s="1" t="s">
        <v>51</v>
      </c>
      <c r="AJ251">
        <v>1</v>
      </c>
    </row>
    <row r="252" spans="1:37" ht="14.25" customHeight="1" x14ac:dyDescent="0.3">
      <c r="A252" s="1" t="s">
        <v>68</v>
      </c>
      <c r="B252" s="1">
        <v>8</v>
      </c>
      <c r="C252" s="1" t="s">
        <v>443</v>
      </c>
      <c r="D252" s="1">
        <v>356868</v>
      </c>
      <c r="E252" s="1">
        <v>3977065</v>
      </c>
      <c r="F252">
        <v>1911</v>
      </c>
      <c r="G252" s="1">
        <v>18</v>
      </c>
      <c r="H252" s="1">
        <v>99</v>
      </c>
      <c r="I252" s="20">
        <v>320</v>
      </c>
      <c r="J252" s="20">
        <v>3</v>
      </c>
      <c r="K252" s="1">
        <v>1</v>
      </c>
      <c r="L252" s="38"/>
      <c r="M252" s="1">
        <v>2</v>
      </c>
      <c r="N252" s="1" t="s">
        <v>153</v>
      </c>
      <c r="O252" s="1">
        <v>1.5</v>
      </c>
      <c r="P252" s="1">
        <v>3.2</v>
      </c>
      <c r="Q252" s="1">
        <v>53.2</v>
      </c>
      <c r="R252" s="1">
        <v>7.4</v>
      </c>
      <c r="S252" s="5">
        <f>(R252/3.14159)*100</f>
        <v>235.54951473616862</v>
      </c>
      <c r="T252" s="1" t="s">
        <v>95</v>
      </c>
      <c r="U252" s="1">
        <v>74</v>
      </c>
      <c r="V252" s="1">
        <v>25</v>
      </c>
      <c r="W252" s="1">
        <v>1</v>
      </c>
      <c r="X252" s="1">
        <f>100-U252</f>
        <v>26</v>
      </c>
      <c r="Y252" s="1">
        <v>0</v>
      </c>
      <c r="Z252" s="1">
        <v>0</v>
      </c>
      <c r="AA252" s="1" t="s">
        <v>45</v>
      </c>
      <c r="AB252" s="10">
        <v>4</v>
      </c>
      <c r="AC252" s="1">
        <v>35.6</v>
      </c>
      <c r="AE252" s="1">
        <v>25</v>
      </c>
      <c r="AF252" s="1">
        <v>0</v>
      </c>
      <c r="AH252" s="1">
        <v>16.8</v>
      </c>
      <c r="AI252" s="1" t="s">
        <v>51</v>
      </c>
      <c r="AJ252">
        <v>1</v>
      </c>
      <c r="AK252" s="20"/>
    </row>
    <row r="253" spans="1:37" ht="14.25" customHeight="1" x14ac:dyDescent="0.3">
      <c r="A253" s="1" t="s">
        <v>68</v>
      </c>
      <c r="B253" s="1">
        <v>8</v>
      </c>
      <c r="C253" s="1" t="s">
        <v>444</v>
      </c>
      <c r="D253" s="1">
        <v>356879</v>
      </c>
      <c r="E253" s="1">
        <v>3977029</v>
      </c>
      <c r="F253">
        <v>1911</v>
      </c>
      <c r="G253" s="1">
        <v>18</v>
      </c>
      <c r="H253" s="1">
        <v>99</v>
      </c>
      <c r="I253" s="20">
        <v>60</v>
      </c>
      <c r="J253" s="20">
        <v>1</v>
      </c>
      <c r="K253" s="1">
        <v>1</v>
      </c>
      <c r="L253" s="38"/>
      <c r="M253" s="1">
        <v>2</v>
      </c>
      <c r="N253" s="1" t="s">
        <v>153</v>
      </c>
      <c r="O253" s="1">
        <v>21.2</v>
      </c>
      <c r="P253" s="1">
        <v>23.2</v>
      </c>
      <c r="Q253" s="1">
        <v>67.8</v>
      </c>
      <c r="R253" s="1">
        <v>13.4</v>
      </c>
      <c r="S253" s="5">
        <f>(R253/3.14159)*100</f>
        <v>426.53560776549455</v>
      </c>
      <c r="T253" s="1" t="s">
        <v>97</v>
      </c>
      <c r="U253" s="1">
        <v>94</v>
      </c>
      <c r="V253" s="1">
        <v>5</v>
      </c>
      <c r="W253" s="1">
        <v>1</v>
      </c>
      <c r="X253" s="1">
        <f>100-U253</f>
        <v>6</v>
      </c>
      <c r="Y253" s="1">
        <v>1</v>
      </c>
      <c r="Z253" s="1">
        <v>0</v>
      </c>
      <c r="AA253" s="1" t="s">
        <v>45</v>
      </c>
      <c r="AB253" s="10">
        <v>4</v>
      </c>
      <c r="AC253" s="1">
        <v>33.200000000000003</v>
      </c>
      <c r="AE253" s="1">
        <v>5</v>
      </c>
      <c r="AF253" s="1">
        <v>0</v>
      </c>
      <c r="AG253" s="1">
        <v>1</v>
      </c>
      <c r="AH253" s="1">
        <v>24.6</v>
      </c>
      <c r="AI253" s="1" t="s">
        <v>51</v>
      </c>
      <c r="AJ253">
        <v>1</v>
      </c>
    </row>
    <row r="254" spans="1:37" ht="14.25" customHeight="1" x14ac:dyDescent="0.3">
      <c r="A254" s="1" t="s">
        <v>68</v>
      </c>
      <c r="B254" s="1">
        <v>8</v>
      </c>
      <c r="C254" s="1" t="s">
        <v>445</v>
      </c>
      <c r="D254" s="1">
        <v>356878</v>
      </c>
      <c r="E254" s="1">
        <v>3977021</v>
      </c>
      <c r="F254">
        <v>1911</v>
      </c>
      <c r="G254" s="1">
        <v>18</v>
      </c>
      <c r="H254" s="1">
        <v>99</v>
      </c>
      <c r="I254" s="20">
        <v>60</v>
      </c>
      <c r="J254" s="20">
        <v>1</v>
      </c>
      <c r="K254" s="1">
        <v>1</v>
      </c>
      <c r="L254" s="38"/>
      <c r="M254" s="1">
        <v>2</v>
      </c>
      <c r="N254" s="1" t="s">
        <v>153</v>
      </c>
      <c r="O254" s="1">
        <v>6.6</v>
      </c>
      <c r="P254" s="1">
        <v>16.600000000000001</v>
      </c>
      <c r="Q254" s="1">
        <v>58.8</v>
      </c>
      <c r="R254" s="1">
        <v>14.3</v>
      </c>
      <c r="S254" s="5">
        <f>(R254/3.14159)*100</f>
        <v>455.18352171989352</v>
      </c>
      <c r="T254" s="1" t="s">
        <v>97</v>
      </c>
      <c r="U254" s="1">
        <v>39</v>
      </c>
      <c r="V254" s="1">
        <v>30</v>
      </c>
      <c r="W254" s="1">
        <v>1</v>
      </c>
      <c r="X254" s="1">
        <f>100-U254</f>
        <v>61</v>
      </c>
      <c r="Y254" s="1">
        <v>0</v>
      </c>
      <c r="Z254" s="1">
        <v>0</v>
      </c>
      <c r="AA254" s="1" t="s">
        <v>45</v>
      </c>
      <c r="AB254" s="10">
        <v>4</v>
      </c>
      <c r="AC254" s="1">
        <v>35.200000000000003</v>
      </c>
      <c r="AD254" s="1">
        <v>6.6</v>
      </c>
      <c r="AE254" s="1">
        <v>29</v>
      </c>
      <c r="AF254" s="1">
        <v>1</v>
      </c>
      <c r="AG254" s="1">
        <v>1</v>
      </c>
      <c r="AH254" s="1">
        <v>35</v>
      </c>
      <c r="AI254" s="1" t="s">
        <v>51</v>
      </c>
      <c r="AJ254">
        <v>1</v>
      </c>
    </row>
    <row r="255" spans="1:37" ht="14.25" customHeight="1" x14ac:dyDescent="0.3">
      <c r="A255" s="1" t="s">
        <v>68</v>
      </c>
      <c r="B255" s="1">
        <v>8</v>
      </c>
      <c r="C255" s="1" t="s">
        <v>446</v>
      </c>
      <c r="D255" s="1">
        <v>356885</v>
      </c>
      <c r="E255" s="1">
        <v>3977002</v>
      </c>
      <c r="F255">
        <v>1911</v>
      </c>
      <c r="G255" s="1">
        <v>18</v>
      </c>
      <c r="H255" s="1">
        <v>99</v>
      </c>
      <c r="I255" s="20">
        <v>231</v>
      </c>
      <c r="J255" s="20">
        <v>2</v>
      </c>
      <c r="K255" s="1">
        <v>1</v>
      </c>
      <c r="L255" s="38"/>
      <c r="M255" s="1">
        <v>2</v>
      </c>
      <c r="N255" s="1" t="s">
        <v>94</v>
      </c>
      <c r="O255" s="1">
        <v>15.1</v>
      </c>
      <c r="P255" s="1">
        <v>35.6</v>
      </c>
      <c r="Q255" s="1">
        <v>54.3</v>
      </c>
      <c r="R255" s="1">
        <v>13.3</v>
      </c>
      <c r="S255" s="5">
        <f>(R255/3.14159)*100</f>
        <v>423.35250621500575</v>
      </c>
      <c r="T255" s="1" t="s">
        <v>97</v>
      </c>
      <c r="U255" s="1">
        <v>65</v>
      </c>
      <c r="V255" s="1">
        <v>65</v>
      </c>
      <c r="X255" s="1">
        <f>100-U255</f>
        <v>35</v>
      </c>
      <c r="Y255" s="1">
        <v>1</v>
      </c>
      <c r="Z255" s="1">
        <v>0</v>
      </c>
      <c r="AA255" s="1" t="s">
        <v>45</v>
      </c>
      <c r="AB255" s="10">
        <v>3</v>
      </c>
      <c r="AC255" s="1">
        <v>38.700000000000003</v>
      </c>
      <c r="AD255" s="1">
        <v>34.9</v>
      </c>
      <c r="AE255" s="1">
        <v>25</v>
      </c>
      <c r="AF255" s="1">
        <v>10</v>
      </c>
      <c r="AG255" s="1">
        <v>1</v>
      </c>
      <c r="AH255" s="1">
        <v>28.4</v>
      </c>
      <c r="AI255" s="1" t="s">
        <v>51</v>
      </c>
      <c r="AJ255">
        <v>1</v>
      </c>
      <c r="AK255" s="1" t="s">
        <v>447</v>
      </c>
    </row>
    <row r="256" spans="1:37" ht="14.25" customHeight="1" x14ac:dyDescent="0.3">
      <c r="A256" s="1" t="s">
        <v>68</v>
      </c>
      <c r="B256" s="1">
        <v>8</v>
      </c>
      <c r="C256" s="1" t="s">
        <v>448</v>
      </c>
      <c r="D256" s="1">
        <v>356896</v>
      </c>
      <c r="E256" s="1">
        <v>3977049</v>
      </c>
      <c r="F256">
        <v>1911</v>
      </c>
      <c r="G256" s="1">
        <v>18</v>
      </c>
      <c r="H256" s="1">
        <v>99</v>
      </c>
      <c r="I256" s="20">
        <v>159</v>
      </c>
      <c r="J256" s="20">
        <v>2</v>
      </c>
      <c r="K256" s="1">
        <v>1</v>
      </c>
      <c r="L256" s="38"/>
      <c r="M256" s="1">
        <v>2</v>
      </c>
      <c r="N256" s="1" t="s">
        <v>94</v>
      </c>
      <c r="O256" s="1">
        <v>20.6</v>
      </c>
      <c r="P256" s="1">
        <v>20.6</v>
      </c>
      <c r="Q256" s="1">
        <v>67.3</v>
      </c>
      <c r="R256" s="1">
        <v>7.6</v>
      </c>
      <c r="S256" s="5">
        <f>(R256/3.14159)*100</f>
        <v>241.91571783714613</v>
      </c>
      <c r="T256" s="1" t="s">
        <v>97</v>
      </c>
      <c r="U256" s="1">
        <v>98</v>
      </c>
      <c r="V256" s="1">
        <v>1</v>
      </c>
      <c r="W256" s="1">
        <v>1</v>
      </c>
      <c r="X256" s="1">
        <f>100-U256</f>
        <v>2</v>
      </c>
      <c r="Y256" s="1">
        <v>1</v>
      </c>
      <c r="Z256" s="1">
        <v>0</v>
      </c>
      <c r="AA256" s="1" t="s">
        <v>45</v>
      </c>
      <c r="AB256" s="10">
        <v>4</v>
      </c>
      <c r="AE256" s="1">
        <v>0</v>
      </c>
      <c r="AF256" s="1">
        <v>0</v>
      </c>
      <c r="AG256" s="1">
        <v>1</v>
      </c>
      <c r="AH256" s="1">
        <v>9.6999999999999993</v>
      </c>
      <c r="AI256" s="1" t="s">
        <v>51</v>
      </c>
      <c r="AJ256">
        <v>1</v>
      </c>
      <c r="AK256" s="1" t="s">
        <v>449</v>
      </c>
    </row>
    <row r="257" spans="1:37" ht="14.25" customHeight="1" x14ac:dyDescent="0.3">
      <c r="A257" s="1" t="s">
        <v>68</v>
      </c>
      <c r="B257" s="1">
        <v>8</v>
      </c>
      <c r="C257" s="1" t="s">
        <v>450</v>
      </c>
      <c r="D257" s="1">
        <v>356893</v>
      </c>
      <c r="E257" s="1">
        <v>3977050</v>
      </c>
      <c r="F257">
        <v>1911</v>
      </c>
      <c r="G257" s="1">
        <v>18</v>
      </c>
      <c r="H257" s="1">
        <v>99</v>
      </c>
      <c r="I257" s="17">
        <v>159</v>
      </c>
      <c r="J257" s="20">
        <v>2</v>
      </c>
      <c r="K257" s="70">
        <v>1</v>
      </c>
      <c r="L257" s="38"/>
      <c r="M257" s="70">
        <v>2</v>
      </c>
      <c r="N257" s="1" t="s">
        <v>94</v>
      </c>
      <c r="O257" s="1">
        <v>8.5</v>
      </c>
      <c r="P257" s="1">
        <v>8.5</v>
      </c>
      <c r="Q257" s="1">
        <v>50</v>
      </c>
      <c r="R257" s="1">
        <v>4.9000000000000004</v>
      </c>
      <c r="S257" s="5">
        <f>(R257/3.14159)*100</f>
        <v>155.97197597394953</v>
      </c>
      <c r="T257" s="1" t="s">
        <v>102</v>
      </c>
      <c r="U257" s="1">
        <v>99</v>
      </c>
      <c r="V257" s="1">
        <v>1</v>
      </c>
      <c r="X257" s="1">
        <f>100-U257</f>
        <v>1</v>
      </c>
      <c r="Y257" s="1">
        <v>1</v>
      </c>
      <c r="Z257" s="1">
        <v>0</v>
      </c>
      <c r="AA257" s="1" t="s">
        <v>45</v>
      </c>
      <c r="AB257" s="10">
        <v>2</v>
      </c>
      <c r="AE257" s="1">
        <v>0</v>
      </c>
      <c r="AF257" s="1">
        <v>0</v>
      </c>
      <c r="AG257" s="1">
        <v>0</v>
      </c>
      <c r="AH257" s="1">
        <v>8.5</v>
      </c>
      <c r="AI257" s="1" t="s">
        <v>44</v>
      </c>
      <c r="AJ257">
        <v>1</v>
      </c>
    </row>
    <row r="258" spans="1:37" ht="14.25" customHeight="1" x14ac:dyDescent="0.3">
      <c r="A258" s="1" t="s">
        <v>68</v>
      </c>
      <c r="B258" s="1">
        <v>8</v>
      </c>
      <c r="C258" s="1" t="s">
        <v>451</v>
      </c>
      <c r="D258" s="1">
        <v>356925</v>
      </c>
      <c r="E258" s="1">
        <v>3977082</v>
      </c>
      <c r="F258">
        <v>1911</v>
      </c>
      <c r="G258" s="1">
        <v>18</v>
      </c>
      <c r="H258" s="1">
        <v>99</v>
      </c>
      <c r="I258" s="20">
        <v>140</v>
      </c>
      <c r="J258" s="20">
        <v>2</v>
      </c>
      <c r="K258" s="1">
        <v>1</v>
      </c>
      <c r="L258" s="38"/>
      <c r="M258" s="1">
        <v>2</v>
      </c>
      <c r="N258" s="1" t="s">
        <v>94</v>
      </c>
      <c r="O258" s="1">
        <v>10</v>
      </c>
      <c r="P258" s="1">
        <v>11.1</v>
      </c>
      <c r="Q258" s="1">
        <v>58.8</v>
      </c>
      <c r="R258" s="1">
        <v>7.6</v>
      </c>
      <c r="S258" s="5">
        <f>(R258/3.14159)*100</f>
        <v>241.91571783714613</v>
      </c>
      <c r="T258" s="1" t="s">
        <v>95</v>
      </c>
      <c r="U258" s="1">
        <v>75</v>
      </c>
      <c r="V258" s="1">
        <v>25</v>
      </c>
      <c r="X258" s="1">
        <f>100-U258</f>
        <v>25</v>
      </c>
      <c r="Y258" s="1">
        <v>1</v>
      </c>
      <c r="Z258" s="1">
        <v>1</v>
      </c>
      <c r="AA258" s="1" t="s">
        <v>45</v>
      </c>
      <c r="AB258" s="10">
        <v>3</v>
      </c>
      <c r="AC258" s="1">
        <v>46.4</v>
      </c>
      <c r="AE258" s="1">
        <v>25</v>
      </c>
      <c r="AF258" s="1">
        <v>0</v>
      </c>
      <c r="AG258" s="1">
        <v>0</v>
      </c>
      <c r="AH258" s="1">
        <v>31.9</v>
      </c>
      <c r="AI258" s="1" t="s">
        <v>53</v>
      </c>
      <c r="AJ258">
        <v>2</v>
      </c>
    </row>
    <row r="259" spans="1:37" ht="14.25" customHeight="1" x14ac:dyDescent="0.3">
      <c r="A259" s="1" t="s">
        <v>68</v>
      </c>
      <c r="B259" s="1">
        <v>8</v>
      </c>
      <c r="C259" s="1" t="s">
        <v>452</v>
      </c>
      <c r="D259" s="1">
        <v>356923</v>
      </c>
      <c r="E259" s="1">
        <v>3977111</v>
      </c>
      <c r="F259">
        <v>1911</v>
      </c>
      <c r="G259" s="1">
        <v>18</v>
      </c>
      <c r="H259" s="1">
        <v>99</v>
      </c>
      <c r="I259" s="20">
        <v>183</v>
      </c>
      <c r="J259" s="20">
        <v>2</v>
      </c>
      <c r="K259" s="1">
        <v>1</v>
      </c>
      <c r="L259" s="38"/>
      <c r="M259" s="1">
        <v>2</v>
      </c>
      <c r="N259" s="1" t="s">
        <v>94</v>
      </c>
      <c r="O259" s="1">
        <v>15.5</v>
      </c>
      <c r="P259" s="1">
        <v>16.5</v>
      </c>
      <c r="Q259" s="1">
        <v>61</v>
      </c>
      <c r="R259" s="1">
        <v>6.8</v>
      </c>
      <c r="S259" s="5">
        <f>(R259/3.14159)*100</f>
        <v>216.45090543323602</v>
      </c>
      <c r="T259" s="1" t="s">
        <v>95</v>
      </c>
      <c r="U259" s="1">
        <v>94</v>
      </c>
      <c r="V259" s="1">
        <v>5</v>
      </c>
      <c r="W259" s="1">
        <v>1</v>
      </c>
      <c r="X259" s="1">
        <f>100-U259</f>
        <v>6</v>
      </c>
      <c r="Y259" s="1">
        <v>0</v>
      </c>
      <c r="Z259" s="1">
        <v>0</v>
      </c>
      <c r="AA259" s="1" t="s">
        <v>45</v>
      </c>
      <c r="AB259" s="10">
        <v>4</v>
      </c>
      <c r="AC259" s="1">
        <v>25.6</v>
      </c>
      <c r="AE259" s="1">
        <v>5</v>
      </c>
      <c r="AF259" s="1">
        <v>0</v>
      </c>
      <c r="AG259" s="1">
        <v>0</v>
      </c>
      <c r="AH259" s="1">
        <v>57.5</v>
      </c>
      <c r="AI259" s="1" t="s">
        <v>51</v>
      </c>
      <c r="AJ259">
        <v>1</v>
      </c>
      <c r="AK259" s="1" t="s">
        <v>453</v>
      </c>
    </row>
    <row r="260" spans="1:37" ht="14.25" customHeight="1" x14ac:dyDescent="0.3">
      <c r="A260" s="1" t="s">
        <v>68</v>
      </c>
      <c r="B260" s="1">
        <v>8</v>
      </c>
      <c r="C260" s="1" t="s">
        <v>454</v>
      </c>
      <c r="D260" s="1">
        <v>356886</v>
      </c>
      <c r="E260" s="1">
        <v>3977109</v>
      </c>
      <c r="F260">
        <v>1911</v>
      </c>
      <c r="G260" s="1">
        <v>18</v>
      </c>
      <c r="H260" s="1">
        <v>99</v>
      </c>
      <c r="I260" s="20">
        <v>231</v>
      </c>
      <c r="J260" s="20">
        <v>2</v>
      </c>
      <c r="K260" s="1">
        <v>0</v>
      </c>
      <c r="L260" s="38">
        <v>1</v>
      </c>
      <c r="M260">
        <v>2</v>
      </c>
      <c r="N260" s="1" t="s">
        <v>94</v>
      </c>
      <c r="Q260" s="1">
        <v>40.799999999999997</v>
      </c>
      <c r="R260" s="1">
        <v>5.2</v>
      </c>
      <c r="S260" s="5">
        <f>(R260/3.14159)*100</f>
        <v>165.52128062541581</v>
      </c>
      <c r="T260" s="1" t="s">
        <v>97</v>
      </c>
      <c r="U260" s="1">
        <v>0</v>
      </c>
      <c r="V260" s="1">
        <v>100</v>
      </c>
      <c r="W260" s="1">
        <v>0</v>
      </c>
      <c r="X260" s="1">
        <f>100-U260</f>
        <v>100</v>
      </c>
      <c r="Y260">
        <v>0</v>
      </c>
      <c r="Z260" s="1">
        <v>0</v>
      </c>
      <c r="AA260" s="1" t="s">
        <v>45</v>
      </c>
      <c r="AG260" t="s">
        <v>50</v>
      </c>
      <c r="AH260" s="1">
        <v>55.3</v>
      </c>
      <c r="AI260" s="1" t="s">
        <v>51</v>
      </c>
      <c r="AJ260">
        <v>1</v>
      </c>
      <c r="AK260" s="1" t="s">
        <v>455</v>
      </c>
    </row>
    <row r="261" spans="1:37" ht="14.25" customHeight="1" x14ac:dyDescent="0.3">
      <c r="A261" s="1" t="s">
        <v>68</v>
      </c>
      <c r="B261" s="1">
        <v>8</v>
      </c>
      <c r="C261" s="1" t="s">
        <v>456</v>
      </c>
      <c r="D261" s="1">
        <v>356833</v>
      </c>
      <c r="E261" s="1">
        <v>3977123</v>
      </c>
      <c r="F261">
        <v>1911</v>
      </c>
      <c r="G261" s="1">
        <v>18</v>
      </c>
      <c r="H261" s="1">
        <v>99</v>
      </c>
      <c r="I261" s="20">
        <v>511</v>
      </c>
      <c r="J261" s="20">
        <v>3</v>
      </c>
      <c r="K261" s="70">
        <v>1</v>
      </c>
      <c r="L261" s="38"/>
      <c r="M261" s="70">
        <v>2</v>
      </c>
      <c r="N261" s="1" t="s">
        <v>94</v>
      </c>
      <c r="O261" s="1">
        <v>29.3</v>
      </c>
      <c r="P261" s="1">
        <v>29.3</v>
      </c>
      <c r="Q261" s="1">
        <v>56.4</v>
      </c>
      <c r="R261" s="1">
        <v>8.1</v>
      </c>
      <c r="S261" s="5">
        <f>(R261/3.14159)*100</f>
        <v>257.83122558959002</v>
      </c>
      <c r="T261" s="1" t="s">
        <v>95</v>
      </c>
      <c r="U261" s="1">
        <v>99</v>
      </c>
      <c r="V261" s="1">
        <v>0</v>
      </c>
      <c r="W261" s="1">
        <v>1</v>
      </c>
      <c r="X261" s="1">
        <f>100-U261</f>
        <v>1</v>
      </c>
      <c r="Y261" s="1">
        <v>1</v>
      </c>
      <c r="Z261" s="1">
        <v>0</v>
      </c>
      <c r="AA261" s="1" t="s">
        <v>45</v>
      </c>
      <c r="AB261" s="10">
        <v>4</v>
      </c>
      <c r="AE261" s="1">
        <v>0</v>
      </c>
      <c r="AF261" s="1">
        <v>0</v>
      </c>
      <c r="AG261" s="1">
        <v>1</v>
      </c>
      <c r="AH261" s="1">
        <v>58.5</v>
      </c>
      <c r="AI261" s="1" t="s">
        <v>44</v>
      </c>
      <c r="AJ261">
        <v>1</v>
      </c>
    </row>
    <row r="262" spans="1:37" ht="14.25" customHeight="1" x14ac:dyDescent="0.3">
      <c r="A262" s="1" t="s">
        <v>68</v>
      </c>
      <c r="B262" s="1">
        <v>9</v>
      </c>
      <c r="C262" s="1" t="s">
        <v>428</v>
      </c>
      <c r="D262" s="1">
        <v>356272</v>
      </c>
      <c r="E262" s="1">
        <v>3977268</v>
      </c>
      <c r="F262">
        <v>1909</v>
      </c>
      <c r="G262" s="1">
        <v>21</v>
      </c>
      <c r="H262" s="1">
        <v>169</v>
      </c>
      <c r="I262" s="20">
        <v>1083</v>
      </c>
      <c r="J262" s="20">
        <v>4</v>
      </c>
      <c r="K262" s="70">
        <v>0</v>
      </c>
      <c r="L262" s="38"/>
      <c r="M262" s="70">
        <v>4</v>
      </c>
      <c r="N262" s="1" t="s">
        <v>153</v>
      </c>
      <c r="O262" s="1">
        <v>14.6</v>
      </c>
      <c r="Q262" s="1">
        <v>63.5</v>
      </c>
      <c r="R262" s="1">
        <v>11.6</v>
      </c>
      <c r="S262" s="5">
        <f>(R262/3.14159)*100</f>
        <v>369.23977985669677</v>
      </c>
      <c r="T262" s="1" t="s">
        <v>97</v>
      </c>
      <c r="U262" s="1">
        <v>0</v>
      </c>
      <c r="V262" s="1">
        <v>100</v>
      </c>
      <c r="W262" s="1">
        <v>0</v>
      </c>
      <c r="X262" s="1">
        <f>100-U262</f>
        <v>100</v>
      </c>
      <c r="Y262" s="1">
        <v>0</v>
      </c>
      <c r="Z262" s="1">
        <v>0</v>
      </c>
      <c r="AA262" s="1" t="s">
        <v>45</v>
      </c>
      <c r="AB262" s="10">
        <v>3</v>
      </c>
      <c r="AG262" s="1">
        <v>1</v>
      </c>
      <c r="AH262" s="1">
        <v>16.3</v>
      </c>
      <c r="AI262" s="1" t="s">
        <v>44</v>
      </c>
      <c r="AJ262">
        <v>1</v>
      </c>
    </row>
    <row r="263" spans="1:37" ht="14.25" customHeight="1" x14ac:dyDescent="0.3">
      <c r="A263" s="1" t="s">
        <v>68</v>
      </c>
      <c r="B263" s="1">
        <v>9</v>
      </c>
      <c r="C263" s="1" t="s">
        <v>429</v>
      </c>
      <c r="D263" s="1">
        <v>356255</v>
      </c>
      <c r="E263" s="1">
        <v>3977268</v>
      </c>
      <c r="F263">
        <v>1909</v>
      </c>
      <c r="G263" s="1">
        <v>21</v>
      </c>
      <c r="H263" s="1">
        <v>169</v>
      </c>
      <c r="I263" s="20">
        <v>1028</v>
      </c>
      <c r="J263" s="20">
        <v>4</v>
      </c>
      <c r="K263" s="70">
        <v>0</v>
      </c>
      <c r="L263" s="38"/>
      <c r="M263" s="70">
        <v>4</v>
      </c>
      <c r="N263" s="1" t="s">
        <v>153</v>
      </c>
      <c r="O263" s="1">
        <v>19.8</v>
      </c>
      <c r="Q263" s="1">
        <v>57.8</v>
      </c>
      <c r="R263" s="1">
        <v>8.6</v>
      </c>
      <c r="S263" s="5">
        <f>(R263/3.14159)*100</f>
        <v>273.74673334203379</v>
      </c>
      <c r="T263" s="1" t="s">
        <v>102</v>
      </c>
      <c r="U263" s="1">
        <v>0</v>
      </c>
      <c r="V263" s="1">
        <v>100</v>
      </c>
      <c r="W263" s="1">
        <v>0</v>
      </c>
      <c r="X263" s="1">
        <f>100-U263</f>
        <v>100</v>
      </c>
      <c r="Y263" s="1">
        <v>0</v>
      </c>
      <c r="Z263" s="1">
        <v>0</v>
      </c>
      <c r="AA263" s="1" t="s">
        <v>45</v>
      </c>
      <c r="AB263" s="10">
        <v>4</v>
      </c>
      <c r="AG263" s="1">
        <v>1</v>
      </c>
      <c r="AH263" s="1">
        <v>26.8</v>
      </c>
      <c r="AI263" s="1" t="s">
        <v>44</v>
      </c>
      <c r="AJ263">
        <v>1</v>
      </c>
      <c r="AK263" s="17" t="s">
        <v>430</v>
      </c>
    </row>
    <row r="264" spans="1:37" ht="14.25" customHeight="1" x14ac:dyDescent="0.3">
      <c r="A264" s="1" t="s">
        <v>68</v>
      </c>
      <c r="B264" s="1">
        <v>9</v>
      </c>
      <c r="C264" s="1" t="s">
        <v>431</v>
      </c>
      <c r="D264" s="1">
        <v>356253</v>
      </c>
      <c r="E264" s="1">
        <v>3977269</v>
      </c>
      <c r="F264">
        <v>1909</v>
      </c>
      <c r="G264" s="1">
        <v>21</v>
      </c>
      <c r="H264" s="1">
        <v>169</v>
      </c>
      <c r="I264" s="20">
        <v>1028</v>
      </c>
      <c r="J264" s="20">
        <v>4</v>
      </c>
      <c r="K264" s="70">
        <v>0</v>
      </c>
      <c r="L264" s="38"/>
      <c r="M264" s="70">
        <v>4</v>
      </c>
      <c r="N264" s="1" t="s">
        <v>153</v>
      </c>
      <c r="O264" s="1">
        <v>17.5</v>
      </c>
      <c r="Q264" s="1">
        <v>64.400000000000006</v>
      </c>
      <c r="R264" s="1">
        <v>11.3</v>
      </c>
      <c r="S264" s="5">
        <f>(R264/3.14159)*100</f>
        <v>359.69047520523054</v>
      </c>
      <c r="T264" s="1" t="s">
        <v>97</v>
      </c>
      <c r="U264" s="1">
        <v>0</v>
      </c>
      <c r="V264" s="1">
        <v>100</v>
      </c>
      <c r="W264" s="1">
        <v>0</v>
      </c>
      <c r="X264" s="1">
        <f>100-U264</f>
        <v>100</v>
      </c>
      <c r="Y264" s="1">
        <v>0</v>
      </c>
      <c r="Z264" s="1">
        <v>0</v>
      </c>
      <c r="AA264" s="1" t="s">
        <v>45</v>
      </c>
      <c r="AB264" s="10">
        <v>4</v>
      </c>
      <c r="AG264" s="1">
        <v>1</v>
      </c>
      <c r="AH264" s="1">
        <v>31.5</v>
      </c>
      <c r="AI264" s="1" t="s">
        <v>44</v>
      </c>
      <c r="AJ264">
        <v>1</v>
      </c>
    </row>
    <row r="265" spans="1:37" ht="14.25" customHeight="1" x14ac:dyDescent="0.3">
      <c r="A265" s="1" t="s">
        <v>68</v>
      </c>
      <c r="B265" s="1">
        <v>10</v>
      </c>
      <c r="C265" s="1" t="s">
        <v>421</v>
      </c>
      <c r="D265" s="1">
        <v>356443</v>
      </c>
      <c r="E265" s="1">
        <v>3977262</v>
      </c>
      <c r="F265">
        <v>1917</v>
      </c>
      <c r="G265" s="1">
        <v>26</v>
      </c>
      <c r="H265" s="1">
        <v>127</v>
      </c>
      <c r="I265" s="20">
        <v>663</v>
      </c>
      <c r="J265" s="20">
        <v>4</v>
      </c>
      <c r="K265" s="1">
        <v>1</v>
      </c>
      <c r="L265" s="38"/>
      <c r="M265" s="1">
        <v>3</v>
      </c>
      <c r="N265" s="1" t="s">
        <v>94</v>
      </c>
      <c r="O265" s="1">
        <v>17.399999999999999</v>
      </c>
      <c r="P265" s="1">
        <v>30.7</v>
      </c>
      <c r="Q265" s="1">
        <v>70.099999999999994</v>
      </c>
      <c r="R265" s="1">
        <v>9.1</v>
      </c>
      <c r="S265" s="5">
        <f>(R265/3.14159)*100</f>
        <v>289.66224109447762</v>
      </c>
      <c r="T265" s="1" t="s">
        <v>97</v>
      </c>
      <c r="U265" s="1">
        <v>60</v>
      </c>
      <c r="V265" s="1">
        <v>30</v>
      </c>
      <c r="W265" s="1">
        <v>10</v>
      </c>
      <c r="X265" s="1">
        <f>100-U265</f>
        <v>40</v>
      </c>
      <c r="Y265" s="1">
        <v>0</v>
      </c>
      <c r="Z265" s="1">
        <v>0</v>
      </c>
      <c r="AA265" s="1" t="s">
        <v>45</v>
      </c>
      <c r="AB265" s="10">
        <v>3</v>
      </c>
      <c r="AC265" s="1">
        <v>42.7</v>
      </c>
      <c r="AD265" s="1">
        <v>34.200000000000003</v>
      </c>
      <c r="AE265" s="1">
        <v>55</v>
      </c>
      <c r="AF265" s="1">
        <v>5</v>
      </c>
      <c r="AG265" s="1">
        <v>0</v>
      </c>
      <c r="AH265" s="1">
        <v>39</v>
      </c>
      <c r="AI265" s="1" t="s">
        <v>51</v>
      </c>
      <c r="AJ265">
        <v>1</v>
      </c>
    </row>
    <row r="266" spans="1:37" ht="14.25" customHeight="1" x14ac:dyDescent="0.3">
      <c r="A266" s="1" t="s">
        <v>68</v>
      </c>
      <c r="B266" s="1">
        <v>10</v>
      </c>
      <c r="C266" s="1" t="s">
        <v>422</v>
      </c>
      <c r="D266" s="1">
        <v>356442</v>
      </c>
      <c r="E266" s="1">
        <v>3977275</v>
      </c>
      <c r="F266">
        <v>1917</v>
      </c>
      <c r="G266" s="1">
        <v>26</v>
      </c>
      <c r="H266" s="1">
        <v>127</v>
      </c>
      <c r="I266" s="20">
        <v>663</v>
      </c>
      <c r="J266" s="20">
        <v>4</v>
      </c>
      <c r="K266" s="1">
        <v>1</v>
      </c>
      <c r="L266" s="38"/>
      <c r="M266" s="1">
        <v>3</v>
      </c>
      <c r="N266" s="1" t="s">
        <v>94</v>
      </c>
      <c r="O266" s="1">
        <v>16.7</v>
      </c>
      <c r="P266" s="1">
        <v>29</v>
      </c>
      <c r="Q266" s="1">
        <v>68.2</v>
      </c>
      <c r="R266" s="1">
        <v>12.2</v>
      </c>
      <c r="S266" s="5">
        <f>(R266/3.14159)*100</f>
        <v>388.33838915962934</v>
      </c>
      <c r="T266" s="1" t="s">
        <v>97</v>
      </c>
      <c r="U266" s="1">
        <v>40</v>
      </c>
      <c r="V266" s="1">
        <v>55</v>
      </c>
      <c r="W266" s="1">
        <v>5</v>
      </c>
      <c r="X266" s="1">
        <f>100-U266</f>
        <v>60</v>
      </c>
      <c r="Y266" s="1">
        <v>0</v>
      </c>
      <c r="Z266" s="1">
        <v>0</v>
      </c>
      <c r="AA266" s="1" t="s">
        <v>45</v>
      </c>
      <c r="AB266" s="10">
        <v>3</v>
      </c>
      <c r="AC266" s="1">
        <v>59</v>
      </c>
      <c r="AD266" s="1">
        <v>46.7</v>
      </c>
      <c r="AE266" s="1">
        <v>40</v>
      </c>
      <c r="AF266" s="1">
        <v>20</v>
      </c>
      <c r="AG266" s="1">
        <v>1</v>
      </c>
      <c r="AH266" s="1">
        <v>44.5</v>
      </c>
      <c r="AI266" s="1" t="s">
        <v>51</v>
      </c>
      <c r="AJ266">
        <v>1</v>
      </c>
    </row>
    <row r="267" spans="1:37" ht="14.25" customHeight="1" x14ac:dyDescent="0.3">
      <c r="A267" s="1" t="s">
        <v>68</v>
      </c>
      <c r="B267" s="1">
        <v>10</v>
      </c>
      <c r="C267" s="1" t="s">
        <v>423</v>
      </c>
      <c r="D267" s="1">
        <v>356473</v>
      </c>
      <c r="E267" s="1">
        <v>3977218</v>
      </c>
      <c r="F267">
        <v>1917</v>
      </c>
      <c r="G267" s="1">
        <v>26</v>
      </c>
      <c r="H267" s="1">
        <v>127</v>
      </c>
      <c r="I267" s="20">
        <v>708</v>
      </c>
      <c r="J267" s="20">
        <v>4</v>
      </c>
      <c r="K267" s="1">
        <v>0</v>
      </c>
      <c r="L267" s="38"/>
      <c r="M267" s="1">
        <v>3</v>
      </c>
      <c r="N267" s="1" t="s">
        <v>94</v>
      </c>
      <c r="O267" s="1">
        <v>19</v>
      </c>
      <c r="Q267" s="1">
        <v>49.6</v>
      </c>
      <c r="R267" s="1">
        <v>14.4</v>
      </c>
      <c r="S267" s="5">
        <f>(R267/3.14159)*100</f>
        <v>458.36662327038226</v>
      </c>
      <c r="T267" s="1" t="s">
        <v>95</v>
      </c>
      <c r="U267" s="1">
        <v>0</v>
      </c>
      <c r="V267" s="1">
        <v>100</v>
      </c>
      <c r="W267" s="1">
        <v>0</v>
      </c>
      <c r="X267" s="1">
        <f>100-U267</f>
        <v>100</v>
      </c>
      <c r="Y267">
        <v>0</v>
      </c>
      <c r="Z267" s="1">
        <v>0</v>
      </c>
      <c r="AA267" s="1" t="s">
        <v>45</v>
      </c>
      <c r="AB267" s="10">
        <v>1</v>
      </c>
      <c r="AG267" s="1">
        <v>1</v>
      </c>
      <c r="AH267" s="1">
        <v>45.9</v>
      </c>
      <c r="AI267" s="1" t="s">
        <v>60</v>
      </c>
      <c r="AJ267">
        <v>1</v>
      </c>
      <c r="AK267" s="1" t="s">
        <v>424</v>
      </c>
    </row>
    <row r="268" spans="1:37" ht="14.25" customHeight="1" x14ac:dyDescent="0.3">
      <c r="A268" s="1" t="s">
        <v>68</v>
      </c>
      <c r="B268" s="1">
        <v>10</v>
      </c>
      <c r="C268" s="1" t="s">
        <v>434</v>
      </c>
      <c r="D268" s="1">
        <v>356492</v>
      </c>
      <c r="E268" s="1">
        <v>3977220</v>
      </c>
      <c r="F268">
        <v>1917</v>
      </c>
      <c r="G268" s="1">
        <v>26</v>
      </c>
      <c r="H268" s="1">
        <v>127</v>
      </c>
      <c r="I268" s="20">
        <v>793</v>
      </c>
      <c r="J268" s="20">
        <v>4</v>
      </c>
      <c r="K268" s="1">
        <v>0</v>
      </c>
      <c r="L268" s="38"/>
      <c r="M268" s="1">
        <v>3</v>
      </c>
      <c r="N268" s="1" t="s">
        <v>94</v>
      </c>
      <c r="O268" s="1">
        <v>16.5</v>
      </c>
      <c r="Q268" s="1">
        <v>56.3</v>
      </c>
      <c r="R268" s="1">
        <v>9.5</v>
      </c>
      <c r="S268" s="5">
        <f>(R268/3.14159)*100</f>
        <v>302.39464729643271</v>
      </c>
      <c r="T268" s="1" t="s">
        <v>97</v>
      </c>
      <c r="U268" s="1">
        <v>0</v>
      </c>
      <c r="V268" s="1">
        <v>100</v>
      </c>
      <c r="W268" s="1">
        <v>0</v>
      </c>
      <c r="X268" s="1">
        <f>100-U268</f>
        <v>100</v>
      </c>
      <c r="Y268">
        <v>0</v>
      </c>
      <c r="Z268" s="1">
        <v>0</v>
      </c>
      <c r="AA268" s="1" t="s">
        <v>45</v>
      </c>
      <c r="AB268" s="10">
        <v>2</v>
      </c>
      <c r="AG268" s="1">
        <v>1</v>
      </c>
      <c r="AH268" s="1">
        <v>35.6</v>
      </c>
      <c r="AI268" s="1" t="s">
        <v>53</v>
      </c>
      <c r="AJ268">
        <v>2</v>
      </c>
      <c r="AK268" s="1" t="s">
        <v>435</v>
      </c>
    </row>
    <row r="269" spans="1:37" ht="14.25" customHeight="1" x14ac:dyDescent="0.3">
      <c r="A269" s="1" t="s">
        <v>68</v>
      </c>
      <c r="B269" s="1">
        <v>10</v>
      </c>
      <c r="C269" s="1" t="s">
        <v>436</v>
      </c>
      <c r="D269" s="1">
        <v>356505</v>
      </c>
      <c r="E269" s="1">
        <v>3977214</v>
      </c>
      <c r="F269">
        <v>1917</v>
      </c>
      <c r="G269" s="1">
        <v>26</v>
      </c>
      <c r="H269" s="1">
        <v>127</v>
      </c>
      <c r="I269" s="20">
        <v>878</v>
      </c>
      <c r="J269" s="20">
        <v>4</v>
      </c>
      <c r="K269" s="1">
        <v>1</v>
      </c>
      <c r="L269" s="38"/>
      <c r="M269" s="1">
        <v>3</v>
      </c>
      <c r="N269" s="1" t="s">
        <v>94</v>
      </c>
      <c r="O269" s="1">
        <v>10.3</v>
      </c>
      <c r="P269" s="1">
        <v>39</v>
      </c>
      <c r="Q269" s="1">
        <v>67.599999999999994</v>
      </c>
      <c r="R269" s="1">
        <v>11.2</v>
      </c>
      <c r="S269" s="5">
        <f>(R269/3.14159)*100</f>
        <v>356.50737365474168</v>
      </c>
      <c r="T269" s="1" t="s">
        <v>97</v>
      </c>
      <c r="U269" s="1">
        <v>40</v>
      </c>
      <c r="V269" s="1">
        <v>60</v>
      </c>
      <c r="W269" s="1">
        <v>0</v>
      </c>
      <c r="X269" s="1">
        <f>100-U269</f>
        <v>60</v>
      </c>
      <c r="Y269" s="1">
        <v>0</v>
      </c>
      <c r="Z269" s="1">
        <v>0</v>
      </c>
      <c r="AA269" s="1" t="s">
        <v>45</v>
      </c>
      <c r="AB269" s="10">
        <v>3</v>
      </c>
      <c r="AC269" s="1">
        <v>53.9</v>
      </c>
      <c r="AD269" s="1">
        <v>41.8</v>
      </c>
      <c r="AE269" s="1">
        <v>45</v>
      </c>
      <c r="AF269" s="1">
        <v>15</v>
      </c>
      <c r="AG269" s="1">
        <v>1</v>
      </c>
      <c r="AH269" s="1">
        <v>48.2</v>
      </c>
      <c r="AI269" s="1" t="s">
        <v>53</v>
      </c>
      <c r="AJ269">
        <v>2</v>
      </c>
    </row>
    <row r="270" spans="1:37" ht="14.25" customHeight="1" x14ac:dyDescent="0.3">
      <c r="A270" s="1" t="s">
        <v>68</v>
      </c>
      <c r="B270" s="1">
        <v>10</v>
      </c>
      <c r="C270" s="1" t="s">
        <v>437</v>
      </c>
      <c r="D270" s="1">
        <v>356508</v>
      </c>
      <c r="E270" s="1">
        <v>3977229</v>
      </c>
      <c r="F270">
        <v>1917</v>
      </c>
      <c r="G270" s="1">
        <v>26</v>
      </c>
      <c r="H270" s="1">
        <v>127</v>
      </c>
      <c r="I270" s="20">
        <v>878</v>
      </c>
      <c r="J270" s="20">
        <v>4</v>
      </c>
      <c r="K270" s="1">
        <v>1</v>
      </c>
      <c r="L270" s="38"/>
      <c r="M270" s="1">
        <v>3</v>
      </c>
      <c r="N270" s="1" t="s">
        <v>94</v>
      </c>
      <c r="O270" s="1">
        <v>9.4</v>
      </c>
      <c r="P270" s="1">
        <v>44.1</v>
      </c>
      <c r="Q270" s="1">
        <v>62.4</v>
      </c>
      <c r="R270" s="1">
        <v>11.7</v>
      </c>
      <c r="S270" s="5">
        <f>(R270/3.14159)*100</f>
        <v>372.42288140718551</v>
      </c>
      <c r="T270" s="1" t="s">
        <v>97</v>
      </c>
      <c r="U270" s="1">
        <v>15</v>
      </c>
      <c r="V270" s="1">
        <v>85</v>
      </c>
      <c r="W270" s="1">
        <v>0</v>
      </c>
      <c r="X270" s="1">
        <f>100-U270</f>
        <v>85</v>
      </c>
      <c r="Y270" s="1">
        <v>0</v>
      </c>
      <c r="Z270" s="1">
        <v>0</v>
      </c>
      <c r="AA270" s="1" t="s">
        <v>45</v>
      </c>
      <c r="AB270" s="10">
        <v>3</v>
      </c>
      <c r="AC270" s="1">
        <v>55.5</v>
      </c>
      <c r="AD270" s="1">
        <v>45.2</v>
      </c>
      <c r="AE270" s="1">
        <v>55</v>
      </c>
      <c r="AF270" s="1">
        <v>35</v>
      </c>
      <c r="AG270" s="1">
        <v>1</v>
      </c>
      <c r="AH270" s="1">
        <v>35.4</v>
      </c>
      <c r="AI270" s="1" t="s">
        <v>53</v>
      </c>
      <c r="AJ270">
        <v>2</v>
      </c>
    </row>
    <row r="271" spans="1:37" ht="14.25" customHeight="1" x14ac:dyDescent="0.3">
      <c r="A271" s="1" t="s">
        <v>68</v>
      </c>
      <c r="B271" s="1">
        <v>10</v>
      </c>
      <c r="C271" s="1" t="s">
        <v>438</v>
      </c>
      <c r="D271" s="1">
        <v>356548</v>
      </c>
      <c r="E271" s="1">
        <v>3977246</v>
      </c>
      <c r="F271">
        <v>1917</v>
      </c>
      <c r="G271" s="1">
        <v>26</v>
      </c>
      <c r="H271" s="1">
        <v>127</v>
      </c>
      <c r="I271" s="20">
        <v>502</v>
      </c>
      <c r="J271" s="20">
        <v>3</v>
      </c>
      <c r="K271" s="1">
        <v>1</v>
      </c>
      <c r="L271" s="38"/>
      <c r="M271" s="1">
        <v>3</v>
      </c>
      <c r="N271" s="1" t="s">
        <v>153</v>
      </c>
      <c r="O271" s="1">
        <v>5.6</v>
      </c>
      <c r="P271" s="1">
        <v>9.9</v>
      </c>
      <c r="Q271" s="1">
        <v>36</v>
      </c>
      <c r="R271" s="1">
        <v>19.2</v>
      </c>
      <c r="S271" s="5">
        <f>(R271/3.14159)*100</f>
        <v>611.15549769384302</v>
      </c>
      <c r="T271" s="1" t="s">
        <v>95</v>
      </c>
      <c r="U271" s="1">
        <v>5</v>
      </c>
      <c r="V271" s="1">
        <v>95</v>
      </c>
      <c r="W271" s="1">
        <v>0</v>
      </c>
      <c r="X271" s="1">
        <f>100-U271</f>
        <v>95</v>
      </c>
      <c r="Y271" s="1">
        <v>0</v>
      </c>
      <c r="Z271" s="1">
        <v>0</v>
      </c>
      <c r="AA271" s="1" t="s">
        <v>45</v>
      </c>
      <c r="AB271" s="10">
        <v>2</v>
      </c>
      <c r="AC271" s="1">
        <v>28.4</v>
      </c>
      <c r="AD271" s="1">
        <v>36</v>
      </c>
      <c r="AE271" s="1">
        <v>35</v>
      </c>
      <c r="AF271" s="1">
        <v>60</v>
      </c>
      <c r="AG271" s="1">
        <v>1</v>
      </c>
      <c r="AH271" s="1">
        <v>59.6</v>
      </c>
      <c r="AI271" s="1" t="s">
        <v>51</v>
      </c>
      <c r="AJ271">
        <v>1</v>
      </c>
      <c r="AK271" s="1" t="s">
        <v>146</v>
      </c>
    </row>
    <row r="272" spans="1:37" ht="14.25" customHeight="1" x14ac:dyDescent="0.3">
      <c r="A272" s="1" t="s">
        <v>68</v>
      </c>
      <c r="B272" s="1">
        <v>10</v>
      </c>
      <c r="C272" s="1" t="s">
        <v>439</v>
      </c>
      <c r="D272" s="1">
        <v>356480</v>
      </c>
      <c r="E272" s="1">
        <v>3977265</v>
      </c>
      <c r="F272">
        <v>1917</v>
      </c>
      <c r="G272" s="1">
        <v>26</v>
      </c>
      <c r="H272" s="1">
        <v>127</v>
      </c>
      <c r="I272" s="20">
        <v>457</v>
      </c>
      <c r="J272" s="20">
        <v>3</v>
      </c>
      <c r="K272" s="1">
        <v>0</v>
      </c>
      <c r="L272" s="38"/>
      <c r="M272" s="1">
        <v>3</v>
      </c>
      <c r="N272" s="1" t="s">
        <v>94</v>
      </c>
      <c r="Q272" s="1">
        <v>42.1</v>
      </c>
      <c r="R272" s="1">
        <v>12.3</v>
      </c>
      <c r="S272" s="5">
        <f>(R272/3.14159)*100</f>
        <v>391.52149071011814</v>
      </c>
      <c r="T272" s="1" t="s">
        <v>97</v>
      </c>
      <c r="U272" s="1">
        <v>0</v>
      </c>
      <c r="V272" s="1">
        <v>100</v>
      </c>
      <c r="W272">
        <v>0</v>
      </c>
      <c r="X272" s="1">
        <f>100-U272</f>
        <v>100</v>
      </c>
      <c r="Y272">
        <v>0</v>
      </c>
      <c r="Z272" s="1">
        <v>0</v>
      </c>
      <c r="AA272" s="1" t="s">
        <v>45</v>
      </c>
      <c r="AG272" s="1">
        <v>0</v>
      </c>
      <c r="AH272" s="1">
        <v>13</v>
      </c>
      <c r="AI272" s="1" t="s">
        <v>51</v>
      </c>
      <c r="AJ272">
        <v>1</v>
      </c>
      <c r="AK272" s="1" t="s">
        <v>440</v>
      </c>
    </row>
    <row r="273" spans="1:37" ht="14.25" customHeight="1" x14ac:dyDescent="0.3">
      <c r="A273" s="1" t="s">
        <v>68</v>
      </c>
      <c r="B273" s="1">
        <v>10</v>
      </c>
      <c r="C273" s="1" t="s">
        <v>441</v>
      </c>
      <c r="D273" s="1">
        <v>356498</v>
      </c>
      <c r="E273" s="1">
        <v>3977214</v>
      </c>
      <c r="F273">
        <v>1917</v>
      </c>
      <c r="G273" s="1">
        <v>26</v>
      </c>
      <c r="H273" s="1">
        <v>127</v>
      </c>
      <c r="I273" s="20">
        <v>793</v>
      </c>
      <c r="J273" s="20">
        <v>4</v>
      </c>
      <c r="K273" s="1">
        <v>0</v>
      </c>
      <c r="L273" s="61">
        <v>1</v>
      </c>
      <c r="M273" s="1">
        <v>3</v>
      </c>
      <c r="N273" s="1" t="s">
        <v>94</v>
      </c>
      <c r="Q273" s="1">
        <v>46.1</v>
      </c>
      <c r="R273" s="5">
        <f>S273*3.1416/100</f>
        <v>7.2256799999999997</v>
      </c>
      <c r="S273" s="5">
        <v>230</v>
      </c>
      <c r="T273" s="1" t="s">
        <v>97</v>
      </c>
      <c r="U273" s="1">
        <v>0</v>
      </c>
      <c r="V273" s="1">
        <v>100</v>
      </c>
      <c r="W273">
        <v>0</v>
      </c>
      <c r="X273" s="1">
        <f>100-U273</f>
        <v>100</v>
      </c>
      <c r="Y273">
        <v>0</v>
      </c>
      <c r="Z273" s="1">
        <v>0</v>
      </c>
      <c r="AA273" s="1" t="s">
        <v>45</v>
      </c>
      <c r="AG273" s="1">
        <v>1</v>
      </c>
      <c r="AH273" s="1">
        <v>46</v>
      </c>
      <c r="AI273" s="1" t="s">
        <v>53</v>
      </c>
      <c r="AJ273">
        <v>2</v>
      </c>
      <c r="AK273" s="1" t="s">
        <v>442</v>
      </c>
    </row>
    <row r="274" spans="1:37" ht="14.25" customHeight="1" x14ac:dyDescent="0.3">
      <c r="A274" s="1" t="s">
        <v>68</v>
      </c>
      <c r="B274" s="1">
        <v>11</v>
      </c>
      <c r="C274" s="1" t="s">
        <v>457</v>
      </c>
      <c r="D274" s="1">
        <v>356852</v>
      </c>
      <c r="E274" s="1">
        <v>3977228</v>
      </c>
      <c r="F274">
        <v>1882</v>
      </c>
      <c r="G274" s="1">
        <v>12</v>
      </c>
      <c r="H274" s="1">
        <v>145</v>
      </c>
      <c r="I274" s="20">
        <v>155</v>
      </c>
      <c r="J274" s="20">
        <v>2</v>
      </c>
      <c r="K274" s="1">
        <v>1</v>
      </c>
      <c r="L274" s="38"/>
      <c r="M274" s="1">
        <v>2</v>
      </c>
      <c r="N274" s="1" t="s">
        <v>94</v>
      </c>
      <c r="O274" s="1">
        <v>18.100000000000001</v>
      </c>
      <c r="P274" s="1">
        <v>18.100000000000001</v>
      </c>
      <c r="Q274" s="1">
        <v>55.2</v>
      </c>
      <c r="R274" s="1">
        <v>13.4</v>
      </c>
      <c r="S274" s="5">
        <f>(R274/3.14159)*100</f>
        <v>426.53560776549455</v>
      </c>
      <c r="T274" s="1" t="s">
        <v>95</v>
      </c>
      <c r="U274" s="1">
        <v>95</v>
      </c>
      <c r="V274" s="1">
        <v>5</v>
      </c>
      <c r="W274" s="1">
        <v>0</v>
      </c>
      <c r="X274" s="1">
        <f>100-U274</f>
        <v>5</v>
      </c>
      <c r="Y274" s="1">
        <v>1</v>
      </c>
      <c r="Z274" s="1">
        <v>0</v>
      </c>
      <c r="AA274" s="1" t="s">
        <v>45</v>
      </c>
      <c r="AB274" s="10">
        <v>4</v>
      </c>
      <c r="AC274" s="1">
        <v>38.6</v>
      </c>
      <c r="AE274" s="1">
        <v>5</v>
      </c>
      <c r="AF274" s="1">
        <v>0</v>
      </c>
      <c r="AG274" s="1">
        <v>0</v>
      </c>
      <c r="AH274" s="1">
        <v>36.9</v>
      </c>
      <c r="AI274" s="1" t="s">
        <v>53</v>
      </c>
      <c r="AJ274">
        <v>2</v>
      </c>
    </row>
    <row r="275" spans="1:37" ht="14.25" customHeight="1" x14ac:dyDescent="0.3">
      <c r="A275" s="1" t="s">
        <v>68</v>
      </c>
      <c r="B275" s="1">
        <v>11</v>
      </c>
      <c r="C275" s="1" t="s">
        <v>458</v>
      </c>
      <c r="D275" s="1">
        <v>356976</v>
      </c>
      <c r="E275" s="1">
        <v>3977246</v>
      </c>
      <c r="F275">
        <v>1882</v>
      </c>
      <c r="G275" s="1">
        <v>12</v>
      </c>
      <c r="H275" s="1">
        <v>145</v>
      </c>
      <c r="I275" s="20">
        <v>490</v>
      </c>
      <c r="J275" s="20">
        <v>3</v>
      </c>
      <c r="K275" s="1">
        <v>1</v>
      </c>
      <c r="L275" s="38"/>
      <c r="M275" s="1">
        <v>2</v>
      </c>
      <c r="N275" s="1" t="s">
        <v>94</v>
      </c>
      <c r="O275" s="1">
        <v>7.6</v>
      </c>
      <c r="P275" s="1">
        <v>8.8000000000000007</v>
      </c>
      <c r="Q275" s="1">
        <v>62.2</v>
      </c>
      <c r="R275" s="1">
        <v>16.3</v>
      </c>
      <c r="S275" s="5">
        <f>(R275/3.14159)*100</f>
        <v>518.84555272966873</v>
      </c>
      <c r="T275" s="1" t="s">
        <v>95</v>
      </c>
      <c r="U275" s="1">
        <v>99</v>
      </c>
      <c r="V275" s="1">
        <v>1</v>
      </c>
      <c r="W275" s="1">
        <v>0</v>
      </c>
      <c r="X275" s="1">
        <f>100-U275</f>
        <v>1</v>
      </c>
      <c r="Y275" s="1">
        <v>1</v>
      </c>
      <c r="Z275" s="1">
        <v>0</v>
      </c>
      <c r="AA275" s="1" t="s">
        <v>45</v>
      </c>
      <c r="AB275" s="10">
        <v>4</v>
      </c>
      <c r="AC275" s="1">
        <v>9.3000000000000007</v>
      </c>
      <c r="AE275" s="1">
        <v>1</v>
      </c>
      <c r="AF275" s="1">
        <v>0</v>
      </c>
      <c r="AG275" s="1">
        <v>0</v>
      </c>
      <c r="AH275" s="1">
        <v>16.2</v>
      </c>
      <c r="AI275" s="1" t="s">
        <v>51</v>
      </c>
      <c r="AJ275">
        <v>1</v>
      </c>
      <c r="AK275" s="1" t="s">
        <v>459</v>
      </c>
    </row>
    <row r="276" spans="1:37" ht="14.25" customHeight="1" x14ac:dyDescent="0.3">
      <c r="A276" s="1" t="s">
        <v>68</v>
      </c>
      <c r="B276" s="1">
        <v>11</v>
      </c>
      <c r="C276" s="1" t="s">
        <v>460</v>
      </c>
      <c r="D276" s="1">
        <v>356923</v>
      </c>
      <c r="E276" s="1">
        <v>3977256</v>
      </c>
      <c r="F276">
        <v>1882</v>
      </c>
      <c r="G276" s="1">
        <v>12</v>
      </c>
      <c r="H276" s="1">
        <v>145</v>
      </c>
      <c r="I276" s="20">
        <v>151</v>
      </c>
      <c r="J276" s="20">
        <v>2</v>
      </c>
      <c r="K276" s="1">
        <v>1</v>
      </c>
      <c r="L276" s="38"/>
      <c r="M276" s="1">
        <v>2</v>
      </c>
      <c r="N276" s="1" t="s">
        <v>94</v>
      </c>
      <c r="O276" s="1">
        <v>12</v>
      </c>
      <c r="P276" s="1">
        <v>12.1</v>
      </c>
      <c r="Q276" s="1">
        <v>66.599999999999994</v>
      </c>
      <c r="R276" s="1">
        <v>12.9</v>
      </c>
      <c r="S276" s="5">
        <f>(R276/3.14159)*100</f>
        <v>410.62010001305077</v>
      </c>
      <c r="T276" s="1" t="s">
        <v>95</v>
      </c>
      <c r="U276" s="1">
        <v>95</v>
      </c>
      <c r="V276" s="1">
        <v>5</v>
      </c>
      <c r="W276" s="1">
        <v>0</v>
      </c>
      <c r="X276" s="1">
        <f>100-U276</f>
        <v>5</v>
      </c>
      <c r="Y276" s="1">
        <v>0</v>
      </c>
      <c r="Z276" s="1">
        <v>0</v>
      </c>
      <c r="AA276" s="1" t="s">
        <v>45</v>
      </c>
      <c r="AB276" s="10">
        <v>4</v>
      </c>
      <c r="AC276" s="1">
        <v>21.4</v>
      </c>
      <c r="AE276" s="1">
        <v>1</v>
      </c>
      <c r="AF276" s="1">
        <v>0</v>
      </c>
      <c r="AG276" s="1">
        <v>1</v>
      </c>
      <c r="AH276" s="1">
        <v>30.7</v>
      </c>
      <c r="AI276" s="1" t="s">
        <v>53</v>
      </c>
      <c r="AJ276">
        <v>2</v>
      </c>
    </row>
    <row r="277" spans="1:37" ht="14.25" customHeight="1" x14ac:dyDescent="0.3">
      <c r="A277" s="1" t="s">
        <v>68</v>
      </c>
      <c r="B277" s="1">
        <v>11</v>
      </c>
      <c r="C277" s="1" t="s">
        <v>461</v>
      </c>
      <c r="D277" s="1">
        <v>356858</v>
      </c>
      <c r="E277" s="1">
        <v>3977279</v>
      </c>
      <c r="F277">
        <v>1882</v>
      </c>
      <c r="G277" s="1">
        <v>12</v>
      </c>
      <c r="H277" s="1">
        <v>145</v>
      </c>
      <c r="I277" s="20">
        <v>65</v>
      </c>
      <c r="J277" s="20">
        <v>1</v>
      </c>
      <c r="K277" s="1">
        <v>1</v>
      </c>
      <c r="L277" s="38"/>
      <c r="M277" s="1">
        <v>2</v>
      </c>
      <c r="N277" s="1" t="s">
        <v>94</v>
      </c>
      <c r="O277" s="1">
        <v>8.6</v>
      </c>
      <c r="P277" s="1">
        <v>16.100000000000001</v>
      </c>
      <c r="Q277" s="1">
        <v>55.1</v>
      </c>
      <c r="R277" s="1">
        <v>4.5999999999999996</v>
      </c>
      <c r="S277" s="5">
        <f>(R277/3.14159)*100</f>
        <v>146.42267132248318</v>
      </c>
      <c r="T277" s="1" t="s">
        <v>95</v>
      </c>
      <c r="U277" s="1">
        <v>90</v>
      </c>
      <c r="V277" s="1">
        <v>10</v>
      </c>
      <c r="W277" s="1">
        <v>0</v>
      </c>
      <c r="X277" s="1">
        <f>100-U277</f>
        <v>10</v>
      </c>
      <c r="Y277" s="1">
        <v>0</v>
      </c>
      <c r="Z277" s="1">
        <v>0</v>
      </c>
      <c r="AA277" s="1" t="s">
        <v>45</v>
      </c>
      <c r="AB277" s="10">
        <v>2</v>
      </c>
      <c r="AC277" s="1">
        <v>17.399999999999999</v>
      </c>
      <c r="AE277" s="1">
        <v>5</v>
      </c>
      <c r="AF277" s="1">
        <v>0</v>
      </c>
      <c r="AG277" s="1">
        <v>0</v>
      </c>
      <c r="AH277" s="1">
        <v>27.1</v>
      </c>
      <c r="AI277" s="1" t="s">
        <v>51</v>
      </c>
      <c r="AJ277">
        <v>1</v>
      </c>
    </row>
    <row r="278" spans="1:37" ht="14.25" customHeight="1" x14ac:dyDescent="0.3">
      <c r="A278" s="1" t="s">
        <v>68</v>
      </c>
      <c r="B278" s="1">
        <v>11</v>
      </c>
      <c r="C278" s="1" t="s">
        <v>462</v>
      </c>
      <c r="D278" s="1">
        <v>356882</v>
      </c>
      <c r="E278" s="1">
        <v>3977251</v>
      </c>
      <c r="F278">
        <v>1882</v>
      </c>
      <c r="G278" s="1">
        <v>12</v>
      </c>
      <c r="H278" s="1">
        <v>145</v>
      </c>
      <c r="I278" s="20">
        <v>213</v>
      </c>
      <c r="J278" s="20">
        <v>2</v>
      </c>
      <c r="K278" s="1">
        <v>1</v>
      </c>
      <c r="L278" s="38"/>
      <c r="M278" s="1">
        <v>2</v>
      </c>
      <c r="N278" s="1" t="s">
        <v>94</v>
      </c>
      <c r="O278" s="1">
        <v>13.6</v>
      </c>
      <c r="P278" s="1">
        <v>24.3</v>
      </c>
      <c r="Q278" s="1">
        <v>49.2</v>
      </c>
      <c r="R278" s="1">
        <v>3.9</v>
      </c>
      <c r="S278" s="5">
        <f>(R278/3.14159)*100</f>
        <v>124.14096046906184</v>
      </c>
      <c r="T278" s="1" t="s">
        <v>97</v>
      </c>
      <c r="U278" s="1">
        <v>70</v>
      </c>
      <c r="V278" s="1">
        <v>30</v>
      </c>
      <c r="W278" s="1">
        <v>0</v>
      </c>
      <c r="X278" s="1">
        <f>100-U278</f>
        <v>30</v>
      </c>
      <c r="Y278" s="1">
        <v>0</v>
      </c>
      <c r="Z278" s="1">
        <v>0</v>
      </c>
      <c r="AA278" s="1" t="s">
        <v>45</v>
      </c>
      <c r="AB278" s="10">
        <v>2</v>
      </c>
      <c r="AC278" s="1">
        <v>29.1</v>
      </c>
      <c r="AE278" s="1">
        <v>20</v>
      </c>
      <c r="AF278" s="1">
        <v>0</v>
      </c>
      <c r="AG278" s="1">
        <v>0</v>
      </c>
      <c r="AH278" s="1">
        <v>24.6</v>
      </c>
      <c r="AI278" s="1" t="s">
        <v>51</v>
      </c>
      <c r="AJ278">
        <v>1</v>
      </c>
    </row>
    <row r="279" spans="1:37" ht="14.25" customHeight="1" x14ac:dyDescent="0.3">
      <c r="A279" s="1" t="s">
        <v>68</v>
      </c>
      <c r="B279" s="1">
        <v>12</v>
      </c>
      <c r="C279" s="1" t="s">
        <v>432</v>
      </c>
      <c r="D279" s="1">
        <v>356269</v>
      </c>
      <c r="E279" s="1">
        <v>3977471</v>
      </c>
      <c r="F279">
        <v>1915</v>
      </c>
      <c r="G279" s="1">
        <v>13</v>
      </c>
      <c r="H279" s="1">
        <v>56</v>
      </c>
      <c r="I279" s="20">
        <v>845</v>
      </c>
      <c r="J279" s="20">
        <v>4</v>
      </c>
      <c r="K279" s="1">
        <v>0</v>
      </c>
      <c r="L279" s="38"/>
      <c r="M279" s="1">
        <v>4</v>
      </c>
      <c r="N279" s="1" t="s">
        <v>153</v>
      </c>
      <c r="O279" s="1">
        <v>18.100000000000001</v>
      </c>
      <c r="Q279" s="1">
        <v>54.2</v>
      </c>
      <c r="R279" s="1">
        <v>14.3</v>
      </c>
      <c r="S279" s="5">
        <f>(R279/3.14159)*100</f>
        <v>455.18352171989352</v>
      </c>
      <c r="T279" s="1" t="s">
        <v>95</v>
      </c>
      <c r="U279" s="1">
        <v>0</v>
      </c>
      <c r="V279" s="1">
        <v>100</v>
      </c>
      <c r="W279" s="1">
        <v>0</v>
      </c>
      <c r="X279" s="1">
        <f>100-U279</f>
        <v>100</v>
      </c>
      <c r="Y279" s="1">
        <v>0</v>
      </c>
      <c r="Z279">
        <v>0</v>
      </c>
      <c r="AA279" s="1" t="s">
        <v>45</v>
      </c>
      <c r="AB279" s="10">
        <v>2</v>
      </c>
      <c r="AG279" s="1">
        <v>1</v>
      </c>
      <c r="AH279" s="1">
        <v>24.3</v>
      </c>
      <c r="AI279" s="1" t="s">
        <v>53</v>
      </c>
      <c r="AJ279">
        <v>2</v>
      </c>
    </row>
    <row r="280" spans="1:37" ht="14.25" customHeight="1" x14ac:dyDescent="0.3">
      <c r="A280" s="1" t="s">
        <v>68</v>
      </c>
      <c r="B280" s="1">
        <v>12</v>
      </c>
      <c r="C280" s="1" t="s">
        <v>433</v>
      </c>
      <c r="D280" s="1">
        <v>356284</v>
      </c>
      <c r="E280" s="1">
        <v>3977492</v>
      </c>
      <c r="F280">
        <v>1915</v>
      </c>
      <c r="G280" s="1">
        <v>13</v>
      </c>
      <c r="H280" s="1">
        <v>56</v>
      </c>
      <c r="I280" s="20">
        <v>579</v>
      </c>
      <c r="J280" s="20">
        <v>3</v>
      </c>
      <c r="K280" s="1">
        <v>1</v>
      </c>
      <c r="L280" s="38"/>
      <c r="M280" s="1">
        <v>4</v>
      </c>
      <c r="N280" s="1" t="s">
        <v>153</v>
      </c>
      <c r="O280" s="1">
        <v>11.3</v>
      </c>
      <c r="P280" s="1">
        <v>32.700000000000003</v>
      </c>
      <c r="Q280" s="1">
        <v>45.3</v>
      </c>
      <c r="R280" s="1">
        <v>3.3</v>
      </c>
      <c r="S280" s="5">
        <f>(R280/3.14159)*100</f>
        <v>105.04235116612925</v>
      </c>
      <c r="T280" s="1" t="s">
        <v>97</v>
      </c>
      <c r="U280" s="1">
        <v>25</v>
      </c>
      <c r="V280" s="1">
        <v>75</v>
      </c>
      <c r="W280" s="1">
        <v>0</v>
      </c>
      <c r="X280" s="1">
        <f>100-U280</f>
        <v>75</v>
      </c>
      <c r="Y280" s="1">
        <v>0</v>
      </c>
      <c r="Z280" s="1">
        <v>0</v>
      </c>
      <c r="AA280" s="1" t="s">
        <v>45</v>
      </c>
      <c r="AB280" s="10">
        <v>4</v>
      </c>
      <c r="AC280" s="1">
        <v>39.200000000000003</v>
      </c>
      <c r="AD280" s="1">
        <v>27.7</v>
      </c>
      <c r="AE280" s="1">
        <v>35</v>
      </c>
      <c r="AF280" s="1">
        <v>40</v>
      </c>
      <c r="AG280" s="1">
        <v>0</v>
      </c>
      <c r="AH280" s="1">
        <v>32.299999999999997</v>
      </c>
      <c r="AI280" s="1" t="s">
        <v>51</v>
      </c>
      <c r="AJ280">
        <v>1</v>
      </c>
    </row>
    <row r="281" spans="1:37" ht="14.25" customHeight="1" x14ac:dyDescent="0.3">
      <c r="A281" s="1" t="s">
        <v>68</v>
      </c>
      <c r="B281" s="1">
        <v>12</v>
      </c>
      <c r="C281" s="1" t="s">
        <v>463</v>
      </c>
      <c r="D281" s="1">
        <v>356277</v>
      </c>
      <c r="E281" s="1">
        <v>3977500</v>
      </c>
      <c r="F281">
        <v>1915</v>
      </c>
      <c r="G281" s="1">
        <v>13</v>
      </c>
      <c r="H281" s="1">
        <v>56</v>
      </c>
      <c r="I281" s="20">
        <v>603</v>
      </c>
      <c r="J281" s="20">
        <v>3</v>
      </c>
      <c r="K281" s="1">
        <v>1</v>
      </c>
      <c r="L281" s="38"/>
      <c r="M281" s="1">
        <v>4</v>
      </c>
      <c r="N281" s="1" t="s">
        <v>153</v>
      </c>
      <c r="O281" s="1">
        <v>11</v>
      </c>
      <c r="P281" s="1">
        <v>31.5</v>
      </c>
      <c r="Q281" s="1">
        <v>43.5</v>
      </c>
      <c r="R281" s="1">
        <v>4</v>
      </c>
      <c r="S281" s="5">
        <f>(R281/3.14159)*100</f>
        <v>127.32406201955062</v>
      </c>
      <c r="T281" s="1" t="s">
        <v>97</v>
      </c>
      <c r="U281" s="1">
        <v>25</v>
      </c>
      <c r="V281" s="1">
        <v>75</v>
      </c>
      <c r="W281" s="1">
        <v>0</v>
      </c>
      <c r="X281" s="1">
        <f>100-U281</f>
        <v>75</v>
      </c>
      <c r="Y281" s="1">
        <v>0</v>
      </c>
      <c r="Z281" s="1">
        <v>0</v>
      </c>
      <c r="AA281" s="1" t="s">
        <v>45</v>
      </c>
      <c r="AB281" s="10">
        <v>4</v>
      </c>
      <c r="AC281" s="1">
        <v>35.799999999999997</v>
      </c>
      <c r="AD281" s="1">
        <v>25.9</v>
      </c>
      <c r="AE281" s="1">
        <v>30</v>
      </c>
      <c r="AF281" s="1">
        <v>45</v>
      </c>
      <c r="AG281" s="1">
        <v>0</v>
      </c>
      <c r="AH281" s="1">
        <v>38</v>
      </c>
      <c r="AI281" s="1" t="s">
        <v>51</v>
      </c>
      <c r="AJ281">
        <v>1</v>
      </c>
    </row>
    <row r="282" spans="1:37" ht="14.25" customHeight="1" x14ac:dyDescent="0.3">
      <c r="A282" s="1" t="s">
        <v>68</v>
      </c>
      <c r="B282" s="1">
        <v>12</v>
      </c>
      <c r="C282" s="1" t="s">
        <v>464</v>
      </c>
      <c r="D282" s="1">
        <v>356309</v>
      </c>
      <c r="E282" s="1">
        <v>3977494</v>
      </c>
      <c r="F282">
        <v>1915</v>
      </c>
      <c r="G282" s="1">
        <v>13</v>
      </c>
      <c r="H282" s="1">
        <v>56</v>
      </c>
      <c r="I282" s="20">
        <v>498</v>
      </c>
      <c r="J282" s="20">
        <v>3</v>
      </c>
      <c r="K282" s="1">
        <v>1</v>
      </c>
      <c r="L282" s="38"/>
      <c r="M282" s="1">
        <v>3</v>
      </c>
      <c r="N282" s="1" t="s">
        <v>153</v>
      </c>
      <c r="O282" s="1">
        <v>8.6999999999999993</v>
      </c>
      <c r="P282" s="1">
        <v>14</v>
      </c>
      <c r="Q282" s="1">
        <v>57</v>
      </c>
      <c r="R282" s="1">
        <v>5.8</v>
      </c>
      <c r="S282" s="5">
        <f>(R282/3.14159)*100</f>
        <v>184.61988992834839</v>
      </c>
      <c r="T282" s="1" t="s">
        <v>97</v>
      </c>
      <c r="U282" s="1">
        <v>55</v>
      </c>
      <c r="V282" s="1">
        <v>45</v>
      </c>
      <c r="W282" s="1">
        <v>0</v>
      </c>
      <c r="X282" s="1">
        <f>100-U282</f>
        <v>45</v>
      </c>
      <c r="Y282" s="1">
        <v>0</v>
      </c>
      <c r="Z282" s="1">
        <v>0</v>
      </c>
      <c r="AA282" s="1" t="s">
        <v>45</v>
      </c>
      <c r="AB282" s="10">
        <v>4</v>
      </c>
      <c r="AC282" s="1">
        <v>28.6</v>
      </c>
      <c r="AD282" s="1">
        <v>24.7</v>
      </c>
      <c r="AE282" s="1">
        <v>5</v>
      </c>
      <c r="AF282" s="1">
        <v>40</v>
      </c>
      <c r="AG282" s="1">
        <v>0</v>
      </c>
      <c r="AH282" s="1">
        <v>47</v>
      </c>
      <c r="AI282" s="1" t="s">
        <v>53</v>
      </c>
      <c r="AJ282">
        <v>2</v>
      </c>
      <c r="AK282" s="1" t="s">
        <v>465</v>
      </c>
    </row>
    <row r="283" spans="1:37" ht="14.25" customHeight="1" x14ac:dyDescent="0.3">
      <c r="A283" s="1" t="s">
        <v>68</v>
      </c>
      <c r="B283" s="1">
        <v>12</v>
      </c>
      <c r="C283" s="1" t="s">
        <v>466</v>
      </c>
      <c r="D283" s="1">
        <v>356292</v>
      </c>
      <c r="E283" s="1">
        <v>3977433</v>
      </c>
      <c r="F283">
        <v>1915</v>
      </c>
      <c r="G283" s="1">
        <v>13</v>
      </c>
      <c r="H283" s="1">
        <v>56</v>
      </c>
      <c r="I283" s="20">
        <v>783</v>
      </c>
      <c r="J283" s="20">
        <v>4</v>
      </c>
      <c r="K283" s="1">
        <v>1</v>
      </c>
      <c r="L283" s="38"/>
      <c r="M283" s="1">
        <v>4</v>
      </c>
      <c r="N283" s="1" t="s">
        <v>153</v>
      </c>
      <c r="O283" s="1">
        <v>17.399999999999999</v>
      </c>
      <c r="P283" s="1">
        <v>41.2</v>
      </c>
      <c r="Q283" s="1">
        <v>61.7</v>
      </c>
      <c r="R283" s="1">
        <v>8.6999999999999993</v>
      </c>
      <c r="S283" s="5">
        <f>(R283/3.14159)*100</f>
        <v>276.92983489252254</v>
      </c>
      <c r="T283" s="1" t="s">
        <v>95</v>
      </c>
      <c r="U283" s="1">
        <v>40</v>
      </c>
      <c r="V283" s="1">
        <v>60</v>
      </c>
      <c r="W283" s="1">
        <v>0</v>
      </c>
      <c r="X283" s="1">
        <f>100-U283</f>
        <v>60</v>
      </c>
      <c r="Y283" s="1">
        <v>0</v>
      </c>
      <c r="Z283" s="1">
        <v>0</v>
      </c>
      <c r="AA283" s="1" t="s">
        <v>45</v>
      </c>
      <c r="AB283" s="10">
        <v>4</v>
      </c>
      <c r="AC283" s="1">
        <v>47.3</v>
      </c>
      <c r="AD283" s="1">
        <v>35.4</v>
      </c>
      <c r="AE283" s="1">
        <v>25</v>
      </c>
      <c r="AF283" s="1">
        <v>35</v>
      </c>
      <c r="AG283" s="1">
        <v>0</v>
      </c>
      <c r="AH283" s="1">
        <v>16.5</v>
      </c>
      <c r="AI283" s="1" t="s">
        <v>51</v>
      </c>
      <c r="AJ283">
        <v>1</v>
      </c>
      <c r="AK283" s="1" t="s">
        <v>467</v>
      </c>
    </row>
    <row r="284" spans="1:37" ht="14.25" customHeight="1" x14ac:dyDescent="0.3">
      <c r="A284" s="1" t="s">
        <v>68</v>
      </c>
      <c r="B284" s="1">
        <v>14</v>
      </c>
      <c r="C284" s="1" t="s">
        <v>505</v>
      </c>
      <c r="D284" s="1">
        <v>356737</v>
      </c>
      <c r="E284" s="1">
        <v>3977432</v>
      </c>
      <c r="F284">
        <v>1882</v>
      </c>
      <c r="G284" s="1">
        <v>8</v>
      </c>
      <c r="H284" s="1">
        <v>93</v>
      </c>
      <c r="I284" s="20">
        <v>92</v>
      </c>
      <c r="J284" s="20">
        <v>2</v>
      </c>
      <c r="K284" s="1">
        <v>1</v>
      </c>
      <c r="L284" s="38"/>
      <c r="M284" s="1">
        <v>3</v>
      </c>
      <c r="N284" s="1" t="s">
        <v>94</v>
      </c>
      <c r="O284" s="1">
        <v>7.7</v>
      </c>
      <c r="P284" s="1">
        <v>11.5</v>
      </c>
      <c r="Q284" s="1">
        <v>68.7</v>
      </c>
      <c r="R284" s="1">
        <v>14.2</v>
      </c>
      <c r="S284" s="5">
        <f>(R284/3.14159)*100</f>
        <v>452.00042016940466</v>
      </c>
      <c r="T284" s="1" t="s">
        <v>95</v>
      </c>
      <c r="U284" s="1">
        <v>98</v>
      </c>
      <c r="V284" s="1">
        <v>1</v>
      </c>
      <c r="W284" s="1">
        <v>1</v>
      </c>
      <c r="X284" s="1">
        <f>100-U284</f>
        <v>2</v>
      </c>
      <c r="Y284" s="1">
        <v>1</v>
      </c>
      <c r="Z284" s="1">
        <v>0</v>
      </c>
      <c r="AA284" s="1" t="s">
        <v>45</v>
      </c>
      <c r="AB284" s="10">
        <v>4</v>
      </c>
      <c r="AC284" s="1">
        <v>12.9</v>
      </c>
      <c r="AD284" s="1">
        <v>8.5</v>
      </c>
      <c r="AE284" s="1">
        <v>1</v>
      </c>
      <c r="AF284" s="1">
        <v>1</v>
      </c>
      <c r="AG284" s="1">
        <v>1</v>
      </c>
      <c r="AH284" s="1">
        <v>50.6</v>
      </c>
      <c r="AI284" s="1" t="s">
        <v>51</v>
      </c>
      <c r="AJ284">
        <v>1</v>
      </c>
    </row>
    <row r="285" spans="1:37" ht="14.25" customHeight="1" x14ac:dyDescent="0.3">
      <c r="A285" s="1" t="s">
        <v>68</v>
      </c>
      <c r="B285" s="1">
        <v>14</v>
      </c>
      <c r="C285" s="1" t="s">
        <v>506</v>
      </c>
      <c r="D285" s="1">
        <v>356728</v>
      </c>
      <c r="E285" s="1">
        <v>3977419</v>
      </c>
      <c r="F285">
        <v>1882</v>
      </c>
      <c r="G285" s="1">
        <v>8</v>
      </c>
      <c r="H285" s="1">
        <v>93</v>
      </c>
      <c r="I285" s="20">
        <v>153</v>
      </c>
      <c r="J285" s="20">
        <v>2</v>
      </c>
      <c r="K285" s="1">
        <v>0</v>
      </c>
      <c r="L285" s="61">
        <v>1</v>
      </c>
      <c r="M285" s="1">
        <v>3</v>
      </c>
      <c r="N285" s="1" t="s">
        <v>94</v>
      </c>
      <c r="Q285" s="1">
        <v>39.799999999999997</v>
      </c>
      <c r="R285" s="1">
        <v>3</v>
      </c>
      <c r="S285" s="5">
        <f>(R285/3.14159)*100</f>
        <v>95.493046514662964</v>
      </c>
      <c r="T285" s="1" t="s">
        <v>97</v>
      </c>
      <c r="U285" s="1">
        <v>0</v>
      </c>
      <c r="V285" s="1">
        <v>100</v>
      </c>
      <c r="W285" s="1">
        <v>0</v>
      </c>
      <c r="X285" s="1">
        <f>100-U285</f>
        <v>100</v>
      </c>
      <c r="Y285" s="1">
        <v>0</v>
      </c>
      <c r="Z285">
        <v>0</v>
      </c>
      <c r="AA285" s="1" t="s">
        <v>45</v>
      </c>
      <c r="AB285" s="10">
        <v>0</v>
      </c>
      <c r="AG285" s="1">
        <v>1</v>
      </c>
      <c r="AH285" s="1">
        <v>57.6</v>
      </c>
      <c r="AI285" s="1" t="s">
        <v>51</v>
      </c>
      <c r="AJ285">
        <v>1</v>
      </c>
      <c r="AK285" s="1" t="s">
        <v>507</v>
      </c>
    </row>
    <row r="286" spans="1:37" ht="14.25" customHeight="1" x14ac:dyDescent="0.3">
      <c r="A286" s="1" t="s">
        <v>68</v>
      </c>
      <c r="B286" s="1">
        <v>14</v>
      </c>
      <c r="C286" s="1" t="s">
        <v>508</v>
      </c>
      <c r="D286" s="1">
        <v>356684</v>
      </c>
      <c r="E286" s="1">
        <v>3977419</v>
      </c>
      <c r="F286">
        <v>1882</v>
      </c>
      <c r="G286" s="1">
        <v>8</v>
      </c>
      <c r="H286" s="1">
        <v>93</v>
      </c>
      <c r="I286" s="20">
        <v>171</v>
      </c>
      <c r="J286" s="20">
        <v>2</v>
      </c>
      <c r="K286" s="1">
        <v>1</v>
      </c>
      <c r="L286" s="38"/>
      <c r="M286" s="1">
        <v>3</v>
      </c>
      <c r="N286" s="1" t="s">
        <v>94</v>
      </c>
      <c r="O286" s="1">
        <v>12.8</v>
      </c>
      <c r="P286" s="1">
        <v>17.100000000000001</v>
      </c>
      <c r="Q286" s="1">
        <v>68.099999999999994</v>
      </c>
      <c r="R286" s="1">
        <v>9.1</v>
      </c>
      <c r="S286" s="5">
        <f>(R286/3.14159)*100</f>
        <v>289.66224109447762</v>
      </c>
      <c r="T286" s="1" t="s">
        <v>97</v>
      </c>
      <c r="U286" s="1">
        <v>80</v>
      </c>
      <c r="V286" s="1">
        <v>15</v>
      </c>
      <c r="W286" s="1">
        <v>5</v>
      </c>
      <c r="X286" s="1">
        <f>100-U286</f>
        <v>20</v>
      </c>
      <c r="Y286" s="1">
        <v>1</v>
      </c>
      <c r="Z286" s="1">
        <v>1</v>
      </c>
      <c r="AA286" s="1" t="s">
        <v>45</v>
      </c>
      <c r="AB286" s="10">
        <v>4</v>
      </c>
      <c r="AC286" s="1">
        <v>28.3</v>
      </c>
      <c r="AD286" s="1">
        <v>16.5</v>
      </c>
      <c r="AE286" s="1">
        <v>5</v>
      </c>
      <c r="AF286" s="1">
        <v>10</v>
      </c>
      <c r="AG286" s="1">
        <v>0</v>
      </c>
      <c r="AH286" s="1">
        <v>31.2</v>
      </c>
      <c r="AI286" s="1" t="s">
        <v>53</v>
      </c>
      <c r="AJ286">
        <v>2</v>
      </c>
      <c r="AK286" s="1" t="s">
        <v>509</v>
      </c>
    </row>
    <row r="287" spans="1:37" ht="14.25" customHeight="1" x14ac:dyDescent="0.3">
      <c r="A287" s="1" t="s">
        <v>68</v>
      </c>
      <c r="B287" s="1">
        <v>14</v>
      </c>
      <c r="C287" s="1" t="s">
        <v>510</v>
      </c>
      <c r="D287" s="1">
        <v>356650</v>
      </c>
      <c r="E287" s="1">
        <v>3977416</v>
      </c>
      <c r="F287">
        <v>1882</v>
      </c>
      <c r="G287" s="1">
        <v>8</v>
      </c>
      <c r="H287" s="1">
        <v>93</v>
      </c>
      <c r="I287" s="20">
        <v>129</v>
      </c>
      <c r="J287" s="20">
        <v>2</v>
      </c>
      <c r="K287" s="1">
        <v>1</v>
      </c>
      <c r="L287" s="38"/>
      <c r="M287" s="1">
        <v>3</v>
      </c>
      <c r="N287" s="1" t="s">
        <v>94</v>
      </c>
      <c r="O287" s="1">
        <v>10.7</v>
      </c>
      <c r="P287" s="1">
        <v>17.399999999999999</v>
      </c>
      <c r="Q287" s="1">
        <v>60.7</v>
      </c>
      <c r="R287" s="1">
        <v>9.4</v>
      </c>
      <c r="S287" s="5">
        <f>(R287/3.14159)*100</f>
        <v>299.21154574594397</v>
      </c>
      <c r="T287" s="1" t="s">
        <v>97</v>
      </c>
      <c r="U287" s="1">
        <v>98</v>
      </c>
      <c r="V287" s="1">
        <v>1</v>
      </c>
      <c r="W287" s="1">
        <v>1</v>
      </c>
      <c r="X287" s="1">
        <f>100-U287</f>
        <v>2</v>
      </c>
      <c r="Y287" s="1">
        <v>0</v>
      </c>
      <c r="Z287" s="1">
        <v>1</v>
      </c>
      <c r="AA287" s="1" t="s">
        <v>45</v>
      </c>
      <c r="AB287" s="10">
        <v>4</v>
      </c>
      <c r="AC287" s="1">
        <v>21.2</v>
      </c>
      <c r="AD287" s="1">
        <v>12.8</v>
      </c>
      <c r="AE287" s="1">
        <v>1</v>
      </c>
      <c r="AF287" s="1">
        <v>1</v>
      </c>
      <c r="AG287" s="1">
        <v>1</v>
      </c>
      <c r="AH287" s="1">
        <v>56.7</v>
      </c>
      <c r="AI287" s="1" t="s">
        <v>51</v>
      </c>
      <c r="AJ287">
        <v>1</v>
      </c>
      <c r="AK287" s="1" t="s">
        <v>509</v>
      </c>
    </row>
    <row r="288" spans="1:37" ht="14.25" customHeight="1" x14ac:dyDescent="0.3">
      <c r="A288" s="1" t="s">
        <v>68</v>
      </c>
      <c r="B288" s="1">
        <v>14</v>
      </c>
      <c r="C288" s="1" t="s">
        <v>473</v>
      </c>
      <c r="D288" s="1">
        <v>356657</v>
      </c>
      <c r="E288" s="1">
        <v>3977455</v>
      </c>
      <c r="F288">
        <v>1882</v>
      </c>
      <c r="G288" s="1">
        <v>8</v>
      </c>
      <c r="H288" s="1">
        <v>93</v>
      </c>
      <c r="I288" s="20">
        <v>405</v>
      </c>
      <c r="J288" s="20">
        <v>3</v>
      </c>
      <c r="K288" s="1">
        <v>1</v>
      </c>
      <c r="L288" s="38"/>
      <c r="M288" s="1">
        <v>2</v>
      </c>
      <c r="N288" s="1" t="s">
        <v>94</v>
      </c>
      <c r="O288" s="1">
        <v>16.100000000000001</v>
      </c>
      <c r="P288" s="1">
        <v>16.100000000000001</v>
      </c>
      <c r="Q288" s="1">
        <v>61.1</v>
      </c>
      <c r="R288" s="1">
        <v>9.9</v>
      </c>
      <c r="S288" s="5">
        <f>(R288/3.14159)*100</f>
        <v>315.1270534983878</v>
      </c>
      <c r="T288" s="1" t="s">
        <v>97</v>
      </c>
      <c r="U288" s="1">
        <v>98</v>
      </c>
      <c r="V288" s="1">
        <v>1</v>
      </c>
      <c r="W288" s="1">
        <v>1</v>
      </c>
      <c r="X288" s="1">
        <f>100-U288</f>
        <v>2</v>
      </c>
      <c r="Y288" s="1">
        <v>1</v>
      </c>
      <c r="Z288" s="1">
        <v>0</v>
      </c>
      <c r="AA288" s="1" t="s">
        <v>45</v>
      </c>
      <c r="AB288" s="10">
        <v>4</v>
      </c>
      <c r="AC288" s="1">
        <v>16.3</v>
      </c>
      <c r="AE288" s="1">
        <v>1</v>
      </c>
      <c r="AF288" s="1">
        <v>0</v>
      </c>
      <c r="AG288" s="1">
        <v>0</v>
      </c>
      <c r="AH288" s="1">
        <v>31.2</v>
      </c>
      <c r="AI288" s="1" t="s">
        <v>51</v>
      </c>
      <c r="AJ288">
        <v>1</v>
      </c>
      <c r="AK288" s="1" t="s">
        <v>474</v>
      </c>
    </row>
    <row r="289" spans="1:37" ht="14.25" customHeight="1" x14ac:dyDescent="0.3">
      <c r="A289" s="1" t="s">
        <v>68</v>
      </c>
      <c r="B289" s="1">
        <v>14</v>
      </c>
      <c r="C289" s="1" t="s">
        <v>475</v>
      </c>
      <c r="D289" s="1">
        <v>356625</v>
      </c>
      <c r="E289" s="1">
        <v>3977448</v>
      </c>
      <c r="F289">
        <v>1882</v>
      </c>
      <c r="G289" s="1">
        <v>8</v>
      </c>
      <c r="H289" s="1">
        <v>93</v>
      </c>
      <c r="I289" s="20">
        <v>300</v>
      </c>
      <c r="J289" s="20">
        <v>2</v>
      </c>
      <c r="K289" s="1">
        <v>1</v>
      </c>
      <c r="L289" s="38"/>
      <c r="M289" s="1">
        <v>3</v>
      </c>
      <c r="N289" s="1" t="s">
        <v>153</v>
      </c>
      <c r="O289" s="1">
        <v>19.3</v>
      </c>
      <c r="P289" s="1">
        <v>21.9</v>
      </c>
      <c r="Q289" s="1">
        <v>51.5</v>
      </c>
      <c r="R289" s="1">
        <v>16.3</v>
      </c>
      <c r="S289" s="5">
        <f>(R289/3.14159)*100</f>
        <v>518.84555272966873</v>
      </c>
      <c r="T289" s="1" t="s">
        <v>97</v>
      </c>
      <c r="U289" s="1">
        <v>25</v>
      </c>
      <c r="V289" s="1">
        <v>75</v>
      </c>
      <c r="W289" s="1">
        <v>0</v>
      </c>
      <c r="X289" s="1">
        <f>100-U289</f>
        <v>75</v>
      </c>
      <c r="Y289" s="1">
        <v>0</v>
      </c>
      <c r="Z289" s="1">
        <v>0</v>
      </c>
      <c r="AA289" s="1" t="s">
        <v>45</v>
      </c>
      <c r="AB289" s="10">
        <v>0</v>
      </c>
      <c r="AC289" s="1">
        <v>42.2</v>
      </c>
      <c r="AD289" s="1">
        <v>25.4</v>
      </c>
      <c r="AE289" s="1">
        <v>5</v>
      </c>
      <c r="AF289" s="1">
        <v>70</v>
      </c>
      <c r="AG289" s="1">
        <v>1</v>
      </c>
      <c r="AH289" s="1">
        <v>59.5</v>
      </c>
      <c r="AI289" s="1" t="s">
        <v>66</v>
      </c>
      <c r="AJ289">
        <v>3</v>
      </c>
      <c r="AK289" s="1" t="s">
        <v>795</v>
      </c>
    </row>
    <row r="290" spans="1:37" ht="14.25" customHeight="1" x14ac:dyDescent="0.3">
      <c r="A290" s="1" t="s">
        <v>68</v>
      </c>
      <c r="B290" s="1">
        <v>14</v>
      </c>
      <c r="C290" s="1" t="s">
        <v>476</v>
      </c>
      <c r="D290" s="1">
        <v>356663</v>
      </c>
      <c r="E290" s="1">
        <v>3977493</v>
      </c>
      <c r="F290">
        <v>1882</v>
      </c>
      <c r="G290" s="1">
        <v>8</v>
      </c>
      <c r="H290" s="1">
        <v>93</v>
      </c>
      <c r="I290" s="20">
        <v>511</v>
      </c>
      <c r="J290" s="20">
        <v>3</v>
      </c>
      <c r="K290" s="1">
        <v>1</v>
      </c>
      <c r="L290" s="38"/>
      <c r="M290" s="1">
        <v>3</v>
      </c>
      <c r="N290" s="1" t="s">
        <v>153</v>
      </c>
      <c r="O290" s="1">
        <v>10.6</v>
      </c>
      <c r="P290" s="1">
        <v>13.1</v>
      </c>
      <c r="Q290" s="1">
        <v>49.3</v>
      </c>
      <c r="R290" s="1">
        <v>4.0999999999999996</v>
      </c>
      <c r="S290" s="5">
        <f>(R290/3.14159)*100</f>
        <v>130.50716357003938</v>
      </c>
      <c r="T290" s="1" t="s">
        <v>95</v>
      </c>
      <c r="U290" s="1">
        <v>95</v>
      </c>
      <c r="V290" s="1">
        <v>5</v>
      </c>
      <c r="W290" s="1">
        <v>1</v>
      </c>
      <c r="X290" s="1">
        <f>100-U290</f>
        <v>5</v>
      </c>
      <c r="Y290" s="1">
        <v>0</v>
      </c>
      <c r="Z290" s="1">
        <v>0</v>
      </c>
      <c r="AA290" s="1" t="s">
        <v>45</v>
      </c>
      <c r="AB290" s="10">
        <v>4</v>
      </c>
      <c r="AC290" s="1">
        <v>26.2</v>
      </c>
      <c r="AD290" s="1">
        <v>11.6</v>
      </c>
      <c r="AE290" s="1">
        <v>1</v>
      </c>
      <c r="AF290" s="1">
        <v>5</v>
      </c>
      <c r="AG290" s="1">
        <v>0</v>
      </c>
      <c r="AH290" s="1">
        <v>38.799999999999997</v>
      </c>
      <c r="AI290" s="1" t="s">
        <v>53</v>
      </c>
      <c r="AJ290">
        <v>2</v>
      </c>
    </row>
    <row r="291" spans="1:37" ht="14.25" customHeight="1" x14ac:dyDescent="0.3">
      <c r="A291" s="1" t="s">
        <v>68</v>
      </c>
      <c r="B291" s="1">
        <v>14</v>
      </c>
      <c r="C291" s="1" t="s">
        <v>477</v>
      </c>
      <c r="D291" s="1">
        <v>356718</v>
      </c>
      <c r="E291" s="1">
        <v>3977492</v>
      </c>
      <c r="F291">
        <v>1882</v>
      </c>
      <c r="G291" s="1">
        <v>8</v>
      </c>
      <c r="H291" s="1">
        <v>93</v>
      </c>
      <c r="I291" s="20">
        <v>132</v>
      </c>
      <c r="J291" s="20">
        <v>2</v>
      </c>
      <c r="K291" s="1">
        <v>1</v>
      </c>
      <c r="L291" s="38"/>
      <c r="M291" s="1">
        <v>3</v>
      </c>
      <c r="N291" s="1" t="s">
        <v>94</v>
      </c>
      <c r="O291" s="1">
        <v>8.3000000000000007</v>
      </c>
      <c r="P291" s="1">
        <v>11.6</v>
      </c>
      <c r="Q291" s="1">
        <v>62.5</v>
      </c>
      <c r="R291" s="1">
        <v>8.8000000000000007</v>
      </c>
      <c r="S291" s="5">
        <f>(R291/3.14159)*100</f>
        <v>280.11293644301134</v>
      </c>
      <c r="T291" s="1" t="s">
        <v>95</v>
      </c>
      <c r="U291" s="1">
        <v>95</v>
      </c>
      <c r="V291" s="1">
        <v>1</v>
      </c>
      <c r="W291" s="1">
        <v>5</v>
      </c>
      <c r="X291" s="1">
        <f>100-U291</f>
        <v>5</v>
      </c>
      <c r="Y291" s="1">
        <v>1</v>
      </c>
      <c r="Z291" s="1">
        <v>1</v>
      </c>
      <c r="AA291" s="1" t="s">
        <v>45</v>
      </c>
      <c r="AB291" s="10">
        <v>4</v>
      </c>
      <c r="AC291" s="1">
        <v>21</v>
      </c>
      <c r="AD291" s="1">
        <v>10.199999999999999</v>
      </c>
      <c r="AE291" s="1">
        <v>1</v>
      </c>
      <c r="AF291" s="1">
        <v>1</v>
      </c>
      <c r="AG291" s="1">
        <v>0</v>
      </c>
      <c r="AH291" s="1">
        <v>40.299999999999997</v>
      </c>
      <c r="AI291" s="1" t="s">
        <v>51</v>
      </c>
      <c r="AJ291">
        <v>1</v>
      </c>
    </row>
    <row r="292" spans="1:37" ht="14.25" customHeight="1" x14ac:dyDescent="0.3">
      <c r="A292" s="1" t="s">
        <v>68</v>
      </c>
      <c r="B292" s="1">
        <v>15</v>
      </c>
      <c r="C292" s="1" t="s">
        <v>468</v>
      </c>
      <c r="D292" s="1">
        <v>356058</v>
      </c>
      <c r="E292" s="1">
        <v>3977632</v>
      </c>
      <c r="F292">
        <v>1927</v>
      </c>
      <c r="G292" s="1">
        <v>20</v>
      </c>
      <c r="H292" s="1">
        <v>60</v>
      </c>
      <c r="I292" s="20">
        <v>687</v>
      </c>
      <c r="J292" s="20">
        <v>4</v>
      </c>
      <c r="K292" s="1">
        <v>0</v>
      </c>
      <c r="L292" s="38"/>
      <c r="M292" s="1">
        <v>4</v>
      </c>
      <c r="N292" s="1" t="s">
        <v>153</v>
      </c>
      <c r="O292" s="1">
        <v>17.7</v>
      </c>
      <c r="Q292" s="1">
        <v>35.799999999999997</v>
      </c>
      <c r="R292" s="1">
        <v>3.6</v>
      </c>
      <c r="S292" s="5">
        <f>(R292/3.14159)*100</f>
        <v>114.59165581759557</v>
      </c>
      <c r="T292" s="1" t="s">
        <v>101</v>
      </c>
      <c r="U292" s="1">
        <v>0</v>
      </c>
      <c r="V292" s="1">
        <v>100</v>
      </c>
      <c r="W292" s="1">
        <v>0</v>
      </c>
      <c r="X292" s="1">
        <f>100-U292</f>
        <v>100</v>
      </c>
      <c r="Y292" s="1">
        <v>0</v>
      </c>
      <c r="Z292">
        <v>0</v>
      </c>
      <c r="AA292" s="1" t="s">
        <v>45</v>
      </c>
      <c r="AB292" s="10">
        <v>1</v>
      </c>
      <c r="AG292" s="1">
        <v>0</v>
      </c>
      <c r="AH292" s="1">
        <v>36.700000000000003</v>
      </c>
      <c r="AI292" s="1" t="s">
        <v>51</v>
      </c>
      <c r="AJ292">
        <v>1</v>
      </c>
      <c r="AK292" s="1" t="s">
        <v>469</v>
      </c>
    </row>
    <row r="293" spans="1:37" ht="14.25" customHeight="1" x14ac:dyDescent="0.3">
      <c r="A293" s="1" t="s">
        <v>68</v>
      </c>
      <c r="B293" s="1">
        <v>15</v>
      </c>
      <c r="C293" s="1" t="s">
        <v>470</v>
      </c>
      <c r="D293" s="1">
        <v>356053</v>
      </c>
      <c r="E293" s="1">
        <v>3977634</v>
      </c>
      <c r="F293">
        <v>1927</v>
      </c>
      <c r="G293" s="1">
        <v>20</v>
      </c>
      <c r="H293" s="1">
        <v>60</v>
      </c>
      <c r="I293" s="20">
        <v>630</v>
      </c>
      <c r="J293" s="20">
        <v>3</v>
      </c>
      <c r="K293" s="1">
        <v>1</v>
      </c>
      <c r="L293" s="38"/>
      <c r="M293" s="1">
        <v>4</v>
      </c>
      <c r="N293" s="1" t="s">
        <v>153</v>
      </c>
      <c r="O293" s="1">
        <v>15.5</v>
      </c>
      <c r="P293" s="1">
        <v>59.5</v>
      </c>
      <c r="Q293" s="1">
        <v>60.5</v>
      </c>
      <c r="R293" s="1">
        <v>5.2</v>
      </c>
      <c r="S293" s="5">
        <f>(R293/3.14159)*100</f>
        <v>165.52128062541581</v>
      </c>
      <c r="T293" s="1" t="s">
        <v>97</v>
      </c>
      <c r="U293" s="1">
        <v>1</v>
      </c>
      <c r="V293" s="1">
        <v>99</v>
      </c>
      <c r="W293" s="1">
        <v>0</v>
      </c>
      <c r="X293" s="1">
        <f>100-U293</f>
        <v>99</v>
      </c>
      <c r="Y293" s="1">
        <v>0</v>
      </c>
      <c r="Z293" s="1">
        <v>0</v>
      </c>
      <c r="AA293" s="1" t="s">
        <v>45</v>
      </c>
      <c r="AB293" s="10">
        <v>3</v>
      </c>
      <c r="AC293" s="1">
        <v>59.5</v>
      </c>
      <c r="AD293" s="1">
        <v>53.4</v>
      </c>
      <c r="AE293" s="1">
        <v>10</v>
      </c>
      <c r="AF293" s="1">
        <v>90</v>
      </c>
      <c r="AG293" s="1">
        <v>0</v>
      </c>
      <c r="AH293" s="1">
        <v>37.799999999999997</v>
      </c>
      <c r="AI293" s="1" t="s">
        <v>51</v>
      </c>
      <c r="AJ293">
        <v>1</v>
      </c>
    </row>
    <row r="294" spans="1:37" ht="14.25" customHeight="1" x14ac:dyDescent="0.3">
      <c r="A294" s="1" t="s">
        <v>68</v>
      </c>
      <c r="B294" s="1">
        <v>15</v>
      </c>
      <c r="C294" s="1" t="s">
        <v>471</v>
      </c>
      <c r="D294" s="1">
        <v>356060</v>
      </c>
      <c r="E294" s="1">
        <v>3977633</v>
      </c>
      <c r="F294">
        <v>1927</v>
      </c>
      <c r="G294" s="1">
        <v>20</v>
      </c>
      <c r="H294" s="1">
        <v>60</v>
      </c>
      <c r="I294" s="20">
        <v>687</v>
      </c>
      <c r="J294" s="20">
        <v>4</v>
      </c>
      <c r="K294" s="1">
        <v>0</v>
      </c>
      <c r="L294" s="38"/>
      <c r="M294" s="1">
        <v>4</v>
      </c>
      <c r="N294" s="1" t="s">
        <v>153</v>
      </c>
      <c r="O294" s="1">
        <v>15.4</v>
      </c>
      <c r="Q294" s="1">
        <v>49.6</v>
      </c>
      <c r="R294" s="1">
        <v>4.0999999999999996</v>
      </c>
      <c r="S294" s="5">
        <f>(R294/3.14159)*100</f>
        <v>130.50716357003938</v>
      </c>
      <c r="T294" s="1" t="s">
        <v>102</v>
      </c>
      <c r="U294" s="1">
        <v>0</v>
      </c>
      <c r="V294" s="1">
        <v>100</v>
      </c>
      <c r="W294" s="1">
        <v>0</v>
      </c>
      <c r="X294" s="1">
        <f>100-U294</f>
        <v>100</v>
      </c>
      <c r="Y294" s="1">
        <v>0</v>
      </c>
      <c r="Z294">
        <v>0</v>
      </c>
      <c r="AA294" s="1" t="s">
        <v>45</v>
      </c>
      <c r="AB294" s="10">
        <v>2</v>
      </c>
      <c r="AG294" s="1">
        <v>0</v>
      </c>
      <c r="AH294" s="1">
        <v>39</v>
      </c>
      <c r="AI294" s="1" t="s">
        <v>51</v>
      </c>
      <c r="AJ294">
        <v>1</v>
      </c>
    </row>
    <row r="295" spans="1:37" ht="14.25" customHeight="1" x14ac:dyDescent="0.3">
      <c r="A295" s="1" t="s">
        <v>68</v>
      </c>
      <c r="B295" s="1">
        <v>15</v>
      </c>
      <c r="C295" s="1" t="s">
        <v>472</v>
      </c>
      <c r="D295" s="1">
        <v>356056</v>
      </c>
      <c r="E295" s="1">
        <v>3977627</v>
      </c>
      <c r="F295">
        <v>1927</v>
      </c>
      <c r="G295" s="1">
        <v>20</v>
      </c>
      <c r="H295" s="1">
        <v>60</v>
      </c>
      <c r="I295" s="20">
        <v>630</v>
      </c>
      <c r="J295" s="20">
        <v>3</v>
      </c>
      <c r="K295" s="1">
        <v>1</v>
      </c>
      <c r="L295" s="38"/>
      <c r="M295" s="1">
        <v>4</v>
      </c>
      <c r="N295" s="1" t="s">
        <v>153</v>
      </c>
      <c r="O295" s="1">
        <v>16</v>
      </c>
      <c r="P295" s="1">
        <v>69.599999999999994</v>
      </c>
      <c r="Q295" s="1">
        <v>71.400000000000006</v>
      </c>
      <c r="R295" s="1">
        <v>6.4</v>
      </c>
      <c r="S295" s="5">
        <f>(R295/3.14159)*100</f>
        <v>203.71849923128102</v>
      </c>
      <c r="T295" s="1" t="s">
        <v>97</v>
      </c>
      <c r="U295" s="1">
        <v>10</v>
      </c>
      <c r="V295" s="1">
        <v>90</v>
      </c>
      <c r="W295" s="1">
        <v>0</v>
      </c>
      <c r="X295" s="1">
        <f>100-U295</f>
        <v>90</v>
      </c>
      <c r="Y295" s="1">
        <v>0</v>
      </c>
      <c r="Z295" s="1">
        <v>0</v>
      </c>
      <c r="AA295" s="1" t="s">
        <v>45</v>
      </c>
      <c r="AB295" s="10">
        <v>3</v>
      </c>
      <c r="AC295" s="1">
        <v>69.599999999999994</v>
      </c>
      <c r="AD295" s="1">
        <v>38.6</v>
      </c>
      <c r="AE295" s="1">
        <v>40</v>
      </c>
      <c r="AF295" s="1">
        <v>50</v>
      </c>
      <c r="AG295" s="1">
        <v>0</v>
      </c>
      <c r="AH295" s="1">
        <v>41.6</v>
      </c>
      <c r="AI295" s="1" t="s">
        <v>51</v>
      </c>
      <c r="AJ295">
        <v>1</v>
      </c>
    </row>
    <row r="296" spans="1:37" ht="14.25" customHeight="1" x14ac:dyDescent="0.3">
      <c r="A296" s="1" t="s">
        <v>68</v>
      </c>
      <c r="B296" s="1">
        <v>15</v>
      </c>
      <c r="C296" s="1" t="s">
        <v>481</v>
      </c>
      <c r="D296" s="1">
        <v>356025</v>
      </c>
      <c r="E296" s="1">
        <v>3977647</v>
      </c>
      <c r="F296">
        <v>1927</v>
      </c>
      <c r="G296" s="1">
        <v>20</v>
      </c>
      <c r="H296" s="1">
        <v>60</v>
      </c>
      <c r="I296" s="20">
        <v>785</v>
      </c>
      <c r="J296" s="20">
        <v>4</v>
      </c>
      <c r="K296" s="1">
        <v>1</v>
      </c>
      <c r="L296" s="38"/>
      <c r="M296" s="1">
        <v>4</v>
      </c>
      <c r="N296" s="1" t="s">
        <v>153</v>
      </c>
      <c r="O296" s="1">
        <v>19</v>
      </c>
      <c r="P296" s="1">
        <v>66.599999999999994</v>
      </c>
      <c r="Q296" s="1">
        <v>67.599999999999994</v>
      </c>
      <c r="R296" s="1">
        <v>14.1</v>
      </c>
      <c r="S296" s="5">
        <f>(R296/3.14159)*100</f>
        <v>448.81731861891592</v>
      </c>
      <c r="T296" s="1" t="s">
        <v>97</v>
      </c>
      <c r="U296" s="1">
        <v>1</v>
      </c>
      <c r="V296" s="1">
        <v>99</v>
      </c>
      <c r="W296" s="1">
        <v>0</v>
      </c>
      <c r="X296" s="1">
        <f>100-U296</f>
        <v>99</v>
      </c>
      <c r="Y296" s="1">
        <v>0</v>
      </c>
      <c r="Z296" s="1">
        <v>0</v>
      </c>
      <c r="AA296" s="1" t="s">
        <v>45</v>
      </c>
      <c r="AB296" s="10">
        <v>4</v>
      </c>
      <c r="AC296" s="1">
        <v>67.599999999999994</v>
      </c>
      <c r="AD296" s="1">
        <v>62.6</v>
      </c>
      <c r="AE296" s="1">
        <v>5</v>
      </c>
      <c r="AF296" s="1">
        <v>95</v>
      </c>
      <c r="AG296" s="1">
        <v>1</v>
      </c>
      <c r="AH296" s="1">
        <v>60</v>
      </c>
      <c r="AI296" s="1" t="s">
        <v>53</v>
      </c>
      <c r="AJ296">
        <v>2</v>
      </c>
    </row>
    <row r="297" spans="1:37" ht="14.25" customHeight="1" x14ac:dyDescent="0.3">
      <c r="A297" s="1" t="s">
        <v>68</v>
      </c>
      <c r="B297" s="1">
        <v>15</v>
      </c>
      <c r="C297" s="1" t="s">
        <v>482</v>
      </c>
      <c r="D297" s="1">
        <v>356136</v>
      </c>
      <c r="E297" s="1">
        <v>3977644</v>
      </c>
      <c r="F297">
        <v>1927</v>
      </c>
      <c r="G297" s="1">
        <v>20</v>
      </c>
      <c r="H297" s="1">
        <v>60</v>
      </c>
      <c r="I297" s="20">
        <v>911</v>
      </c>
      <c r="J297" s="20">
        <v>4</v>
      </c>
      <c r="K297" s="1">
        <v>1</v>
      </c>
      <c r="L297" s="38"/>
      <c r="M297" s="1">
        <v>4</v>
      </c>
      <c r="N297" s="1" t="s">
        <v>153</v>
      </c>
      <c r="O297" s="1">
        <v>12</v>
      </c>
      <c r="P297" s="1">
        <v>40.299999999999997</v>
      </c>
      <c r="Q297" s="1">
        <v>66.5</v>
      </c>
      <c r="R297" s="1">
        <v>9.1</v>
      </c>
      <c r="S297" s="5">
        <f>(R297/3.14159)*100</f>
        <v>289.66224109447762</v>
      </c>
      <c r="T297" s="1" t="s">
        <v>97</v>
      </c>
      <c r="U297" s="1">
        <v>40</v>
      </c>
      <c r="V297" s="1">
        <v>60</v>
      </c>
      <c r="W297" s="1">
        <v>0</v>
      </c>
      <c r="X297" s="1">
        <f>100-U297</f>
        <v>60</v>
      </c>
      <c r="Y297" s="1">
        <v>0</v>
      </c>
      <c r="Z297" s="1">
        <v>0</v>
      </c>
      <c r="AA297" s="1" t="s">
        <v>45</v>
      </c>
      <c r="AB297" s="10">
        <v>4</v>
      </c>
      <c r="AC297" s="1">
        <v>64.5</v>
      </c>
      <c r="AD297" s="1">
        <v>43.6</v>
      </c>
      <c r="AE297" s="1">
        <v>10</v>
      </c>
      <c r="AF297" s="1">
        <v>50</v>
      </c>
      <c r="AG297" s="1">
        <v>0</v>
      </c>
      <c r="AH297" s="1">
        <v>55.8</v>
      </c>
      <c r="AI297" s="1" t="s">
        <v>51</v>
      </c>
      <c r="AJ297">
        <v>1</v>
      </c>
    </row>
    <row r="298" spans="1:37" ht="14.25" customHeight="1" x14ac:dyDescent="0.3">
      <c r="A298" s="1" t="s">
        <v>68</v>
      </c>
      <c r="B298" s="1">
        <v>16</v>
      </c>
      <c r="C298" s="1" t="s">
        <v>483</v>
      </c>
      <c r="D298" s="1">
        <v>356244</v>
      </c>
      <c r="E298" s="1">
        <v>3977679</v>
      </c>
      <c r="F298">
        <v>1904</v>
      </c>
      <c r="G298" s="1">
        <v>30</v>
      </c>
      <c r="H298" s="1">
        <v>161</v>
      </c>
      <c r="I298" s="20">
        <v>172</v>
      </c>
      <c r="J298" s="20">
        <v>2</v>
      </c>
      <c r="K298" s="1">
        <v>1</v>
      </c>
      <c r="L298" s="38"/>
      <c r="M298" s="1">
        <v>3</v>
      </c>
      <c r="N298" s="1" t="s">
        <v>153</v>
      </c>
      <c r="O298" s="1">
        <v>26.6</v>
      </c>
      <c r="P298" s="1">
        <v>33.200000000000003</v>
      </c>
      <c r="Q298" s="1">
        <v>67.5</v>
      </c>
      <c r="R298" s="1">
        <v>6.1</v>
      </c>
      <c r="S298" s="5">
        <f>(R298/3.14159)*100</f>
        <v>194.16919457981467</v>
      </c>
      <c r="T298" s="1" t="s">
        <v>97</v>
      </c>
      <c r="U298" s="1">
        <v>80</v>
      </c>
      <c r="V298" s="1">
        <v>15</v>
      </c>
      <c r="W298" s="1">
        <v>5</v>
      </c>
      <c r="X298" s="1">
        <f>100-U298</f>
        <v>20</v>
      </c>
      <c r="Y298" s="1">
        <v>0</v>
      </c>
      <c r="Z298" s="1">
        <v>1</v>
      </c>
      <c r="AA298" s="1" t="s">
        <v>45</v>
      </c>
      <c r="AB298" s="10">
        <v>4</v>
      </c>
      <c r="AC298" s="1">
        <v>63.9</v>
      </c>
      <c r="AD298" s="1">
        <v>36.1</v>
      </c>
      <c r="AE298" s="1">
        <v>5</v>
      </c>
      <c r="AF298" s="1">
        <v>10</v>
      </c>
      <c r="AG298" s="1">
        <v>0</v>
      </c>
      <c r="AH298" s="1">
        <v>45</v>
      </c>
      <c r="AI298" s="1" t="s">
        <v>53</v>
      </c>
      <c r="AJ298">
        <v>2</v>
      </c>
      <c r="AK298" s="1" t="s">
        <v>484</v>
      </c>
    </row>
    <row r="299" spans="1:37" ht="14.25" customHeight="1" x14ac:dyDescent="0.3">
      <c r="A299" s="1" t="s">
        <v>68</v>
      </c>
      <c r="B299" s="1">
        <v>16</v>
      </c>
      <c r="C299" s="1" t="s">
        <v>485</v>
      </c>
      <c r="D299" s="1">
        <v>356233</v>
      </c>
      <c r="E299" s="1">
        <v>3977678</v>
      </c>
      <c r="F299">
        <v>1904</v>
      </c>
      <c r="G299" s="1">
        <v>30</v>
      </c>
      <c r="H299" s="1">
        <v>161</v>
      </c>
      <c r="I299" s="20">
        <v>191</v>
      </c>
      <c r="J299" s="20">
        <v>2</v>
      </c>
      <c r="K299" s="1">
        <v>1</v>
      </c>
      <c r="L299" s="38"/>
      <c r="M299" s="1">
        <v>3</v>
      </c>
      <c r="N299" s="1" t="s">
        <v>153</v>
      </c>
      <c r="O299" s="1">
        <v>30.8</v>
      </c>
      <c r="P299" s="1">
        <v>33.6</v>
      </c>
      <c r="Q299" s="1">
        <v>66.099999999999994</v>
      </c>
      <c r="R299" s="1">
        <v>6</v>
      </c>
      <c r="S299" s="5">
        <f>(R299/3.14159)*100</f>
        <v>190.98609302932593</v>
      </c>
      <c r="T299" s="1" t="s">
        <v>102</v>
      </c>
      <c r="U299" s="1">
        <v>85</v>
      </c>
      <c r="V299" s="1">
        <v>10</v>
      </c>
      <c r="W299" s="1">
        <v>5</v>
      </c>
      <c r="X299" s="1">
        <f>100-U299</f>
        <v>15</v>
      </c>
      <c r="Y299" s="1">
        <v>0</v>
      </c>
      <c r="Z299" s="1">
        <v>1</v>
      </c>
      <c r="AA299" s="1" t="s">
        <v>45</v>
      </c>
      <c r="AB299" s="10">
        <v>4</v>
      </c>
      <c r="AC299" s="1">
        <v>54</v>
      </c>
      <c r="AD299" s="1">
        <v>31.3</v>
      </c>
      <c r="AE299" s="1">
        <v>5</v>
      </c>
      <c r="AF299" s="1">
        <v>5</v>
      </c>
      <c r="AG299" s="1">
        <v>0</v>
      </c>
      <c r="AH299" s="1">
        <v>50.3</v>
      </c>
      <c r="AI299" s="1" t="s">
        <v>53</v>
      </c>
      <c r="AJ299">
        <v>2</v>
      </c>
    </row>
    <row r="300" spans="1:37" ht="14.25" customHeight="1" x14ac:dyDescent="0.3">
      <c r="A300" s="1" t="s">
        <v>68</v>
      </c>
      <c r="B300" s="1">
        <v>16</v>
      </c>
      <c r="C300" s="1" t="s">
        <v>486</v>
      </c>
      <c r="D300" s="1">
        <v>356243</v>
      </c>
      <c r="E300" s="1">
        <v>3977686</v>
      </c>
      <c r="F300">
        <v>1904</v>
      </c>
      <c r="G300" s="1">
        <v>30</v>
      </c>
      <c r="H300" s="1">
        <v>161</v>
      </c>
      <c r="I300" s="20">
        <v>172</v>
      </c>
      <c r="J300" s="20">
        <v>2</v>
      </c>
      <c r="K300" s="1">
        <v>1</v>
      </c>
      <c r="L300" s="38"/>
      <c r="M300" s="1">
        <v>3</v>
      </c>
      <c r="N300" s="1" t="s">
        <v>153</v>
      </c>
      <c r="O300" s="1">
        <v>17</v>
      </c>
      <c r="P300" s="1">
        <v>24.5</v>
      </c>
      <c r="Q300" s="1">
        <v>61.2</v>
      </c>
      <c r="R300" s="1">
        <v>5</v>
      </c>
      <c r="S300" s="5">
        <f>(R300/3.14159)*100</f>
        <v>159.15507752443827</v>
      </c>
      <c r="T300" s="1" t="s">
        <v>102</v>
      </c>
      <c r="U300" s="1">
        <v>90</v>
      </c>
      <c r="V300" s="1">
        <v>10</v>
      </c>
      <c r="W300" s="1">
        <v>0</v>
      </c>
      <c r="X300" s="1">
        <f>100-U300</f>
        <v>10</v>
      </c>
      <c r="Y300" s="1">
        <v>0</v>
      </c>
      <c r="Z300" s="1">
        <v>1</v>
      </c>
      <c r="AA300" s="1" t="s">
        <v>45</v>
      </c>
      <c r="AB300" s="10">
        <v>1</v>
      </c>
      <c r="AC300" s="1">
        <v>41.2</v>
      </c>
      <c r="AD300" s="1">
        <v>31</v>
      </c>
      <c r="AE300" s="1">
        <v>1</v>
      </c>
      <c r="AF300" s="1">
        <v>10</v>
      </c>
      <c r="AG300" s="1">
        <v>0</v>
      </c>
      <c r="AH300" s="1">
        <v>45.4</v>
      </c>
      <c r="AI300" s="1" t="s">
        <v>53</v>
      </c>
      <c r="AJ300">
        <v>2</v>
      </c>
      <c r="AK300" s="1" t="s">
        <v>487</v>
      </c>
    </row>
    <row r="301" spans="1:37" ht="14.25" customHeight="1" x14ac:dyDescent="0.3">
      <c r="A301" s="1" t="s">
        <v>68</v>
      </c>
      <c r="B301" s="1">
        <v>16</v>
      </c>
      <c r="C301" s="1" t="s">
        <v>488</v>
      </c>
      <c r="D301" s="1">
        <v>356239</v>
      </c>
      <c r="E301" s="1">
        <v>3977690</v>
      </c>
      <c r="F301">
        <v>1904</v>
      </c>
      <c r="G301" s="1">
        <v>30</v>
      </c>
      <c r="H301" s="1">
        <v>161</v>
      </c>
      <c r="I301" s="20">
        <v>169</v>
      </c>
      <c r="J301" s="20">
        <v>2</v>
      </c>
      <c r="K301" s="1">
        <v>1</v>
      </c>
      <c r="L301" s="38"/>
      <c r="M301" s="1">
        <v>3</v>
      </c>
      <c r="N301" s="1" t="s">
        <v>153</v>
      </c>
      <c r="O301" s="1">
        <v>21.3</v>
      </c>
      <c r="P301" s="1">
        <v>23.9</v>
      </c>
      <c r="Q301" s="1">
        <v>59.9</v>
      </c>
      <c r="R301" s="1">
        <v>4.5</v>
      </c>
      <c r="S301" s="5">
        <f>(R301/3.14159)*100</f>
        <v>143.23956977199444</v>
      </c>
      <c r="T301" s="1" t="s">
        <v>102</v>
      </c>
      <c r="U301" s="1">
        <v>95</v>
      </c>
      <c r="V301" s="1">
        <v>5</v>
      </c>
      <c r="W301" s="1">
        <v>0</v>
      </c>
      <c r="X301" s="1">
        <f>100-U301</f>
        <v>5</v>
      </c>
      <c r="Y301" s="1">
        <v>0</v>
      </c>
      <c r="Z301" s="1">
        <v>1</v>
      </c>
      <c r="AA301" s="1" t="s">
        <v>45</v>
      </c>
      <c r="AB301" s="10">
        <v>2</v>
      </c>
      <c r="AC301" s="1">
        <v>47.2</v>
      </c>
      <c r="AD301" s="1">
        <v>30.4</v>
      </c>
      <c r="AE301" s="1">
        <v>1</v>
      </c>
      <c r="AF301" s="1">
        <v>5</v>
      </c>
      <c r="AG301" s="1">
        <v>0</v>
      </c>
      <c r="AH301" s="1">
        <v>38.6</v>
      </c>
      <c r="AI301" s="1" t="s">
        <v>53</v>
      </c>
      <c r="AJ301">
        <v>2</v>
      </c>
      <c r="AK301" s="1" t="s">
        <v>489</v>
      </c>
    </row>
    <row r="302" spans="1:37" ht="14.25" customHeight="1" x14ac:dyDescent="0.3">
      <c r="A302" s="1" t="s">
        <v>68</v>
      </c>
      <c r="B302" s="1">
        <v>16</v>
      </c>
      <c r="C302" s="1" t="s">
        <v>490</v>
      </c>
      <c r="D302" s="1">
        <v>356245</v>
      </c>
      <c r="E302" s="1">
        <v>3977671</v>
      </c>
      <c r="F302">
        <v>1904</v>
      </c>
      <c r="G302" s="1">
        <v>30</v>
      </c>
      <c r="H302" s="1">
        <v>161</v>
      </c>
      <c r="I302" s="20">
        <v>172</v>
      </c>
      <c r="J302" s="20">
        <v>2</v>
      </c>
      <c r="K302" s="1">
        <v>1</v>
      </c>
      <c r="L302" s="38"/>
      <c r="M302" s="1">
        <v>3</v>
      </c>
      <c r="N302" s="1" t="s">
        <v>153</v>
      </c>
      <c r="O302" s="1">
        <v>26.2</v>
      </c>
      <c r="P302" s="1">
        <v>39.1</v>
      </c>
      <c r="Q302" s="1">
        <v>54.1</v>
      </c>
      <c r="R302" s="1">
        <v>4</v>
      </c>
      <c r="S302" s="5">
        <f>(R302/3.14159)*100</f>
        <v>127.32406201955062</v>
      </c>
      <c r="T302" s="1" t="s">
        <v>102</v>
      </c>
      <c r="U302" s="1">
        <v>60</v>
      </c>
      <c r="V302" s="1">
        <v>40</v>
      </c>
      <c r="W302" s="1">
        <v>0</v>
      </c>
      <c r="X302" s="1">
        <f>100-U302</f>
        <v>40</v>
      </c>
      <c r="Y302" s="1">
        <v>0</v>
      </c>
      <c r="Z302" s="1">
        <v>1</v>
      </c>
      <c r="AA302" s="1" t="s">
        <v>45</v>
      </c>
      <c r="AB302" s="10">
        <v>2</v>
      </c>
      <c r="AC302" s="1">
        <v>46.6</v>
      </c>
      <c r="AD302" s="1">
        <v>33.700000000000003</v>
      </c>
      <c r="AE302" s="1">
        <v>10</v>
      </c>
      <c r="AF302" s="1">
        <v>30</v>
      </c>
      <c r="AG302" s="1">
        <v>0</v>
      </c>
      <c r="AH302" s="1">
        <v>29.9</v>
      </c>
      <c r="AI302" s="1" t="s">
        <v>53</v>
      </c>
      <c r="AJ302">
        <v>2</v>
      </c>
    </row>
    <row r="303" spans="1:37" ht="14.25" customHeight="1" x14ac:dyDescent="0.3">
      <c r="A303" s="1" t="s">
        <v>68</v>
      </c>
      <c r="B303" s="1">
        <v>16</v>
      </c>
      <c r="C303" s="1" t="s">
        <v>491</v>
      </c>
      <c r="D303" s="1">
        <v>356248</v>
      </c>
      <c r="E303" s="1">
        <v>3977678</v>
      </c>
      <c r="F303">
        <v>1904</v>
      </c>
      <c r="G303" s="1">
        <v>30</v>
      </c>
      <c r="H303" s="1">
        <v>161</v>
      </c>
      <c r="I303" s="20">
        <v>172</v>
      </c>
      <c r="J303" s="20">
        <v>2</v>
      </c>
      <c r="K303" s="1">
        <v>1</v>
      </c>
      <c r="L303" s="38"/>
      <c r="M303" s="1">
        <v>3</v>
      </c>
      <c r="N303" s="1" t="s">
        <v>153</v>
      </c>
      <c r="O303" s="1">
        <v>22.7</v>
      </c>
      <c r="P303" s="1">
        <v>28.9</v>
      </c>
      <c r="Q303" s="1">
        <v>66.7</v>
      </c>
      <c r="R303" s="1">
        <v>5.5</v>
      </c>
      <c r="S303" s="5">
        <f>(R303/3.14159)*100</f>
        <v>175.07058527688207</v>
      </c>
      <c r="T303" s="1" t="s">
        <v>97</v>
      </c>
      <c r="U303" s="1">
        <v>75</v>
      </c>
      <c r="V303" s="1">
        <v>20</v>
      </c>
      <c r="W303" s="1">
        <v>5</v>
      </c>
      <c r="X303" s="1">
        <f>100-U303</f>
        <v>25</v>
      </c>
      <c r="Y303" s="1">
        <v>0</v>
      </c>
      <c r="Z303" s="1">
        <v>1</v>
      </c>
      <c r="AA303" s="1" t="s">
        <v>45</v>
      </c>
      <c r="AB303" s="10">
        <v>4</v>
      </c>
      <c r="AC303" s="1">
        <v>48</v>
      </c>
      <c r="AD303" s="1">
        <v>28.8</v>
      </c>
      <c r="AE303" s="1">
        <v>10</v>
      </c>
      <c r="AF303" s="1">
        <v>15</v>
      </c>
      <c r="AG303" s="1">
        <v>0</v>
      </c>
      <c r="AH303" s="1">
        <v>27.6</v>
      </c>
      <c r="AI303" s="1" t="s">
        <v>53</v>
      </c>
      <c r="AJ303">
        <v>2</v>
      </c>
      <c r="AK303" s="1" t="s">
        <v>53</v>
      </c>
    </row>
    <row r="304" spans="1:37" ht="14.25" customHeight="1" x14ac:dyDescent="0.3">
      <c r="A304" s="1" t="s">
        <v>68</v>
      </c>
      <c r="B304" s="1">
        <v>16</v>
      </c>
      <c r="C304" s="1" t="s">
        <v>492</v>
      </c>
      <c r="D304" s="1">
        <v>356230</v>
      </c>
      <c r="E304" s="1">
        <v>3977694</v>
      </c>
      <c r="F304">
        <v>1904</v>
      </c>
      <c r="G304" s="1">
        <v>30</v>
      </c>
      <c r="H304" s="1">
        <v>161</v>
      </c>
      <c r="I304" s="20">
        <v>240</v>
      </c>
      <c r="J304" s="20">
        <v>2</v>
      </c>
      <c r="K304" s="1">
        <v>1</v>
      </c>
      <c r="L304" s="38"/>
      <c r="M304" s="1">
        <v>3</v>
      </c>
      <c r="N304" s="1" t="s">
        <v>153</v>
      </c>
      <c r="O304" s="1">
        <v>28.8</v>
      </c>
      <c r="P304" s="1">
        <v>31.8</v>
      </c>
      <c r="Q304" s="1">
        <v>66.7</v>
      </c>
      <c r="R304" s="1">
        <v>6.7</v>
      </c>
      <c r="S304" s="5">
        <f>(R304/3.14159)*100</f>
        <v>213.26780388274727</v>
      </c>
      <c r="T304" s="1" t="s">
        <v>97</v>
      </c>
      <c r="U304" s="1">
        <v>95</v>
      </c>
      <c r="V304" s="1">
        <v>5</v>
      </c>
      <c r="W304" s="1">
        <v>0</v>
      </c>
      <c r="X304" s="1">
        <f>100-U304</f>
        <v>5</v>
      </c>
      <c r="Y304" s="1">
        <v>0</v>
      </c>
      <c r="Z304" s="1">
        <v>0</v>
      </c>
      <c r="AA304" s="1" t="s">
        <v>45</v>
      </c>
      <c r="AB304" s="10">
        <v>4</v>
      </c>
      <c r="AC304" s="1">
        <v>45.9</v>
      </c>
      <c r="AE304" s="1">
        <v>5</v>
      </c>
      <c r="AF304" s="1">
        <v>0</v>
      </c>
      <c r="AG304" s="1">
        <v>0</v>
      </c>
      <c r="AH304" s="1">
        <v>59.4</v>
      </c>
      <c r="AI304" s="1" t="s">
        <v>53</v>
      </c>
      <c r="AJ304">
        <v>2</v>
      </c>
    </row>
    <row r="305" spans="1:37" ht="14.25" customHeight="1" x14ac:dyDescent="0.3">
      <c r="A305" s="1" t="s">
        <v>68</v>
      </c>
      <c r="B305" s="1">
        <v>16</v>
      </c>
      <c r="C305" s="1" t="s">
        <v>493</v>
      </c>
      <c r="D305" s="1">
        <v>356236</v>
      </c>
      <c r="E305" s="1">
        <v>3977696</v>
      </c>
      <c r="F305">
        <v>1904</v>
      </c>
      <c r="G305" s="1">
        <v>30</v>
      </c>
      <c r="H305" s="1">
        <v>161</v>
      </c>
      <c r="I305" s="20">
        <v>166</v>
      </c>
      <c r="J305" s="20">
        <v>2</v>
      </c>
      <c r="K305" s="1">
        <v>1</v>
      </c>
      <c r="L305" s="38"/>
      <c r="M305" s="1">
        <v>3</v>
      </c>
      <c r="N305" s="1" t="s">
        <v>153</v>
      </c>
      <c r="O305" s="1">
        <v>16.3</v>
      </c>
      <c r="P305" s="1">
        <v>25.2</v>
      </c>
      <c r="Q305" s="1">
        <v>61.4</v>
      </c>
      <c r="R305" s="1">
        <v>5.2</v>
      </c>
      <c r="S305" s="5">
        <f>(R305/3.14159)*100</f>
        <v>165.52128062541581</v>
      </c>
      <c r="T305" s="1" t="s">
        <v>102</v>
      </c>
      <c r="U305" s="1">
        <v>80</v>
      </c>
      <c r="V305" s="1">
        <v>15</v>
      </c>
      <c r="W305" s="1">
        <v>5</v>
      </c>
      <c r="X305" s="1">
        <f>100-U305</f>
        <v>20</v>
      </c>
      <c r="Y305" s="1">
        <v>0</v>
      </c>
      <c r="Z305" s="1">
        <v>0</v>
      </c>
      <c r="AA305" s="1" t="s">
        <v>45</v>
      </c>
      <c r="AB305" s="10">
        <v>4</v>
      </c>
      <c r="AC305" s="1">
        <v>35.700000000000003</v>
      </c>
      <c r="AD305" s="1">
        <v>14.8</v>
      </c>
      <c r="AE305" s="1">
        <v>5</v>
      </c>
      <c r="AF305" s="1">
        <v>10</v>
      </c>
      <c r="AG305" s="1">
        <v>0</v>
      </c>
      <c r="AH305" s="1">
        <v>58.4</v>
      </c>
      <c r="AI305" s="1" t="s">
        <v>53</v>
      </c>
      <c r="AJ305">
        <v>2</v>
      </c>
    </row>
    <row r="306" spans="1:37" ht="14.25" customHeight="1" x14ac:dyDescent="0.3">
      <c r="A306" s="1" t="s">
        <v>68</v>
      </c>
      <c r="B306" s="1">
        <v>16</v>
      </c>
      <c r="C306" s="1" t="s">
        <v>494</v>
      </c>
      <c r="D306" s="1">
        <v>356256</v>
      </c>
      <c r="E306" s="1">
        <v>3977681</v>
      </c>
      <c r="F306">
        <v>1904</v>
      </c>
      <c r="G306" s="1">
        <v>30</v>
      </c>
      <c r="H306" s="1">
        <v>161</v>
      </c>
      <c r="I306" s="20">
        <v>172</v>
      </c>
      <c r="J306" s="20">
        <v>2</v>
      </c>
      <c r="K306" s="1">
        <v>1</v>
      </c>
      <c r="L306" s="38"/>
      <c r="M306" s="1">
        <v>3</v>
      </c>
      <c r="N306" s="1" t="s">
        <v>153</v>
      </c>
      <c r="O306" s="1">
        <v>6.2</v>
      </c>
      <c r="P306" s="1">
        <v>19.8</v>
      </c>
      <c r="Q306" s="1">
        <v>59.7</v>
      </c>
      <c r="R306" s="1">
        <v>4</v>
      </c>
      <c r="S306" s="5">
        <f>(R306/3.14159)*100</f>
        <v>127.32406201955062</v>
      </c>
      <c r="T306" s="1" t="s">
        <v>102</v>
      </c>
      <c r="U306" s="1">
        <v>80</v>
      </c>
      <c r="V306" s="1">
        <v>20</v>
      </c>
      <c r="W306" s="1">
        <v>0</v>
      </c>
      <c r="X306" s="1">
        <f>100-U306</f>
        <v>20</v>
      </c>
      <c r="Y306" s="1">
        <v>0</v>
      </c>
      <c r="Z306" s="1">
        <v>1</v>
      </c>
      <c r="AA306" s="1" t="s">
        <v>45</v>
      </c>
      <c r="AB306" s="10">
        <v>2</v>
      </c>
      <c r="AC306" s="1">
        <v>39.799999999999997</v>
      </c>
      <c r="AD306" s="1">
        <v>26.2</v>
      </c>
      <c r="AE306" s="1">
        <v>10</v>
      </c>
      <c r="AF306" s="1">
        <v>15</v>
      </c>
      <c r="AG306" s="1">
        <v>0</v>
      </c>
      <c r="AH306" s="1">
        <v>30.1</v>
      </c>
      <c r="AI306" s="1" t="s">
        <v>53</v>
      </c>
      <c r="AJ306">
        <v>2</v>
      </c>
    </row>
    <row r="307" spans="1:37" ht="14.25" customHeight="1" x14ac:dyDescent="0.3">
      <c r="A307" s="1" t="s">
        <v>68</v>
      </c>
      <c r="B307" s="1">
        <v>16</v>
      </c>
      <c r="C307" s="1" t="s">
        <v>495</v>
      </c>
      <c r="D307" s="1">
        <v>356272</v>
      </c>
      <c r="E307" s="1">
        <v>3977676</v>
      </c>
      <c r="F307">
        <v>1904</v>
      </c>
      <c r="G307" s="1">
        <v>30</v>
      </c>
      <c r="H307" s="1">
        <v>161</v>
      </c>
      <c r="I307" s="20">
        <v>228</v>
      </c>
      <c r="J307" s="20">
        <v>2</v>
      </c>
      <c r="K307" s="1">
        <v>1</v>
      </c>
      <c r="L307" s="38"/>
      <c r="M307" s="1">
        <v>3</v>
      </c>
      <c r="N307" s="1" t="s">
        <v>153</v>
      </c>
      <c r="O307" s="1">
        <v>20.6</v>
      </c>
      <c r="P307" s="1">
        <v>35</v>
      </c>
      <c r="Q307" s="1">
        <v>66.8</v>
      </c>
      <c r="R307" s="1">
        <v>8.4</v>
      </c>
      <c r="S307" s="5">
        <f>(R307/3.14159)*100</f>
        <v>267.38053024105631</v>
      </c>
      <c r="T307" s="1" t="s">
        <v>97</v>
      </c>
      <c r="U307" s="1">
        <v>85</v>
      </c>
      <c r="V307" s="1">
        <v>15</v>
      </c>
      <c r="W307" s="1">
        <v>1</v>
      </c>
      <c r="X307" s="1">
        <f>100-U307</f>
        <v>15</v>
      </c>
      <c r="Y307" s="1">
        <v>0</v>
      </c>
      <c r="Z307" s="1">
        <v>0</v>
      </c>
      <c r="AA307" s="1" t="s">
        <v>45</v>
      </c>
      <c r="AB307" s="10">
        <v>4</v>
      </c>
      <c r="AC307" s="1">
        <v>44.7</v>
      </c>
      <c r="AD307" s="1">
        <v>23</v>
      </c>
      <c r="AE307" s="1">
        <v>5</v>
      </c>
      <c r="AF307" s="1">
        <v>10</v>
      </c>
      <c r="AG307" s="1">
        <v>0</v>
      </c>
      <c r="AH307" s="1">
        <v>22.2</v>
      </c>
      <c r="AI307" s="1" t="s">
        <v>53</v>
      </c>
      <c r="AJ307">
        <v>2</v>
      </c>
      <c r="AK307" s="1" t="s">
        <v>496</v>
      </c>
    </row>
    <row r="308" spans="1:37" ht="14.25" customHeight="1" x14ac:dyDescent="0.3">
      <c r="A308" s="1" t="s">
        <v>68</v>
      </c>
      <c r="B308" s="1">
        <v>16</v>
      </c>
      <c r="C308" s="1" t="s">
        <v>497</v>
      </c>
      <c r="D308" s="1">
        <v>356283</v>
      </c>
      <c r="E308" s="1">
        <v>3977703</v>
      </c>
      <c r="F308">
        <v>1904</v>
      </c>
      <c r="G308" s="1">
        <v>30</v>
      </c>
      <c r="H308" s="1">
        <v>161</v>
      </c>
      <c r="I308" s="20">
        <v>228</v>
      </c>
      <c r="J308" s="20">
        <v>2</v>
      </c>
      <c r="K308" s="1">
        <v>1</v>
      </c>
      <c r="L308" s="38"/>
      <c r="M308" s="1">
        <v>3</v>
      </c>
      <c r="N308" s="1" t="s">
        <v>153</v>
      </c>
      <c r="O308" s="1">
        <v>34</v>
      </c>
      <c r="P308" s="1">
        <v>34.1</v>
      </c>
      <c r="Q308" s="1">
        <v>80.3</v>
      </c>
      <c r="R308" s="1">
        <v>7.3</v>
      </c>
      <c r="S308" s="5">
        <f>(R308/3.14159)*100</f>
        <v>232.36641318567987</v>
      </c>
      <c r="T308" s="1" t="s">
        <v>97</v>
      </c>
      <c r="U308" s="1">
        <v>90</v>
      </c>
      <c r="V308" s="1">
        <v>10</v>
      </c>
      <c r="W308" s="1">
        <v>0</v>
      </c>
      <c r="X308" s="1">
        <f>100-U308</f>
        <v>10</v>
      </c>
      <c r="Y308" s="1">
        <v>1</v>
      </c>
      <c r="Z308" s="1">
        <v>1</v>
      </c>
      <c r="AA308" s="1" t="s">
        <v>45</v>
      </c>
      <c r="AB308" s="10">
        <v>4</v>
      </c>
      <c r="AC308" s="1">
        <v>50</v>
      </c>
      <c r="AD308" s="1">
        <v>20.100000000000001</v>
      </c>
      <c r="AE308" s="1">
        <v>5</v>
      </c>
      <c r="AF308" s="1">
        <v>5</v>
      </c>
      <c r="AG308" s="1">
        <v>0</v>
      </c>
      <c r="AH308" s="1">
        <v>42.5</v>
      </c>
      <c r="AI308" s="1" t="s">
        <v>53</v>
      </c>
      <c r="AJ308">
        <v>2</v>
      </c>
      <c r="AK308" s="1" t="s">
        <v>498</v>
      </c>
    </row>
    <row r="309" spans="1:37" ht="14.25" customHeight="1" x14ac:dyDescent="0.3">
      <c r="A309" s="1" t="s">
        <v>68</v>
      </c>
      <c r="B309" s="1">
        <v>16</v>
      </c>
      <c r="C309" s="1" t="s">
        <v>499</v>
      </c>
      <c r="D309" s="1">
        <v>356299</v>
      </c>
      <c r="E309" s="1">
        <v>3977709</v>
      </c>
      <c r="F309">
        <v>1904</v>
      </c>
      <c r="G309" s="1">
        <v>30</v>
      </c>
      <c r="H309" s="1">
        <v>161</v>
      </c>
      <c r="I309" s="71">
        <v>249</v>
      </c>
      <c r="J309" s="20">
        <v>2</v>
      </c>
      <c r="K309" s="1">
        <v>1</v>
      </c>
      <c r="L309" s="38"/>
      <c r="M309" s="1">
        <v>3</v>
      </c>
      <c r="N309" s="1" t="s">
        <v>153</v>
      </c>
      <c r="O309" s="1">
        <v>20.8</v>
      </c>
      <c r="P309" s="1">
        <v>22.4</v>
      </c>
      <c r="Q309" s="1">
        <v>69.3</v>
      </c>
      <c r="R309" s="1">
        <v>7.2</v>
      </c>
      <c r="S309" s="5">
        <f>(R309/3.14159)*100</f>
        <v>229.18331163519113</v>
      </c>
      <c r="T309" s="1" t="s">
        <v>97</v>
      </c>
      <c r="U309" s="1">
        <v>95</v>
      </c>
      <c r="V309" s="1">
        <v>5</v>
      </c>
      <c r="W309" s="1">
        <v>0</v>
      </c>
      <c r="X309" s="1">
        <f>100-U309</f>
        <v>5</v>
      </c>
      <c r="Y309" s="1">
        <v>1</v>
      </c>
      <c r="Z309" s="1">
        <v>1</v>
      </c>
      <c r="AA309" s="1" t="s">
        <v>45</v>
      </c>
      <c r="AB309" s="10">
        <v>4</v>
      </c>
      <c r="AC309" s="1">
        <v>30.2</v>
      </c>
      <c r="AD309" s="1">
        <v>16.7</v>
      </c>
      <c r="AE309" s="1">
        <v>1</v>
      </c>
      <c r="AF309" s="1">
        <v>5</v>
      </c>
      <c r="AG309" s="1">
        <v>0</v>
      </c>
      <c r="AH309" s="1">
        <v>48.5</v>
      </c>
      <c r="AI309" s="1" t="s">
        <v>53</v>
      </c>
      <c r="AJ309">
        <v>2</v>
      </c>
    </row>
    <row r="310" spans="1:37" ht="14.25" customHeight="1" x14ac:dyDescent="0.3">
      <c r="A310" s="1" t="s">
        <v>68</v>
      </c>
      <c r="B310" s="1">
        <v>16</v>
      </c>
      <c r="C310" s="1" t="s">
        <v>500</v>
      </c>
      <c r="D310" s="1">
        <v>356315</v>
      </c>
      <c r="E310" s="1">
        <v>3977704</v>
      </c>
      <c r="F310">
        <v>1904</v>
      </c>
      <c r="G310" s="1">
        <v>30</v>
      </c>
      <c r="H310" s="1">
        <v>161</v>
      </c>
      <c r="I310">
        <v>124</v>
      </c>
      <c r="J310" s="20">
        <v>2</v>
      </c>
      <c r="K310" s="1">
        <v>1</v>
      </c>
      <c r="L310" s="38"/>
      <c r="M310" s="1">
        <v>3</v>
      </c>
      <c r="N310" s="1" t="s">
        <v>153</v>
      </c>
      <c r="O310" s="1">
        <v>10.199999999999999</v>
      </c>
      <c r="P310" s="1">
        <v>12.7</v>
      </c>
      <c r="Q310" s="1">
        <v>65</v>
      </c>
      <c r="R310" s="1">
        <v>5.8</v>
      </c>
      <c r="S310" s="5">
        <f>(R310/3.14159)*100</f>
        <v>184.61988992834839</v>
      </c>
      <c r="T310" s="1" t="s">
        <v>102</v>
      </c>
      <c r="U310" s="1">
        <v>75</v>
      </c>
      <c r="V310" s="1">
        <v>10</v>
      </c>
      <c r="W310" s="1">
        <v>15</v>
      </c>
      <c r="X310" s="1">
        <f>100-U310</f>
        <v>25</v>
      </c>
      <c r="Y310" s="1">
        <v>0</v>
      </c>
      <c r="Z310" s="1">
        <v>1</v>
      </c>
      <c r="AA310" s="1" t="s">
        <v>45</v>
      </c>
      <c r="AB310" s="10">
        <v>2</v>
      </c>
      <c r="AC310" s="1">
        <v>30.3</v>
      </c>
      <c r="AE310" s="1">
        <v>10</v>
      </c>
      <c r="AF310" s="1">
        <v>0</v>
      </c>
      <c r="AG310" s="1">
        <v>0</v>
      </c>
      <c r="AH310" s="1">
        <v>56.4</v>
      </c>
      <c r="AI310" s="1" t="s">
        <v>53</v>
      </c>
      <c r="AJ310">
        <v>2</v>
      </c>
      <c r="AK310" s="1" t="s">
        <v>501</v>
      </c>
    </row>
    <row r="311" spans="1:37" ht="14.25" customHeight="1" x14ac:dyDescent="0.3">
      <c r="A311" s="1" t="s">
        <v>68</v>
      </c>
      <c r="B311" s="1">
        <v>16</v>
      </c>
      <c r="C311" s="1" t="s">
        <v>502</v>
      </c>
      <c r="D311" s="70">
        <v>356306</v>
      </c>
      <c r="E311" s="1">
        <v>3977693</v>
      </c>
      <c r="F311">
        <v>1904</v>
      </c>
      <c r="G311" s="1">
        <v>30</v>
      </c>
      <c r="H311" s="1">
        <v>161</v>
      </c>
      <c r="I311" s="71">
        <v>124</v>
      </c>
      <c r="J311" s="20">
        <v>2</v>
      </c>
      <c r="K311" s="1">
        <v>1</v>
      </c>
      <c r="L311" s="38"/>
      <c r="M311" s="1">
        <v>3</v>
      </c>
      <c r="N311" s="1" t="s">
        <v>153</v>
      </c>
      <c r="O311" s="1">
        <v>15.3</v>
      </c>
      <c r="P311" s="1">
        <v>20.399999999999999</v>
      </c>
      <c r="Q311" s="1">
        <v>76.599999999999994</v>
      </c>
      <c r="R311" s="1">
        <v>11.5</v>
      </c>
      <c r="S311" s="5">
        <f>(R311/3.14159)*100</f>
        <v>366.05667830620803</v>
      </c>
      <c r="T311" s="1" t="s">
        <v>97</v>
      </c>
      <c r="U311" s="1">
        <v>80</v>
      </c>
      <c r="V311" s="1">
        <v>10</v>
      </c>
      <c r="W311" s="1">
        <v>10</v>
      </c>
      <c r="X311" s="1">
        <f>100-U311</f>
        <v>20</v>
      </c>
      <c r="Y311" s="1">
        <v>1</v>
      </c>
      <c r="Z311" s="1">
        <v>0</v>
      </c>
      <c r="AA311" s="1" t="s">
        <v>45</v>
      </c>
      <c r="AB311" s="10">
        <v>4</v>
      </c>
      <c r="AC311" s="1">
        <v>39.9</v>
      </c>
      <c r="AD311" s="1">
        <v>27.6</v>
      </c>
      <c r="AE311" s="1">
        <v>5</v>
      </c>
      <c r="AF311" s="1">
        <v>5</v>
      </c>
      <c r="AG311" s="1">
        <v>1</v>
      </c>
      <c r="AH311" s="1">
        <v>42.1</v>
      </c>
      <c r="AI311" s="1" t="s">
        <v>380</v>
      </c>
      <c r="AJ311">
        <v>1</v>
      </c>
      <c r="AK311" s="1" t="s">
        <v>501</v>
      </c>
    </row>
    <row r="312" spans="1:37" ht="14.25" customHeight="1" x14ac:dyDescent="0.3">
      <c r="A312" s="1" t="s">
        <v>68</v>
      </c>
      <c r="B312" s="1">
        <v>16</v>
      </c>
      <c r="C312" s="1" t="s">
        <v>503</v>
      </c>
      <c r="D312" s="1">
        <v>356297</v>
      </c>
      <c r="E312" s="1">
        <v>3977658</v>
      </c>
      <c r="F312">
        <v>1904</v>
      </c>
      <c r="G312" s="1">
        <v>30</v>
      </c>
      <c r="H312" s="1">
        <v>161</v>
      </c>
      <c r="I312">
        <v>412</v>
      </c>
      <c r="J312" s="20">
        <v>3</v>
      </c>
      <c r="K312" s="1">
        <v>1</v>
      </c>
      <c r="L312" s="38"/>
      <c r="M312" s="1">
        <v>3</v>
      </c>
      <c r="N312" s="1" t="s">
        <v>153</v>
      </c>
      <c r="O312" s="1">
        <v>15.5</v>
      </c>
      <c r="P312" s="1">
        <v>29</v>
      </c>
      <c r="Q312" s="1">
        <v>58.8</v>
      </c>
      <c r="R312" s="1">
        <v>8.8000000000000007</v>
      </c>
      <c r="S312" s="5">
        <f>(R312/3.14159)*100</f>
        <v>280.11293644301134</v>
      </c>
      <c r="T312" s="1" t="s">
        <v>97</v>
      </c>
      <c r="U312" s="1">
        <v>50</v>
      </c>
      <c r="V312" s="1">
        <v>45</v>
      </c>
      <c r="W312" s="1">
        <v>5</v>
      </c>
      <c r="X312" s="1">
        <f>100-U312</f>
        <v>50</v>
      </c>
      <c r="Y312" s="1">
        <v>0</v>
      </c>
      <c r="Z312" s="1">
        <v>1</v>
      </c>
      <c r="AA312" s="1" t="s">
        <v>45</v>
      </c>
      <c r="AB312" s="10">
        <v>4</v>
      </c>
      <c r="AC312" s="1">
        <v>43.6</v>
      </c>
      <c r="AD312" s="1">
        <v>20</v>
      </c>
      <c r="AE312" s="1">
        <v>10</v>
      </c>
      <c r="AF312" s="1">
        <v>35</v>
      </c>
      <c r="AG312" s="1">
        <v>1</v>
      </c>
      <c r="AH312" s="1">
        <v>34.4</v>
      </c>
      <c r="AI312" s="1" t="s">
        <v>53</v>
      </c>
      <c r="AJ312">
        <v>2</v>
      </c>
      <c r="AK312" s="1" t="s">
        <v>504</v>
      </c>
    </row>
    <row r="313" spans="1:37" ht="14.25" customHeight="1" x14ac:dyDescent="0.3">
      <c r="A313" s="1" t="s">
        <v>70</v>
      </c>
      <c r="B313" s="1">
        <v>12</v>
      </c>
      <c r="C313" s="1" t="s">
        <v>408</v>
      </c>
      <c r="D313" s="1">
        <v>355227</v>
      </c>
      <c r="E313" s="1">
        <v>3990741</v>
      </c>
      <c r="F313">
        <v>1944</v>
      </c>
      <c r="G313" s="1">
        <v>17</v>
      </c>
      <c r="H313" s="1">
        <v>89</v>
      </c>
      <c r="I313">
        <v>558</v>
      </c>
      <c r="J313" s="20">
        <v>3</v>
      </c>
      <c r="K313" s="1">
        <v>1</v>
      </c>
      <c r="L313" s="38"/>
      <c r="M313" s="1">
        <v>3</v>
      </c>
      <c r="N313" s="1" t="s">
        <v>243</v>
      </c>
      <c r="O313" s="1">
        <v>8.9</v>
      </c>
      <c r="P313" s="1">
        <v>24.4</v>
      </c>
      <c r="Q313" s="1">
        <v>57.1</v>
      </c>
      <c r="R313" s="1">
        <v>8.1999999999999993</v>
      </c>
      <c r="S313" s="5">
        <f>(R313/3.14159)*100</f>
        <v>261.01432714007876</v>
      </c>
      <c r="T313" s="1" t="s">
        <v>97</v>
      </c>
      <c r="U313" s="1">
        <v>60</v>
      </c>
      <c r="V313" s="1">
        <v>40</v>
      </c>
      <c r="W313" s="1">
        <v>0</v>
      </c>
      <c r="X313" s="1">
        <f>100-U313</f>
        <v>40</v>
      </c>
      <c r="Y313" s="1">
        <v>0</v>
      </c>
      <c r="Z313" s="1">
        <v>0</v>
      </c>
      <c r="AA313" s="1" t="s">
        <v>45</v>
      </c>
      <c r="AB313" s="10">
        <v>3</v>
      </c>
      <c r="AC313" s="1">
        <v>39</v>
      </c>
      <c r="AD313" s="1">
        <v>26.6</v>
      </c>
      <c r="AE313" s="1">
        <v>10</v>
      </c>
      <c r="AF313" s="1">
        <v>30</v>
      </c>
      <c r="AG313" s="1">
        <v>0</v>
      </c>
      <c r="AH313" s="1">
        <v>25.5</v>
      </c>
      <c r="AI313" s="1" t="s">
        <v>51</v>
      </c>
      <c r="AJ313">
        <v>1</v>
      </c>
    </row>
    <row r="314" spans="1:37" ht="14.25" customHeight="1" x14ac:dyDescent="0.3">
      <c r="A314" s="1" t="s">
        <v>70</v>
      </c>
      <c r="B314" s="1">
        <v>12</v>
      </c>
      <c r="C314" s="1" t="s">
        <v>409</v>
      </c>
      <c r="D314" s="1">
        <v>355243</v>
      </c>
      <c r="E314" s="1">
        <v>3990739</v>
      </c>
      <c r="F314">
        <v>1944</v>
      </c>
      <c r="G314" s="1">
        <v>17</v>
      </c>
      <c r="H314" s="1">
        <v>89</v>
      </c>
      <c r="I314">
        <v>558</v>
      </c>
      <c r="J314" s="20">
        <v>3</v>
      </c>
      <c r="K314" s="70">
        <v>1</v>
      </c>
      <c r="L314" s="38"/>
      <c r="M314" s="70">
        <v>3</v>
      </c>
      <c r="N314" s="1" t="s">
        <v>243</v>
      </c>
      <c r="O314" s="1">
        <v>8.5</v>
      </c>
      <c r="P314" s="1">
        <v>29.4</v>
      </c>
      <c r="Q314" s="1">
        <v>56.2</v>
      </c>
      <c r="R314" s="1">
        <v>10</v>
      </c>
      <c r="S314" s="5">
        <f>(R314/3.14159)*100</f>
        <v>318.31015504887654</v>
      </c>
      <c r="T314" s="1" t="s">
        <v>97</v>
      </c>
      <c r="U314" s="1">
        <v>40</v>
      </c>
      <c r="V314" s="1">
        <v>60</v>
      </c>
      <c r="W314" s="1">
        <v>0</v>
      </c>
      <c r="X314" s="1">
        <f>100-U314</f>
        <v>60</v>
      </c>
      <c r="Y314" s="1">
        <v>0</v>
      </c>
      <c r="Z314" s="1">
        <v>0</v>
      </c>
      <c r="AA314" s="1" t="s">
        <v>45</v>
      </c>
      <c r="AB314" s="10">
        <v>2</v>
      </c>
      <c r="AC314" s="1">
        <v>49.1</v>
      </c>
      <c r="AD314" s="1">
        <v>42.8</v>
      </c>
      <c r="AE314" s="1">
        <v>20</v>
      </c>
      <c r="AF314" s="1">
        <v>40</v>
      </c>
      <c r="AG314" s="1">
        <v>0</v>
      </c>
      <c r="AH314" s="1">
        <v>35</v>
      </c>
      <c r="AI314" s="1" t="s">
        <v>55</v>
      </c>
      <c r="AJ314">
        <v>3</v>
      </c>
    </row>
    <row r="315" spans="1:37" ht="14.25" customHeight="1" x14ac:dyDescent="0.3">
      <c r="A315" s="1" t="s">
        <v>70</v>
      </c>
      <c r="B315" s="1">
        <v>12</v>
      </c>
      <c r="C315" s="1" t="s">
        <v>410</v>
      </c>
      <c r="D315" s="1">
        <v>355260</v>
      </c>
      <c r="E315" s="1">
        <v>3990771</v>
      </c>
      <c r="F315">
        <v>1944</v>
      </c>
      <c r="G315" s="1">
        <v>17</v>
      </c>
      <c r="H315" s="1">
        <v>89</v>
      </c>
      <c r="I315">
        <v>531</v>
      </c>
      <c r="J315" s="20">
        <v>3</v>
      </c>
      <c r="K315" s="70">
        <v>1</v>
      </c>
      <c r="L315" s="38"/>
      <c r="M315" s="70">
        <v>3</v>
      </c>
      <c r="N315" s="1" t="s">
        <v>243</v>
      </c>
      <c r="O315" s="1">
        <v>6.7</v>
      </c>
      <c r="P315" s="1">
        <v>7.3</v>
      </c>
      <c r="Q315" s="1">
        <v>62.4</v>
      </c>
      <c r="R315" s="1">
        <v>13.7</v>
      </c>
      <c r="S315" s="5">
        <f>(R315/3.14159)*100</f>
        <v>436.08491241696078</v>
      </c>
      <c r="T315" s="1" t="s">
        <v>95</v>
      </c>
      <c r="U315" s="1">
        <v>50</v>
      </c>
      <c r="V315" s="1">
        <v>70</v>
      </c>
      <c r="W315" s="1">
        <v>0</v>
      </c>
      <c r="X315" s="1">
        <f>100-U315</f>
        <v>50</v>
      </c>
      <c r="Y315" s="1">
        <v>0</v>
      </c>
      <c r="Z315" s="1">
        <v>0</v>
      </c>
      <c r="AA315" s="1" t="s">
        <v>45</v>
      </c>
      <c r="AB315" s="10">
        <v>4</v>
      </c>
      <c r="AC315" s="1">
        <v>62.4</v>
      </c>
      <c r="AD315" s="1">
        <v>35</v>
      </c>
      <c r="AE315" s="1">
        <v>10</v>
      </c>
      <c r="AF315" s="1">
        <v>60</v>
      </c>
      <c r="AG315" s="1">
        <v>1</v>
      </c>
      <c r="AH315" s="1">
        <v>60</v>
      </c>
      <c r="AI315" s="1" t="s">
        <v>55</v>
      </c>
      <c r="AJ315">
        <v>3</v>
      </c>
    </row>
    <row r="316" spans="1:37" ht="14.25" customHeight="1" x14ac:dyDescent="0.3">
      <c r="A316" s="1" t="s">
        <v>70</v>
      </c>
      <c r="B316" s="1">
        <v>12</v>
      </c>
      <c r="C316" s="1" t="s">
        <v>412</v>
      </c>
      <c r="D316" s="1">
        <v>355206</v>
      </c>
      <c r="E316" s="1">
        <v>3990743</v>
      </c>
      <c r="F316">
        <v>1944</v>
      </c>
      <c r="G316" s="1">
        <v>17</v>
      </c>
      <c r="H316" s="1">
        <v>89</v>
      </c>
      <c r="I316">
        <v>628</v>
      </c>
      <c r="J316" s="20">
        <v>3</v>
      </c>
      <c r="K316" s="1">
        <v>1</v>
      </c>
      <c r="L316" s="38"/>
      <c r="M316" s="1">
        <v>3</v>
      </c>
      <c r="N316" s="1" t="s">
        <v>153</v>
      </c>
      <c r="O316" s="1">
        <v>4.2</v>
      </c>
      <c r="P316" s="1">
        <v>20.6</v>
      </c>
      <c r="Q316" s="1">
        <v>52.6</v>
      </c>
      <c r="R316" s="1">
        <v>5.0999999999999996</v>
      </c>
      <c r="S316" s="5">
        <f>(R316/3.14159)*100</f>
        <v>162.33817907492701</v>
      </c>
      <c r="T316" s="1" t="s">
        <v>97</v>
      </c>
      <c r="U316" s="1">
        <v>35</v>
      </c>
      <c r="V316" s="1">
        <v>65</v>
      </c>
      <c r="W316" s="1">
        <v>0</v>
      </c>
      <c r="X316" s="1">
        <f>100-U316</f>
        <v>65</v>
      </c>
      <c r="Y316" s="1">
        <v>0</v>
      </c>
      <c r="Z316" s="1">
        <v>0</v>
      </c>
      <c r="AA316" s="1" t="s">
        <v>45</v>
      </c>
      <c r="AB316" s="10">
        <v>3</v>
      </c>
      <c r="AC316" s="1">
        <v>43.9</v>
      </c>
      <c r="AD316" s="1">
        <v>38.6</v>
      </c>
      <c r="AE316" s="1">
        <v>55</v>
      </c>
      <c r="AF316" s="1">
        <v>10</v>
      </c>
      <c r="AG316" s="1">
        <v>1</v>
      </c>
      <c r="AH316" s="1">
        <v>29.4</v>
      </c>
      <c r="AI316" s="1" t="s">
        <v>53</v>
      </c>
      <c r="AJ316">
        <v>2</v>
      </c>
      <c r="AK316" s="1" t="s">
        <v>587</v>
      </c>
    </row>
    <row r="317" spans="1:37" ht="14.25" customHeight="1" x14ac:dyDescent="0.3">
      <c r="A317" s="1" t="s">
        <v>70</v>
      </c>
      <c r="B317" s="1">
        <v>12</v>
      </c>
      <c r="C317" s="1" t="s">
        <v>414</v>
      </c>
      <c r="D317" s="1">
        <v>355221</v>
      </c>
      <c r="E317" s="1">
        <v>3990768</v>
      </c>
      <c r="F317">
        <v>1944</v>
      </c>
      <c r="G317" s="1">
        <v>17</v>
      </c>
      <c r="H317" s="1">
        <v>89</v>
      </c>
      <c r="I317">
        <v>558</v>
      </c>
      <c r="J317" s="20">
        <v>3</v>
      </c>
      <c r="K317" s="1">
        <v>0</v>
      </c>
      <c r="L317" s="38"/>
      <c r="M317" s="1">
        <v>3</v>
      </c>
      <c r="N317" s="1" t="s">
        <v>153</v>
      </c>
      <c r="O317" s="1">
        <v>2.6</v>
      </c>
      <c r="Q317" s="1">
        <v>52.5</v>
      </c>
      <c r="R317" s="1">
        <v>5</v>
      </c>
      <c r="S317" s="5">
        <f>(R317/3.14159)*100</f>
        <v>159.15507752443827</v>
      </c>
      <c r="T317" s="1" t="s">
        <v>97</v>
      </c>
      <c r="U317" s="1">
        <v>0</v>
      </c>
      <c r="V317" s="1">
        <v>100</v>
      </c>
      <c r="W317" s="1">
        <v>0</v>
      </c>
      <c r="X317" s="1">
        <f>100-U317</f>
        <v>100</v>
      </c>
      <c r="Y317" s="1">
        <v>0</v>
      </c>
      <c r="Z317" s="1">
        <v>0</v>
      </c>
      <c r="AA317" s="1" t="s">
        <v>45</v>
      </c>
      <c r="AB317" s="10">
        <v>2</v>
      </c>
      <c r="AG317" s="1">
        <v>0</v>
      </c>
      <c r="AH317" s="1">
        <v>31.1</v>
      </c>
      <c r="AI317" s="1" t="s">
        <v>53</v>
      </c>
      <c r="AJ317">
        <v>2</v>
      </c>
    </row>
    <row r="318" spans="1:37" ht="14.25" customHeight="1" x14ac:dyDescent="0.3">
      <c r="A318" s="1" t="s">
        <v>70</v>
      </c>
      <c r="B318" s="1">
        <v>12</v>
      </c>
      <c r="C318" s="1" t="s">
        <v>415</v>
      </c>
      <c r="D318" s="1">
        <v>355214</v>
      </c>
      <c r="E318" s="1">
        <v>3990767</v>
      </c>
      <c r="F318">
        <v>1944</v>
      </c>
      <c r="G318" s="1">
        <v>17</v>
      </c>
      <c r="H318" s="1">
        <v>89</v>
      </c>
      <c r="I318">
        <v>616</v>
      </c>
      <c r="J318" s="20">
        <v>3</v>
      </c>
      <c r="K318" s="1">
        <v>1</v>
      </c>
      <c r="L318" s="38"/>
      <c r="M318" s="1">
        <v>3</v>
      </c>
      <c r="N318" s="1" t="s">
        <v>153</v>
      </c>
      <c r="O318" s="1">
        <v>16.8</v>
      </c>
      <c r="P318" s="1">
        <v>22.3</v>
      </c>
      <c r="Q318" s="1">
        <v>58.8</v>
      </c>
      <c r="R318" s="1">
        <v>6</v>
      </c>
      <c r="S318" s="5">
        <f>(R318/3.14159)*100</f>
        <v>190.98609302932593</v>
      </c>
      <c r="T318" s="1" t="s">
        <v>97</v>
      </c>
      <c r="U318" s="1">
        <v>40</v>
      </c>
      <c r="V318" s="1">
        <v>60</v>
      </c>
      <c r="W318" s="1">
        <v>0</v>
      </c>
      <c r="X318" s="1">
        <f>100-U318</f>
        <v>60</v>
      </c>
      <c r="Y318" s="1">
        <v>0</v>
      </c>
      <c r="Z318" s="1">
        <v>0</v>
      </c>
      <c r="AA318" s="1" t="s">
        <v>45</v>
      </c>
      <c r="AB318" s="10">
        <v>3</v>
      </c>
      <c r="AC318" s="1">
        <v>58.8</v>
      </c>
      <c r="AD318" s="1">
        <v>35</v>
      </c>
      <c r="AE318" s="1">
        <v>55</v>
      </c>
      <c r="AF318" s="1">
        <v>5</v>
      </c>
      <c r="AG318" s="1">
        <v>0</v>
      </c>
      <c r="AH318" s="19">
        <v>35.299999999999997</v>
      </c>
      <c r="AI318" s="1" t="s">
        <v>53</v>
      </c>
      <c r="AJ318">
        <v>2</v>
      </c>
    </row>
    <row r="319" spans="1:37" ht="14.25" customHeight="1" x14ac:dyDescent="0.3">
      <c r="A319" s="1" t="s">
        <v>70</v>
      </c>
      <c r="B319" s="1">
        <v>12</v>
      </c>
      <c r="C319" s="1" t="s">
        <v>416</v>
      </c>
      <c r="D319" s="1">
        <v>355185</v>
      </c>
      <c r="E319" s="1">
        <v>3990759</v>
      </c>
      <c r="F319">
        <v>1944</v>
      </c>
      <c r="G319" s="1">
        <v>17</v>
      </c>
      <c r="H319" s="1">
        <v>89</v>
      </c>
      <c r="I319">
        <v>539</v>
      </c>
      <c r="J319" s="20">
        <v>3</v>
      </c>
      <c r="K319" s="70">
        <v>1</v>
      </c>
      <c r="L319" s="38"/>
      <c r="M319" s="70">
        <v>3</v>
      </c>
      <c r="N319" s="1" t="s">
        <v>94</v>
      </c>
      <c r="O319" s="1">
        <v>22.9</v>
      </c>
      <c r="P319" s="1">
        <v>24</v>
      </c>
      <c r="Q319" s="1">
        <v>50.4</v>
      </c>
      <c r="R319" s="1">
        <v>6.6</v>
      </c>
      <c r="S319" s="5">
        <f>(R319/3.14159)*100</f>
        <v>210.0847023322585</v>
      </c>
      <c r="T319" s="1" t="s">
        <v>97</v>
      </c>
      <c r="U319" s="1">
        <v>85</v>
      </c>
      <c r="V319" s="1">
        <v>15</v>
      </c>
      <c r="W319" s="1">
        <v>0</v>
      </c>
      <c r="X319" s="1">
        <f>100-U319</f>
        <v>15</v>
      </c>
      <c r="Y319" s="1">
        <v>1</v>
      </c>
      <c r="Z319" s="1">
        <v>0</v>
      </c>
      <c r="AA319" s="1" t="s">
        <v>45</v>
      </c>
      <c r="AB319" s="10">
        <v>4</v>
      </c>
      <c r="AC319" s="1">
        <v>37.799999999999997</v>
      </c>
      <c r="AD319" s="1">
        <v>0</v>
      </c>
      <c r="AE319" s="1">
        <v>15</v>
      </c>
      <c r="AF319" s="1">
        <v>0</v>
      </c>
      <c r="AG319" s="1">
        <v>1</v>
      </c>
      <c r="AH319" s="1">
        <v>50.1</v>
      </c>
      <c r="AI319" s="1" t="s">
        <v>297</v>
      </c>
      <c r="AJ319">
        <v>2</v>
      </c>
      <c r="AK319" s="1" t="s">
        <v>588</v>
      </c>
    </row>
    <row r="320" spans="1:37" ht="14.25" customHeight="1" x14ac:dyDescent="0.3">
      <c r="A320" s="1" t="s">
        <v>70</v>
      </c>
      <c r="B320" s="1">
        <v>12</v>
      </c>
      <c r="C320" s="1" t="s">
        <v>578</v>
      </c>
      <c r="D320" s="1">
        <v>355169</v>
      </c>
      <c r="E320" s="1">
        <v>3990753</v>
      </c>
      <c r="F320">
        <v>1944</v>
      </c>
      <c r="G320" s="1">
        <v>17</v>
      </c>
      <c r="H320" s="1">
        <v>89</v>
      </c>
      <c r="I320">
        <v>403</v>
      </c>
      <c r="J320" s="20">
        <v>3</v>
      </c>
      <c r="K320" s="70">
        <v>1</v>
      </c>
      <c r="L320" s="38"/>
      <c r="M320" s="70">
        <v>3</v>
      </c>
      <c r="N320" s="1" t="s">
        <v>94</v>
      </c>
      <c r="O320" s="1">
        <v>13.5</v>
      </c>
      <c r="P320" s="1">
        <v>20.5</v>
      </c>
      <c r="Q320" s="1">
        <v>61.2</v>
      </c>
      <c r="R320" s="1">
        <v>7.1</v>
      </c>
      <c r="S320" s="5">
        <f>(R320/3.14159)*100</f>
        <v>226.00021008470233</v>
      </c>
      <c r="T320" s="1" t="s">
        <v>97</v>
      </c>
      <c r="U320" s="1">
        <v>45</v>
      </c>
      <c r="V320" s="1">
        <v>55</v>
      </c>
      <c r="W320" s="1">
        <v>0</v>
      </c>
      <c r="X320" s="1">
        <f>100-U320</f>
        <v>55</v>
      </c>
      <c r="Y320" s="1">
        <v>0</v>
      </c>
      <c r="Z320" s="1">
        <v>0</v>
      </c>
      <c r="AA320" s="1" t="s">
        <v>45</v>
      </c>
      <c r="AB320" s="10">
        <v>2</v>
      </c>
      <c r="AC320" s="1">
        <v>56.7</v>
      </c>
      <c r="AD320" s="1">
        <v>33.4</v>
      </c>
      <c r="AE320" s="1">
        <v>45</v>
      </c>
      <c r="AF320" s="1">
        <v>10</v>
      </c>
      <c r="AG320" s="1">
        <v>1</v>
      </c>
      <c r="AI320" s="1" t="s">
        <v>44</v>
      </c>
      <c r="AJ320">
        <v>1</v>
      </c>
      <c r="AK320" s="19" t="s">
        <v>579</v>
      </c>
    </row>
    <row r="321" spans="1:37" ht="14.25" customHeight="1" x14ac:dyDescent="0.3">
      <c r="A321" s="1" t="s">
        <v>70</v>
      </c>
      <c r="B321" s="1">
        <v>12</v>
      </c>
      <c r="C321" s="1" t="s">
        <v>580</v>
      </c>
      <c r="D321" s="1">
        <v>355176</v>
      </c>
      <c r="E321" s="1">
        <v>3990792</v>
      </c>
      <c r="F321">
        <v>1944</v>
      </c>
      <c r="G321" s="1">
        <v>17</v>
      </c>
      <c r="H321" s="1">
        <v>89</v>
      </c>
      <c r="I321">
        <v>464</v>
      </c>
      <c r="J321" s="20">
        <v>3</v>
      </c>
      <c r="K321" s="70">
        <v>1</v>
      </c>
      <c r="L321" s="38"/>
      <c r="M321" s="70">
        <v>3</v>
      </c>
      <c r="N321" s="1" t="s">
        <v>94</v>
      </c>
      <c r="O321" s="1">
        <v>16.8</v>
      </c>
      <c r="P321" s="1">
        <v>43.9</v>
      </c>
      <c r="Q321" s="1">
        <v>57.9</v>
      </c>
      <c r="R321" s="1">
        <v>6.4</v>
      </c>
      <c r="S321" s="5">
        <f>(R321/3.14159)*100</f>
        <v>203.71849923128102</v>
      </c>
      <c r="T321" s="1" t="s">
        <v>97</v>
      </c>
      <c r="U321" s="1">
        <v>1</v>
      </c>
      <c r="V321" s="1">
        <v>99</v>
      </c>
      <c r="W321" s="1">
        <v>0</v>
      </c>
      <c r="X321" s="1">
        <f>100-U321</f>
        <v>99</v>
      </c>
      <c r="Y321" s="1">
        <v>0</v>
      </c>
      <c r="Z321" s="1">
        <v>0</v>
      </c>
      <c r="AA321" s="1" t="s">
        <v>45</v>
      </c>
      <c r="AB321" s="10">
        <v>2</v>
      </c>
      <c r="AC321" s="1">
        <v>57.9</v>
      </c>
      <c r="AD321" s="1">
        <v>60.1</v>
      </c>
      <c r="AE321" s="1">
        <v>84</v>
      </c>
      <c r="AF321" s="1">
        <v>15</v>
      </c>
      <c r="AG321" s="1">
        <v>0</v>
      </c>
      <c r="AI321" s="1" t="s">
        <v>44</v>
      </c>
      <c r="AJ321">
        <v>1</v>
      </c>
      <c r="AK321" s="1">
        <v>59.2</v>
      </c>
    </row>
    <row r="322" spans="1:37" ht="14.25" customHeight="1" x14ac:dyDescent="0.3">
      <c r="A322" s="1" t="s">
        <v>70</v>
      </c>
      <c r="B322" s="1">
        <v>12</v>
      </c>
      <c r="C322" s="1" t="s">
        <v>581</v>
      </c>
      <c r="D322" s="1">
        <v>355193</v>
      </c>
      <c r="E322" s="1">
        <v>3990761</v>
      </c>
      <c r="F322">
        <v>1944</v>
      </c>
      <c r="G322" s="1">
        <v>17</v>
      </c>
      <c r="H322" s="1">
        <v>89</v>
      </c>
      <c r="I322">
        <v>674</v>
      </c>
      <c r="J322" s="20">
        <v>4</v>
      </c>
      <c r="K322" s="70">
        <v>1</v>
      </c>
      <c r="L322" s="38"/>
      <c r="M322" s="70">
        <v>3</v>
      </c>
      <c r="N322" s="1" t="s">
        <v>94</v>
      </c>
      <c r="O322" s="1">
        <v>10.3</v>
      </c>
      <c r="P322" s="1">
        <v>22.4</v>
      </c>
      <c r="Q322" s="1">
        <v>52.5</v>
      </c>
      <c r="R322" s="1">
        <v>5</v>
      </c>
      <c r="S322" s="5">
        <f>(R322/3.14159)*100</f>
        <v>159.15507752443827</v>
      </c>
      <c r="T322" s="1" t="s">
        <v>97</v>
      </c>
      <c r="U322" s="1">
        <v>35</v>
      </c>
      <c r="V322" s="1">
        <v>65</v>
      </c>
      <c r="W322" s="1">
        <v>0</v>
      </c>
      <c r="X322" s="1">
        <f>100-U322</f>
        <v>65</v>
      </c>
      <c r="Y322" s="1">
        <v>0</v>
      </c>
      <c r="Z322" s="1">
        <v>0</v>
      </c>
      <c r="AA322" s="1" t="s">
        <v>45</v>
      </c>
      <c r="AB322" s="10">
        <v>3</v>
      </c>
      <c r="AC322" s="1">
        <v>47.3</v>
      </c>
      <c r="AD322" s="1">
        <v>10.6</v>
      </c>
      <c r="AE322" s="1">
        <v>64</v>
      </c>
      <c r="AF322" s="1">
        <v>1</v>
      </c>
      <c r="AG322" s="1">
        <v>1</v>
      </c>
      <c r="AI322" s="1" t="s">
        <v>295</v>
      </c>
      <c r="AJ322">
        <v>1</v>
      </c>
      <c r="AK322" s="1" t="s">
        <v>582</v>
      </c>
    </row>
    <row r="323" spans="1:37" ht="14.25" customHeight="1" x14ac:dyDescent="0.3">
      <c r="A323" s="1" t="s">
        <v>70</v>
      </c>
      <c r="B323" s="1">
        <v>13</v>
      </c>
      <c r="C323" s="1" t="s">
        <v>558</v>
      </c>
      <c r="D323" s="1">
        <v>355406</v>
      </c>
      <c r="E323" s="1">
        <v>3990774</v>
      </c>
      <c r="F323">
        <v>1977</v>
      </c>
      <c r="G323" s="1">
        <v>12</v>
      </c>
      <c r="H323" s="1">
        <v>68</v>
      </c>
      <c r="I323">
        <v>462</v>
      </c>
      <c r="J323" s="20">
        <v>3</v>
      </c>
      <c r="K323" s="70">
        <v>1</v>
      </c>
      <c r="L323" s="38"/>
      <c r="M323" s="70">
        <v>3</v>
      </c>
      <c r="N323" s="1" t="s">
        <v>153</v>
      </c>
      <c r="O323" s="1">
        <v>21.4</v>
      </c>
      <c r="P323" s="1">
        <v>42.1</v>
      </c>
      <c r="Q323" s="1">
        <v>61.2</v>
      </c>
      <c r="R323" s="1">
        <v>16.79</v>
      </c>
      <c r="S323" s="5">
        <f>(R323/3.14159)*100</f>
        <v>534.44275032706378</v>
      </c>
      <c r="T323" s="1" t="s">
        <v>97</v>
      </c>
      <c r="U323" s="1">
        <v>1</v>
      </c>
      <c r="V323" s="1">
        <v>99</v>
      </c>
      <c r="W323" s="1">
        <v>0</v>
      </c>
      <c r="X323" s="1">
        <f>100-U323</f>
        <v>99</v>
      </c>
      <c r="Y323" s="1">
        <v>0</v>
      </c>
      <c r="Z323" s="1">
        <v>0</v>
      </c>
      <c r="AA323" s="1" t="s">
        <v>45</v>
      </c>
      <c r="AB323" s="10">
        <v>4</v>
      </c>
      <c r="AC323" s="1">
        <v>51.9</v>
      </c>
      <c r="AD323" s="1">
        <v>28</v>
      </c>
      <c r="AE323" s="1">
        <v>89</v>
      </c>
      <c r="AF323" s="1">
        <v>10</v>
      </c>
      <c r="AG323" s="1">
        <v>1</v>
      </c>
      <c r="AH323" s="1">
        <v>9.8000000000000007</v>
      </c>
      <c r="AI323" s="1" t="s">
        <v>44</v>
      </c>
      <c r="AJ323">
        <v>1</v>
      </c>
    </row>
    <row r="324" spans="1:37" ht="14.25" customHeight="1" x14ac:dyDescent="0.3">
      <c r="A324" s="1" t="s">
        <v>70</v>
      </c>
      <c r="B324" s="1">
        <v>13</v>
      </c>
      <c r="C324" s="1" t="s">
        <v>559</v>
      </c>
      <c r="D324" s="1">
        <v>355438</v>
      </c>
      <c r="E324" s="1">
        <v>3990795</v>
      </c>
      <c r="F324">
        <v>1977</v>
      </c>
      <c r="G324" s="1">
        <v>12</v>
      </c>
      <c r="H324" s="1">
        <v>68</v>
      </c>
      <c r="I324">
        <v>240</v>
      </c>
      <c r="J324" s="20">
        <v>2</v>
      </c>
      <c r="K324" s="70">
        <v>1</v>
      </c>
      <c r="L324" s="38"/>
      <c r="M324" s="70">
        <v>3</v>
      </c>
      <c r="N324" s="1" t="s">
        <v>153</v>
      </c>
      <c r="O324" s="1">
        <v>12.9</v>
      </c>
      <c r="P324" s="1">
        <v>58.3</v>
      </c>
      <c r="Q324" s="1">
        <v>60.7</v>
      </c>
      <c r="R324" s="1">
        <v>12.34</v>
      </c>
      <c r="S324" s="5">
        <f>(R324/3.14159)*100</f>
        <v>392.79473133031365</v>
      </c>
      <c r="T324" s="1" t="s">
        <v>95</v>
      </c>
      <c r="U324" s="1">
        <v>1</v>
      </c>
      <c r="V324" s="1">
        <v>99</v>
      </c>
      <c r="W324" s="1">
        <v>0</v>
      </c>
      <c r="X324" s="1">
        <f>100-U324</f>
        <v>99</v>
      </c>
      <c r="Y324" s="1">
        <v>0</v>
      </c>
      <c r="Z324" s="1">
        <v>0</v>
      </c>
      <c r="AA324" s="1" t="s">
        <v>45</v>
      </c>
      <c r="AB324" s="10">
        <v>4</v>
      </c>
      <c r="AC324" s="1">
        <v>59.6</v>
      </c>
      <c r="AD324" s="1">
        <v>54.4</v>
      </c>
      <c r="AE324" s="1">
        <v>69</v>
      </c>
      <c r="AF324" s="1">
        <v>30</v>
      </c>
      <c r="AG324" s="1">
        <v>0</v>
      </c>
      <c r="AH324" s="1">
        <v>50.6</v>
      </c>
      <c r="AI324" s="1" t="s">
        <v>44</v>
      </c>
      <c r="AJ324">
        <v>1</v>
      </c>
    </row>
    <row r="325" spans="1:37" ht="14.25" customHeight="1" x14ac:dyDescent="0.3">
      <c r="A325" s="1" t="s">
        <v>70</v>
      </c>
      <c r="B325" s="1">
        <v>13</v>
      </c>
      <c r="C325" s="1" t="s">
        <v>560</v>
      </c>
      <c r="D325" s="1">
        <v>355414</v>
      </c>
      <c r="E325" s="1">
        <v>3990779</v>
      </c>
      <c r="F325">
        <v>1977</v>
      </c>
      <c r="G325" s="1">
        <v>12</v>
      </c>
      <c r="H325" s="1">
        <v>68</v>
      </c>
      <c r="I325">
        <v>462</v>
      </c>
      <c r="J325" s="20">
        <v>3</v>
      </c>
      <c r="K325" s="70">
        <v>1</v>
      </c>
      <c r="L325" s="38"/>
      <c r="M325" s="70">
        <v>3</v>
      </c>
      <c r="N325" s="1" t="s">
        <v>153</v>
      </c>
      <c r="O325" s="1">
        <v>8.4</v>
      </c>
      <c r="P325" s="1">
        <v>34.700000000000003</v>
      </c>
      <c r="Q325" s="1">
        <v>56.8</v>
      </c>
      <c r="R325" s="1">
        <v>8.02</v>
      </c>
      <c r="S325" s="5">
        <f>(R325/3.14159)*100</f>
        <v>255.28474434919897</v>
      </c>
      <c r="T325" s="1" t="s">
        <v>97</v>
      </c>
      <c r="U325" s="1">
        <v>40</v>
      </c>
      <c r="V325" s="1">
        <v>60</v>
      </c>
      <c r="W325" s="1">
        <v>0</v>
      </c>
      <c r="X325" s="1">
        <f>100-U325</f>
        <v>60</v>
      </c>
      <c r="Y325" s="1">
        <v>0</v>
      </c>
      <c r="Z325" s="1">
        <v>0</v>
      </c>
      <c r="AA325" s="1" t="s">
        <v>45</v>
      </c>
      <c r="AB325" s="10">
        <v>3</v>
      </c>
      <c r="AC325" s="1">
        <v>46.2</v>
      </c>
      <c r="AE325" s="1">
        <v>60</v>
      </c>
      <c r="AF325" s="1">
        <v>0</v>
      </c>
      <c r="AG325" s="1">
        <v>0</v>
      </c>
      <c r="AH325" s="1">
        <v>18</v>
      </c>
      <c r="AI325" s="1" t="s">
        <v>44</v>
      </c>
      <c r="AJ325">
        <v>1</v>
      </c>
    </row>
    <row r="326" spans="1:37" ht="14.25" customHeight="1" x14ac:dyDescent="0.3">
      <c r="A326" s="1" t="s">
        <v>70</v>
      </c>
      <c r="B326" s="1">
        <v>13</v>
      </c>
      <c r="C326" s="1" t="s">
        <v>561</v>
      </c>
      <c r="D326" s="1">
        <v>355380</v>
      </c>
      <c r="E326" s="1">
        <v>3990808</v>
      </c>
      <c r="F326">
        <v>1977</v>
      </c>
      <c r="G326" s="1">
        <v>12</v>
      </c>
      <c r="H326" s="1">
        <v>68</v>
      </c>
      <c r="I326">
        <v>680</v>
      </c>
      <c r="J326" s="20">
        <v>4</v>
      </c>
      <c r="K326" s="70">
        <v>1</v>
      </c>
      <c r="L326" s="38"/>
      <c r="M326" s="70">
        <v>3</v>
      </c>
      <c r="N326" s="1" t="s">
        <v>153</v>
      </c>
      <c r="O326" s="1">
        <v>16.5</v>
      </c>
      <c r="P326" s="1">
        <v>18.600000000000001</v>
      </c>
      <c r="Q326" s="1">
        <v>62.5</v>
      </c>
      <c r="R326" s="1">
        <v>9.11</v>
      </c>
      <c r="S326" s="5">
        <f>(R326/3.14159)*100</f>
        <v>289.98055124952651</v>
      </c>
      <c r="T326" s="1" t="s">
        <v>97</v>
      </c>
      <c r="U326" s="1">
        <v>1</v>
      </c>
      <c r="V326" s="1">
        <v>99</v>
      </c>
      <c r="W326" s="1">
        <v>0</v>
      </c>
      <c r="X326" s="1">
        <f>100-U326</f>
        <v>99</v>
      </c>
      <c r="Y326" s="1">
        <v>0</v>
      </c>
      <c r="Z326" s="1">
        <v>0</v>
      </c>
      <c r="AA326" s="1" t="s">
        <v>45</v>
      </c>
      <c r="AB326" s="10">
        <v>4</v>
      </c>
      <c r="AC326" s="1">
        <v>62.5</v>
      </c>
      <c r="AE326" s="1">
        <v>99</v>
      </c>
      <c r="AF326" s="1">
        <v>0</v>
      </c>
      <c r="AG326" s="1">
        <v>0</v>
      </c>
      <c r="AH326" s="1">
        <v>28.6</v>
      </c>
      <c r="AI326" s="1" t="s">
        <v>44</v>
      </c>
      <c r="AJ326">
        <v>1</v>
      </c>
    </row>
    <row r="327" spans="1:37" ht="14.25" customHeight="1" x14ac:dyDescent="0.3">
      <c r="A327" s="1" t="s">
        <v>70</v>
      </c>
      <c r="B327" s="1">
        <v>13</v>
      </c>
      <c r="C327" s="1" t="s">
        <v>562</v>
      </c>
      <c r="D327" s="1">
        <v>355388</v>
      </c>
      <c r="E327" s="1">
        <v>3990801</v>
      </c>
      <c r="F327">
        <v>1977</v>
      </c>
      <c r="G327" s="1">
        <v>12</v>
      </c>
      <c r="H327" s="1">
        <v>68</v>
      </c>
      <c r="I327">
        <v>680</v>
      </c>
      <c r="J327" s="20">
        <v>4</v>
      </c>
      <c r="K327" s="70">
        <v>1</v>
      </c>
      <c r="L327" s="38"/>
      <c r="M327" s="70">
        <v>3</v>
      </c>
      <c r="N327" s="1" t="s">
        <v>153</v>
      </c>
      <c r="O327" s="1">
        <v>20.3</v>
      </c>
      <c r="P327" s="1">
        <v>63.7</v>
      </c>
      <c r="Q327" s="1">
        <v>64.7</v>
      </c>
      <c r="R327" s="1">
        <v>10.23</v>
      </c>
      <c r="S327" s="5">
        <f>(R327/3.14159)*100</f>
        <v>325.6312886150007</v>
      </c>
      <c r="T327" s="1" t="s">
        <v>97</v>
      </c>
      <c r="U327" s="1">
        <v>1</v>
      </c>
      <c r="V327" s="1">
        <v>99</v>
      </c>
      <c r="W327" s="1">
        <v>0</v>
      </c>
      <c r="X327" s="1">
        <f>100-U327</f>
        <v>99</v>
      </c>
      <c r="Y327" s="1">
        <v>0</v>
      </c>
      <c r="Z327" s="1">
        <v>0</v>
      </c>
      <c r="AA327" s="1" t="s">
        <v>45</v>
      </c>
      <c r="AB327" s="10">
        <v>4</v>
      </c>
      <c r="AC327" s="1">
        <v>62.6</v>
      </c>
      <c r="AE327" s="1">
        <v>99</v>
      </c>
      <c r="AF327" s="1">
        <v>0</v>
      </c>
      <c r="AG327" s="1">
        <v>1</v>
      </c>
      <c r="AH327" s="1">
        <v>50.7</v>
      </c>
      <c r="AI327" s="1" t="s">
        <v>44</v>
      </c>
      <c r="AJ327">
        <v>1</v>
      </c>
    </row>
    <row r="328" spans="1:37" ht="14.25" customHeight="1" x14ac:dyDescent="0.3">
      <c r="A328" s="1" t="s">
        <v>70</v>
      </c>
      <c r="B328" s="1">
        <v>13</v>
      </c>
      <c r="C328" s="1" t="s">
        <v>563</v>
      </c>
      <c r="D328" s="1">
        <v>355369</v>
      </c>
      <c r="E328" s="1">
        <v>3990803</v>
      </c>
      <c r="F328">
        <v>1977</v>
      </c>
      <c r="G328" s="1">
        <v>12</v>
      </c>
      <c r="H328" s="1">
        <v>68</v>
      </c>
      <c r="I328">
        <v>680</v>
      </c>
      <c r="J328" s="20">
        <v>4</v>
      </c>
      <c r="K328" s="70">
        <v>1</v>
      </c>
      <c r="L328" s="38"/>
      <c r="M328" s="70">
        <v>3</v>
      </c>
      <c r="N328" s="1" t="s">
        <v>153</v>
      </c>
      <c r="O328" s="1">
        <v>19.8</v>
      </c>
      <c r="P328" s="1">
        <v>64</v>
      </c>
      <c r="Q328" s="1">
        <v>65.900000000000006</v>
      </c>
      <c r="R328" s="1">
        <v>8.5500000000000007</v>
      </c>
      <c r="S328" s="5">
        <f>(R328/3.14159)*100</f>
        <v>272.15518256678945</v>
      </c>
      <c r="T328" s="1" t="s">
        <v>97</v>
      </c>
      <c r="U328" s="1">
        <v>10</v>
      </c>
      <c r="V328" s="1">
        <v>90</v>
      </c>
      <c r="W328" s="1">
        <v>0</v>
      </c>
      <c r="X328" s="1">
        <f>100-U328</f>
        <v>90</v>
      </c>
      <c r="Y328" s="1">
        <v>0</v>
      </c>
      <c r="Z328" s="1">
        <v>0</v>
      </c>
      <c r="AA328" s="1" t="s">
        <v>45</v>
      </c>
      <c r="AB328" s="10">
        <v>3</v>
      </c>
      <c r="AC328" s="1">
        <v>54.6</v>
      </c>
      <c r="AE328" s="1">
        <v>95</v>
      </c>
      <c r="AF328" s="1">
        <v>0</v>
      </c>
      <c r="AG328" s="1">
        <v>1</v>
      </c>
      <c r="AI328" s="1" t="s">
        <v>44</v>
      </c>
      <c r="AJ328">
        <v>1</v>
      </c>
    </row>
    <row r="329" spans="1:37" ht="14.25" customHeight="1" x14ac:dyDescent="0.3">
      <c r="A329" s="1" t="s">
        <v>70</v>
      </c>
      <c r="B329" s="1">
        <v>13</v>
      </c>
      <c r="C329" s="1" t="s">
        <v>564</v>
      </c>
      <c r="D329" s="1">
        <v>355373</v>
      </c>
      <c r="E329" s="1">
        <v>3990798</v>
      </c>
      <c r="F329">
        <v>1977</v>
      </c>
      <c r="G329" s="1">
        <v>12</v>
      </c>
      <c r="H329" s="1">
        <v>68</v>
      </c>
      <c r="I329">
        <v>680</v>
      </c>
      <c r="J329" s="20">
        <v>4</v>
      </c>
      <c r="K329" s="70">
        <v>0</v>
      </c>
      <c r="L329" s="38"/>
      <c r="M329" s="70">
        <v>3</v>
      </c>
      <c r="N329" s="1" t="s">
        <v>153</v>
      </c>
      <c r="O329" s="1">
        <v>11.2</v>
      </c>
      <c r="Q329" s="1">
        <v>43.4</v>
      </c>
      <c r="R329" s="1">
        <v>4.95</v>
      </c>
      <c r="S329" s="5">
        <f>(R329/3.14159)*100</f>
        <v>157.5635267491939</v>
      </c>
      <c r="T329" s="1" t="s">
        <v>102</v>
      </c>
      <c r="U329" s="1">
        <v>0</v>
      </c>
      <c r="V329" s="1">
        <v>100</v>
      </c>
      <c r="W329" s="1">
        <v>0</v>
      </c>
      <c r="X329" s="1">
        <f>100-U329</f>
        <v>100</v>
      </c>
      <c r="Y329" s="1">
        <v>0</v>
      </c>
      <c r="Z329" s="1">
        <v>0</v>
      </c>
      <c r="AA329" s="1" t="s">
        <v>45</v>
      </c>
      <c r="AB329" s="10">
        <v>1</v>
      </c>
      <c r="AC329" s="1">
        <v>43.4</v>
      </c>
      <c r="AE329" s="1">
        <v>100</v>
      </c>
      <c r="AF329" s="1">
        <v>0</v>
      </c>
      <c r="AG329" s="1">
        <v>0</v>
      </c>
      <c r="AI329" s="1" t="s">
        <v>44</v>
      </c>
      <c r="AJ329">
        <v>1</v>
      </c>
    </row>
    <row r="330" spans="1:37" ht="14.25" customHeight="1" x14ac:dyDescent="0.3">
      <c r="A330" s="1" t="s">
        <v>70</v>
      </c>
      <c r="B330" s="1">
        <v>13</v>
      </c>
      <c r="C330" s="1" t="s">
        <v>565</v>
      </c>
      <c r="D330" s="1">
        <v>355373</v>
      </c>
      <c r="E330" s="1">
        <v>3990769</v>
      </c>
      <c r="F330">
        <v>1977</v>
      </c>
      <c r="G330" s="1">
        <v>12</v>
      </c>
      <c r="H330" s="1">
        <v>68</v>
      </c>
      <c r="I330">
        <v>527</v>
      </c>
      <c r="J330" s="20">
        <v>3</v>
      </c>
      <c r="K330" s="70">
        <v>1</v>
      </c>
      <c r="L330" s="38"/>
      <c r="M330" s="70">
        <v>3</v>
      </c>
      <c r="N330" s="1" t="s">
        <v>153</v>
      </c>
      <c r="O330" s="1">
        <v>22.9</v>
      </c>
      <c r="P330" s="1">
        <v>30.4</v>
      </c>
      <c r="Q330" s="1">
        <v>49</v>
      </c>
      <c r="R330" s="1">
        <v>7.52</v>
      </c>
      <c r="S330" s="5">
        <f>(R330/3.14159)*100</f>
        <v>239.36923659675514</v>
      </c>
      <c r="T330" s="1" t="s">
        <v>102</v>
      </c>
      <c r="U330" s="1">
        <v>5</v>
      </c>
      <c r="V330" s="1">
        <v>95</v>
      </c>
      <c r="W330" s="1">
        <v>0</v>
      </c>
      <c r="X330" s="1">
        <f>100-U330</f>
        <v>95</v>
      </c>
      <c r="Y330" s="1">
        <v>0</v>
      </c>
      <c r="Z330" s="1">
        <v>0</v>
      </c>
      <c r="AA330" s="1" t="s">
        <v>45</v>
      </c>
      <c r="AB330" s="10">
        <v>2</v>
      </c>
      <c r="AC330" s="1">
        <v>49</v>
      </c>
      <c r="AE330" s="1">
        <v>95</v>
      </c>
      <c r="AF330" s="1">
        <v>0</v>
      </c>
      <c r="AG330" s="1">
        <v>0</v>
      </c>
      <c r="AH330" s="20"/>
      <c r="AI330" s="1" t="s">
        <v>44</v>
      </c>
      <c r="AJ330">
        <v>1</v>
      </c>
    </row>
    <row r="331" spans="1:37" ht="14.25" customHeight="1" x14ac:dyDescent="0.3">
      <c r="A331" s="1" t="s">
        <v>70</v>
      </c>
      <c r="B331" s="1">
        <v>13</v>
      </c>
      <c r="C331" s="1" t="s">
        <v>566</v>
      </c>
      <c r="D331" s="1">
        <v>355396</v>
      </c>
      <c r="E331" s="1">
        <v>3990764</v>
      </c>
      <c r="F331">
        <v>1977</v>
      </c>
      <c r="G331" s="1">
        <v>12</v>
      </c>
      <c r="H331" s="1">
        <v>68</v>
      </c>
      <c r="I331">
        <v>447</v>
      </c>
      <c r="J331" s="20">
        <v>3</v>
      </c>
      <c r="K331" s="70">
        <v>1</v>
      </c>
      <c r="L331" s="38"/>
      <c r="M331" s="70">
        <v>3</v>
      </c>
      <c r="N331" s="1" t="s">
        <v>153</v>
      </c>
      <c r="O331" s="1">
        <v>15.8</v>
      </c>
      <c r="P331" s="1">
        <v>33.299999999999997</v>
      </c>
      <c r="Q331" s="1">
        <v>56.2</v>
      </c>
      <c r="R331" s="1">
        <v>7.39</v>
      </c>
      <c r="S331" s="5">
        <f>(R331/3.14159)*100</f>
        <v>235.23120458111975</v>
      </c>
      <c r="T331" s="1" t="s">
        <v>97</v>
      </c>
      <c r="U331" s="1">
        <v>10</v>
      </c>
      <c r="V331" s="1">
        <v>90</v>
      </c>
      <c r="W331" s="1">
        <v>0</v>
      </c>
      <c r="X331" s="1">
        <f>100-U331</f>
        <v>90</v>
      </c>
      <c r="Y331" s="1">
        <v>0</v>
      </c>
      <c r="Z331" s="1">
        <v>0</v>
      </c>
      <c r="AA331" s="1" t="s">
        <v>45</v>
      </c>
      <c r="AB331" s="10">
        <v>3</v>
      </c>
      <c r="AC331" s="1">
        <v>56.2</v>
      </c>
      <c r="AE331" s="1">
        <v>90</v>
      </c>
      <c r="AF331" s="1">
        <v>0</v>
      </c>
      <c r="AG331" s="1">
        <v>1</v>
      </c>
      <c r="AH331" s="20"/>
      <c r="AI331" s="1" t="s">
        <v>44</v>
      </c>
      <c r="AJ331">
        <v>1</v>
      </c>
    </row>
    <row r="332" spans="1:37" ht="14.25" customHeight="1" x14ac:dyDescent="0.3">
      <c r="A332" s="1" t="s">
        <v>70</v>
      </c>
      <c r="B332" s="1">
        <v>13</v>
      </c>
      <c r="C332" s="1" t="s">
        <v>569</v>
      </c>
      <c r="D332" s="1">
        <v>355352</v>
      </c>
      <c r="E332" s="1">
        <v>3990719</v>
      </c>
      <c r="F332">
        <v>1977</v>
      </c>
      <c r="G332" s="1">
        <v>12</v>
      </c>
      <c r="H332" s="1">
        <v>68</v>
      </c>
      <c r="I332">
        <v>516</v>
      </c>
      <c r="J332" s="20">
        <v>3</v>
      </c>
      <c r="K332" s="1">
        <v>1</v>
      </c>
      <c r="L332" s="38"/>
      <c r="M332" s="1">
        <v>4</v>
      </c>
      <c r="N332" s="1" t="s">
        <v>153</v>
      </c>
      <c r="O332" s="1">
        <v>15.3</v>
      </c>
      <c r="P332" s="1">
        <v>27.3</v>
      </c>
      <c r="Q332" s="1">
        <v>31.9</v>
      </c>
      <c r="R332" s="1">
        <v>17.329999999999998</v>
      </c>
      <c r="S332" s="5">
        <f>(R332/3.14159)*100</f>
        <v>551.631498699703</v>
      </c>
      <c r="T332" s="1" t="s">
        <v>95</v>
      </c>
      <c r="U332" s="1">
        <v>1</v>
      </c>
      <c r="V332" s="1">
        <v>99</v>
      </c>
      <c r="W332" s="1">
        <v>0</v>
      </c>
      <c r="X332" s="1">
        <f>100-U332</f>
        <v>99</v>
      </c>
      <c r="Y332" s="1">
        <v>0</v>
      </c>
      <c r="Z332" s="1">
        <v>0</v>
      </c>
      <c r="AA332" s="1" t="s">
        <v>45</v>
      </c>
      <c r="AB332" s="10">
        <v>1</v>
      </c>
      <c r="AC332" s="1">
        <v>28.4</v>
      </c>
      <c r="AD332" s="1">
        <v>24.4</v>
      </c>
      <c r="AE332" s="1">
        <v>60</v>
      </c>
      <c r="AF332" s="1">
        <v>39</v>
      </c>
      <c r="AG332" s="1">
        <v>0</v>
      </c>
      <c r="AH332" s="20"/>
      <c r="AI332" s="1" t="s">
        <v>51</v>
      </c>
      <c r="AJ332">
        <v>1</v>
      </c>
      <c r="AK332" s="1" t="s">
        <v>570</v>
      </c>
    </row>
    <row r="333" spans="1:37" ht="14.25" customHeight="1" x14ac:dyDescent="0.3">
      <c r="A333" s="1" t="s">
        <v>70</v>
      </c>
      <c r="B333" s="17">
        <v>13</v>
      </c>
      <c r="C333" s="1" t="s">
        <v>567</v>
      </c>
      <c r="D333" s="1">
        <v>355405</v>
      </c>
      <c r="E333" s="1">
        <v>3990733</v>
      </c>
      <c r="F333">
        <v>1977</v>
      </c>
      <c r="G333" s="1">
        <v>12</v>
      </c>
      <c r="H333" s="1">
        <v>68</v>
      </c>
      <c r="I333">
        <v>521</v>
      </c>
      <c r="J333" s="20">
        <v>3</v>
      </c>
      <c r="K333" s="70">
        <v>1</v>
      </c>
      <c r="L333" s="38"/>
      <c r="M333" s="70">
        <v>3</v>
      </c>
      <c r="N333" s="1" t="s">
        <v>153</v>
      </c>
      <c r="O333" s="1">
        <v>32.5</v>
      </c>
      <c r="P333" s="1">
        <v>37</v>
      </c>
      <c r="Q333" s="1">
        <v>79.2</v>
      </c>
      <c r="R333" s="1">
        <v>14.19</v>
      </c>
      <c r="S333" s="5">
        <f>(R333/3.14159)*100</f>
        <v>451.68211001435577</v>
      </c>
      <c r="T333" s="1" t="s">
        <v>97</v>
      </c>
      <c r="U333" s="1">
        <v>5</v>
      </c>
      <c r="V333" s="1">
        <v>95</v>
      </c>
      <c r="W333" s="1">
        <v>0</v>
      </c>
      <c r="X333" s="1">
        <f>100-U333</f>
        <v>95</v>
      </c>
      <c r="Y333" s="1">
        <v>0</v>
      </c>
      <c r="Z333" s="1">
        <v>0</v>
      </c>
      <c r="AA333" s="1" t="s">
        <v>45</v>
      </c>
      <c r="AB333" s="10">
        <v>4</v>
      </c>
      <c r="AC333" s="1">
        <v>79.2</v>
      </c>
      <c r="AD333" s="1">
        <v>47.4</v>
      </c>
      <c r="AE333" s="1">
        <v>90</v>
      </c>
      <c r="AF333" s="1">
        <v>5</v>
      </c>
      <c r="AG333" s="1">
        <v>0</v>
      </c>
      <c r="AH333" s="20"/>
      <c r="AI333" s="1" t="s">
        <v>44</v>
      </c>
      <c r="AJ333">
        <v>1</v>
      </c>
    </row>
    <row r="334" spans="1:37" ht="14.25" customHeight="1" x14ac:dyDescent="0.3">
      <c r="A334" s="1" t="s">
        <v>70</v>
      </c>
      <c r="B334" s="17">
        <v>13</v>
      </c>
      <c r="C334" s="1" t="s">
        <v>568</v>
      </c>
      <c r="D334" s="1">
        <v>355410</v>
      </c>
      <c r="E334" s="1">
        <v>3990737</v>
      </c>
      <c r="F334">
        <v>1977</v>
      </c>
      <c r="G334" s="1">
        <v>12</v>
      </c>
      <c r="H334" s="1">
        <v>68</v>
      </c>
      <c r="I334">
        <v>504</v>
      </c>
      <c r="J334" s="20">
        <v>3</v>
      </c>
      <c r="K334" s="70">
        <v>1</v>
      </c>
      <c r="L334" s="38"/>
      <c r="M334" s="70">
        <v>3</v>
      </c>
      <c r="N334" s="1" t="s">
        <v>153</v>
      </c>
      <c r="O334" s="1">
        <v>22.1</v>
      </c>
      <c r="P334" s="1">
        <v>26.5</v>
      </c>
      <c r="Q334" s="1">
        <v>80.099999999999994</v>
      </c>
      <c r="R334" s="1">
        <v>14.92</v>
      </c>
      <c r="S334" s="5">
        <f>(R334/3.14159)*100</f>
        <v>474.91875133292376</v>
      </c>
      <c r="T334" s="1" t="s">
        <v>97</v>
      </c>
      <c r="U334" s="1">
        <v>40</v>
      </c>
      <c r="V334" s="1">
        <v>60</v>
      </c>
      <c r="W334" s="1">
        <v>0</v>
      </c>
      <c r="X334" s="1">
        <f>100-U334</f>
        <v>60</v>
      </c>
      <c r="Y334" s="1">
        <v>0</v>
      </c>
      <c r="Z334" s="1">
        <v>0</v>
      </c>
      <c r="AA334" s="1" t="s">
        <v>45</v>
      </c>
      <c r="AB334" s="10">
        <v>4</v>
      </c>
      <c r="AC334" s="1">
        <v>80.099999999999994</v>
      </c>
      <c r="AD334" s="1">
        <v>55.6</v>
      </c>
      <c r="AE334" s="1">
        <v>55</v>
      </c>
      <c r="AF334" s="1">
        <v>5</v>
      </c>
      <c r="AG334" s="1">
        <v>0</v>
      </c>
      <c r="AI334" s="1" t="s">
        <v>44</v>
      </c>
      <c r="AJ334">
        <v>1</v>
      </c>
    </row>
    <row r="335" spans="1:37" ht="14.25" customHeight="1" x14ac:dyDescent="0.3">
      <c r="A335" s="1" t="s">
        <v>70</v>
      </c>
      <c r="B335" s="17">
        <v>16</v>
      </c>
      <c r="C335" s="1" t="s">
        <v>573</v>
      </c>
      <c r="D335" s="19">
        <v>354839</v>
      </c>
      <c r="E335" s="1">
        <v>3990901</v>
      </c>
      <c r="F335">
        <v>1789</v>
      </c>
      <c r="G335" s="1">
        <v>19</v>
      </c>
      <c r="H335" s="1">
        <v>98</v>
      </c>
      <c r="I335">
        <v>103</v>
      </c>
      <c r="J335" s="20">
        <v>2</v>
      </c>
      <c r="K335" s="1">
        <v>1</v>
      </c>
      <c r="L335" s="38"/>
      <c r="M335" s="1">
        <v>3</v>
      </c>
      <c r="N335" s="1" t="s">
        <v>153</v>
      </c>
      <c r="O335" s="1">
        <v>20</v>
      </c>
      <c r="P335" s="1">
        <v>20.100000000000001</v>
      </c>
      <c r="Q335" s="1">
        <v>63.8</v>
      </c>
      <c r="R335" s="1">
        <v>8.6</v>
      </c>
      <c r="S335" s="5">
        <f>(R335/3.14159)*100</f>
        <v>273.74673334203379</v>
      </c>
      <c r="T335" s="1" t="s">
        <v>97</v>
      </c>
      <c r="U335" s="1">
        <v>99</v>
      </c>
      <c r="V335" s="1">
        <v>1</v>
      </c>
      <c r="W335" s="1">
        <v>0</v>
      </c>
      <c r="X335" s="1">
        <f>100-U335</f>
        <v>1</v>
      </c>
      <c r="Y335" s="1">
        <v>0</v>
      </c>
      <c r="Z335" s="1">
        <v>1</v>
      </c>
      <c r="AA335" s="1" t="s">
        <v>45</v>
      </c>
      <c r="AB335" s="10">
        <v>4</v>
      </c>
      <c r="AC335" s="1">
        <v>20</v>
      </c>
      <c r="AE335" s="1">
        <v>1</v>
      </c>
      <c r="AF335" s="1">
        <v>0</v>
      </c>
      <c r="AG335" s="1">
        <v>1</v>
      </c>
      <c r="AH335" s="20"/>
      <c r="AI335" s="1" t="s">
        <v>51</v>
      </c>
      <c r="AJ335">
        <v>1</v>
      </c>
      <c r="AK335" s="31" t="s">
        <v>807</v>
      </c>
    </row>
    <row r="336" spans="1:37" ht="14.25" customHeight="1" x14ac:dyDescent="0.3">
      <c r="A336" s="1" t="s">
        <v>70</v>
      </c>
      <c r="B336" s="1">
        <v>16</v>
      </c>
      <c r="C336" s="1" t="s">
        <v>574</v>
      </c>
      <c r="D336" s="1">
        <v>354819</v>
      </c>
      <c r="E336" s="1">
        <v>3990897</v>
      </c>
      <c r="F336">
        <v>1789</v>
      </c>
      <c r="G336" s="1">
        <v>19</v>
      </c>
      <c r="H336" s="1">
        <v>98</v>
      </c>
      <c r="I336">
        <v>103</v>
      </c>
      <c r="J336" s="20">
        <v>2</v>
      </c>
      <c r="K336" s="1">
        <v>1</v>
      </c>
      <c r="L336" s="38"/>
      <c r="M336" s="1">
        <v>3</v>
      </c>
      <c r="N336" s="1" t="s">
        <v>153</v>
      </c>
      <c r="O336" s="1">
        <v>9.5</v>
      </c>
      <c r="P336" s="1">
        <v>11.2</v>
      </c>
      <c r="Q336" s="1">
        <v>60.8</v>
      </c>
      <c r="R336" s="1">
        <v>10.9</v>
      </c>
      <c r="S336" s="5">
        <f>(R336/3.14159)*100</f>
        <v>346.9580690032754</v>
      </c>
      <c r="T336" s="1" t="s">
        <v>97</v>
      </c>
      <c r="U336" s="1">
        <v>95</v>
      </c>
      <c r="V336" s="1">
        <v>5</v>
      </c>
      <c r="W336" s="1">
        <v>0</v>
      </c>
      <c r="X336" s="1">
        <f>100-U336</f>
        <v>5</v>
      </c>
      <c r="Y336" s="1">
        <v>0</v>
      </c>
      <c r="Z336" s="1">
        <v>1</v>
      </c>
      <c r="AA336" s="1" t="s">
        <v>45</v>
      </c>
      <c r="AB336" s="10">
        <v>3</v>
      </c>
      <c r="AC336" s="1">
        <v>38.299999999999997</v>
      </c>
      <c r="AD336" s="1">
        <v>14.5</v>
      </c>
      <c r="AE336" s="1">
        <v>5</v>
      </c>
      <c r="AF336" s="1">
        <v>1</v>
      </c>
      <c r="AG336" s="1">
        <v>1</v>
      </c>
      <c r="AH336" s="20"/>
      <c r="AI336" s="1" t="s">
        <v>51</v>
      </c>
      <c r="AJ336">
        <v>1</v>
      </c>
    </row>
    <row r="337" spans="1:37" ht="14.25" customHeight="1" x14ac:dyDescent="0.3">
      <c r="A337" s="1" t="s">
        <v>70</v>
      </c>
      <c r="B337" s="1">
        <v>16</v>
      </c>
      <c r="C337" s="1" t="s">
        <v>575</v>
      </c>
      <c r="D337" s="1">
        <v>354812</v>
      </c>
      <c r="E337" s="1">
        <v>3990906</v>
      </c>
      <c r="F337">
        <v>1789</v>
      </c>
      <c r="G337" s="1">
        <v>19</v>
      </c>
      <c r="H337" s="1">
        <v>98</v>
      </c>
      <c r="I337">
        <v>222</v>
      </c>
      <c r="J337" s="20">
        <v>2</v>
      </c>
      <c r="K337" s="1">
        <v>1</v>
      </c>
      <c r="L337" s="38"/>
      <c r="M337" s="1">
        <v>3</v>
      </c>
      <c r="N337" s="1" t="s">
        <v>153</v>
      </c>
      <c r="O337" s="1">
        <v>13.1</v>
      </c>
      <c r="P337" s="1">
        <v>19.899999999999999</v>
      </c>
      <c r="Q337" s="1">
        <v>60.1</v>
      </c>
      <c r="R337" s="1">
        <v>9.4</v>
      </c>
      <c r="S337" s="5">
        <f>(R337/3.14159)*100</f>
        <v>299.21154574594397</v>
      </c>
      <c r="T337" s="1" t="s">
        <v>97</v>
      </c>
      <c r="U337" s="1">
        <v>75</v>
      </c>
      <c r="V337" s="1">
        <v>25</v>
      </c>
      <c r="W337" s="1">
        <v>0</v>
      </c>
      <c r="X337" s="1">
        <f>100-U337</f>
        <v>25</v>
      </c>
      <c r="Y337" s="1">
        <v>0</v>
      </c>
      <c r="Z337" s="1">
        <v>0</v>
      </c>
      <c r="AA337" s="1" t="s">
        <v>45</v>
      </c>
      <c r="AB337" s="10">
        <v>4</v>
      </c>
      <c r="AC337" s="1">
        <v>33.6</v>
      </c>
      <c r="AE337" s="1">
        <v>25</v>
      </c>
      <c r="AF337" s="1">
        <v>0</v>
      </c>
      <c r="AG337" s="1">
        <v>1</v>
      </c>
      <c r="AI337" s="1" t="s">
        <v>51</v>
      </c>
      <c r="AJ337">
        <v>1</v>
      </c>
    </row>
    <row r="338" spans="1:37" ht="14.25" customHeight="1" x14ac:dyDescent="0.3">
      <c r="A338" s="1" t="s">
        <v>70</v>
      </c>
      <c r="B338" s="1">
        <v>17</v>
      </c>
      <c r="C338" s="1" t="s">
        <v>583</v>
      </c>
      <c r="D338" s="1">
        <v>354970</v>
      </c>
      <c r="E338" s="1">
        <v>3991010</v>
      </c>
      <c r="F338">
        <v>1810</v>
      </c>
      <c r="G338" s="1">
        <v>25</v>
      </c>
      <c r="H338" s="1">
        <v>174</v>
      </c>
      <c r="I338">
        <v>998</v>
      </c>
      <c r="J338" s="20">
        <v>4</v>
      </c>
      <c r="K338" s="1">
        <v>1</v>
      </c>
      <c r="L338" s="38"/>
      <c r="M338" s="1">
        <v>4</v>
      </c>
      <c r="N338" s="1" t="s">
        <v>94</v>
      </c>
      <c r="O338" s="1">
        <v>17.399999999999999</v>
      </c>
      <c r="P338" s="1">
        <v>55.5</v>
      </c>
      <c r="Q338" s="1">
        <v>65.8</v>
      </c>
      <c r="R338" s="1">
        <v>14.6</v>
      </c>
      <c r="S338" s="5">
        <f>(R338/3.14159)*100</f>
        <v>464.73282637135975</v>
      </c>
      <c r="T338" s="1" t="s">
        <v>95</v>
      </c>
      <c r="U338" s="1">
        <v>15</v>
      </c>
      <c r="V338" s="1">
        <v>85</v>
      </c>
      <c r="W338" s="1">
        <v>0</v>
      </c>
      <c r="X338" s="1">
        <f>100-U338</f>
        <v>85</v>
      </c>
      <c r="Y338" s="1">
        <v>0</v>
      </c>
      <c r="Z338" s="1">
        <v>0</v>
      </c>
      <c r="AA338" s="1" t="s">
        <v>45</v>
      </c>
      <c r="AB338" s="10">
        <v>3</v>
      </c>
      <c r="AC338" s="1">
        <v>55.5</v>
      </c>
      <c r="AD338" s="1">
        <v>35.299999999999997</v>
      </c>
      <c r="AE338" s="1">
        <v>70</v>
      </c>
      <c r="AF338" s="1">
        <v>15</v>
      </c>
      <c r="AG338" s="1">
        <v>1</v>
      </c>
      <c r="AI338" s="1" t="s">
        <v>53</v>
      </c>
      <c r="AJ338">
        <v>2</v>
      </c>
    </row>
    <row r="339" spans="1:37" ht="14.25" customHeight="1" x14ac:dyDescent="0.3">
      <c r="A339" s="1" t="s">
        <v>70</v>
      </c>
      <c r="B339" s="1">
        <v>17</v>
      </c>
      <c r="C339" s="1" t="s">
        <v>584</v>
      </c>
      <c r="D339" s="1">
        <v>355019</v>
      </c>
      <c r="E339" s="1">
        <v>3990993</v>
      </c>
      <c r="F339">
        <v>1810</v>
      </c>
      <c r="G339" s="1">
        <v>25</v>
      </c>
      <c r="H339" s="1">
        <v>174</v>
      </c>
      <c r="I339">
        <v>824</v>
      </c>
      <c r="J339" s="20">
        <v>4</v>
      </c>
      <c r="K339" s="70">
        <v>0</v>
      </c>
      <c r="L339" s="38"/>
      <c r="M339" s="70">
        <v>4</v>
      </c>
      <c r="N339" s="1" t="s">
        <v>153</v>
      </c>
      <c r="O339" s="1">
        <v>24.4</v>
      </c>
      <c r="Q339" s="1">
        <v>48.7</v>
      </c>
      <c r="R339" s="1">
        <v>17.100000000000001</v>
      </c>
      <c r="S339" s="5">
        <f>(R339/3.14159)*100</f>
        <v>544.3103651335789</v>
      </c>
      <c r="T339" s="1" t="s">
        <v>97</v>
      </c>
      <c r="U339" s="1">
        <v>0</v>
      </c>
      <c r="V339" s="1">
        <v>100</v>
      </c>
      <c r="W339">
        <v>0</v>
      </c>
      <c r="X339" s="1">
        <f>100-U339</f>
        <v>100</v>
      </c>
      <c r="Y339">
        <v>0</v>
      </c>
      <c r="Z339">
        <v>0</v>
      </c>
      <c r="AA339" s="1" t="s">
        <v>45</v>
      </c>
      <c r="AB339" s="10">
        <v>2</v>
      </c>
      <c r="AG339" s="1">
        <v>1</v>
      </c>
      <c r="AI339" s="1" t="s">
        <v>44</v>
      </c>
      <c r="AJ339">
        <v>1</v>
      </c>
    </row>
    <row r="340" spans="1:37" ht="14.25" customHeight="1" x14ac:dyDescent="0.3">
      <c r="A340" s="1" t="s">
        <v>70</v>
      </c>
      <c r="B340" s="1">
        <v>17</v>
      </c>
      <c r="C340" s="1" t="s">
        <v>585</v>
      </c>
      <c r="D340" s="1">
        <v>355029</v>
      </c>
      <c r="E340" s="1">
        <v>3990993</v>
      </c>
      <c r="F340">
        <v>1810</v>
      </c>
      <c r="G340" s="1">
        <v>25</v>
      </c>
      <c r="H340" s="1">
        <v>174</v>
      </c>
      <c r="I340">
        <v>824</v>
      </c>
      <c r="J340" s="20">
        <v>4</v>
      </c>
      <c r="K340" s="70">
        <v>1</v>
      </c>
      <c r="L340" s="38"/>
      <c r="M340" s="70">
        <v>4</v>
      </c>
      <c r="N340" s="1" t="s">
        <v>153</v>
      </c>
      <c r="O340" s="1">
        <v>14.6</v>
      </c>
      <c r="P340" s="1">
        <v>36.1</v>
      </c>
      <c r="Q340" s="1">
        <v>61.6</v>
      </c>
      <c r="R340" s="1">
        <v>14.7</v>
      </c>
      <c r="S340" s="5">
        <f>(R340/3.14159)*100</f>
        <v>467.91592792184849</v>
      </c>
      <c r="T340" s="1" t="s">
        <v>97</v>
      </c>
      <c r="U340" s="1">
        <v>20</v>
      </c>
      <c r="V340" s="1">
        <v>80</v>
      </c>
      <c r="W340" s="1">
        <v>0</v>
      </c>
      <c r="X340" s="1">
        <f>100-U340</f>
        <v>80</v>
      </c>
      <c r="Y340" s="1">
        <v>0</v>
      </c>
      <c r="Z340" s="1">
        <v>0</v>
      </c>
      <c r="AA340" s="1" t="s">
        <v>45</v>
      </c>
      <c r="AB340" s="10">
        <v>4</v>
      </c>
      <c r="AC340" s="1">
        <v>49.9</v>
      </c>
      <c r="AD340" s="1">
        <v>35</v>
      </c>
      <c r="AE340" s="1">
        <v>65</v>
      </c>
      <c r="AF340" s="1">
        <v>15</v>
      </c>
      <c r="AG340" s="1">
        <v>1</v>
      </c>
      <c r="AI340" s="1" t="s">
        <v>44</v>
      </c>
      <c r="AJ340">
        <v>1</v>
      </c>
    </row>
    <row r="341" spans="1:37" ht="14.25" customHeight="1" x14ac:dyDescent="0.3">
      <c r="A341" s="1" t="s">
        <v>70</v>
      </c>
      <c r="B341" s="1">
        <v>17</v>
      </c>
      <c r="C341" s="1" t="s">
        <v>586</v>
      </c>
      <c r="D341" s="1">
        <v>355019</v>
      </c>
      <c r="E341" s="1">
        <v>3990919</v>
      </c>
      <c r="F341">
        <v>1810</v>
      </c>
      <c r="G341" s="1">
        <v>25</v>
      </c>
      <c r="H341" s="1">
        <v>174</v>
      </c>
      <c r="I341">
        <v>489</v>
      </c>
      <c r="J341" s="20">
        <v>3</v>
      </c>
      <c r="K341" s="70">
        <v>1</v>
      </c>
      <c r="L341" s="38"/>
      <c r="M341" s="70">
        <v>2</v>
      </c>
      <c r="N341" s="1" t="s">
        <v>243</v>
      </c>
      <c r="O341" s="1">
        <v>11.9</v>
      </c>
      <c r="P341" s="1">
        <v>11.9</v>
      </c>
      <c r="Q341" s="1">
        <v>41.2</v>
      </c>
      <c r="R341" s="1">
        <v>3.8</v>
      </c>
      <c r="S341" s="5">
        <f>(R341/3.14159)*100</f>
        <v>120.95785891857307</v>
      </c>
      <c r="T341" s="1" t="s">
        <v>102</v>
      </c>
      <c r="U341" s="1">
        <v>99</v>
      </c>
      <c r="V341" s="1">
        <v>1</v>
      </c>
      <c r="W341" s="1">
        <v>0</v>
      </c>
      <c r="X341" s="1">
        <f>100-U341</f>
        <v>1</v>
      </c>
      <c r="Y341" s="1">
        <v>0</v>
      </c>
      <c r="Z341" s="1">
        <v>0</v>
      </c>
      <c r="AA341" s="1" t="s">
        <v>45</v>
      </c>
      <c r="AB341" s="10">
        <v>2</v>
      </c>
      <c r="AE341" s="1">
        <v>0</v>
      </c>
      <c r="AF341" s="1">
        <v>0</v>
      </c>
      <c r="AG341" s="1">
        <v>0</v>
      </c>
      <c r="AI341" s="1" t="s">
        <v>55</v>
      </c>
      <c r="AJ341">
        <v>3</v>
      </c>
    </row>
    <row r="342" spans="1:37" ht="14.25" customHeight="1" x14ac:dyDescent="0.3">
      <c r="A342" s="1" t="s">
        <v>70</v>
      </c>
      <c r="B342" s="1">
        <v>17</v>
      </c>
      <c r="C342" s="1" t="s">
        <v>571</v>
      </c>
      <c r="D342" s="1">
        <v>355087</v>
      </c>
      <c r="E342" s="1">
        <v>3990900</v>
      </c>
      <c r="F342">
        <v>1810</v>
      </c>
      <c r="G342" s="1">
        <v>25</v>
      </c>
      <c r="H342" s="1">
        <v>174</v>
      </c>
      <c r="I342">
        <v>218</v>
      </c>
      <c r="J342" s="20">
        <v>2</v>
      </c>
      <c r="K342" s="70">
        <v>1</v>
      </c>
      <c r="L342" s="38"/>
      <c r="M342" s="70">
        <v>2</v>
      </c>
      <c r="N342" s="1" t="s">
        <v>243</v>
      </c>
      <c r="O342" s="1">
        <v>17.5</v>
      </c>
      <c r="P342" s="1">
        <v>17.5</v>
      </c>
      <c r="Q342" s="1">
        <v>48.4</v>
      </c>
      <c r="R342" s="1">
        <v>4.4000000000000004</v>
      </c>
      <c r="S342" s="5">
        <f>(R342/3.14159)*100</f>
        <v>140.05646822150567</v>
      </c>
      <c r="T342" s="1" t="s">
        <v>97</v>
      </c>
      <c r="U342" s="1">
        <v>95</v>
      </c>
      <c r="V342" s="1">
        <v>5</v>
      </c>
      <c r="W342" s="1">
        <v>0</v>
      </c>
      <c r="X342" s="1">
        <f>100-U342</f>
        <v>5</v>
      </c>
      <c r="Y342" s="1">
        <v>0</v>
      </c>
      <c r="Z342" s="1">
        <v>0</v>
      </c>
      <c r="AA342" s="1" t="s">
        <v>45</v>
      </c>
      <c r="AB342" s="10">
        <v>2</v>
      </c>
      <c r="AE342" s="1">
        <v>0</v>
      </c>
      <c r="AF342" s="1">
        <v>0</v>
      </c>
      <c r="AG342" s="1">
        <v>0</v>
      </c>
      <c r="AI342" s="1" t="s">
        <v>55</v>
      </c>
      <c r="AJ342">
        <v>3</v>
      </c>
    </row>
    <row r="343" spans="1:37" ht="14.25" customHeight="1" x14ac:dyDescent="0.3">
      <c r="A343" s="1" t="s">
        <v>70</v>
      </c>
      <c r="B343" s="1">
        <v>17</v>
      </c>
      <c r="C343" s="1" t="s">
        <v>572</v>
      </c>
      <c r="D343" s="1">
        <v>354984</v>
      </c>
      <c r="E343" s="1">
        <v>3990923</v>
      </c>
      <c r="F343">
        <v>1810</v>
      </c>
      <c r="G343" s="1">
        <v>25</v>
      </c>
      <c r="H343" s="1">
        <v>174</v>
      </c>
      <c r="I343">
        <v>813</v>
      </c>
      <c r="J343" s="20">
        <v>4</v>
      </c>
      <c r="K343" s="1">
        <v>1</v>
      </c>
      <c r="L343" s="38"/>
      <c r="M343" s="1">
        <v>3</v>
      </c>
      <c r="N343" s="1" t="s">
        <v>153</v>
      </c>
      <c r="O343" s="1">
        <v>19.7</v>
      </c>
      <c r="P343" s="1">
        <v>37.299999999999997</v>
      </c>
      <c r="Q343" s="1">
        <v>64.599999999999994</v>
      </c>
      <c r="R343" s="1">
        <v>13.8</v>
      </c>
      <c r="S343" s="5">
        <f>(R343/3.14159)*100</f>
        <v>439.26801396744963</v>
      </c>
      <c r="T343" s="1" t="s">
        <v>95</v>
      </c>
      <c r="U343" s="1">
        <v>35</v>
      </c>
      <c r="V343" s="1">
        <v>65</v>
      </c>
      <c r="W343" s="1">
        <v>0</v>
      </c>
      <c r="X343" s="1">
        <f>100-U343</f>
        <v>65</v>
      </c>
      <c r="Y343" s="1">
        <v>0</v>
      </c>
      <c r="Z343" s="1">
        <v>1</v>
      </c>
      <c r="AA343" s="1" t="s">
        <v>45</v>
      </c>
      <c r="AB343" s="10">
        <v>3</v>
      </c>
      <c r="AC343" s="1">
        <v>60.8</v>
      </c>
      <c r="AD343" s="1">
        <v>27.9</v>
      </c>
      <c r="AE343" s="1">
        <v>50</v>
      </c>
      <c r="AF343" s="1">
        <v>15</v>
      </c>
      <c r="AG343" s="1">
        <v>1</v>
      </c>
      <c r="AI343" s="1" t="s">
        <v>53</v>
      </c>
      <c r="AJ343">
        <v>2</v>
      </c>
    </row>
    <row r="344" spans="1:37" ht="14.25" customHeight="1" x14ac:dyDescent="0.3">
      <c r="A344" s="1" t="s">
        <v>70</v>
      </c>
      <c r="B344" s="1">
        <v>18</v>
      </c>
      <c r="C344" s="1" t="s">
        <v>556</v>
      </c>
      <c r="D344" s="1">
        <v>355152</v>
      </c>
      <c r="E344" s="1">
        <v>3990858</v>
      </c>
      <c r="F344">
        <v>1872</v>
      </c>
      <c r="G344" s="1">
        <v>33</v>
      </c>
      <c r="H344" s="1">
        <v>178</v>
      </c>
      <c r="I344">
        <v>492</v>
      </c>
      <c r="J344" s="20">
        <v>3</v>
      </c>
      <c r="K344" s="70">
        <v>1</v>
      </c>
      <c r="L344" s="38"/>
      <c r="M344" s="70">
        <v>3</v>
      </c>
      <c r="N344" s="1" t="s">
        <v>243</v>
      </c>
      <c r="O344" s="1">
        <v>16.5</v>
      </c>
      <c r="P344" s="1">
        <v>48.5</v>
      </c>
      <c r="Q344" s="1">
        <v>57.4</v>
      </c>
      <c r="R344" s="1">
        <v>6.29</v>
      </c>
      <c r="S344" s="5">
        <f>(R344/3.14159)*100</f>
        <v>200.21708752574332</v>
      </c>
      <c r="T344" s="1" t="s">
        <v>95</v>
      </c>
      <c r="U344" s="1">
        <v>10</v>
      </c>
      <c r="V344" s="1">
        <v>90</v>
      </c>
      <c r="W344" s="1">
        <v>0</v>
      </c>
      <c r="X344" s="1">
        <f>100-U344</f>
        <v>90</v>
      </c>
      <c r="Y344" s="1">
        <v>0</v>
      </c>
      <c r="Z344" s="1">
        <v>0</v>
      </c>
      <c r="AA344" s="1" t="s">
        <v>45</v>
      </c>
      <c r="AB344" s="10">
        <v>2</v>
      </c>
      <c r="AC344" s="1">
        <v>49.7</v>
      </c>
      <c r="AD344" s="1">
        <v>17.3</v>
      </c>
      <c r="AE344" s="1">
        <v>85</v>
      </c>
      <c r="AF344" s="1">
        <v>5</v>
      </c>
      <c r="AG344" s="1">
        <v>0</v>
      </c>
      <c r="AH344" s="1">
        <v>59.7</v>
      </c>
      <c r="AI344" s="1" t="s">
        <v>44</v>
      </c>
      <c r="AJ344">
        <v>1</v>
      </c>
    </row>
    <row r="345" spans="1:37" ht="14.25" customHeight="1" x14ac:dyDescent="0.3">
      <c r="A345" s="1" t="s">
        <v>70</v>
      </c>
      <c r="B345" s="1">
        <v>18</v>
      </c>
      <c r="C345" s="1" t="s">
        <v>557</v>
      </c>
      <c r="D345" s="1">
        <v>355196</v>
      </c>
      <c r="E345" s="1">
        <v>3990958</v>
      </c>
      <c r="F345">
        <v>1872</v>
      </c>
      <c r="G345" s="1">
        <v>33</v>
      </c>
      <c r="H345" s="1">
        <v>178</v>
      </c>
      <c r="I345">
        <v>940</v>
      </c>
      <c r="J345" s="20">
        <v>4</v>
      </c>
      <c r="K345" s="70">
        <v>1</v>
      </c>
      <c r="L345" s="38"/>
      <c r="M345" s="70">
        <v>4</v>
      </c>
      <c r="N345" s="1" t="s">
        <v>153</v>
      </c>
      <c r="O345" s="1">
        <v>10.5</v>
      </c>
      <c r="P345" s="1">
        <v>52.6</v>
      </c>
      <c r="Q345" s="1">
        <v>60.6</v>
      </c>
      <c r="R345" s="1">
        <v>7.85</v>
      </c>
      <c r="S345" s="5">
        <f>(R345/3.14159)*100</f>
        <v>249.87347171336808</v>
      </c>
      <c r="T345" s="1" t="s">
        <v>95</v>
      </c>
      <c r="U345" s="1">
        <v>10</v>
      </c>
      <c r="V345" s="1">
        <v>90</v>
      </c>
      <c r="W345" s="1">
        <v>0</v>
      </c>
      <c r="X345" s="1">
        <f>100-U345</f>
        <v>90</v>
      </c>
      <c r="Y345" s="1">
        <v>0</v>
      </c>
      <c r="Z345" s="1">
        <v>0</v>
      </c>
      <c r="AA345" s="1" t="s">
        <v>45</v>
      </c>
      <c r="AB345" s="10">
        <v>4</v>
      </c>
      <c r="AC345" s="1">
        <v>57.2</v>
      </c>
      <c r="AD345" s="1">
        <v>37.9</v>
      </c>
      <c r="AE345" s="1">
        <v>60</v>
      </c>
      <c r="AF345" s="1">
        <v>30</v>
      </c>
      <c r="AG345" s="1">
        <v>1</v>
      </c>
      <c r="AH345" s="1">
        <v>59.6</v>
      </c>
      <c r="AI345" s="1" t="s">
        <v>44</v>
      </c>
      <c r="AJ345">
        <v>1</v>
      </c>
    </row>
    <row r="346" spans="1:37" ht="14.25" customHeight="1" x14ac:dyDescent="0.3">
      <c r="A346" s="1" t="s">
        <v>70</v>
      </c>
      <c r="B346" s="1">
        <v>19</v>
      </c>
      <c r="C346" s="1" t="s">
        <v>576</v>
      </c>
      <c r="D346" s="1">
        <v>354653</v>
      </c>
      <c r="E346" s="1">
        <v>3991176</v>
      </c>
      <c r="F346">
        <v>1734</v>
      </c>
      <c r="G346" s="1">
        <v>26</v>
      </c>
      <c r="H346" s="1">
        <v>177</v>
      </c>
      <c r="I346">
        <v>353</v>
      </c>
      <c r="J346" s="20">
        <v>3</v>
      </c>
      <c r="K346" s="1">
        <v>1</v>
      </c>
      <c r="L346" s="38"/>
      <c r="M346" s="1">
        <v>3</v>
      </c>
      <c r="N346" s="1" t="s">
        <v>153</v>
      </c>
      <c r="O346" s="1">
        <v>16.600000000000001</v>
      </c>
      <c r="P346" s="1">
        <v>21.3</v>
      </c>
      <c r="Q346" s="1">
        <v>61.8</v>
      </c>
      <c r="R346" s="1">
        <v>13.8</v>
      </c>
      <c r="S346" s="5">
        <f>(R346/3.14159)*100</f>
        <v>439.26801396744963</v>
      </c>
      <c r="T346" s="1" t="s">
        <v>95</v>
      </c>
      <c r="U346" s="1">
        <v>70</v>
      </c>
      <c r="V346" s="1">
        <v>30</v>
      </c>
      <c r="W346" s="1">
        <v>0</v>
      </c>
      <c r="X346" s="1">
        <f>100-U346</f>
        <v>30</v>
      </c>
      <c r="Y346" s="1">
        <v>0</v>
      </c>
      <c r="Z346" s="1">
        <v>0</v>
      </c>
      <c r="AA346" s="1" t="s">
        <v>45</v>
      </c>
      <c r="AB346" s="10">
        <v>4</v>
      </c>
      <c r="AC346" s="1">
        <v>49.3</v>
      </c>
      <c r="AE346" s="1">
        <v>30</v>
      </c>
      <c r="AF346" s="1">
        <v>0</v>
      </c>
      <c r="AG346" s="1">
        <v>1</v>
      </c>
      <c r="AI346" s="1" t="s">
        <v>51</v>
      </c>
      <c r="AJ346">
        <v>1</v>
      </c>
    </row>
    <row r="347" spans="1:37" ht="14.25" customHeight="1" x14ac:dyDescent="0.3">
      <c r="A347" s="1" t="s">
        <v>70</v>
      </c>
      <c r="B347" s="10">
        <v>20</v>
      </c>
      <c r="C347" s="1" t="s">
        <v>805</v>
      </c>
      <c r="D347" s="1">
        <v>354848</v>
      </c>
      <c r="E347" s="1">
        <v>3991513</v>
      </c>
      <c r="F347">
        <v>1760</v>
      </c>
      <c r="G347" s="1">
        <v>22</v>
      </c>
      <c r="H347" s="1">
        <v>173</v>
      </c>
      <c r="I347">
        <v>115</v>
      </c>
      <c r="J347" s="20">
        <v>2</v>
      </c>
      <c r="K347" s="1">
        <v>1</v>
      </c>
      <c r="L347" s="38"/>
      <c r="M347" s="1">
        <v>2</v>
      </c>
      <c r="N347" s="1" t="s">
        <v>94</v>
      </c>
      <c r="O347" s="1">
        <v>11.2</v>
      </c>
      <c r="P347" s="1">
        <v>11.2</v>
      </c>
      <c r="Q347" s="1">
        <v>47.4</v>
      </c>
      <c r="R347" s="1">
        <v>3.5</v>
      </c>
      <c r="S347" s="5">
        <f>(R347/3.14159)*100</f>
        <v>111.40855426710678</v>
      </c>
      <c r="T347" s="1" t="s">
        <v>102</v>
      </c>
      <c r="U347" s="1">
        <v>99</v>
      </c>
      <c r="V347" s="1">
        <v>1</v>
      </c>
      <c r="W347" s="1">
        <v>0</v>
      </c>
      <c r="X347" s="1">
        <f>100-U347</f>
        <v>1</v>
      </c>
      <c r="Y347" s="1">
        <v>0</v>
      </c>
      <c r="Z347" s="1">
        <v>0</v>
      </c>
      <c r="AA347" s="1" t="s">
        <v>45</v>
      </c>
      <c r="AB347" s="10">
        <v>1</v>
      </c>
      <c r="AC347" s="1">
        <v>17.899999999999999</v>
      </c>
      <c r="AE347" s="1">
        <v>1</v>
      </c>
      <c r="AF347" s="1">
        <v>0</v>
      </c>
      <c r="AG347" s="1">
        <v>0</v>
      </c>
      <c r="AI347" s="1" t="s">
        <v>51</v>
      </c>
      <c r="AJ347">
        <v>1</v>
      </c>
      <c r="AK347" s="70" t="s">
        <v>611</v>
      </c>
    </row>
    <row r="348" spans="1:37" ht="14.25" customHeight="1" x14ac:dyDescent="0.3">
      <c r="A348" s="1" t="s">
        <v>70</v>
      </c>
      <c r="B348" s="10">
        <v>20</v>
      </c>
      <c r="C348" s="1" t="s">
        <v>610</v>
      </c>
      <c r="D348" s="1">
        <v>354843</v>
      </c>
      <c r="E348" s="1">
        <v>3991525</v>
      </c>
      <c r="F348">
        <v>1760</v>
      </c>
      <c r="G348" s="1">
        <v>22</v>
      </c>
      <c r="H348" s="1">
        <v>173</v>
      </c>
      <c r="I348">
        <v>216</v>
      </c>
      <c r="J348" s="20">
        <v>2</v>
      </c>
      <c r="K348" s="70">
        <v>1</v>
      </c>
      <c r="L348" s="38"/>
      <c r="M348" s="70">
        <v>2</v>
      </c>
      <c r="N348" s="1" t="s">
        <v>94</v>
      </c>
      <c r="O348" s="1">
        <v>13.7</v>
      </c>
      <c r="P348" s="1">
        <v>13.7</v>
      </c>
      <c r="Q348" s="1">
        <v>48.4</v>
      </c>
      <c r="R348" s="1">
        <v>3.8</v>
      </c>
      <c r="S348" s="5">
        <f>(R348/3.14159)*100</f>
        <v>120.95785891857307</v>
      </c>
      <c r="T348" s="1" t="s">
        <v>97</v>
      </c>
      <c r="U348" s="1">
        <v>99</v>
      </c>
      <c r="V348" s="1">
        <v>0</v>
      </c>
      <c r="W348" s="1">
        <v>1</v>
      </c>
      <c r="X348" s="1">
        <f>100-U348</f>
        <v>1</v>
      </c>
      <c r="Y348" s="1">
        <v>0</v>
      </c>
      <c r="Z348" s="1">
        <v>0</v>
      </c>
      <c r="AA348" s="1" t="s">
        <v>45</v>
      </c>
      <c r="AB348" s="10">
        <v>1</v>
      </c>
      <c r="AE348" s="1">
        <v>0</v>
      </c>
      <c r="AF348" s="1">
        <v>0</v>
      </c>
      <c r="AG348" s="1">
        <v>0</v>
      </c>
      <c r="AI348" s="1" t="s">
        <v>44</v>
      </c>
      <c r="AJ348">
        <v>1</v>
      </c>
      <c r="AK348" s="1" t="s">
        <v>612</v>
      </c>
    </row>
    <row r="349" spans="1:37" ht="14.25" customHeight="1" x14ac:dyDescent="0.3">
      <c r="A349" s="1" t="s">
        <v>70</v>
      </c>
      <c r="B349" s="1">
        <v>20</v>
      </c>
      <c r="C349" s="1" t="s">
        <v>604</v>
      </c>
      <c r="D349" s="1">
        <v>354803</v>
      </c>
      <c r="E349" s="1">
        <v>3991108</v>
      </c>
      <c r="F349">
        <v>1760</v>
      </c>
      <c r="G349" s="1">
        <v>22</v>
      </c>
      <c r="H349" s="1">
        <v>173</v>
      </c>
      <c r="I349">
        <v>846</v>
      </c>
      <c r="J349" s="20">
        <v>4</v>
      </c>
      <c r="K349" s="1">
        <v>0</v>
      </c>
      <c r="L349" s="38"/>
      <c r="M349" s="1">
        <v>4</v>
      </c>
      <c r="N349" s="1" t="s">
        <v>153</v>
      </c>
      <c r="O349" s="1">
        <v>9.8000000000000007</v>
      </c>
      <c r="Q349" s="1">
        <v>44</v>
      </c>
      <c r="R349" s="1">
        <v>14.3</v>
      </c>
      <c r="S349" s="5">
        <f>(R349/3.14159)*100</f>
        <v>455.18352171989352</v>
      </c>
      <c r="T349" s="1" t="s">
        <v>95</v>
      </c>
      <c r="U349" s="1">
        <v>0</v>
      </c>
      <c r="V349" s="1">
        <v>100</v>
      </c>
      <c r="W349" s="1">
        <v>0</v>
      </c>
      <c r="X349" s="1">
        <f>100-U349</f>
        <v>100</v>
      </c>
      <c r="Y349" s="1">
        <v>0</v>
      </c>
      <c r="Z349">
        <v>0</v>
      </c>
      <c r="AA349" s="1" t="s">
        <v>45</v>
      </c>
      <c r="AB349" s="10">
        <v>4</v>
      </c>
      <c r="AG349" s="1">
        <v>0</v>
      </c>
      <c r="AI349" s="1" t="s">
        <v>66</v>
      </c>
      <c r="AJ349">
        <v>3</v>
      </c>
    </row>
    <row r="350" spans="1:37" ht="14.25" customHeight="1" x14ac:dyDescent="0.3">
      <c r="A350" s="1" t="s">
        <v>70</v>
      </c>
      <c r="B350" s="1">
        <v>20</v>
      </c>
      <c r="C350" s="1" t="s">
        <v>605</v>
      </c>
      <c r="D350" s="1">
        <v>354780</v>
      </c>
      <c r="E350" s="1">
        <v>3991166</v>
      </c>
      <c r="F350">
        <v>1760</v>
      </c>
      <c r="G350" s="1">
        <v>22</v>
      </c>
      <c r="H350" s="1">
        <v>173</v>
      </c>
      <c r="I350">
        <v>549</v>
      </c>
      <c r="J350" s="20">
        <v>3</v>
      </c>
      <c r="K350" s="1">
        <v>1</v>
      </c>
      <c r="L350" s="38"/>
      <c r="M350" s="1">
        <v>4</v>
      </c>
      <c r="N350" s="1" t="s">
        <v>153</v>
      </c>
      <c r="O350" s="1">
        <v>9.9</v>
      </c>
      <c r="P350" s="1">
        <v>16</v>
      </c>
      <c r="Q350" s="1">
        <v>49.5</v>
      </c>
      <c r="R350" s="1">
        <v>10.4</v>
      </c>
      <c r="S350" s="5">
        <f>(R350/3.14159)*100</f>
        <v>331.04256125083162</v>
      </c>
      <c r="T350" s="1" t="s">
        <v>95</v>
      </c>
      <c r="U350" s="1">
        <v>40</v>
      </c>
      <c r="V350" s="1">
        <v>60</v>
      </c>
      <c r="W350" s="1">
        <v>0</v>
      </c>
      <c r="X350" s="1">
        <f>100-U350</f>
        <v>60</v>
      </c>
      <c r="Y350" s="1">
        <v>0</v>
      </c>
      <c r="Z350" s="1">
        <v>0</v>
      </c>
      <c r="AA350" s="1" t="s">
        <v>45</v>
      </c>
      <c r="AB350" s="10">
        <v>4</v>
      </c>
      <c r="AC350" s="1">
        <v>45.1</v>
      </c>
      <c r="AD350" s="1">
        <v>49.5</v>
      </c>
      <c r="AE350" s="1">
        <v>5</v>
      </c>
      <c r="AF350" s="1">
        <v>55</v>
      </c>
      <c r="AG350" s="1">
        <v>0</v>
      </c>
      <c r="AI350" s="1" t="s">
        <v>51</v>
      </c>
      <c r="AJ350">
        <v>1</v>
      </c>
    </row>
    <row r="351" spans="1:37" ht="14.25" customHeight="1" x14ac:dyDescent="0.3">
      <c r="A351" s="1" t="s">
        <v>70</v>
      </c>
      <c r="B351" s="1">
        <v>20</v>
      </c>
      <c r="C351" s="1" t="s">
        <v>606</v>
      </c>
      <c r="D351" s="10">
        <v>354811</v>
      </c>
      <c r="E351" s="1">
        <v>3991178</v>
      </c>
      <c r="F351">
        <v>1760</v>
      </c>
      <c r="G351" s="1">
        <v>22</v>
      </c>
      <c r="H351" s="1">
        <v>173</v>
      </c>
      <c r="I351">
        <v>410</v>
      </c>
      <c r="J351" s="20">
        <v>3</v>
      </c>
      <c r="K351" s="1">
        <v>1</v>
      </c>
      <c r="L351" s="38"/>
      <c r="M351" s="1">
        <v>3</v>
      </c>
      <c r="N351" s="1" t="s">
        <v>153</v>
      </c>
      <c r="O351" s="1">
        <v>16.8</v>
      </c>
      <c r="P351" s="1">
        <v>23.5</v>
      </c>
      <c r="Q351" s="1">
        <v>55.8</v>
      </c>
      <c r="R351" s="1">
        <v>13.6</v>
      </c>
      <c r="S351" s="5">
        <f>(R351/3.14159)*100</f>
        <v>432.90181086647203</v>
      </c>
      <c r="T351" s="1" t="s">
        <v>95</v>
      </c>
      <c r="U351" s="1">
        <v>25</v>
      </c>
      <c r="V351" s="1">
        <v>75</v>
      </c>
      <c r="W351" s="1">
        <v>0</v>
      </c>
      <c r="X351" s="1">
        <f>100-U351</f>
        <v>75</v>
      </c>
      <c r="Y351" s="1">
        <v>0</v>
      </c>
      <c r="Z351" s="1">
        <v>0</v>
      </c>
      <c r="AA351" s="1" t="s">
        <v>45</v>
      </c>
      <c r="AB351" s="10">
        <v>2</v>
      </c>
      <c r="AC351" s="1">
        <v>55.5</v>
      </c>
      <c r="AD351" s="1">
        <v>55.8</v>
      </c>
      <c r="AE351" s="1">
        <v>20</v>
      </c>
      <c r="AF351" s="1">
        <v>55</v>
      </c>
      <c r="AG351" s="1">
        <v>1</v>
      </c>
      <c r="AI351" s="1" t="s">
        <v>66</v>
      </c>
      <c r="AJ351">
        <v>3</v>
      </c>
      <c r="AK351" s="1" t="s">
        <v>607</v>
      </c>
    </row>
    <row r="352" spans="1:37" ht="14.25" customHeight="1" x14ac:dyDescent="0.3">
      <c r="A352" s="1" t="s">
        <v>70</v>
      </c>
      <c r="B352" s="72">
        <v>20</v>
      </c>
      <c r="C352" s="1" t="s">
        <v>608</v>
      </c>
      <c r="D352" s="1">
        <v>354806</v>
      </c>
      <c r="E352" s="1">
        <v>3991524</v>
      </c>
      <c r="F352">
        <v>1760</v>
      </c>
      <c r="G352" s="1">
        <v>22</v>
      </c>
      <c r="H352" s="1">
        <v>173</v>
      </c>
      <c r="I352" s="71">
        <v>487</v>
      </c>
      <c r="J352" s="20">
        <v>3</v>
      </c>
      <c r="K352" s="1">
        <v>1</v>
      </c>
      <c r="L352" s="38"/>
      <c r="M352" s="1">
        <v>2</v>
      </c>
      <c r="N352" s="1" t="s">
        <v>153</v>
      </c>
      <c r="O352" s="1">
        <v>10.3</v>
      </c>
      <c r="P352" s="1">
        <v>12.6</v>
      </c>
      <c r="Q352" s="1">
        <v>44.1</v>
      </c>
      <c r="R352" s="1">
        <v>3.9</v>
      </c>
      <c r="S352" s="5">
        <f>(R352/3.14159)*100</f>
        <v>124.14096046906184</v>
      </c>
      <c r="T352" s="1" t="s">
        <v>97</v>
      </c>
      <c r="U352" s="1">
        <v>95</v>
      </c>
      <c r="V352" s="1">
        <v>1</v>
      </c>
      <c r="W352" s="1">
        <v>5</v>
      </c>
      <c r="X352" s="1">
        <f>100-U352</f>
        <v>5</v>
      </c>
      <c r="Y352" s="1">
        <v>0</v>
      </c>
      <c r="Z352" s="1">
        <v>0</v>
      </c>
      <c r="AA352" s="1" t="s">
        <v>45</v>
      </c>
      <c r="AB352" s="10">
        <v>3</v>
      </c>
      <c r="AC352" s="1">
        <v>12.5</v>
      </c>
      <c r="AE352" s="1">
        <v>1</v>
      </c>
      <c r="AF352" s="1">
        <v>0</v>
      </c>
      <c r="AG352" s="1">
        <v>0</v>
      </c>
      <c r="AI352" s="1" t="s">
        <v>380</v>
      </c>
      <c r="AJ352">
        <v>1</v>
      </c>
      <c r="AK352" s="1" t="s">
        <v>609</v>
      </c>
    </row>
    <row r="353" spans="1:37" ht="14.25" customHeight="1" x14ac:dyDescent="0.3">
      <c r="A353" s="1" t="s">
        <v>70</v>
      </c>
      <c r="B353" s="1">
        <v>21</v>
      </c>
      <c r="C353" s="1" t="s">
        <v>597</v>
      </c>
      <c r="D353" s="1">
        <v>354994</v>
      </c>
      <c r="E353" s="1">
        <v>3991057</v>
      </c>
      <c r="F353">
        <v>1746</v>
      </c>
      <c r="G353" s="1">
        <v>23</v>
      </c>
      <c r="H353" s="1">
        <v>164</v>
      </c>
      <c r="I353">
        <v>618</v>
      </c>
      <c r="J353" s="20">
        <v>3</v>
      </c>
      <c r="K353" s="1">
        <v>1</v>
      </c>
      <c r="L353" s="38"/>
      <c r="M353" s="1">
        <v>3</v>
      </c>
      <c r="N353" s="1" t="s">
        <v>153</v>
      </c>
      <c r="O353" s="1">
        <v>19.7</v>
      </c>
      <c r="P353" s="1">
        <v>23.5</v>
      </c>
      <c r="Q353" s="1">
        <v>75.099999999999994</v>
      </c>
      <c r="R353" s="17">
        <v>18.8</v>
      </c>
      <c r="S353" s="5">
        <f>(R353/3.14159)*100</f>
        <v>598.42309149188793</v>
      </c>
      <c r="T353" s="1" t="s">
        <v>95</v>
      </c>
      <c r="U353" s="1">
        <v>80</v>
      </c>
      <c r="V353" s="1">
        <v>20</v>
      </c>
      <c r="W353" s="1">
        <v>1</v>
      </c>
      <c r="X353" s="1">
        <f>100-U353</f>
        <v>20</v>
      </c>
      <c r="Y353" s="1">
        <v>0</v>
      </c>
      <c r="Z353" s="1">
        <v>0</v>
      </c>
      <c r="AA353" s="1" t="s">
        <v>45</v>
      </c>
      <c r="AB353" s="10">
        <v>4</v>
      </c>
      <c r="AC353" s="1">
        <v>71.099999999999994</v>
      </c>
      <c r="AD353" s="1">
        <v>38</v>
      </c>
      <c r="AE353" s="1">
        <v>15</v>
      </c>
      <c r="AF353" s="1">
        <v>5</v>
      </c>
      <c r="AG353" s="1">
        <v>0</v>
      </c>
      <c r="AI353" s="1" t="s">
        <v>51</v>
      </c>
      <c r="AJ353">
        <v>1</v>
      </c>
      <c r="AK353" s="1" t="s">
        <v>598</v>
      </c>
    </row>
    <row r="354" spans="1:37" ht="14.25" customHeight="1" x14ac:dyDescent="0.3">
      <c r="A354" s="1" t="s">
        <v>70</v>
      </c>
      <c r="B354" s="1">
        <v>21</v>
      </c>
      <c r="C354" s="1" t="s">
        <v>599</v>
      </c>
      <c r="D354" s="1">
        <v>354965</v>
      </c>
      <c r="E354" s="1">
        <v>3991088</v>
      </c>
      <c r="F354">
        <v>1746</v>
      </c>
      <c r="G354" s="1">
        <v>23</v>
      </c>
      <c r="H354" s="1">
        <v>164</v>
      </c>
      <c r="I354">
        <v>658</v>
      </c>
      <c r="J354" s="20">
        <v>4</v>
      </c>
      <c r="K354" s="1">
        <v>1</v>
      </c>
      <c r="L354" s="38"/>
      <c r="M354" s="1">
        <v>3</v>
      </c>
      <c r="N354" s="1" t="s">
        <v>153</v>
      </c>
      <c r="O354" s="1">
        <v>17.899999999999999</v>
      </c>
      <c r="P354" s="1">
        <v>23.1</v>
      </c>
      <c r="Q354" s="1">
        <v>47.7</v>
      </c>
      <c r="R354" s="1">
        <v>3.4</v>
      </c>
      <c r="S354" s="5">
        <f>(R354/3.14159)*100</f>
        <v>108.22545271661801</v>
      </c>
      <c r="T354" s="1" t="s">
        <v>97</v>
      </c>
      <c r="U354" s="1">
        <v>55</v>
      </c>
      <c r="V354" s="1">
        <v>45</v>
      </c>
      <c r="W354" s="1">
        <v>0</v>
      </c>
      <c r="X354" s="1">
        <f>100-U354</f>
        <v>45</v>
      </c>
      <c r="Y354" s="1">
        <v>0</v>
      </c>
      <c r="Z354" s="1">
        <v>1</v>
      </c>
      <c r="AA354" s="1" t="s">
        <v>45</v>
      </c>
      <c r="AB354" s="10">
        <v>2</v>
      </c>
      <c r="AC354" s="1">
        <v>40.9</v>
      </c>
      <c r="AD354" s="1">
        <v>34.1</v>
      </c>
      <c r="AE354" s="1">
        <v>10</v>
      </c>
      <c r="AF354" s="1">
        <v>35</v>
      </c>
      <c r="AG354" s="1">
        <v>0</v>
      </c>
      <c r="AI354" s="1" t="s">
        <v>51</v>
      </c>
      <c r="AJ354">
        <v>1</v>
      </c>
      <c r="AK354" s="1" t="s">
        <v>600</v>
      </c>
    </row>
    <row r="355" spans="1:37" ht="14.25" customHeight="1" x14ac:dyDescent="0.3">
      <c r="A355" s="1" t="s">
        <v>70</v>
      </c>
      <c r="B355" s="70">
        <v>21</v>
      </c>
      <c r="C355" s="1" t="s">
        <v>601</v>
      </c>
      <c r="D355" s="1">
        <v>354991</v>
      </c>
      <c r="E355" s="1">
        <v>3991131</v>
      </c>
      <c r="F355">
        <v>1746</v>
      </c>
      <c r="G355" s="1">
        <v>23</v>
      </c>
      <c r="H355" s="1">
        <v>164</v>
      </c>
      <c r="I355" s="71">
        <v>406</v>
      </c>
      <c r="J355" s="20">
        <v>3</v>
      </c>
      <c r="K355" s="1">
        <v>1</v>
      </c>
      <c r="L355" s="38"/>
      <c r="M355" s="1">
        <v>3</v>
      </c>
      <c r="N355" s="1" t="s">
        <v>153</v>
      </c>
      <c r="O355" s="1">
        <v>14.5</v>
      </c>
      <c r="P355" s="1">
        <v>18.2</v>
      </c>
      <c r="Q355" s="1">
        <v>56.3</v>
      </c>
      <c r="R355" s="1">
        <v>4.4000000000000004</v>
      </c>
      <c r="S355" s="5">
        <f>(R355/3.14159)*100</f>
        <v>140.05646822150567</v>
      </c>
      <c r="T355" s="1" t="s">
        <v>97</v>
      </c>
      <c r="U355" s="1">
        <v>99</v>
      </c>
      <c r="V355" s="1">
        <v>1</v>
      </c>
      <c r="W355" s="1">
        <v>0</v>
      </c>
      <c r="X355" s="1">
        <f>100-U355</f>
        <v>1</v>
      </c>
      <c r="Y355" s="1">
        <v>0</v>
      </c>
      <c r="Z355" s="1">
        <v>1</v>
      </c>
      <c r="AA355" s="1" t="s">
        <v>45</v>
      </c>
      <c r="AB355" s="10">
        <v>2</v>
      </c>
      <c r="AC355" s="1">
        <v>22.6</v>
      </c>
      <c r="AD355" s="1">
        <v>18.8</v>
      </c>
      <c r="AE355" s="1">
        <v>1</v>
      </c>
      <c r="AF355" s="1">
        <v>1</v>
      </c>
      <c r="AG355" s="1">
        <v>0</v>
      </c>
      <c r="AI355" s="1" t="s">
        <v>380</v>
      </c>
      <c r="AJ355">
        <v>1</v>
      </c>
      <c r="AK355" s="1" t="s">
        <v>602</v>
      </c>
    </row>
    <row r="356" spans="1:37" ht="14.25" customHeight="1" x14ac:dyDescent="0.3">
      <c r="A356" s="1" t="s">
        <v>70</v>
      </c>
      <c r="B356" s="70">
        <v>21</v>
      </c>
      <c r="C356" s="1" t="s">
        <v>603</v>
      </c>
      <c r="D356" s="30">
        <v>354849</v>
      </c>
      <c r="E356" s="19">
        <v>3991124</v>
      </c>
      <c r="F356">
        <v>1746</v>
      </c>
      <c r="G356" s="1">
        <v>23</v>
      </c>
      <c r="H356" s="1">
        <v>164</v>
      </c>
      <c r="I356" s="72">
        <v>630</v>
      </c>
      <c r="J356" s="20">
        <v>3</v>
      </c>
      <c r="K356" s="1">
        <v>1</v>
      </c>
      <c r="L356" s="38"/>
      <c r="M356" s="1">
        <v>3</v>
      </c>
      <c r="N356" s="1" t="s">
        <v>153</v>
      </c>
      <c r="O356" s="1">
        <v>8.3000000000000007</v>
      </c>
      <c r="P356" s="1">
        <v>9.3000000000000007</v>
      </c>
      <c r="Q356" s="1">
        <v>56.8</v>
      </c>
      <c r="R356" s="1">
        <v>4.5999999999999996</v>
      </c>
      <c r="S356" s="5">
        <f>(R356/3.14159)*100</f>
        <v>146.42267132248318</v>
      </c>
      <c r="T356" s="1" t="s">
        <v>97</v>
      </c>
      <c r="U356" s="1">
        <v>95</v>
      </c>
      <c r="V356" s="1">
        <v>5</v>
      </c>
      <c r="W356" s="1">
        <v>1</v>
      </c>
      <c r="X356" s="1">
        <f>100-U356</f>
        <v>5</v>
      </c>
      <c r="Y356" s="1">
        <v>0</v>
      </c>
      <c r="Z356" s="1">
        <v>0</v>
      </c>
      <c r="AA356" s="1" t="s">
        <v>45</v>
      </c>
      <c r="AB356" s="10">
        <v>3</v>
      </c>
      <c r="AC356" s="1">
        <v>15.1</v>
      </c>
      <c r="AD356" s="1">
        <v>7.3</v>
      </c>
      <c r="AE356" s="1">
        <v>5</v>
      </c>
      <c r="AF356" s="1">
        <v>1</v>
      </c>
      <c r="AG356" s="1">
        <v>0</v>
      </c>
      <c r="AI356" s="1" t="s">
        <v>380</v>
      </c>
      <c r="AJ356">
        <v>1</v>
      </c>
      <c r="AK356" s="30" t="s">
        <v>806</v>
      </c>
    </row>
    <row r="357" spans="1:37" ht="14.25" customHeight="1" x14ac:dyDescent="0.3">
      <c r="A357" s="1" t="s">
        <v>70</v>
      </c>
      <c r="B357" s="1">
        <v>22</v>
      </c>
      <c r="C357" s="1" t="s">
        <v>593</v>
      </c>
      <c r="D357" s="1">
        <v>354606</v>
      </c>
      <c r="E357" s="1">
        <v>3991384</v>
      </c>
      <c r="F357">
        <v>1878</v>
      </c>
      <c r="G357" s="1">
        <v>19</v>
      </c>
      <c r="H357" s="1">
        <v>65</v>
      </c>
      <c r="I357" s="10">
        <v>307</v>
      </c>
      <c r="J357" s="20">
        <v>2</v>
      </c>
      <c r="K357" s="1">
        <v>1</v>
      </c>
      <c r="L357" s="38"/>
      <c r="M357" s="1">
        <v>2</v>
      </c>
      <c r="N357" s="1" t="s">
        <v>153</v>
      </c>
      <c r="O357" s="1">
        <v>15.8</v>
      </c>
      <c r="P357" s="1">
        <v>15.8</v>
      </c>
      <c r="Q357" s="1">
        <v>48.2</v>
      </c>
      <c r="R357" s="1">
        <v>4.2</v>
      </c>
      <c r="S357" s="5">
        <f>(R357/3.14159)*100</f>
        <v>133.69026512052815</v>
      </c>
      <c r="T357" s="1" t="s">
        <v>97</v>
      </c>
      <c r="U357" s="1">
        <v>99</v>
      </c>
      <c r="V357" s="1">
        <v>1</v>
      </c>
      <c r="W357" s="1">
        <v>1</v>
      </c>
      <c r="X357" s="1">
        <f>100-U357</f>
        <v>1</v>
      </c>
      <c r="Y357" s="1">
        <v>0</v>
      </c>
      <c r="Z357" s="1">
        <v>0</v>
      </c>
      <c r="AA357" s="1" t="s">
        <v>45</v>
      </c>
      <c r="AB357" s="10">
        <v>4</v>
      </c>
      <c r="AC357" s="1">
        <v>16</v>
      </c>
      <c r="AE357" s="1">
        <v>1</v>
      </c>
      <c r="AF357" s="1">
        <v>0</v>
      </c>
      <c r="AG357" s="1">
        <v>1</v>
      </c>
      <c r="AI357" s="1" t="s">
        <v>51</v>
      </c>
      <c r="AJ357">
        <v>1</v>
      </c>
    </row>
    <row r="358" spans="1:37" ht="14.25" customHeight="1" x14ac:dyDescent="0.3">
      <c r="A358" s="1" t="s">
        <v>70</v>
      </c>
      <c r="B358" s="1">
        <v>22</v>
      </c>
      <c r="C358" s="1" t="s">
        <v>594</v>
      </c>
      <c r="D358" s="1">
        <v>354611</v>
      </c>
      <c r="E358" s="1">
        <v>3991382</v>
      </c>
      <c r="F358">
        <v>1878</v>
      </c>
      <c r="G358" s="1">
        <v>19</v>
      </c>
      <c r="H358" s="1">
        <v>65</v>
      </c>
      <c r="I358" s="10">
        <v>245</v>
      </c>
      <c r="J358" s="20">
        <v>2</v>
      </c>
      <c r="K358" s="1">
        <v>1</v>
      </c>
      <c r="L358" s="38"/>
      <c r="M358" s="1">
        <v>2</v>
      </c>
      <c r="N358" s="1" t="s">
        <v>153</v>
      </c>
      <c r="O358" s="1">
        <v>17.7</v>
      </c>
      <c r="P358" s="1">
        <v>17.7</v>
      </c>
      <c r="Q358" s="1">
        <v>61</v>
      </c>
      <c r="R358" s="1">
        <v>6.9</v>
      </c>
      <c r="S358" s="5">
        <f>(R358/3.14159)*100</f>
        <v>219.63400698372482</v>
      </c>
      <c r="T358" s="1" t="s">
        <v>95</v>
      </c>
      <c r="U358" s="1">
        <v>99</v>
      </c>
      <c r="V358" s="1">
        <v>0</v>
      </c>
      <c r="W358" s="1">
        <v>1</v>
      </c>
      <c r="X358" s="1">
        <f>100-U358</f>
        <v>1</v>
      </c>
      <c r="Y358" s="1">
        <v>0</v>
      </c>
      <c r="Z358" s="1">
        <v>0</v>
      </c>
      <c r="AA358" s="1" t="s">
        <v>45</v>
      </c>
      <c r="AB358" s="10">
        <v>4</v>
      </c>
      <c r="AE358" s="1">
        <v>0</v>
      </c>
      <c r="AF358" s="1">
        <v>0</v>
      </c>
      <c r="AG358" s="1">
        <v>0</v>
      </c>
      <c r="AI358" s="1" t="s">
        <v>51</v>
      </c>
      <c r="AJ358">
        <v>1</v>
      </c>
    </row>
    <row r="359" spans="1:37" ht="14.25" customHeight="1" x14ac:dyDescent="0.3">
      <c r="A359" s="1" t="s">
        <v>70</v>
      </c>
      <c r="B359" s="1">
        <v>23</v>
      </c>
      <c r="C359" s="1" t="s">
        <v>595</v>
      </c>
      <c r="D359" s="1">
        <v>354776</v>
      </c>
      <c r="E359" s="1">
        <v>3991377</v>
      </c>
      <c r="F359">
        <v>1708</v>
      </c>
      <c r="G359" s="1">
        <v>8</v>
      </c>
      <c r="H359" s="1">
        <v>83</v>
      </c>
      <c r="I359" s="10">
        <v>326</v>
      </c>
      <c r="J359" s="20">
        <v>3</v>
      </c>
      <c r="K359" s="70">
        <v>1</v>
      </c>
      <c r="L359" s="38"/>
      <c r="M359" s="70">
        <v>2</v>
      </c>
      <c r="N359" s="1" t="s">
        <v>153</v>
      </c>
      <c r="O359" s="1">
        <v>10.199999999999999</v>
      </c>
      <c r="P359" s="1">
        <v>11.2</v>
      </c>
      <c r="Q359" s="1">
        <v>50.5</v>
      </c>
      <c r="R359" s="1">
        <v>11.5</v>
      </c>
      <c r="S359" s="5">
        <f>(R359/3.14159)*100</f>
        <v>366.05667830620803</v>
      </c>
      <c r="T359" s="1" t="s">
        <v>102</v>
      </c>
      <c r="U359" s="1">
        <v>40</v>
      </c>
      <c r="V359" s="1">
        <v>60</v>
      </c>
      <c r="W359" s="1">
        <v>0</v>
      </c>
      <c r="X359" s="1">
        <f>100-U359</f>
        <v>60</v>
      </c>
      <c r="Y359" s="1">
        <v>0</v>
      </c>
      <c r="Z359" s="1">
        <v>0</v>
      </c>
      <c r="AA359" s="1" t="s">
        <v>45</v>
      </c>
      <c r="AB359" s="10">
        <v>4</v>
      </c>
      <c r="AC359" s="1">
        <v>31.2</v>
      </c>
      <c r="AD359" s="1">
        <v>30</v>
      </c>
      <c r="AE359" s="1">
        <v>40</v>
      </c>
      <c r="AF359" s="1">
        <v>20</v>
      </c>
      <c r="AG359" s="1">
        <v>1</v>
      </c>
      <c r="AI359" s="1" t="s">
        <v>44</v>
      </c>
      <c r="AJ359">
        <v>1</v>
      </c>
    </row>
    <row r="360" spans="1:37" ht="14.25" customHeight="1" x14ac:dyDescent="0.3">
      <c r="A360" s="1" t="s">
        <v>70</v>
      </c>
      <c r="B360" s="1">
        <v>23</v>
      </c>
      <c r="C360" s="1" t="s">
        <v>596</v>
      </c>
      <c r="D360" s="1">
        <v>354813</v>
      </c>
      <c r="E360" s="1">
        <v>3991370</v>
      </c>
      <c r="F360">
        <v>1708</v>
      </c>
      <c r="G360" s="1">
        <v>8</v>
      </c>
      <c r="H360" s="1">
        <v>83</v>
      </c>
      <c r="I360" s="10">
        <v>321</v>
      </c>
      <c r="J360" s="20">
        <v>3</v>
      </c>
      <c r="K360" s="70">
        <v>1</v>
      </c>
      <c r="L360" s="38"/>
      <c r="M360" s="70">
        <v>2</v>
      </c>
      <c r="N360" s="1" t="s">
        <v>153</v>
      </c>
      <c r="O360" s="1">
        <v>12.7</v>
      </c>
      <c r="P360" s="1">
        <v>13.7</v>
      </c>
      <c r="Q360" s="1">
        <v>73.7</v>
      </c>
      <c r="R360" s="1">
        <v>12.5</v>
      </c>
      <c r="S360" s="5">
        <f>(R360/3.14159)*100</f>
        <v>397.88769381109563</v>
      </c>
      <c r="T360" s="1" t="s">
        <v>95</v>
      </c>
      <c r="U360" s="1">
        <v>98</v>
      </c>
      <c r="V360" s="1">
        <v>1</v>
      </c>
      <c r="W360" s="1">
        <v>1</v>
      </c>
      <c r="X360" s="1">
        <f>100-U360</f>
        <v>2</v>
      </c>
      <c r="Y360" s="1">
        <v>0</v>
      </c>
      <c r="Z360" s="1">
        <v>0</v>
      </c>
      <c r="AA360" s="1" t="s">
        <v>45</v>
      </c>
      <c r="AB360" s="10">
        <v>4</v>
      </c>
      <c r="AC360" s="1">
        <v>19.399999999999999</v>
      </c>
      <c r="AE360" s="1">
        <v>1</v>
      </c>
      <c r="AF360" s="1">
        <v>0</v>
      </c>
      <c r="AG360" s="1">
        <v>1</v>
      </c>
      <c r="AI360" s="1" t="s">
        <v>44</v>
      </c>
      <c r="AJ360">
        <v>1</v>
      </c>
    </row>
    <row r="361" spans="1:37" ht="14.25" customHeight="1" x14ac:dyDescent="0.3">
      <c r="A361" s="1" t="s">
        <v>70</v>
      </c>
      <c r="B361" s="1">
        <v>24</v>
      </c>
      <c r="C361" s="1" t="s">
        <v>577</v>
      </c>
      <c r="D361" s="1">
        <v>354609</v>
      </c>
      <c r="E361" s="1">
        <v>3991552</v>
      </c>
      <c r="F361">
        <v>1757</v>
      </c>
      <c r="G361" s="1">
        <v>16</v>
      </c>
      <c r="H361" s="1">
        <v>10</v>
      </c>
      <c r="I361" s="10">
        <v>1005</v>
      </c>
      <c r="J361" s="20">
        <v>4</v>
      </c>
      <c r="K361" s="70">
        <v>0</v>
      </c>
      <c r="L361" s="38"/>
      <c r="M361" s="70">
        <v>3</v>
      </c>
      <c r="N361" s="1" t="s">
        <v>153</v>
      </c>
      <c r="O361" s="1">
        <v>16</v>
      </c>
      <c r="Q361" s="1">
        <v>40.299999999999997</v>
      </c>
      <c r="R361" s="1">
        <v>3.7</v>
      </c>
      <c r="S361" s="5">
        <f>(R361/3.14159)*100</f>
        <v>117.77475736808431</v>
      </c>
      <c r="T361" s="1" t="s">
        <v>95</v>
      </c>
      <c r="U361" s="1">
        <v>0</v>
      </c>
      <c r="V361" s="1">
        <v>100</v>
      </c>
      <c r="W361" s="1">
        <v>0</v>
      </c>
      <c r="X361" s="1">
        <f>100-U361</f>
        <v>100</v>
      </c>
      <c r="Y361">
        <v>0</v>
      </c>
      <c r="Z361" s="1">
        <v>0</v>
      </c>
      <c r="AA361" s="1" t="s">
        <v>45</v>
      </c>
      <c r="AB361" s="10">
        <v>3</v>
      </c>
      <c r="AG361" s="1">
        <v>0</v>
      </c>
      <c r="AI361" s="1" t="s">
        <v>44</v>
      </c>
      <c r="AJ361">
        <v>1</v>
      </c>
    </row>
    <row r="362" spans="1:37" ht="14.25" customHeight="1" x14ac:dyDescent="0.3">
      <c r="A362" s="1" t="s">
        <v>70</v>
      </c>
      <c r="B362" s="1">
        <v>24</v>
      </c>
      <c r="C362" s="1" t="s">
        <v>589</v>
      </c>
      <c r="D362" s="1">
        <v>354611</v>
      </c>
      <c r="E362" s="1">
        <v>3991488</v>
      </c>
      <c r="F362">
        <v>1757</v>
      </c>
      <c r="G362" s="1">
        <v>16</v>
      </c>
      <c r="H362" s="1">
        <v>10</v>
      </c>
      <c r="I362">
        <v>897</v>
      </c>
      <c r="J362" s="20">
        <v>4</v>
      </c>
      <c r="K362" s="1">
        <v>1</v>
      </c>
      <c r="L362" s="38"/>
      <c r="M362" s="1">
        <v>3</v>
      </c>
      <c r="N362" s="1" t="s">
        <v>153</v>
      </c>
      <c r="O362" s="1">
        <v>10.199999999999999</v>
      </c>
      <c r="P362" s="1">
        <v>15.2</v>
      </c>
      <c r="Q362" s="1">
        <v>34.9</v>
      </c>
      <c r="R362" s="1">
        <v>3.1</v>
      </c>
      <c r="S362" s="5">
        <f>(R362/3.14159)*100</f>
        <v>98.676148065151722</v>
      </c>
      <c r="T362" s="1" t="s">
        <v>95</v>
      </c>
      <c r="U362" s="1">
        <v>60</v>
      </c>
      <c r="V362" s="1">
        <v>40</v>
      </c>
      <c r="W362" s="1">
        <v>0</v>
      </c>
      <c r="X362" s="1">
        <f>100-U362</f>
        <v>40</v>
      </c>
      <c r="Y362" s="1">
        <v>0</v>
      </c>
      <c r="Z362" s="1">
        <v>0</v>
      </c>
      <c r="AA362" s="1" t="s">
        <v>45</v>
      </c>
      <c r="AB362" s="10">
        <v>3</v>
      </c>
      <c r="AC362" s="1">
        <v>25.8</v>
      </c>
      <c r="AE362" s="1">
        <v>0</v>
      </c>
      <c r="AF362" s="1">
        <v>40</v>
      </c>
      <c r="AG362" s="1">
        <v>0</v>
      </c>
      <c r="AI362" s="1" t="s">
        <v>51</v>
      </c>
      <c r="AJ362">
        <v>1</v>
      </c>
    </row>
    <row r="363" spans="1:37" ht="14.25" customHeight="1" x14ac:dyDescent="0.3">
      <c r="A363" s="1" t="s">
        <v>70</v>
      </c>
      <c r="B363" s="1">
        <v>26</v>
      </c>
      <c r="C363" s="1" t="s">
        <v>590</v>
      </c>
      <c r="D363" s="1">
        <v>354958</v>
      </c>
      <c r="E363" s="1">
        <v>3991525</v>
      </c>
      <c r="F363">
        <v>1756</v>
      </c>
      <c r="G363" s="1">
        <v>20</v>
      </c>
      <c r="H363" s="1">
        <v>95</v>
      </c>
      <c r="I363">
        <v>1061</v>
      </c>
      <c r="J363" s="20">
        <v>4</v>
      </c>
      <c r="K363" s="1">
        <v>1</v>
      </c>
      <c r="L363" s="38"/>
      <c r="M363" s="1">
        <v>4</v>
      </c>
      <c r="N363" s="1" t="s">
        <v>153</v>
      </c>
      <c r="O363" s="1">
        <v>10.3</v>
      </c>
      <c r="P363" s="1">
        <v>19.3</v>
      </c>
      <c r="Q363" s="1">
        <v>50.1</v>
      </c>
      <c r="R363" s="1">
        <v>4.7</v>
      </c>
      <c r="S363" s="5">
        <f>(R363/3.14159)*100</f>
        <v>149.60577287297198</v>
      </c>
      <c r="T363" s="1" t="s">
        <v>95</v>
      </c>
      <c r="U363" s="1">
        <v>40</v>
      </c>
      <c r="V363" s="1">
        <v>60</v>
      </c>
      <c r="W363" s="1">
        <v>0</v>
      </c>
      <c r="X363" s="1">
        <f>100-U363</f>
        <v>60</v>
      </c>
      <c r="Y363" s="1">
        <v>0</v>
      </c>
      <c r="Z363" s="1">
        <v>0</v>
      </c>
      <c r="AA363" s="1" t="s">
        <v>45</v>
      </c>
      <c r="AB363" s="10">
        <v>2</v>
      </c>
      <c r="AC363" s="1">
        <v>39.200000000000003</v>
      </c>
      <c r="AD363" s="1">
        <v>22.2</v>
      </c>
      <c r="AE363" s="1">
        <v>10</v>
      </c>
      <c r="AF363" s="1">
        <v>50</v>
      </c>
      <c r="AG363" s="1">
        <v>0</v>
      </c>
      <c r="AI363" s="1" t="s">
        <v>51</v>
      </c>
      <c r="AJ363">
        <v>1</v>
      </c>
    </row>
    <row r="364" spans="1:37" ht="14.25" customHeight="1" x14ac:dyDescent="0.3">
      <c r="A364" s="1" t="s">
        <v>70</v>
      </c>
      <c r="B364" s="1">
        <v>26</v>
      </c>
      <c r="C364" s="1" t="s">
        <v>591</v>
      </c>
      <c r="D364" s="1">
        <v>354973</v>
      </c>
      <c r="E364" s="1">
        <v>3991611</v>
      </c>
      <c r="F364">
        <v>1756</v>
      </c>
      <c r="G364" s="1">
        <v>20</v>
      </c>
      <c r="H364" s="1">
        <v>95</v>
      </c>
      <c r="I364">
        <v>536</v>
      </c>
      <c r="J364" s="20">
        <v>3</v>
      </c>
      <c r="K364" s="1">
        <v>1</v>
      </c>
      <c r="L364" s="38"/>
      <c r="M364" s="1">
        <v>4</v>
      </c>
      <c r="N364" s="1" t="s">
        <v>153</v>
      </c>
      <c r="O364" s="1">
        <v>14.2</v>
      </c>
      <c r="P364" s="1">
        <v>17.3</v>
      </c>
      <c r="Q364" s="1">
        <v>27.3</v>
      </c>
      <c r="R364" s="1">
        <v>17</v>
      </c>
      <c r="S364" s="5">
        <f>(R364/3.14159)*100</f>
        <v>541.1272635830901</v>
      </c>
      <c r="T364" s="1" t="s">
        <v>95</v>
      </c>
      <c r="U364" s="1">
        <v>20</v>
      </c>
      <c r="V364" s="1">
        <v>80</v>
      </c>
      <c r="W364" s="1">
        <v>0</v>
      </c>
      <c r="X364" s="1">
        <f>100-U364</f>
        <v>80</v>
      </c>
      <c r="Y364" s="1">
        <v>0</v>
      </c>
      <c r="Z364" s="1">
        <v>0</v>
      </c>
      <c r="AA364" s="1" t="s">
        <v>45</v>
      </c>
      <c r="AB364" s="10">
        <v>4</v>
      </c>
      <c r="AC364" s="1">
        <v>77.3</v>
      </c>
      <c r="AD364" s="1">
        <v>77.3</v>
      </c>
      <c r="AE364" s="1">
        <v>55</v>
      </c>
      <c r="AF364" s="1">
        <v>15</v>
      </c>
      <c r="AG364" s="1">
        <v>1</v>
      </c>
      <c r="AI364" s="1" t="s">
        <v>51</v>
      </c>
      <c r="AJ364">
        <v>1</v>
      </c>
      <c r="AK364" s="1" t="s">
        <v>592</v>
      </c>
    </row>
    <row r="365" spans="1:37" ht="14.25" customHeight="1" x14ac:dyDescent="0.3">
      <c r="A365" s="1" t="s">
        <v>73</v>
      </c>
      <c r="B365" s="1">
        <v>1</v>
      </c>
      <c r="C365" s="1" t="s">
        <v>707</v>
      </c>
      <c r="D365" s="1">
        <v>353824</v>
      </c>
      <c r="E365" s="1">
        <v>3993055</v>
      </c>
      <c r="F365">
        <v>1804</v>
      </c>
      <c r="G365" s="1">
        <v>19</v>
      </c>
      <c r="H365" s="1">
        <v>141</v>
      </c>
      <c r="I365">
        <v>910</v>
      </c>
      <c r="J365" s="20">
        <v>4</v>
      </c>
      <c r="K365" s="1">
        <v>0</v>
      </c>
      <c r="L365" s="38"/>
      <c r="M365" s="1">
        <v>4</v>
      </c>
      <c r="N365" s="1" t="s">
        <v>153</v>
      </c>
      <c r="O365" s="1">
        <v>11.4</v>
      </c>
      <c r="Q365" s="1">
        <v>15</v>
      </c>
      <c r="R365" s="1">
        <v>13.9</v>
      </c>
      <c r="S365" s="5">
        <f>(R365/3.14159)*100</f>
        <v>442.45111551793838</v>
      </c>
      <c r="T365" s="1" t="s">
        <v>97</v>
      </c>
      <c r="U365" s="1">
        <v>0</v>
      </c>
      <c r="V365" s="1">
        <v>100</v>
      </c>
      <c r="W365" s="1">
        <v>0</v>
      </c>
      <c r="X365" s="1">
        <f>100-U365</f>
        <v>100</v>
      </c>
      <c r="Y365" s="1">
        <v>0</v>
      </c>
      <c r="Z365" s="1">
        <v>0</v>
      </c>
      <c r="AA365" s="1" t="s">
        <v>45</v>
      </c>
      <c r="AB365" s="10">
        <v>1</v>
      </c>
      <c r="AG365" s="1">
        <v>1</v>
      </c>
      <c r="AH365" s="1" t="s">
        <v>708</v>
      </c>
      <c r="AI365" s="1" t="s">
        <v>66</v>
      </c>
      <c r="AJ365">
        <v>3</v>
      </c>
    </row>
    <row r="366" spans="1:37" ht="14.25" customHeight="1" x14ac:dyDescent="0.3">
      <c r="A366" s="1" t="s">
        <v>73</v>
      </c>
      <c r="B366" s="1">
        <v>1</v>
      </c>
      <c r="C366" s="1" t="s">
        <v>709</v>
      </c>
      <c r="D366" s="1">
        <v>353823</v>
      </c>
      <c r="E366" s="1">
        <v>3993066</v>
      </c>
      <c r="F366">
        <v>1804</v>
      </c>
      <c r="G366" s="1">
        <v>19</v>
      </c>
      <c r="H366" s="1">
        <v>141</v>
      </c>
      <c r="I366">
        <v>995</v>
      </c>
      <c r="J366" s="20">
        <v>4</v>
      </c>
      <c r="K366" s="1">
        <v>0</v>
      </c>
      <c r="L366" s="38"/>
      <c r="M366" s="1">
        <v>4</v>
      </c>
      <c r="N366" s="1" t="s">
        <v>153</v>
      </c>
      <c r="O366" s="1">
        <v>19.8</v>
      </c>
      <c r="Q366" s="1">
        <v>53.1</v>
      </c>
      <c r="R366" s="1">
        <v>16.100000000000001</v>
      </c>
      <c r="S366" s="5">
        <f>(R366/3.14159)*100</f>
        <v>512.47934962869124</v>
      </c>
      <c r="T366" s="1" t="s">
        <v>97</v>
      </c>
      <c r="U366" s="1">
        <v>0</v>
      </c>
      <c r="V366" s="1">
        <v>100</v>
      </c>
      <c r="W366" s="1">
        <v>0</v>
      </c>
      <c r="X366" s="1">
        <f>100-U366</f>
        <v>100</v>
      </c>
      <c r="Y366" s="1">
        <v>0</v>
      </c>
      <c r="Z366" s="1">
        <v>0</v>
      </c>
      <c r="AA366" s="1" t="s">
        <v>45</v>
      </c>
      <c r="AB366" s="10">
        <v>2</v>
      </c>
      <c r="AG366" s="1">
        <v>1</v>
      </c>
      <c r="AH366" s="1" t="s">
        <v>424</v>
      </c>
      <c r="AI366" s="1" t="s">
        <v>66</v>
      </c>
      <c r="AJ366">
        <v>3</v>
      </c>
    </row>
    <row r="367" spans="1:37" ht="14.25" customHeight="1" x14ac:dyDescent="0.3">
      <c r="A367" s="1" t="s">
        <v>73</v>
      </c>
      <c r="B367" s="1">
        <v>1</v>
      </c>
      <c r="C367" s="1" t="s">
        <v>729</v>
      </c>
      <c r="D367" s="1">
        <v>353867</v>
      </c>
      <c r="E367" s="1">
        <v>3993026</v>
      </c>
      <c r="F367">
        <v>1804</v>
      </c>
      <c r="G367" s="1">
        <v>19</v>
      </c>
      <c r="H367" s="1">
        <v>141</v>
      </c>
      <c r="I367">
        <v>601</v>
      </c>
      <c r="J367" s="20">
        <v>3</v>
      </c>
      <c r="K367" s="1">
        <v>1</v>
      </c>
      <c r="L367" s="38"/>
      <c r="M367" s="1">
        <v>4</v>
      </c>
      <c r="N367" s="1" t="s">
        <v>153</v>
      </c>
      <c r="O367" s="1">
        <v>11.8</v>
      </c>
      <c r="P367" s="1">
        <v>14.7</v>
      </c>
      <c r="Q367" s="1">
        <v>61.8</v>
      </c>
      <c r="R367" s="1">
        <v>6.3</v>
      </c>
      <c r="S367" s="5">
        <f>(R367/3.14159)*100</f>
        <v>200.53539768079222</v>
      </c>
      <c r="T367" s="1" t="s">
        <v>95</v>
      </c>
      <c r="U367" s="1">
        <v>25</v>
      </c>
      <c r="V367" s="1">
        <v>75</v>
      </c>
      <c r="W367" s="1">
        <v>0</v>
      </c>
      <c r="X367" s="1">
        <f>100-U367</f>
        <v>75</v>
      </c>
      <c r="Y367" s="1">
        <v>0</v>
      </c>
      <c r="Z367" s="1">
        <v>0</v>
      </c>
      <c r="AA367" s="1" t="s">
        <v>45</v>
      </c>
      <c r="AB367" s="10">
        <v>3</v>
      </c>
      <c r="AC367" s="1">
        <v>52.9</v>
      </c>
      <c r="AE367" s="1">
        <v>75</v>
      </c>
      <c r="AF367" s="1">
        <v>0</v>
      </c>
      <c r="AG367" s="1">
        <v>0</v>
      </c>
      <c r="AH367" s="29" t="s">
        <v>730</v>
      </c>
      <c r="AI367" s="1" t="s">
        <v>51</v>
      </c>
      <c r="AJ367">
        <v>1</v>
      </c>
    </row>
    <row r="368" spans="1:37" ht="14.25" customHeight="1" x14ac:dyDescent="0.3">
      <c r="A368" s="1" t="s">
        <v>73</v>
      </c>
      <c r="B368" s="1">
        <v>1</v>
      </c>
      <c r="C368" s="1" t="s">
        <v>731</v>
      </c>
      <c r="D368" s="1">
        <v>353860</v>
      </c>
      <c r="E368" s="1">
        <v>3993010</v>
      </c>
      <c r="F368">
        <v>1804</v>
      </c>
      <c r="G368" s="1">
        <v>19</v>
      </c>
      <c r="H368" s="1">
        <v>141</v>
      </c>
      <c r="I368">
        <v>745</v>
      </c>
      <c r="J368" s="20">
        <v>4</v>
      </c>
      <c r="K368" s="1">
        <v>1</v>
      </c>
      <c r="L368" s="38"/>
      <c r="M368" s="1">
        <v>4</v>
      </c>
      <c r="N368" s="1" t="s">
        <v>153</v>
      </c>
      <c r="O368" s="1">
        <v>14</v>
      </c>
      <c r="P368" s="1">
        <v>42.4</v>
      </c>
      <c r="Q368" s="1">
        <v>55.3</v>
      </c>
      <c r="R368" s="1">
        <v>4.4000000000000004</v>
      </c>
      <c r="S368" s="5">
        <f>(R368/3.14159)*100</f>
        <v>140.05646822150567</v>
      </c>
      <c r="T368" s="1" t="s">
        <v>95</v>
      </c>
      <c r="U368" s="1">
        <v>15</v>
      </c>
      <c r="V368" s="1">
        <v>85</v>
      </c>
      <c r="W368" s="1">
        <v>0</v>
      </c>
      <c r="X368" s="1">
        <f>100-U368</f>
        <v>85</v>
      </c>
      <c r="Y368" s="1">
        <v>0</v>
      </c>
      <c r="Z368" s="1">
        <v>0</v>
      </c>
      <c r="AA368" s="1" t="s">
        <v>45</v>
      </c>
      <c r="AB368" s="10">
        <v>2</v>
      </c>
      <c r="AC368" s="1">
        <v>54.8</v>
      </c>
      <c r="AE368" s="1">
        <v>85</v>
      </c>
      <c r="AF368" s="1">
        <v>0</v>
      </c>
      <c r="AG368" s="1">
        <v>0</v>
      </c>
      <c r="AI368" s="1" t="s">
        <v>51</v>
      </c>
      <c r="AJ368">
        <v>1</v>
      </c>
    </row>
    <row r="369" spans="1:37" ht="14.25" customHeight="1" x14ac:dyDescent="0.3">
      <c r="A369" s="1" t="s">
        <v>73</v>
      </c>
      <c r="B369" s="1">
        <v>2</v>
      </c>
      <c r="C369" s="1" t="s">
        <v>732</v>
      </c>
      <c r="D369" s="1">
        <v>354002</v>
      </c>
      <c r="E369" s="1">
        <v>3993016</v>
      </c>
      <c r="F369">
        <v>1805</v>
      </c>
      <c r="G369" s="1">
        <v>20</v>
      </c>
      <c r="H369" s="1">
        <v>160</v>
      </c>
      <c r="I369">
        <v>956</v>
      </c>
      <c r="J369" s="20">
        <v>4</v>
      </c>
      <c r="K369" s="1">
        <v>0</v>
      </c>
      <c r="L369" s="38"/>
      <c r="M369" s="1">
        <v>4</v>
      </c>
      <c r="N369" s="1" t="s">
        <v>153</v>
      </c>
      <c r="O369" s="1">
        <v>9</v>
      </c>
      <c r="Q369" s="1">
        <v>58.6</v>
      </c>
      <c r="R369" s="1">
        <v>8.1999999999999993</v>
      </c>
      <c r="S369" s="5">
        <f>(R369/3.14159)*100</f>
        <v>261.01432714007876</v>
      </c>
      <c r="T369" s="1" t="s">
        <v>95</v>
      </c>
      <c r="U369" s="1">
        <v>0</v>
      </c>
      <c r="V369" s="1">
        <v>100</v>
      </c>
      <c r="W369" s="1">
        <v>0</v>
      </c>
      <c r="X369" s="1">
        <f>100-U369</f>
        <v>100</v>
      </c>
      <c r="Y369" s="1">
        <v>0</v>
      </c>
      <c r="Z369" s="1">
        <v>0</v>
      </c>
      <c r="AA369" s="1" t="s">
        <v>45</v>
      </c>
      <c r="AB369" s="10">
        <v>4</v>
      </c>
      <c r="AG369" s="1">
        <v>0</v>
      </c>
      <c r="AI369" s="1" t="s">
        <v>53</v>
      </c>
      <c r="AJ369">
        <v>2</v>
      </c>
    </row>
    <row r="370" spans="1:37" ht="14.25" customHeight="1" x14ac:dyDescent="0.3">
      <c r="A370" s="1" t="s">
        <v>73</v>
      </c>
      <c r="B370" s="1">
        <v>2</v>
      </c>
      <c r="C370" s="1" t="s">
        <v>733</v>
      </c>
      <c r="D370" s="1">
        <v>353989</v>
      </c>
      <c r="E370" s="1">
        <v>3993072</v>
      </c>
      <c r="F370">
        <v>1805</v>
      </c>
      <c r="G370" s="1">
        <v>20</v>
      </c>
      <c r="H370" s="1">
        <v>160</v>
      </c>
      <c r="I370">
        <v>787</v>
      </c>
      <c r="J370" s="20">
        <v>4</v>
      </c>
      <c r="K370" s="1">
        <v>1</v>
      </c>
      <c r="L370" s="38"/>
      <c r="M370" s="1">
        <v>4</v>
      </c>
      <c r="N370" s="1" t="s">
        <v>153</v>
      </c>
      <c r="O370" s="1">
        <v>18.3</v>
      </c>
      <c r="P370" s="1">
        <v>36.1</v>
      </c>
      <c r="Q370" s="1">
        <v>52.1</v>
      </c>
      <c r="R370" s="1">
        <v>16.5</v>
      </c>
      <c r="S370" s="5">
        <f>(R370/3.14159)*100</f>
        <v>525.21175583064621</v>
      </c>
      <c r="T370" s="1" t="s">
        <v>95</v>
      </c>
      <c r="U370" s="1">
        <v>20</v>
      </c>
      <c r="V370" s="1">
        <v>80</v>
      </c>
      <c r="W370" s="1">
        <v>0</v>
      </c>
      <c r="X370" s="1">
        <f>100-U370</f>
        <v>80</v>
      </c>
      <c r="Y370" s="1">
        <v>1</v>
      </c>
      <c r="Z370" s="1">
        <v>0</v>
      </c>
      <c r="AA370" s="1" t="s">
        <v>45</v>
      </c>
      <c r="AB370" s="10">
        <v>3</v>
      </c>
      <c r="AC370" s="1">
        <v>52.1</v>
      </c>
      <c r="AD370" s="1">
        <v>25.1</v>
      </c>
      <c r="AE370" s="1">
        <v>80</v>
      </c>
      <c r="AF370" s="1">
        <v>1</v>
      </c>
      <c r="AG370" s="1">
        <v>1</v>
      </c>
      <c r="AI370" s="1" t="s">
        <v>51</v>
      </c>
      <c r="AJ370">
        <v>1</v>
      </c>
    </row>
    <row r="371" spans="1:37" ht="14.25" customHeight="1" x14ac:dyDescent="0.3">
      <c r="A371" s="1" t="s">
        <v>73</v>
      </c>
      <c r="B371" s="1">
        <v>2</v>
      </c>
      <c r="C371" s="1" t="s">
        <v>734</v>
      </c>
      <c r="D371" s="1">
        <v>354005</v>
      </c>
      <c r="E371" s="1">
        <v>3993076</v>
      </c>
      <c r="F371">
        <v>1805</v>
      </c>
      <c r="G371" s="1">
        <v>20</v>
      </c>
      <c r="H371" s="1">
        <v>160</v>
      </c>
      <c r="I371">
        <v>757</v>
      </c>
      <c r="J371" s="20">
        <v>4</v>
      </c>
      <c r="K371" s="1">
        <v>1</v>
      </c>
      <c r="L371" s="38"/>
      <c r="M371" s="1">
        <v>4</v>
      </c>
      <c r="N371" s="1" t="s">
        <v>153</v>
      </c>
      <c r="O371" s="1">
        <v>25.8</v>
      </c>
      <c r="P371" s="1">
        <v>39.700000000000003</v>
      </c>
      <c r="Q371" s="1">
        <v>56.2</v>
      </c>
      <c r="R371" s="1">
        <v>4.2</v>
      </c>
      <c r="S371" s="5">
        <f>(R371/3.14159)*100</f>
        <v>133.69026512052815</v>
      </c>
      <c r="T371" s="1" t="s">
        <v>97</v>
      </c>
      <c r="U371" s="1">
        <v>60</v>
      </c>
      <c r="V371" s="1">
        <v>40</v>
      </c>
      <c r="W371" s="1">
        <v>0</v>
      </c>
      <c r="X371" s="1">
        <f>100-U371</f>
        <v>40</v>
      </c>
      <c r="Y371" s="1">
        <v>0</v>
      </c>
      <c r="Z371" s="1">
        <v>0</v>
      </c>
      <c r="AA371" s="1" t="s">
        <v>45</v>
      </c>
      <c r="AB371" s="10">
        <v>2</v>
      </c>
      <c r="AC371" s="1">
        <v>51.6</v>
      </c>
      <c r="AE371" s="1">
        <v>40</v>
      </c>
      <c r="AF371" s="1">
        <v>0</v>
      </c>
      <c r="AG371" s="1">
        <v>0</v>
      </c>
      <c r="AH371" s="1" t="s">
        <v>735</v>
      </c>
      <c r="AI371" s="1" t="s">
        <v>51</v>
      </c>
      <c r="AJ371">
        <v>1</v>
      </c>
    </row>
    <row r="372" spans="1:37" ht="14.25" customHeight="1" x14ac:dyDescent="0.3">
      <c r="A372" s="1" t="s">
        <v>73</v>
      </c>
      <c r="B372" s="1">
        <v>2</v>
      </c>
      <c r="C372" s="1" t="s">
        <v>736</v>
      </c>
      <c r="D372" s="1">
        <v>354042</v>
      </c>
      <c r="E372" s="1">
        <v>3993093</v>
      </c>
      <c r="F372">
        <v>1805</v>
      </c>
      <c r="G372" s="1">
        <v>20</v>
      </c>
      <c r="H372" s="1">
        <v>160</v>
      </c>
      <c r="I372">
        <v>666</v>
      </c>
      <c r="J372" s="20">
        <v>4</v>
      </c>
      <c r="K372" s="1">
        <v>0</v>
      </c>
      <c r="L372" s="38"/>
      <c r="M372" s="1">
        <v>4</v>
      </c>
      <c r="N372" s="1" t="s">
        <v>153</v>
      </c>
      <c r="O372" s="1">
        <v>16.399999999999999</v>
      </c>
      <c r="Q372" s="1">
        <v>59.4</v>
      </c>
      <c r="R372" s="1">
        <v>16.899999999999999</v>
      </c>
      <c r="S372" s="5">
        <f>(R372/3.14159)*100</f>
        <v>537.9441620326013</v>
      </c>
      <c r="T372" s="1" t="s">
        <v>97</v>
      </c>
      <c r="U372" s="1">
        <v>0</v>
      </c>
      <c r="V372" s="1">
        <v>100</v>
      </c>
      <c r="W372" s="1">
        <v>0</v>
      </c>
      <c r="X372" s="1">
        <f>100-U372</f>
        <v>100</v>
      </c>
      <c r="Y372" s="1">
        <v>0</v>
      </c>
      <c r="Z372" s="1">
        <v>0</v>
      </c>
      <c r="AA372" s="1" t="s">
        <v>45</v>
      </c>
      <c r="AB372" s="10">
        <v>2</v>
      </c>
      <c r="AG372" s="1">
        <v>1</v>
      </c>
      <c r="AI372" s="1" t="s">
        <v>53</v>
      </c>
      <c r="AJ372">
        <v>2</v>
      </c>
    </row>
    <row r="373" spans="1:37" ht="14.25" customHeight="1" x14ac:dyDescent="0.3">
      <c r="A373" s="1" t="s">
        <v>73</v>
      </c>
      <c r="B373" s="1">
        <v>2</v>
      </c>
      <c r="C373" s="1" t="s">
        <v>737</v>
      </c>
      <c r="D373" s="1">
        <v>354050</v>
      </c>
      <c r="E373" s="1">
        <v>3993097</v>
      </c>
      <c r="F373">
        <v>1805</v>
      </c>
      <c r="G373" s="1">
        <v>20</v>
      </c>
      <c r="H373" s="1">
        <v>160</v>
      </c>
      <c r="I373">
        <v>666</v>
      </c>
      <c r="J373" s="20">
        <v>4</v>
      </c>
      <c r="K373" s="1">
        <v>1</v>
      </c>
      <c r="L373" s="38"/>
      <c r="M373" s="1">
        <v>4</v>
      </c>
      <c r="N373" s="1" t="s">
        <v>153</v>
      </c>
      <c r="O373" s="1">
        <v>23.3</v>
      </c>
      <c r="P373" s="1">
        <v>37.299999999999997</v>
      </c>
      <c r="Q373" s="1">
        <v>62.7</v>
      </c>
      <c r="R373" s="1">
        <v>14.5</v>
      </c>
      <c r="S373" s="5">
        <f>(R373/3.14159)*100</f>
        <v>461.54972482087101</v>
      </c>
      <c r="T373" s="1" t="s">
        <v>97</v>
      </c>
      <c r="U373" s="1">
        <v>50</v>
      </c>
      <c r="V373" s="1">
        <v>50</v>
      </c>
      <c r="W373" s="1">
        <v>0</v>
      </c>
      <c r="X373" s="1">
        <f>100-U373</f>
        <v>50</v>
      </c>
      <c r="Y373" s="1">
        <v>1</v>
      </c>
      <c r="Z373" s="1">
        <v>0</v>
      </c>
      <c r="AA373" s="1" t="s">
        <v>45</v>
      </c>
      <c r="AB373" s="10">
        <v>2</v>
      </c>
      <c r="AC373" s="1">
        <v>61.3</v>
      </c>
      <c r="AE373" s="1">
        <v>50</v>
      </c>
      <c r="AF373" s="1">
        <v>0</v>
      </c>
      <c r="AG373" s="1">
        <v>1</v>
      </c>
      <c r="AI373" s="1" t="s">
        <v>53</v>
      </c>
      <c r="AJ373">
        <v>2</v>
      </c>
    </row>
    <row r="374" spans="1:37" ht="14.25" customHeight="1" x14ac:dyDescent="0.3">
      <c r="A374" s="1" t="s">
        <v>73</v>
      </c>
      <c r="B374" s="1">
        <v>3</v>
      </c>
      <c r="C374" s="1" t="s">
        <v>680</v>
      </c>
      <c r="D374" s="1">
        <v>353881</v>
      </c>
      <c r="E374" s="1">
        <v>3993249</v>
      </c>
      <c r="F374">
        <v>1742</v>
      </c>
      <c r="G374" s="1">
        <v>14</v>
      </c>
      <c r="H374" s="1">
        <v>176</v>
      </c>
      <c r="I374">
        <v>912</v>
      </c>
      <c r="J374" s="20">
        <v>4</v>
      </c>
      <c r="K374" s="1">
        <v>0</v>
      </c>
      <c r="L374" s="38"/>
      <c r="M374" s="1">
        <v>4</v>
      </c>
      <c r="N374" s="1" t="s">
        <v>153</v>
      </c>
      <c r="O374" s="1">
        <v>25.3</v>
      </c>
      <c r="Q374" s="1">
        <v>82.9</v>
      </c>
      <c r="R374" s="1">
        <v>10.5</v>
      </c>
      <c r="S374" s="5">
        <f>(R374/3.14159)*100</f>
        <v>334.22566280132037</v>
      </c>
      <c r="T374" s="1" t="s">
        <v>97</v>
      </c>
      <c r="U374" s="1">
        <v>0</v>
      </c>
      <c r="V374" s="1">
        <v>100</v>
      </c>
      <c r="W374" s="1">
        <v>0</v>
      </c>
      <c r="X374" s="1">
        <f>100-U374</f>
        <v>100</v>
      </c>
      <c r="Y374" s="1">
        <v>0</v>
      </c>
      <c r="Z374" s="1">
        <v>0</v>
      </c>
      <c r="AA374" s="1" t="s">
        <v>45</v>
      </c>
      <c r="AB374" s="10">
        <v>4</v>
      </c>
      <c r="AG374" s="1">
        <v>0</v>
      </c>
      <c r="AI374" s="1" t="s">
        <v>51</v>
      </c>
      <c r="AJ374">
        <v>1</v>
      </c>
    </row>
    <row r="375" spans="1:37" ht="14.25" customHeight="1" x14ac:dyDescent="0.3">
      <c r="A375" s="1" t="s">
        <v>73</v>
      </c>
      <c r="B375" s="1">
        <v>3</v>
      </c>
      <c r="C375" s="1" t="s">
        <v>681</v>
      </c>
      <c r="D375" s="1">
        <v>353854</v>
      </c>
      <c r="E375" s="1">
        <v>3993249</v>
      </c>
      <c r="F375">
        <v>1742</v>
      </c>
      <c r="G375" s="1">
        <v>14</v>
      </c>
      <c r="H375" s="1">
        <v>176</v>
      </c>
      <c r="I375">
        <v>827</v>
      </c>
      <c r="J375" s="20">
        <v>4</v>
      </c>
      <c r="K375" s="1">
        <v>0</v>
      </c>
      <c r="L375" s="38"/>
      <c r="M375" s="1">
        <v>4</v>
      </c>
      <c r="N375" s="1" t="s">
        <v>153</v>
      </c>
      <c r="O375" s="1">
        <v>19.7</v>
      </c>
      <c r="Q375" s="1">
        <v>75.099999999999994</v>
      </c>
      <c r="R375" s="1">
        <v>14.4</v>
      </c>
      <c r="S375" s="5">
        <f>(R375/3.14159)*100</f>
        <v>458.36662327038226</v>
      </c>
      <c r="T375" s="1" t="s">
        <v>97</v>
      </c>
      <c r="U375" s="1">
        <v>0</v>
      </c>
      <c r="V375" s="1">
        <v>100</v>
      </c>
      <c r="W375" s="1">
        <v>0</v>
      </c>
      <c r="X375" s="1">
        <f>100-U375</f>
        <v>100</v>
      </c>
      <c r="Y375" s="1">
        <v>0</v>
      </c>
      <c r="Z375" s="1">
        <v>0</v>
      </c>
      <c r="AA375" s="1" t="s">
        <v>45</v>
      </c>
      <c r="AB375" s="10">
        <v>4</v>
      </c>
      <c r="AG375" s="1">
        <v>1</v>
      </c>
      <c r="AI375" s="1" t="s">
        <v>51</v>
      </c>
      <c r="AJ375">
        <v>1</v>
      </c>
    </row>
    <row r="376" spans="1:37" ht="14.25" customHeight="1" x14ac:dyDescent="0.3">
      <c r="A376" s="1" t="s">
        <v>73</v>
      </c>
      <c r="B376" s="1">
        <v>3</v>
      </c>
      <c r="C376" s="1" t="s">
        <v>682</v>
      </c>
      <c r="D376" s="1">
        <v>353875</v>
      </c>
      <c r="E376" s="1">
        <v>3993245</v>
      </c>
      <c r="F376">
        <v>1742</v>
      </c>
      <c r="G376" s="1">
        <v>14</v>
      </c>
      <c r="H376" s="1">
        <v>176</v>
      </c>
      <c r="I376">
        <v>912</v>
      </c>
      <c r="J376" s="20">
        <v>4</v>
      </c>
      <c r="K376" s="1">
        <v>0</v>
      </c>
      <c r="L376" s="38"/>
      <c r="M376" s="1">
        <v>4</v>
      </c>
      <c r="N376" s="1" t="s">
        <v>153</v>
      </c>
      <c r="O376" s="1">
        <v>25.5</v>
      </c>
      <c r="Q376" s="1">
        <v>85.8</v>
      </c>
      <c r="R376" s="1">
        <v>9</v>
      </c>
      <c r="S376" s="5">
        <f>(R376/3.14159)*100</f>
        <v>286.47913954398888</v>
      </c>
      <c r="T376" s="1" t="s">
        <v>97</v>
      </c>
      <c r="U376" s="1">
        <v>0</v>
      </c>
      <c r="V376" s="1">
        <v>100</v>
      </c>
      <c r="W376" s="1">
        <v>0</v>
      </c>
      <c r="X376" s="1">
        <f>100-U376</f>
        <v>100</v>
      </c>
      <c r="Y376" s="1">
        <v>0</v>
      </c>
      <c r="Z376" s="1">
        <v>0</v>
      </c>
      <c r="AA376" s="1" t="s">
        <v>45</v>
      </c>
      <c r="AB376" s="10">
        <v>4</v>
      </c>
      <c r="AG376" s="1">
        <v>0</v>
      </c>
      <c r="AI376" s="1" t="s">
        <v>51</v>
      </c>
      <c r="AJ376">
        <v>1</v>
      </c>
    </row>
    <row r="377" spans="1:37" ht="14.25" customHeight="1" x14ac:dyDescent="0.3">
      <c r="A377" s="1" t="s">
        <v>73</v>
      </c>
      <c r="B377" s="1">
        <v>3</v>
      </c>
      <c r="C377" s="1" t="s">
        <v>683</v>
      </c>
      <c r="D377" s="1">
        <v>353867</v>
      </c>
      <c r="E377" s="1">
        <v>3993266</v>
      </c>
      <c r="F377">
        <v>1742</v>
      </c>
      <c r="G377" s="1">
        <v>14</v>
      </c>
      <c r="H377" s="1">
        <v>176</v>
      </c>
      <c r="I377">
        <v>888</v>
      </c>
      <c r="J377" s="20">
        <v>4</v>
      </c>
      <c r="K377" s="1">
        <v>1</v>
      </c>
      <c r="L377" s="38"/>
      <c r="M377" s="1">
        <v>4</v>
      </c>
      <c r="N377" s="1" t="s">
        <v>153</v>
      </c>
      <c r="O377" s="1">
        <v>13.5</v>
      </c>
      <c r="P377" s="1">
        <v>68.099999999999994</v>
      </c>
      <c r="Q377" s="1">
        <v>77.900000000000006</v>
      </c>
      <c r="R377" s="1">
        <v>10.9</v>
      </c>
      <c r="S377" s="5">
        <f>(R377/3.14159)*100</f>
        <v>346.9580690032754</v>
      </c>
      <c r="T377" s="1" t="s">
        <v>97</v>
      </c>
      <c r="U377" s="1">
        <v>5</v>
      </c>
      <c r="V377" s="1">
        <v>95</v>
      </c>
      <c r="W377" s="1">
        <v>0</v>
      </c>
      <c r="X377" s="1">
        <f>100-U377</f>
        <v>95</v>
      </c>
      <c r="Y377" s="1">
        <v>0</v>
      </c>
      <c r="Z377" s="1">
        <v>0</v>
      </c>
      <c r="AA377" s="1" t="s">
        <v>45</v>
      </c>
      <c r="AB377" s="10">
        <v>4</v>
      </c>
      <c r="AC377" s="1">
        <v>77.400000000000006</v>
      </c>
      <c r="AE377" s="1">
        <v>95</v>
      </c>
      <c r="AF377" s="1">
        <v>0</v>
      </c>
      <c r="AG377" s="1">
        <v>0</v>
      </c>
      <c r="AI377" s="1" t="s">
        <v>53</v>
      </c>
      <c r="AJ377">
        <v>2</v>
      </c>
    </row>
    <row r="378" spans="1:37" ht="14.25" customHeight="1" x14ac:dyDescent="0.3">
      <c r="A378" s="1" t="s">
        <v>73</v>
      </c>
      <c r="B378" s="1">
        <v>3</v>
      </c>
      <c r="C378" s="1" t="s">
        <v>684</v>
      </c>
      <c r="D378" s="1">
        <v>353863</v>
      </c>
      <c r="E378" s="1">
        <v>3993280</v>
      </c>
      <c r="F378">
        <v>1742</v>
      </c>
      <c r="G378" s="1">
        <v>14</v>
      </c>
      <c r="H378" s="1">
        <v>176</v>
      </c>
      <c r="I378">
        <v>888</v>
      </c>
      <c r="J378" s="20">
        <v>4</v>
      </c>
      <c r="K378" s="1">
        <v>0</v>
      </c>
      <c r="L378" s="38"/>
      <c r="M378" s="1">
        <v>4</v>
      </c>
      <c r="N378" s="1" t="s">
        <v>153</v>
      </c>
      <c r="O378" s="1">
        <v>14.3</v>
      </c>
      <c r="Q378" s="1">
        <v>34.200000000000003</v>
      </c>
      <c r="R378" s="1">
        <v>7.5</v>
      </c>
      <c r="S378" s="5">
        <f>(R378/3.14159)*100</f>
        <v>238.73261628665739</v>
      </c>
      <c r="T378" s="1" t="s">
        <v>97</v>
      </c>
      <c r="U378" s="1">
        <v>0</v>
      </c>
      <c r="V378" s="1">
        <v>100</v>
      </c>
      <c r="W378" s="1">
        <v>0</v>
      </c>
      <c r="X378" s="1">
        <f>100-U378</f>
        <v>100</v>
      </c>
      <c r="Y378" s="1">
        <v>0</v>
      </c>
      <c r="Z378" s="1">
        <v>0</v>
      </c>
      <c r="AA378" s="1" t="s">
        <v>45</v>
      </c>
      <c r="AB378" s="10">
        <v>1</v>
      </c>
      <c r="AG378" s="1">
        <v>1</v>
      </c>
      <c r="AI378" s="1" t="s">
        <v>53</v>
      </c>
      <c r="AJ378">
        <v>2</v>
      </c>
      <c r="AK378" s="1" t="s">
        <v>685</v>
      </c>
    </row>
    <row r="379" spans="1:37" ht="14.25" customHeight="1" x14ac:dyDescent="0.3">
      <c r="A379" s="1" t="s">
        <v>73</v>
      </c>
      <c r="B379" s="1">
        <v>3</v>
      </c>
      <c r="C379" s="1" t="s">
        <v>738</v>
      </c>
      <c r="D379" s="1">
        <v>353851</v>
      </c>
      <c r="E379" s="1">
        <v>3993290</v>
      </c>
      <c r="F379">
        <v>1742</v>
      </c>
      <c r="G379" s="1">
        <v>14</v>
      </c>
      <c r="H379" s="1">
        <v>176</v>
      </c>
      <c r="I379">
        <v>960</v>
      </c>
      <c r="J379" s="20">
        <v>4</v>
      </c>
      <c r="K379" s="1">
        <v>0</v>
      </c>
      <c r="L379" s="38"/>
      <c r="M379" s="1">
        <v>4</v>
      </c>
      <c r="N379" s="1" t="s">
        <v>153</v>
      </c>
      <c r="O379" s="1">
        <v>19.600000000000001</v>
      </c>
      <c r="Q379" s="1">
        <v>8.9</v>
      </c>
      <c r="R379" s="1">
        <v>10.4</v>
      </c>
      <c r="S379" s="5">
        <f>(R379/3.14159)*100</f>
        <v>331.04256125083162</v>
      </c>
      <c r="T379" s="1" t="s">
        <v>97</v>
      </c>
      <c r="U379" s="1">
        <v>0</v>
      </c>
      <c r="V379" s="1">
        <v>100</v>
      </c>
      <c r="W379" s="1">
        <v>0</v>
      </c>
      <c r="X379" s="1">
        <f>100-U379</f>
        <v>100</v>
      </c>
      <c r="Y379" s="1">
        <v>0</v>
      </c>
      <c r="Z379" s="1">
        <v>0</v>
      </c>
      <c r="AA379" s="1" t="s">
        <v>45</v>
      </c>
      <c r="AB379" s="10">
        <v>4</v>
      </c>
      <c r="AG379" s="1">
        <v>1</v>
      </c>
      <c r="AI379" s="1" t="s">
        <v>53</v>
      </c>
      <c r="AJ379">
        <v>2</v>
      </c>
    </row>
    <row r="380" spans="1:37" ht="14.25" customHeight="1" x14ac:dyDescent="0.3">
      <c r="A380" s="1" t="s">
        <v>73</v>
      </c>
      <c r="B380" s="1">
        <v>3</v>
      </c>
      <c r="C380" s="1" t="s">
        <v>739</v>
      </c>
      <c r="D380" s="1">
        <v>353828</v>
      </c>
      <c r="E380" s="1">
        <v>3993274</v>
      </c>
      <c r="F380">
        <v>1742</v>
      </c>
      <c r="G380" s="1">
        <v>14</v>
      </c>
      <c r="H380" s="1">
        <v>176</v>
      </c>
      <c r="I380">
        <v>966</v>
      </c>
      <c r="J380" s="20">
        <v>4</v>
      </c>
      <c r="K380" s="70">
        <v>0</v>
      </c>
      <c r="L380" s="38"/>
      <c r="M380" s="70">
        <v>4</v>
      </c>
      <c r="N380" s="1" t="s">
        <v>153</v>
      </c>
      <c r="O380" s="1">
        <v>9.1</v>
      </c>
      <c r="Q380" s="1">
        <v>58.8</v>
      </c>
      <c r="R380" s="1">
        <v>4.3</v>
      </c>
      <c r="S380" s="5">
        <f>(R380/3.14159)*100</f>
        <v>136.8733666710169</v>
      </c>
      <c r="T380" s="1" t="s">
        <v>102</v>
      </c>
      <c r="U380" s="1">
        <v>0</v>
      </c>
      <c r="V380" s="1">
        <v>100</v>
      </c>
      <c r="W380" s="1">
        <v>0</v>
      </c>
      <c r="X380" s="1">
        <f>100-U380</f>
        <v>100</v>
      </c>
      <c r="Y380" s="1">
        <v>0</v>
      </c>
      <c r="Z380" s="1">
        <v>0</v>
      </c>
      <c r="AA380" s="1" t="s">
        <v>45</v>
      </c>
      <c r="AB380" s="10">
        <v>2</v>
      </c>
      <c r="AG380" s="1">
        <v>0</v>
      </c>
      <c r="AI380" s="1" t="s">
        <v>44</v>
      </c>
      <c r="AJ380">
        <v>1</v>
      </c>
    </row>
    <row r="381" spans="1:37" ht="13.95" customHeight="1" x14ac:dyDescent="0.3">
      <c r="A381" s="1" t="s">
        <v>73</v>
      </c>
      <c r="B381" s="1">
        <v>3</v>
      </c>
      <c r="C381" s="1" t="s">
        <v>740</v>
      </c>
      <c r="D381" s="1">
        <v>353817</v>
      </c>
      <c r="E381" s="1">
        <v>3993276</v>
      </c>
      <c r="F381">
        <v>1742</v>
      </c>
      <c r="G381" s="1">
        <v>14</v>
      </c>
      <c r="H381" s="1">
        <v>176</v>
      </c>
      <c r="I381">
        <v>973</v>
      </c>
      <c r="J381" s="20">
        <v>4</v>
      </c>
      <c r="K381" s="1">
        <v>1</v>
      </c>
      <c r="L381" s="38"/>
      <c r="M381" s="1">
        <v>4</v>
      </c>
      <c r="N381" s="1" t="s">
        <v>153</v>
      </c>
      <c r="O381" s="1">
        <v>17.100000000000001</v>
      </c>
      <c r="P381" s="1">
        <v>43.2</v>
      </c>
      <c r="Q381" s="1">
        <v>56.3</v>
      </c>
      <c r="R381" s="1">
        <v>4.5</v>
      </c>
      <c r="S381" s="5">
        <f>(R381/3.14159)*100</f>
        <v>143.23956977199444</v>
      </c>
      <c r="T381" s="1" t="s">
        <v>95</v>
      </c>
      <c r="U381" s="1">
        <v>5</v>
      </c>
      <c r="V381" s="1">
        <v>95</v>
      </c>
      <c r="W381" s="1">
        <v>0</v>
      </c>
      <c r="X381" s="1">
        <f>100-U381</f>
        <v>95</v>
      </c>
      <c r="Y381" s="1">
        <v>0</v>
      </c>
      <c r="Z381" s="1">
        <v>0</v>
      </c>
      <c r="AA381" s="1" t="s">
        <v>45</v>
      </c>
      <c r="AB381" s="10">
        <v>1</v>
      </c>
      <c r="AC381" s="1">
        <v>56.3</v>
      </c>
      <c r="AD381" s="1">
        <v>43.6</v>
      </c>
      <c r="AE381" s="1">
        <v>75</v>
      </c>
      <c r="AF381" s="1">
        <v>20</v>
      </c>
      <c r="AG381" s="1">
        <v>0</v>
      </c>
      <c r="AI381" s="1" t="s">
        <v>51</v>
      </c>
      <c r="AJ381">
        <v>1</v>
      </c>
    </row>
    <row r="382" spans="1:37" ht="14.25" customHeight="1" x14ac:dyDescent="0.3">
      <c r="A382" s="1" t="s">
        <v>73</v>
      </c>
      <c r="B382" s="1">
        <v>4</v>
      </c>
      <c r="C382" s="1" t="s">
        <v>703</v>
      </c>
      <c r="D382" s="1">
        <v>354015</v>
      </c>
      <c r="E382" s="1">
        <v>3993201</v>
      </c>
      <c r="F382">
        <v>1776</v>
      </c>
      <c r="G382" s="1">
        <v>9</v>
      </c>
      <c r="H382" s="1">
        <v>149</v>
      </c>
      <c r="I382">
        <v>942</v>
      </c>
      <c r="J382" s="20">
        <v>4</v>
      </c>
      <c r="K382" s="1">
        <v>0</v>
      </c>
      <c r="L382" s="38"/>
      <c r="M382" s="1">
        <v>4</v>
      </c>
      <c r="N382" s="1" t="s">
        <v>153</v>
      </c>
      <c r="O382" s="1">
        <v>30</v>
      </c>
      <c r="Q382" s="1">
        <v>47.1</v>
      </c>
      <c r="R382" s="1">
        <v>19.2</v>
      </c>
      <c r="S382" s="5">
        <f>(R382/3.14159)*100</f>
        <v>611.15549769384302</v>
      </c>
      <c r="T382" s="1" t="s">
        <v>95</v>
      </c>
      <c r="U382" s="1">
        <v>0</v>
      </c>
      <c r="V382" s="1">
        <v>100</v>
      </c>
      <c r="W382" s="1">
        <v>0</v>
      </c>
      <c r="X382" s="1">
        <f>100-U382</f>
        <v>100</v>
      </c>
      <c r="Y382" s="1">
        <v>0</v>
      </c>
      <c r="Z382" s="1">
        <v>0</v>
      </c>
      <c r="AA382" s="1" t="s">
        <v>45</v>
      </c>
      <c r="AB382" s="10">
        <v>2</v>
      </c>
      <c r="AG382" s="1">
        <v>1</v>
      </c>
      <c r="AH382" s="1" t="s">
        <v>424</v>
      </c>
      <c r="AI382" s="1" t="s">
        <v>53</v>
      </c>
      <c r="AJ382">
        <v>2</v>
      </c>
    </row>
    <row r="383" spans="1:37" ht="14.25" customHeight="1" x14ac:dyDescent="0.3">
      <c r="A383" s="1" t="s">
        <v>73</v>
      </c>
      <c r="B383" s="1">
        <v>4</v>
      </c>
      <c r="C383" s="1" t="s">
        <v>704</v>
      </c>
      <c r="D383" s="1">
        <v>354027</v>
      </c>
      <c r="E383" s="1">
        <v>3993208</v>
      </c>
      <c r="F383">
        <v>1776</v>
      </c>
      <c r="G383" s="1">
        <v>9</v>
      </c>
      <c r="H383" s="1">
        <v>149</v>
      </c>
      <c r="I383">
        <v>942</v>
      </c>
      <c r="J383" s="20">
        <v>4</v>
      </c>
      <c r="K383" s="70">
        <v>0</v>
      </c>
      <c r="L383" s="38"/>
      <c r="M383" s="70">
        <v>4</v>
      </c>
      <c r="N383" s="1" t="s">
        <v>153</v>
      </c>
      <c r="O383" s="1">
        <v>18.5</v>
      </c>
      <c r="Q383" s="1">
        <v>20.100000000000001</v>
      </c>
      <c r="R383" s="1">
        <v>17.5</v>
      </c>
      <c r="S383" s="5">
        <f>(R383/3.14159)*100</f>
        <v>557.04277133553398</v>
      </c>
      <c r="T383" s="1" t="s">
        <v>97</v>
      </c>
      <c r="U383" s="1">
        <v>0</v>
      </c>
      <c r="V383" s="1">
        <v>100</v>
      </c>
      <c r="W383" s="1">
        <v>0</v>
      </c>
      <c r="X383" s="1">
        <f>100-U383</f>
        <v>100</v>
      </c>
      <c r="Y383" s="1">
        <v>0</v>
      </c>
      <c r="Z383" s="1">
        <v>0</v>
      </c>
      <c r="AA383" s="1" t="s">
        <v>45</v>
      </c>
      <c r="AB383" s="10">
        <v>1</v>
      </c>
      <c r="AG383" s="1">
        <v>1</v>
      </c>
      <c r="AH383" s="1" t="s">
        <v>705</v>
      </c>
      <c r="AI383" s="1" t="s">
        <v>44</v>
      </c>
      <c r="AJ383">
        <v>1</v>
      </c>
    </row>
    <row r="384" spans="1:37" ht="14.25" customHeight="1" x14ac:dyDescent="0.3">
      <c r="A384" s="1" t="s">
        <v>73</v>
      </c>
      <c r="B384" s="1">
        <v>4</v>
      </c>
      <c r="C384" s="1" t="s">
        <v>706</v>
      </c>
      <c r="D384" s="1">
        <v>354046</v>
      </c>
      <c r="E384" s="1">
        <v>3993215</v>
      </c>
      <c r="F384">
        <v>1776</v>
      </c>
      <c r="G384" s="1">
        <v>9</v>
      </c>
      <c r="H384" s="1">
        <v>149</v>
      </c>
      <c r="I384">
        <v>1171</v>
      </c>
      <c r="J384" s="20">
        <v>4</v>
      </c>
      <c r="K384" s="70">
        <v>0</v>
      </c>
      <c r="L384" s="38"/>
      <c r="M384" s="70">
        <v>4</v>
      </c>
      <c r="N384" s="1" t="s">
        <v>153</v>
      </c>
      <c r="O384" s="1">
        <v>17.399999999999999</v>
      </c>
      <c r="Q384" s="1">
        <v>41.2</v>
      </c>
      <c r="R384" s="1">
        <v>16.100000000000001</v>
      </c>
      <c r="S384" s="5">
        <f>(R384/3.14159)*100</f>
        <v>512.47934962869124</v>
      </c>
      <c r="T384" s="1" t="s">
        <v>97</v>
      </c>
      <c r="U384" s="1">
        <v>0</v>
      </c>
      <c r="V384" s="1">
        <v>100</v>
      </c>
      <c r="W384" s="1">
        <v>0</v>
      </c>
      <c r="X384" s="1">
        <f>100-U384</f>
        <v>100</v>
      </c>
      <c r="Y384" s="1">
        <v>0</v>
      </c>
      <c r="Z384" s="1">
        <v>0</v>
      </c>
      <c r="AA384" s="1" t="s">
        <v>45</v>
      </c>
      <c r="AB384" s="10">
        <v>2</v>
      </c>
      <c r="AG384" s="1">
        <v>1</v>
      </c>
      <c r="AH384" s="1" t="s">
        <v>424</v>
      </c>
      <c r="AI384" s="1" t="s">
        <v>44</v>
      </c>
      <c r="AJ384">
        <v>1</v>
      </c>
    </row>
    <row r="385" spans="1:37" ht="14.25" customHeight="1" x14ac:dyDescent="0.3">
      <c r="A385" s="1" t="s">
        <v>73</v>
      </c>
      <c r="B385" s="1">
        <v>5</v>
      </c>
      <c r="C385" s="1" t="s">
        <v>664</v>
      </c>
      <c r="D385" s="1">
        <v>354206</v>
      </c>
      <c r="E385" s="1">
        <v>3993257</v>
      </c>
      <c r="F385">
        <v>1797</v>
      </c>
      <c r="G385" s="1">
        <v>25</v>
      </c>
      <c r="H385" s="1">
        <v>125</v>
      </c>
      <c r="I385">
        <v>880</v>
      </c>
      <c r="J385" s="20">
        <v>4</v>
      </c>
      <c r="K385" s="1">
        <v>0</v>
      </c>
      <c r="L385" s="38"/>
      <c r="M385" s="1">
        <v>4</v>
      </c>
      <c r="N385" s="1" t="s">
        <v>153</v>
      </c>
      <c r="O385" s="1">
        <v>19.5</v>
      </c>
      <c r="Q385" s="1">
        <v>59.3</v>
      </c>
      <c r="R385" s="1">
        <v>6.6</v>
      </c>
      <c r="S385" s="5">
        <f>(R385/3.14159)*100</f>
        <v>210.0847023322585</v>
      </c>
      <c r="T385" s="1" t="s">
        <v>97</v>
      </c>
      <c r="U385" s="1">
        <v>0</v>
      </c>
      <c r="V385" s="1">
        <v>100</v>
      </c>
      <c r="W385" s="1">
        <v>0</v>
      </c>
      <c r="X385" s="1">
        <f>100-U385</f>
        <v>100</v>
      </c>
      <c r="Y385" s="1">
        <v>0</v>
      </c>
      <c r="Z385" s="1">
        <v>0</v>
      </c>
      <c r="AA385" s="1" t="s">
        <v>45</v>
      </c>
      <c r="AB385" s="10">
        <v>3</v>
      </c>
      <c r="AG385" s="1">
        <v>1</v>
      </c>
      <c r="AI385" s="1" t="s">
        <v>66</v>
      </c>
      <c r="AJ385">
        <v>3</v>
      </c>
      <c r="AK385" s="1" t="s">
        <v>665</v>
      </c>
    </row>
    <row r="386" spans="1:37" ht="14.25" customHeight="1" x14ac:dyDescent="0.3">
      <c r="A386" s="1" t="s">
        <v>73</v>
      </c>
      <c r="B386" s="1">
        <v>5</v>
      </c>
      <c r="C386" s="1" t="s">
        <v>666</v>
      </c>
      <c r="D386" s="1">
        <v>354214</v>
      </c>
      <c r="E386" s="1">
        <v>3993254</v>
      </c>
      <c r="F386">
        <v>1797</v>
      </c>
      <c r="G386" s="1">
        <v>25</v>
      </c>
      <c r="H386" s="1">
        <v>125</v>
      </c>
      <c r="I386">
        <v>912</v>
      </c>
      <c r="J386" s="20">
        <v>4</v>
      </c>
      <c r="K386" s="1">
        <v>0</v>
      </c>
      <c r="L386" s="38"/>
      <c r="M386" s="1">
        <v>4</v>
      </c>
      <c r="N386" s="1" t="s">
        <v>153</v>
      </c>
      <c r="O386" s="1">
        <v>22.6</v>
      </c>
      <c r="Q386" s="1">
        <v>61.9</v>
      </c>
      <c r="R386" s="1">
        <v>7.7</v>
      </c>
      <c r="S386" s="5">
        <f>(R386/3.14159)*100</f>
        <v>245.09881938763493</v>
      </c>
      <c r="T386" s="1" t="s">
        <v>97</v>
      </c>
      <c r="U386" s="1">
        <v>0</v>
      </c>
      <c r="V386" s="1">
        <v>100</v>
      </c>
      <c r="W386" s="1">
        <v>0</v>
      </c>
      <c r="X386" s="1">
        <f>100-U386</f>
        <v>100</v>
      </c>
      <c r="Y386" s="1">
        <v>0</v>
      </c>
      <c r="Z386" s="1">
        <v>0</v>
      </c>
      <c r="AA386" s="1" t="s">
        <v>45</v>
      </c>
      <c r="AB386" s="10">
        <v>4</v>
      </c>
      <c r="AG386" s="1">
        <v>1</v>
      </c>
      <c r="AI386" s="1" t="s">
        <v>53</v>
      </c>
      <c r="AJ386">
        <v>2</v>
      </c>
      <c r="AK386" s="1" t="s">
        <v>667</v>
      </c>
    </row>
    <row r="387" spans="1:37" ht="14.25" customHeight="1" x14ac:dyDescent="0.3">
      <c r="A387" s="1" t="s">
        <v>73</v>
      </c>
      <c r="B387" s="1">
        <v>5</v>
      </c>
      <c r="C387" s="1" t="s">
        <v>668</v>
      </c>
      <c r="D387" s="1">
        <v>354209</v>
      </c>
      <c r="E387" s="1">
        <v>3993267</v>
      </c>
      <c r="F387">
        <v>1797</v>
      </c>
      <c r="G387" s="1">
        <v>25</v>
      </c>
      <c r="H387" s="1">
        <v>125</v>
      </c>
      <c r="I387">
        <v>896</v>
      </c>
      <c r="J387" s="20">
        <v>4</v>
      </c>
      <c r="K387" s="1">
        <v>0</v>
      </c>
      <c r="L387" s="38"/>
      <c r="M387" s="1">
        <v>4</v>
      </c>
      <c r="N387" s="1" t="s">
        <v>153</v>
      </c>
      <c r="O387" s="1">
        <v>19.8</v>
      </c>
      <c r="Q387" s="1">
        <v>65.599999999999994</v>
      </c>
      <c r="R387" s="1">
        <v>7</v>
      </c>
      <c r="S387" s="5">
        <f>(R387/3.14159)*100</f>
        <v>222.81710853421356</v>
      </c>
      <c r="T387" s="1" t="s">
        <v>97</v>
      </c>
      <c r="U387" s="1">
        <v>0</v>
      </c>
      <c r="V387" s="1">
        <v>100</v>
      </c>
      <c r="W387" s="1">
        <v>0</v>
      </c>
      <c r="X387" s="1">
        <f>100-U387</f>
        <v>100</v>
      </c>
      <c r="Y387" s="1">
        <v>0</v>
      </c>
      <c r="Z387" s="1">
        <v>0</v>
      </c>
      <c r="AA387" s="1" t="s">
        <v>45</v>
      </c>
      <c r="AB387" s="10">
        <v>4</v>
      </c>
      <c r="AG387" s="1">
        <v>1</v>
      </c>
      <c r="AI387" s="1" t="s">
        <v>66</v>
      </c>
      <c r="AJ387">
        <v>3</v>
      </c>
      <c r="AK387" s="1" t="s">
        <v>669</v>
      </c>
    </row>
    <row r="388" spans="1:37" ht="14.25" customHeight="1" x14ac:dyDescent="0.3">
      <c r="A388" s="1" t="s">
        <v>73</v>
      </c>
      <c r="B388" s="1">
        <v>5</v>
      </c>
      <c r="C388" s="1" t="s">
        <v>670</v>
      </c>
      <c r="D388" s="1">
        <v>354247</v>
      </c>
      <c r="E388" s="1">
        <v>3993271</v>
      </c>
      <c r="F388">
        <v>1797</v>
      </c>
      <c r="G388" s="1">
        <v>25</v>
      </c>
      <c r="H388" s="1">
        <v>125</v>
      </c>
      <c r="I388" s="1">
        <v>721</v>
      </c>
      <c r="J388" s="20">
        <v>4</v>
      </c>
      <c r="K388" s="1">
        <v>0</v>
      </c>
      <c r="L388" s="38"/>
      <c r="M388" s="1">
        <v>4</v>
      </c>
      <c r="N388" s="1" t="s">
        <v>153</v>
      </c>
      <c r="O388" s="1">
        <v>13.9</v>
      </c>
      <c r="Q388" s="1">
        <v>57.8</v>
      </c>
      <c r="R388" s="1">
        <v>9.8000000000000007</v>
      </c>
      <c r="S388" s="5">
        <f>(R388/3.14159)*100</f>
        <v>311.94395194789905</v>
      </c>
      <c r="T388" s="1" t="s">
        <v>95</v>
      </c>
      <c r="U388" s="1">
        <v>0</v>
      </c>
      <c r="V388" s="1">
        <v>100</v>
      </c>
      <c r="W388" s="1">
        <v>0</v>
      </c>
      <c r="X388" s="1">
        <f>100-U388</f>
        <v>100</v>
      </c>
      <c r="Y388" s="1">
        <v>0</v>
      </c>
      <c r="Z388" s="1">
        <v>0</v>
      </c>
      <c r="AA388" s="1" t="s">
        <v>45</v>
      </c>
      <c r="AB388" s="10">
        <v>4</v>
      </c>
      <c r="AG388" s="1">
        <v>1</v>
      </c>
      <c r="AI388" s="1" t="s">
        <v>51</v>
      </c>
      <c r="AJ388">
        <v>1</v>
      </c>
      <c r="AK388" s="1" t="s">
        <v>671</v>
      </c>
    </row>
    <row r="389" spans="1:37" ht="14.25" customHeight="1" x14ac:dyDescent="0.3">
      <c r="A389" s="1" t="s">
        <v>73</v>
      </c>
      <c r="B389" s="1">
        <v>6</v>
      </c>
      <c r="C389" s="1" t="s">
        <v>672</v>
      </c>
      <c r="D389" s="1">
        <v>354384</v>
      </c>
      <c r="E389" s="1">
        <v>3993221</v>
      </c>
      <c r="F389">
        <v>1825</v>
      </c>
      <c r="G389" s="1">
        <v>20</v>
      </c>
      <c r="H389" s="1">
        <v>106</v>
      </c>
      <c r="I389">
        <v>172</v>
      </c>
      <c r="J389" s="20">
        <v>2</v>
      </c>
      <c r="K389" s="1">
        <v>1</v>
      </c>
      <c r="L389" s="38"/>
      <c r="M389" s="1">
        <v>2</v>
      </c>
      <c r="N389" s="1" t="s">
        <v>153</v>
      </c>
      <c r="O389" s="1">
        <v>16.2</v>
      </c>
      <c r="P389" s="1">
        <v>16.2</v>
      </c>
      <c r="Q389" s="1">
        <v>58.8</v>
      </c>
      <c r="R389" s="1">
        <v>5</v>
      </c>
      <c r="S389" s="5">
        <f>(R389/3.14159)*100</f>
        <v>159.15507752443827</v>
      </c>
      <c r="T389" s="1" t="s">
        <v>95</v>
      </c>
      <c r="U389" s="1">
        <v>95</v>
      </c>
      <c r="V389" s="1">
        <v>5</v>
      </c>
      <c r="W389" s="1">
        <v>1</v>
      </c>
      <c r="X389" s="1">
        <f>100-U389</f>
        <v>5</v>
      </c>
      <c r="Y389" s="1">
        <v>0</v>
      </c>
      <c r="Z389" s="1">
        <v>0</v>
      </c>
      <c r="AA389" s="1" t="s">
        <v>45</v>
      </c>
      <c r="AB389" s="10">
        <v>4</v>
      </c>
      <c r="AC389" s="1">
        <v>56.2</v>
      </c>
      <c r="AE389" s="1">
        <v>5</v>
      </c>
      <c r="AF389" s="1">
        <v>0</v>
      </c>
      <c r="AG389" s="1">
        <v>0</v>
      </c>
      <c r="AI389" s="1" t="s">
        <v>51</v>
      </c>
      <c r="AJ389">
        <v>1</v>
      </c>
      <c r="AK389" s="1" t="s">
        <v>673</v>
      </c>
    </row>
    <row r="390" spans="1:37" ht="14.25" customHeight="1" x14ac:dyDescent="0.3">
      <c r="A390" s="1" t="s">
        <v>73</v>
      </c>
      <c r="B390" s="1">
        <v>6</v>
      </c>
      <c r="C390" s="1" t="s">
        <v>674</v>
      </c>
      <c r="D390" s="1">
        <v>354414</v>
      </c>
      <c r="E390" s="1">
        <v>3993285</v>
      </c>
      <c r="F390">
        <v>1825</v>
      </c>
      <c r="G390" s="1">
        <v>20</v>
      </c>
      <c r="H390" s="1">
        <v>106</v>
      </c>
      <c r="I390">
        <v>205</v>
      </c>
      <c r="J390" s="20">
        <v>2</v>
      </c>
      <c r="K390" s="70">
        <v>0</v>
      </c>
      <c r="L390" s="38"/>
      <c r="M390" s="70">
        <v>2</v>
      </c>
      <c r="N390" s="1" t="s">
        <v>153</v>
      </c>
      <c r="O390" s="1">
        <v>23.3</v>
      </c>
      <c r="Q390" s="1">
        <v>62.2</v>
      </c>
      <c r="R390" s="1">
        <v>7</v>
      </c>
      <c r="S390" s="5">
        <f>(R390/3.14159)*100</f>
        <v>222.81710853421356</v>
      </c>
      <c r="T390" s="1" t="s">
        <v>97</v>
      </c>
      <c r="U390" s="1">
        <v>0</v>
      </c>
      <c r="V390" s="1">
        <v>100</v>
      </c>
      <c r="W390" s="1">
        <v>0</v>
      </c>
      <c r="X390" s="1">
        <f>100-U390</f>
        <v>100</v>
      </c>
      <c r="Y390" s="1">
        <v>0</v>
      </c>
      <c r="Z390" s="1">
        <v>0</v>
      </c>
      <c r="AA390" s="1" t="s">
        <v>45</v>
      </c>
      <c r="AB390" s="10">
        <v>4</v>
      </c>
      <c r="AG390" s="1">
        <v>0</v>
      </c>
      <c r="AI390" s="1" t="s">
        <v>44</v>
      </c>
      <c r="AJ390">
        <v>1</v>
      </c>
      <c r="AK390" s="1" t="s">
        <v>675</v>
      </c>
    </row>
    <row r="391" spans="1:37" ht="14.25" customHeight="1" x14ac:dyDescent="0.3">
      <c r="A391" s="1" t="s">
        <v>73</v>
      </c>
      <c r="B391" s="1">
        <v>6</v>
      </c>
      <c r="C391" s="1" t="s">
        <v>676</v>
      </c>
      <c r="D391" s="1">
        <v>354392</v>
      </c>
      <c r="E391" s="1">
        <v>3993265</v>
      </c>
      <c r="F391">
        <v>1825</v>
      </c>
      <c r="G391" s="1">
        <v>20</v>
      </c>
      <c r="H391" s="1">
        <v>106</v>
      </c>
      <c r="I391">
        <v>214</v>
      </c>
      <c r="J391" s="20">
        <v>2</v>
      </c>
      <c r="K391" s="1">
        <v>1</v>
      </c>
      <c r="L391" s="38"/>
      <c r="M391" s="1">
        <v>2</v>
      </c>
      <c r="N391" s="1" t="s">
        <v>153</v>
      </c>
      <c r="O391" s="1">
        <v>18</v>
      </c>
      <c r="P391" s="1">
        <v>18</v>
      </c>
      <c r="Q391" s="1">
        <v>63</v>
      </c>
      <c r="R391" s="17">
        <v>7.3</v>
      </c>
      <c r="S391" s="28">
        <f>(R391/3.14159)*100</f>
        <v>232.36641318567987</v>
      </c>
      <c r="T391" s="1" t="s">
        <v>97</v>
      </c>
      <c r="U391" s="1">
        <v>95</v>
      </c>
      <c r="V391" s="1">
        <v>5</v>
      </c>
      <c r="W391" s="1">
        <v>1</v>
      </c>
      <c r="X391" s="1">
        <f>100-U391</f>
        <v>5</v>
      </c>
      <c r="Y391" s="1">
        <v>0</v>
      </c>
      <c r="Z391" s="1">
        <v>0</v>
      </c>
      <c r="AA391" s="1" t="s">
        <v>45</v>
      </c>
      <c r="AB391" s="10">
        <v>4</v>
      </c>
      <c r="AC391" s="1">
        <v>33.6</v>
      </c>
      <c r="AE391" s="1">
        <v>5</v>
      </c>
      <c r="AF391" s="1">
        <v>0</v>
      </c>
      <c r="AG391" s="1">
        <v>0</v>
      </c>
      <c r="AI391" s="1" t="s">
        <v>51</v>
      </c>
      <c r="AJ391">
        <v>1</v>
      </c>
      <c r="AK391" s="1" t="s">
        <v>677</v>
      </c>
    </row>
    <row r="392" spans="1:37" ht="14.25" customHeight="1" x14ac:dyDescent="0.3">
      <c r="A392" s="1" t="s">
        <v>73</v>
      </c>
      <c r="B392" s="1">
        <v>6</v>
      </c>
      <c r="C392" s="1" t="s">
        <v>651</v>
      </c>
      <c r="D392" s="1">
        <v>354419</v>
      </c>
      <c r="E392" s="1">
        <v>3993249</v>
      </c>
      <c r="F392">
        <v>1825</v>
      </c>
      <c r="G392" s="1">
        <v>20</v>
      </c>
      <c r="H392" s="1">
        <v>106</v>
      </c>
      <c r="I392">
        <v>166</v>
      </c>
      <c r="J392" s="20">
        <v>2</v>
      </c>
      <c r="K392" s="17">
        <v>1</v>
      </c>
      <c r="L392" s="38"/>
      <c r="M392" s="17">
        <v>2</v>
      </c>
      <c r="N392" s="1" t="s">
        <v>153</v>
      </c>
      <c r="O392" s="1">
        <v>16.7</v>
      </c>
      <c r="P392" s="1">
        <v>18.8</v>
      </c>
      <c r="Q392" s="1">
        <v>65.8</v>
      </c>
      <c r="R392" s="1">
        <v>15.6</v>
      </c>
      <c r="S392" s="5">
        <f>(R392/3.14159)*100</f>
        <v>496.56384187624735</v>
      </c>
      <c r="T392" s="1" t="s">
        <v>95</v>
      </c>
      <c r="U392" s="1">
        <v>98</v>
      </c>
      <c r="V392" s="1">
        <v>1</v>
      </c>
      <c r="W392" s="1">
        <v>1</v>
      </c>
      <c r="X392" s="1">
        <f>100-U392</f>
        <v>2</v>
      </c>
      <c r="Y392" s="1">
        <v>0</v>
      </c>
      <c r="Z392" s="1">
        <v>0</v>
      </c>
      <c r="AA392" s="1" t="s">
        <v>45</v>
      </c>
      <c r="AB392" s="10">
        <v>4</v>
      </c>
      <c r="AC392" s="1">
        <v>21.5</v>
      </c>
      <c r="AE392" s="1">
        <v>1</v>
      </c>
      <c r="AF392" s="1">
        <v>0</v>
      </c>
      <c r="AG392" s="1">
        <v>1</v>
      </c>
      <c r="AI392" s="1" t="s">
        <v>51</v>
      </c>
      <c r="AJ392">
        <v>1</v>
      </c>
      <c r="AK392" s="1" t="s">
        <v>652</v>
      </c>
    </row>
    <row r="393" spans="1:37" ht="14.25" customHeight="1" x14ac:dyDescent="0.3">
      <c r="A393" s="1" t="s">
        <v>73</v>
      </c>
      <c r="B393" s="1">
        <v>6</v>
      </c>
      <c r="C393" s="1" t="s">
        <v>653</v>
      </c>
      <c r="D393" s="1">
        <v>354469</v>
      </c>
      <c r="E393" s="1">
        <v>3993214</v>
      </c>
      <c r="F393">
        <v>1825</v>
      </c>
      <c r="G393" s="1">
        <v>20</v>
      </c>
      <c r="H393" s="1">
        <v>106</v>
      </c>
      <c r="I393">
        <v>325</v>
      </c>
      <c r="J393" s="20">
        <v>3</v>
      </c>
      <c r="K393" s="17">
        <v>1</v>
      </c>
      <c r="L393" s="38"/>
      <c r="M393" s="17">
        <v>2</v>
      </c>
      <c r="N393" s="1" t="s">
        <v>153</v>
      </c>
      <c r="O393" s="1">
        <v>19.399999999999999</v>
      </c>
      <c r="P393" s="1">
        <v>19.399999999999999</v>
      </c>
      <c r="Q393" s="1">
        <v>61</v>
      </c>
      <c r="R393" s="1">
        <v>7.9</v>
      </c>
      <c r="S393" s="5">
        <f>(R393/3.14159)*100</f>
        <v>251.46502248861248</v>
      </c>
      <c r="T393" s="1" t="s">
        <v>97</v>
      </c>
      <c r="U393" s="1">
        <v>85</v>
      </c>
      <c r="V393" s="1">
        <v>15</v>
      </c>
      <c r="W393" s="1">
        <v>0</v>
      </c>
      <c r="X393" s="1">
        <f>100-U393</f>
        <v>15</v>
      </c>
      <c r="Y393" s="1">
        <v>0</v>
      </c>
      <c r="Z393" s="1">
        <v>0</v>
      </c>
      <c r="AA393" s="1" t="s">
        <v>45</v>
      </c>
      <c r="AB393" s="10">
        <v>3</v>
      </c>
      <c r="AC393" s="1">
        <v>55</v>
      </c>
      <c r="AE393" s="1">
        <v>15</v>
      </c>
      <c r="AF393" s="1">
        <v>0</v>
      </c>
      <c r="AG393" s="1">
        <v>0</v>
      </c>
      <c r="AI393" s="1" t="s">
        <v>44</v>
      </c>
      <c r="AJ393">
        <v>1</v>
      </c>
      <c r="AK393" s="1" t="s">
        <v>654</v>
      </c>
    </row>
    <row r="394" spans="1:37" ht="14.25" customHeight="1" x14ac:dyDescent="0.3">
      <c r="A394" s="1" t="s">
        <v>73</v>
      </c>
      <c r="B394" s="1">
        <v>6</v>
      </c>
      <c r="C394" s="1" t="s">
        <v>655</v>
      </c>
      <c r="D394" s="1">
        <v>354438</v>
      </c>
      <c r="E394" s="1">
        <v>3993182</v>
      </c>
      <c r="F394">
        <v>1825</v>
      </c>
      <c r="G394" s="1">
        <v>20</v>
      </c>
      <c r="H394" s="1">
        <v>106</v>
      </c>
      <c r="I394">
        <v>231</v>
      </c>
      <c r="J394" s="20">
        <v>2</v>
      </c>
      <c r="K394" s="17">
        <v>1</v>
      </c>
      <c r="L394" s="38"/>
      <c r="M394" s="17">
        <v>2</v>
      </c>
      <c r="N394" s="1" t="s">
        <v>153</v>
      </c>
      <c r="O394" s="1">
        <v>13.1</v>
      </c>
      <c r="P394" s="1">
        <v>13.1</v>
      </c>
      <c r="Q394" s="1">
        <v>75.7</v>
      </c>
      <c r="R394" s="1">
        <v>17.899999999999999</v>
      </c>
      <c r="S394" s="5">
        <f>(R394/3.14159)*100</f>
        <v>569.77517753748896</v>
      </c>
      <c r="T394" s="1" t="s">
        <v>97</v>
      </c>
      <c r="U394" s="1">
        <v>85</v>
      </c>
      <c r="V394" s="1">
        <v>15</v>
      </c>
      <c r="W394" s="1">
        <v>0</v>
      </c>
      <c r="X394" s="1">
        <f>100-U394</f>
        <v>15</v>
      </c>
      <c r="Y394" s="1">
        <v>1</v>
      </c>
      <c r="Z394" s="1">
        <v>0</v>
      </c>
      <c r="AA394" s="1" t="s">
        <v>45</v>
      </c>
      <c r="AB394" s="10">
        <v>4</v>
      </c>
      <c r="AC394" s="1">
        <v>69.400000000000006</v>
      </c>
      <c r="AE394" s="1">
        <v>15</v>
      </c>
      <c r="AF394" s="1">
        <v>0</v>
      </c>
      <c r="AG394" s="1">
        <v>1</v>
      </c>
      <c r="AI394" s="1" t="s">
        <v>51</v>
      </c>
      <c r="AJ394">
        <v>1</v>
      </c>
      <c r="AK394" s="1" t="s">
        <v>656</v>
      </c>
    </row>
    <row r="395" spans="1:37" ht="14.25" customHeight="1" x14ac:dyDescent="0.3">
      <c r="A395" s="1" t="s">
        <v>73</v>
      </c>
      <c r="B395" s="1">
        <v>7</v>
      </c>
      <c r="C395" s="1" t="s">
        <v>657</v>
      </c>
      <c r="D395" s="1">
        <v>353637</v>
      </c>
      <c r="E395" s="1">
        <v>3993447</v>
      </c>
      <c r="F395">
        <v>1713</v>
      </c>
      <c r="G395" s="1">
        <v>8</v>
      </c>
      <c r="H395" s="1">
        <v>118</v>
      </c>
      <c r="I395">
        <v>772</v>
      </c>
      <c r="J395" s="20">
        <v>4</v>
      </c>
      <c r="K395" s="17">
        <v>1</v>
      </c>
      <c r="L395" s="38"/>
      <c r="M395" s="17">
        <v>3</v>
      </c>
      <c r="N395" s="1" t="s">
        <v>153</v>
      </c>
      <c r="O395" s="1">
        <v>21.2</v>
      </c>
      <c r="P395" s="1">
        <v>24.7</v>
      </c>
      <c r="Q395" s="1">
        <v>60.1</v>
      </c>
      <c r="R395" s="1">
        <v>6.2</v>
      </c>
      <c r="S395" s="5">
        <f>(R395/3.14159)*100</f>
        <v>197.35229613030344</v>
      </c>
      <c r="T395" s="1" t="s">
        <v>95</v>
      </c>
      <c r="U395" s="1">
        <v>75</v>
      </c>
      <c r="V395" s="1">
        <v>25</v>
      </c>
      <c r="W395" s="1">
        <v>0</v>
      </c>
      <c r="X395" s="1">
        <f>100-U395</f>
        <v>25</v>
      </c>
      <c r="Y395" s="1">
        <v>0</v>
      </c>
      <c r="Z395" s="1">
        <v>0</v>
      </c>
      <c r="AA395" s="1" t="s">
        <v>45</v>
      </c>
      <c r="AB395" s="10">
        <v>4</v>
      </c>
      <c r="AC395" s="1">
        <v>59.1</v>
      </c>
      <c r="AE395" s="1">
        <v>25</v>
      </c>
      <c r="AF395" s="1">
        <v>0</v>
      </c>
      <c r="AG395" s="1">
        <v>0</v>
      </c>
      <c r="AI395" s="1" t="s">
        <v>51</v>
      </c>
      <c r="AJ395">
        <v>1</v>
      </c>
      <c r="AK395" s="1" t="s">
        <v>658</v>
      </c>
    </row>
    <row r="396" spans="1:37" ht="14.25" customHeight="1" x14ac:dyDescent="0.3">
      <c r="A396" s="1" t="s">
        <v>73</v>
      </c>
      <c r="B396" s="1">
        <v>7</v>
      </c>
      <c r="C396" s="1" t="s">
        <v>659</v>
      </c>
      <c r="D396" s="1">
        <v>353665</v>
      </c>
      <c r="E396" s="1">
        <v>3993436</v>
      </c>
      <c r="F396">
        <v>1713</v>
      </c>
      <c r="G396" s="1">
        <v>8</v>
      </c>
      <c r="H396" s="1">
        <v>118</v>
      </c>
      <c r="I396">
        <v>837</v>
      </c>
      <c r="J396" s="20">
        <v>4</v>
      </c>
      <c r="K396" s="17">
        <v>0</v>
      </c>
      <c r="L396" s="38"/>
      <c r="M396" s="17">
        <v>4</v>
      </c>
      <c r="N396" s="1" t="s">
        <v>153</v>
      </c>
      <c r="O396" s="1">
        <v>19.5</v>
      </c>
      <c r="Q396" s="1">
        <v>54.1</v>
      </c>
      <c r="R396" s="1">
        <v>4.5</v>
      </c>
      <c r="S396" s="5">
        <f>(R396/3.14159)*100</f>
        <v>143.23956977199444</v>
      </c>
      <c r="T396" s="1" t="s">
        <v>97</v>
      </c>
      <c r="U396" s="1">
        <v>0</v>
      </c>
      <c r="V396" s="1">
        <v>100</v>
      </c>
      <c r="W396" s="1">
        <v>0</v>
      </c>
      <c r="X396" s="1">
        <f>100-U396</f>
        <v>100</v>
      </c>
      <c r="Y396" s="1">
        <v>0</v>
      </c>
      <c r="Z396" s="1">
        <v>0</v>
      </c>
      <c r="AA396" s="1" t="s">
        <v>45</v>
      </c>
      <c r="AB396" s="10">
        <v>2</v>
      </c>
      <c r="AG396" s="1">
        <v>0</v>
      </c>
      <c r="AI396" s="1" t="s">
        <v>53</v>
      </c>
      <c r="AJ396">
        <v>2</v>
      </c>
    </row>
    <row r="397" spans="1:37" ht="14.25" customHeight="1" x14ac:dyDescent="0.3">
      <c r="A397" s="1" t="s">
        <v>73</v>
      </c>
      <c r="B397" s="1">
        <v>7</v>
      </c>
      <c r="C397" s="1" t="s">
        <v>660</v>
      </c>
      <c r="D397" s="1">
        <v>353672</v>
      </c>
      <c r="E397" s="1">
        <v>3993390</v>
      </c>
      <c r="F397">
        <v>1713</v>
      </c>
      <c r="G397" s="1">
        <v>8</v>
      </c>
      <c r="H397" s="1">
        <v>118</v>
      </c>
      <c r="I397">
        <v>1122</v>
      </c>
      <c r="J397" s="20">
        <v>4</v>
      </c>
      <c r="K397" s="17">
        <v>0</v>
      </c>
      <c r="L397" s="38"/>
      <c r="M397" s="17">
        <v>4</v>
      </c>
      <c r="N397" s="1" t="s">
        <v>153</v>
      </c>
      <c r="O397" s="1">
        <v>27.3</v>
      </c>
      <c r="Q397" s="1">
        <v>70</v>
      </c>
      <c r="R397" s="1">
        <v>15.1</v>
      </c>
      <c r="S397" s="5">
        <f>(R397/3.14159)*100</f>
        <v>480.64833412380352</v>
      </c>
      <c r="T397" s="1" t="s">
        <v>95</v>
      </c>
      <c r="U397" s="1">
        <v>0</v>
      </c>
      <c r="V397" s="1">
        <v>100</v>
      </c>
      <c r="W397" s="1">
        <v>0</v>
      </c>
      <c r="X397" s="1">
        <f>100-U397</f>
        <v>100</v>
      </c>
      <c r="Y397" s="1">
        <v>0</v>
      </c>
      <c r="Z397" s="1">
        <v>0</v>
      </c>
      <c r="AA397" s="1" t="s">
        <v>45</v>
      </c>
      <c r="AB397" s="10">
        <v>3</v>
      </c>
      <c r="AG397" s="1">
        <v>1</v>
      </c>
      <c r="AI397" s="1" t="s">
        <v>44</v>
      </c>
      <c r="AJ397">
        <v>1</v>
      </c>
      <c r="AK397" s="1" t="s">
        <v>661</v>
      </c>
    </row>
    <row r="398" spans="1:37" ht="14.25" customHeight="1" x14ac:dyDescent="0.3">
      <c r="A398" s="1" t="s">
        <v>73</v>
      </c>
      <c r="B398" s="1">
        <v>7</v>
      </c>
      <c r="C398" s="1" t="s">
        <v>662</v>
      </c>
      <c r="D398" s="1">
        <v>353629</v>
      </c>
      <c r="E398" s="1">
        <v>3993413</v>
      </c>
      <c r="F398">
        <v>1713</v>
      </c>
      <c r="G398" s="1">
        <v>8</v>
      </c>
      <c r="H398" s="1">
        <v>118</v>
      </c>
      <c r="I398">
        <v>982</v>
      </c>
      <c r="J398" s="20">
        <v>4</v>
      </c>
      <c r="K398" s="17">
        <v>0</v>
      </c>
      <c r="L398" s="38"/>
      <c r="M398" s="17">
        <v>4</v>
      </c>
      <c r="N398" s="1" t="s">
        <v>153</v>
      </c>
      <c r="O398" s="1">
        <v>16.2</v>
      </c>
      <c r="Q398" s="1">
        <v>68.2</v>
      </c>
      <c r="R398" s="1">
        <v>14.9</v>
      </c>
      <c r="S398" s="5">
        <f>(R398/3.14159)*100</f>
        <v>474.28213102282604</v>
      </c>
      <c r="T398" s="1" t="s">
        <v>95</v>
      </c>
      <c r="U398" s="1">
        <v>0</v>
      </c>
      <c r="V398" s="1">
        <v>100</v>
      </c>
      <c r="W398" s="1">
        <v>0</v>
      </c>
      <c r="X398" s="1">
        <f>100-U398</f>
        <v>100</v>
      </c>
      <c r="Y398" s="1">
        <v>0</v>
      </c>
      <c r="Z398" s="1">
        <v>0</v>
      </c>
      <c r="AA398" s="1" t="s">
        <v>45</v>
      </c>
      <c r="AB398" s="10">
        <v>3</v>
      </c>
      <c r="AG398" s="1">
        <v>1</v>
      </c>
      <c r="AI398" s="1" t="s">
        <v>53</v>
      </c>
      <c r="AJ398">
        <v>2</v>
      </c>
      <c r="AK398" s="1" t="s">
        <v>663</v>
      </c>
    </row>
    <row r="399" spans="1:37" ht="14.25" customHeight="1" x14ac:dyDescent="0.3">
      <c r="A399" s="1" t="s">
        <v>73</v>
      </c>
      <c r="B399" s="1">
        <v>8</v>
      </c>
      <c r="C399" s="1" t="s">
        <v>678</v>
      </c>
      <c r="D399" s="1">
        <v>353859</v>
      </c>
      <c r="E399" s="1">
        <v>3993445</v>
      </c>
      <c r="F399">
        <v>1743</v>
      </c>
      <c r="G399" s="1">
        <v>13</v>
      </c>
      <c r="H399" s="1">
        <v>168</v>
      </c>
      <c r="I399">
        <v>1169</v>
      </c>
      <c r="J399" s="20">
        <v>4</v>
      </c>
      <c r="K399" s="17">
        <v>0</v>
      </c>
      <c r="L399" s="38"/>
      <c r="M399" s="17">
        <v>4</v>
      </c>
      <c r="N399" s="1" t="s">
        <v>153</v>
      </c>
      <c r="O399" s="1">
        <v>25</v>
      </c>
      <c r="Q399" s="1">
        <v>52</v>
      </c>
      <c r="R399" s="1">
        <v>5.7</v>
      </c>
      <c r="S399" s="5">
        <f>(R399/3.14159)*100</f>
        <v>181.43678837785964</v>
      </c>
      <c r="T399" s="1" t="s">
        <v>97</v>
      </c>
      <c r="U399" s="1">
        <v>0</v>
      </c>
      <c r="V399" s="1">
        <v>100</v>
      </c>
      <c r="W399" s="1">
        <v>0</v>
      </c>
      <c r="X399" s="1">
        <f>100-U399</f>
        <v>100</v>
      </c>
      <c r="Y399" s="1">
        <v>0</v>
      </c>
      <c r="Z399" s="1">
        <v>0</v>
      </c>
      <c r="AA399" s="1" t="s">
        <v>45</v>
      </c>
      <c r="AB399" s="10">
        <v>4</v>
      </c>
      <c r="AG399" s="1">
        <v>0</v>
      </c>
      <c r="AI399" s="1" t="s">
        <v>51</v>
      </c>
      <c r="AJ399">
        <v>1</v>
      </c>
    </row>
    <row r="400" spans="1:37" ht="14.25" customHeight="1" x14ac:dyDescent="0.3">
      <c r="A400" s="1" t="s">
        <v>73</v>
      </c>
      <c r="B400" s="1">
        <v>8</v>
      </c>
      <c r="C400" s="1" t="s">
        <v>679</v>
      </c>
      <c r="D400" s="1">
        <v>353864</v>
      </c>
      <c r="E400" s="1">
        <v>3993462</v>
      </c>
      <c r="F400">
        <v>1743</v>
      </c>
      <c r="G400" s="1">
        <v>13</v>
      </c>
      <c r="H400" s="1">
        <v>168</v>
      </c>
      <c r="I400">
        <v>1177</v>
      </c>
      <c r="J400" s="20">
        <v>4</v>
      </c>
      <c r="K400" s="17">
        <v>0</v>
      </c>
      <c r="L400" s="38"/>
      <c r="M400" s="17">
        <v>4</v>
      </c>
      <c r="N400" s="1" t="s">
        <v>153</v>
      </c>
      <c r="O400" s="1">
        <v>17.7</v>
      </c>
      <c r="Q400" s="1">
        <v>60.3</v>
      </c>
      <c r="R400" s="1">
        <v>6.8</v>
      </c>
      <c r="S400" s="5">
        <f>(R400/3.14159)*100</f>
        <v>216.45090543323602</v>
      </c>
      <c r="T400" s="1" t="s">
        <v>97</v>
      </c>
      <c r="U400" s="1">
        <v>0</v>
      </c>
      <c r="V400" s="1">
        <v>100</v>
      </c>
      <c r="W400" s="1">
        <v>0</v>
      </c>
      <c r="X400" s="1">
        <f>100-U400</f>
        <v>100</v>
      </c>
      <c r="Y400" s="1">
        <v>0</v>
      </c>
      <c r="Z400" s="1">
        <v>0</v>
      </c>
      <c r="AA400" s="1" t="s">
        <v>45</v>
      </c>
      <c r="AB400" s="10">
        <v>4</v>
      </c>
      <c r="AG400" s="1">
        <v>0</v>
      </c>
      <c r="AI400" s="1" t="s">
        <v>53</v>
      </c>
      <c r="AJ400">
        <v>2</v>
      </c>
    </row>
    <row r="401" spans="1:37" ht="14.25" customHeight="1" x14ac:dyDescent="0.3">
      <c r="A401" s="1" t="s">
        <v>73</v>
      </c>
      <c r="B401" s="1">
        <v>9</v>
      </c>
      <c r="C401" s="1" t="s">
        <v>741</v>
      </c>
      <c r="D401" s="1">
        <v>353996</v>
      </c>
      <c r="E401" s="1">
        <v>3993426</v>
      </c>
      <c r="F401">
        <v>1797</v>
      </c>
      <c r="G401" s="1">
        <v>17</v>
      </c>
      <c r="H401" s="1">
        <v>34</v>
      </c>
      <c r="I401">
        <v>1163</v>
      </c>
      <c r="J401" s="20">
        <v>4</v>
      </c>
      <c r="K401" s="17">
        <v>0</v>
      </c>
      <c r="L401" s="38"/>
      <c r="M401" s="17">
        <v>4</v>
      </c>
      <c r="N401" s="1" t="s">
        <v>153</v>
      </c>
      <c r="O401" s="1">
        <v>30.9</v>
      </c>
      <c r="Q401" s="1">
        <v>60.3</v>
      </c>
      <c r="R401" s="1">
        <v>10.3</v>
      </c>
      <c r="S401" s="5">
        <f>(R401/3.14159)*100</f>
        <v>327.85945970034282</v>
      </c>
      <c r="T401" s="1" t="s">
        <v>97</v>
      </c>
      <c r="U401" s="1">
        <v>0</v>
      </c>
      <c r="V401" s="1">
        <v>100</v>
      </c>
      <c r="W401" s="1">
        <v>0</v>
      </c>
      <c r="X401" s="1">
        <f>100-U401</f>
        <v>100</v>
      </c>
      <c r="Y401" s="1">
        <v>0</v>
      </c>
      <c r="Z401" s="1">
        <v>0</v>
      </c>
      <c r="AA401" s="1" t="s">
        <v>45</v>
      </c>
      <c r="AB401" s="10">
        <v>3</v>
      </c>
      <c r="AG401" s="1">
        <v>1</v>
      </c>
      <c r="AH401" s="1" t="s">
        <v>742</v>
      </c>
      <c r="AI401" s="1" t="s">
        <v>44</v>
      </c>
      <c r="AJ401">
        <v>1</v>
      </c>
    </row>
    <row r="402" spans="1:37" ht="14.25" customHeight="1" x14ac:dyDescent="0.3">
      <c r="A402" s="1" t="s">
        <v>73</v>
      </c>
      <c r="B402" s="1">
        <v>9</v>
      </c>
      <c r="C402" s="1" t="s">
        <v>743</v>
      </c>
      <c r="D402" s="1">
        <v>353997</v>
      </c>
      <c r="E402" s="1">
        <v>3993453</v>
      </c>
      <c r="F402">
        <v>1797</v>
      </c>
      <c r="G402" s="1">
        <v>17</v>
      </c>
      <c r="H402" s="1">
        <v>34</v>
      </c>
      <c r="I402">
        <v>1156</v>
      </c>
      <c r="J402" s="20">
        <v>4</v>
      </c>
      <c r="K402" s="17">
        <v>0</v>
      </c>
      <c r="L402" s="38"/>
      <c r="M402" s="17">
        <v>4</v>
      </c>
      <c r="N402" s="1" t="s">
        <v>153</v>
      </c>
      <c r="O402" s="1">
        <v>24.7</v>
      </c>
      <c r="Q402" s="1">
        <v>76.3</v>
      </c>
      <c r="R402" s="1">
        <v>11.7</v>
      </c>
      <c r="S402" s="5">
        <f>(R402/3.14159)*100</f>
        <v>372.42288140718551</v>
      </c>
      <c r="T402" s="1" t="s">
        <v>97</v>
      </c>
      <c r="U402" s="1">
        <v>0</v>
      </c>
      <c r="V402" s="1">
        <v>100</v>
      </c>
      <c r="W402" s="1">
        <v>0</v>
      </c>
      <c r="X402" s="1">
        <f>100-U402</f>
        <v>100</v>
      </c>
      <c r="Y402" s="1">
        <v>0</v>
      </c>
      <c r="Z402" s="1">
        <v>0</v>
      </c>
      <c r="AA402" s="1" t="s">
        <v>45</v>
      </c>
      <c r="AB402" s="10">
        <v>4</v>
      </c>
      <c r="AG402" s="1">
        <v>1</v>
      </c>
      <c r="AI402" s="1" t="s">
        <v>44</v>
      </c>
      <c r="AJ402">
        <v>1</v>
      </c>
    </row>
    <row r="403" spans="1:37" ht="14.25" customHeight="1" x14ac:dyDescent="0.3">
      <c r="A403" s="1" t="s">
        <v>73</v>
      </c>
      <c r="B403" s="1">
        <v>9</v>
      </c>
      <c r="C403" s="1" t="s">
        <v>744</v>
      </c>
      <c r="D403" s="1">
        <v>354019</v>
      </c>
      <c r="E403" s="1">
        <v>3993486</v>
      </c>
      <c r="F403">
        <v>1797</v>
      </c>
      <c r="G403" s="1">
        <v>17</v>
      </c>
      <c r="H403" s="1">
        <v>34</v>
      </c>
      <c r="I403">
        <v>1153</v>
      </c>
      <c r="J403" s="20">
        <v>4</v>
      </c>
      <c r="K403" s="17">
        <v>0</v>
      </c>
      <c r="L403" s="38"/>
      <c r="M403" s="17">
        <v>4</v>
      </c>
      <c r="N403" s="1" t="s">
        <v>153</v>
      </c>
      <c r="O403" s="1">
        <v>27.5</v>
      </c>
      <c r="Q403" s="1">
        <v>70.7</v>
      </c>
      <c r="R403" s="1">
        <v>10.3</v>
      </c>
      <c r="S403" s="5">
        <f>(R403/3.14159)*100</f>
        <v>327.85945970034282</v>
      </c>
      <c r="T403" s="1" t="s">
        <v>95</v>
      </c>
      <c r="U403" s="1">
        <v>0</v>
      </c>
      <c r="V403" s="1">
        <v>100</v>
      </c>
      <c r="W403" s="1">
        <v>0</v>
      </c>
      <c r="X403" s="1">
        <f>100-U403</f>
        <v>100</v>
      </c>
      <c r="Y403" s="1">
        <v>0</v>
      </c>
      <c r="Z403" s="1">
        <v>0</v>
      </c>
      <c r="AA403" s="1" t="s">
        <v>45</v>
      </c>
      <c r="AB403" s="10">
        <v>3</v>
      </c>
      <c r="AG403" s="1">
        <v>0</v>
      </c>
      <c r="AI403" s="1" t="s">
        <v>44</v>
      </c>
      <c r="AJ403">
        <v>1</v>
      </c>
    </row>
    <row r="404" spans="1:37" ht="14.25" customHeight="1" x14ac:dyDescent="0.3">
      <c r="A404" s="1" t="s">
        <v>73</v>
      </c>
      <c r="B404" s="1">
        <v>10</v>
      </c>
      <c r="C404" s="1" t="s">
        <v>745</v>
      </c>
      <c r="D404" s="1">
        <v>354118</v>
      </c>
      <c r="E404" s="1">
        <v>3993388</v>
      </c>
      <c r="F404">
        <v>1819</v>
      </c>
      <c r="G404" s="1">
        <v>21</v>
      </c>
      <c r="H404" s="1">
        <v>111</v>
      </c>
      <c r="I404">
        <v>460</v>
      </c>
      <c r="J404" s="20">
        <v>3</v>
      </c>
      <c r="K404" s="17">
        <v>0</v>
      </c>
      <c r="L404" s="38"/>
      <c r="M404" s="17">
        <v>4</v>
      </c>
      <c r="N404" s="1" t="s">
        <v>153</v>
      </c>
      <c r="O404" s="1">
        <v>15.3</v>
      </c>
      <c r="Q404" s="1">
        <v>64.5</v>
      </c>
      <c r="R404" s="1">
        <v>8.9</v>
      </c>
      <c r="S404" s="5">
        <f>(R404/3.14159)*100</f>
        <v>283.29603799350014</v>
      </c>
      <c r="T404" s="1" t="s">
        <v>97</v>
      </c>
      <c r="U404" s="1">
        <v>0</v>
      </c>
      <c r="V404" s="1">
        <v>100</v>
      </c>
      <c r="W404" s="1">
        <v>0</v>
      </c>
      <c r="X404" s="1">
        <f>100-U404</f>
        <v>100</v>
      </c>
      <c r="Y404" s="1">
        <v>0</v>
      </c>
      <c r="Z404" s="1">
        <v>0</v>
      </c>
      <c r="AA404" s="1" t="s">
        <v>45</v>
      </c>
      <c r="AB404" s="10">
        <v>2</v>
      </c>
      <c r="AG404" s="1">
        <v>1</v>
      </c>
      <c r="AI404" s="1" t="s">
        <v>53</v>
      </c>
      <c r="AJ404">
        <v>2</v>
      </c>
    </row>
    <row r="405" spans="1:37" ht="14.25" customHeight="1" x14ac:dyDescent="0.3">
      <c r="A405" s="1" t="s">
        <v>73</v>
      </c>
      <c r="B405" s="1">
        <v>10</v>
      </c>
      <c r="C405" s="1" t="s">
        <v>701</v>
      </c>
      <c r="D405" s="1">
        <v>354181</v>
      </c>
      <c r="E405" s="1">
        <v>3993387</v>
      </c>
      <c r="F405">
        <v>1819</v>
      </c>
      <c r="G405" s="1">
        <v>21</v>
      </c>
      <c r="H405" s="1">
        <v>111</v>
      </c>
      <c r="I405">
        <v>631</v>
      </c>
      <c r="J405" s="20">
        <v>3</v>
      </c>
      <c r="K405" s="17">
        <v>0</v>
      </c>
      <c r="L405" s="38"/>
      <c r="M405" s="17">
        <v>4</v>
      </c>
      <c r="N405" s="1" t="s">
        <v>153</v>
      </c>
      <c r="O405" s="1">
        <v>25.2</v>
      </c>
      <c r="Q405" s="1">
        <v>68.400000000000006</v>
      </c>
      <c r="R405" s="1">
        <v>9.5</v>
      </c>
      <c r="S405" s="5">
        <f>(R405/3.14159)*100</f>
        <v>302.39464729643271</v>
      </c>
      <c r="T405" s="1" t="s">
        <v>97</v>
      </c>
      <c r="U405" s="1">
        <v>0</v>
      </c>
      <c r="V405" s="1">
        <v>100</v>
      </c>
      <c r="W405" s="1">
        <v>0</v>
      </c>
      <c r="X405" s="1">
        <f>100-U405</f>
        <v>100</v>
      </c>
      <c r="Y405" s="1">
        <v>0</v>
      </c>
      <c r="Z405" s="1">
        <v>0</v>
      </c>
      <c r="AA405" s="1" t="s">
        <v>45</v>
      </c>
      <c r="AB405" s="10">
        <v>2</v>
      </c>
      <c r="AG405" s="1">
        <v>1</v>
      </c>
      <c r="AI405" s="1" t="s">
        <v>53</v>
      </c>
      <c r="AJ405">
        <v>2</v>
      </c>
    </row>
    <row r="406" spans="1:37" ht="14.25" customHeight="1" x14ac:dyDescent="0.3">
      <c r="A406" s="1" t="s">
        <v>73</v>
      </c>
      <c r="B406" s="1">
        <v>10</v>
      </c>
      <c r="C406" s="1" t="s">
        <v>702</v>
      </c>
      <c r="D406" s="1">
        <v>354203</v>
      </c>
      <c r="E406" s="1">
        <v>3993449</v>
      </c>
      <c r="F406">
        <v>1819</v>
      </c>
      <c r="G406" s="1">
        <v>21</v>
      </c>
      <c r="H406" s="1">
        <v>111</v>
      </c>
      <c r="I406">
        <v>306</v>
      </c>
      <c r="J406" s="20">
        <v>2</v>
      </c>
      <c r="K406" s="17">
        <v>1</v>
      </c>
      <c r="L406" s="38"/>
      <c r="M406" s="17">
        <v>2</v>
      </c>
      <c r="N406" s="1" t="s">
        <v>153</v>
      </c>
      <c r="O406" s="1">
        <v>19.3</v>
      </c>
      <c r="P406" s="1">
        <v>19.3</v>
      </c>
      <c r="Q406" s="1">
        <v>65.900000000000006</v>
      </c>
      <c r="R406" s="1">
        <v>6.6</v>
      </c>
      <c r="S406" s="5">
        <f>(R406/3.14159)*100</f>
        <v>210.0847023322585</v>
      </c>
      <c r="T406" s="1" t="s">
        <v>95</v>
      </c>
      <c r="U406" s="1">
        <v>99</v>
      </c>
      <c r="V406" s="1">
        <v>0</v>
      </c>
      <c r="W406" s="1">
        <v>1</v>
      </c>
      <c r="X406" s="1">
        <f>100-U406</f>
        <v>1</v>
      </c>
      <c r="Y406" s="1">
        <v>0</v>
      </c>
      <c r="Z406" s="1">
        <v>0</v>
      </c>
      <c r="AA406" s="1" t="s">
        <v>45</v>
      </c>
      <c r="AB406" s="10">
        <v>4</v>
      </c>
      <c r="AE406" s="1">
        <v>0</v>
      </c>
      <c r="AF406" s="1">
        <v>0</v>
      </c>
      <c r="AG406" s="1">
        <v>0</v>
      </c>
      <c r="AI406" s="1" t="s">
        <v>53</v>
      </c>
      <c r="AJ406">
        <v>2</v>
      </c>
    </row>
    <row r="407" spans="1:37" ht="14.25" customHeight="1" x14ac:dyDescent="0.3">
      <c r="A407" s="1" t="s">
        <v>73</v>
      </c>
      <c r="B407" s="1">
        <v>13</v>
      </c>
      <c r="C407" s="1" t="s">
        <v>686</v>
      </c>
      <c r="D407" s="1">
        <v>355162</v>
      </c>
      <c r="E407" s="1">
        <v>3993440</v>
      </c>
      <c r="F407">
        <v>1999</v>
      </c>
      <c r="G407" s="1">
        <v>17</v>
      </c>
      <c r="H407" s="1">
        <v>124</v>
      </c>
      <c r="I407">
        <v>504</v>
      </c>
      <c r="J407" s="20">
        <v>3</v>
      </c>
      <c r="K407" s="17">
        <v>1</v>
      </c>
      <c r="L407" s="38"/>
      <c r="M407" s="17">
        <v>3</v>
      </c>
      <c r="N407" s="1" t="s">
        <v>153</v>
      </c>
      <c r="O407" s="1">
        <v>15</v>
      </c>
      <c r="P407" s="1">
        <v>19.5</v>
      </c>
      <c r="Q407" s="1">
        <v>58.2</v>
      </c>
      <c r="R407" s="1">
        <v>8.1</v>
      </c>
      <c r="S407" s="5">
        <f>(R407/3.14159)*100</f>
        <v>257.83122558959002</v>
      </c>
      <c r="T407" s="1" t="s">
        <v>97</v>
      </c>
      <c r="U407" s="1">
        <v>95</v>
      </c>
      <c r="V407" s="1">
        <v>5</v>
      </c>
      <c r="W407" s="1">
        <v>0</v>
      </c>
      <c r="X407" s="1">
        <f>100-U407</f>
        <v>5</v>
      </c>
      <c r="Y407" s="1">
        <v>0</v>
      </c>
      <c r="Z407" s="1">
        <v>0</v>
      </c>
      <c r="AA407" s="1" t="s">
        <v>45</v>
      </c>
      <c r="AB407" s="10">
        <v>4</v>
      </c>
      <c r="AC407" s="1">
        <v>24.6</v>
      </c>
      <c r="AE407" s="1">
        <v>5</v>
      </c>
      <c r="AF407" s="1">
        <v>0</v>
      </c>
      <c r="AG407" s="1">
        <v>0</v>
      </c>
      <c r="AI407" s="1" t="s">
        <v>51</v>
      </c>
      <c r="AJ407">
        <v>1</v>
      </c>
    </row>
    <row r="408" spans="1:37" ht="14.25" customHeight="1" x14ac:dyDescent="0.3">
      <c r="A408" s="1" t="s">
        <v>73</v>
      </c>
      <c r="B408" s="1">
        <v>13</v>
      </c>
      <c r="C408" s="1" t="s">
        <v>687</v>
      </c>
      <c r="D408" s="1">
        <v>355201</v>
      </c>
      <c r="E408" s="1">
        <v>3993456</v>
      </c>
      <c r="F408">
        <v>1999</v>
      </c>
      <c r="G408" s="1">
        <v>17</v>
      </c>
      <c r="H408" s="1">
        <v>124</v>
      </c>
      <c r="I408">
        <v>250</v>
      </c>
      <c r="J408" s="20">
        <v>2</v>
      </c>
      <c r="K408" s="17">
        <v>1</v>
      </c>
      <c r="L408" s="38"/>
      <c r="M408" s="17">
        <v>3</v>
      </c>
      <c r="N408" s="1" t="s">
        <v>153</v>
      </c>
      <c r="O408" s="1">
        <v>1.8</v>
      </c>
      <c r="P408" s="1">
        <v>20</v>
      </c>
      <c r="Q408" s="1">
        <v>45.7</v>
      </c>
      <c r="R408" s="1">
        <v>3.7</v>
      </c>
      <c r="S408" s="5">
        <f>(R408/3.14159)*100</f>
        <v>117.77475736808431</v>
      </c>
      <c r="T408" s="1" t="s">
        <v>102</v>
      </c>
      <c r="U408" s="1">
        <v>50</v>
      </c>
      <c r="V408" s="1">
        <v>50</v>
      </c>
      <c r="W408" s="1">
        <v>0</v>
      </c>
      <c r="X408" s="1">
        <f>100-U408</f>
        <v>50</v>
      </c>
      <c r="Y408" s="1">
        <v>1</v>
      </c>
      <c r="Z408" s="1">
        <v>0</v>
      </c>
      <c r="AA408" s="1" t="s">
        <v>45</v>
      </c>
      <c r="AB408" s="10">
        <v>1</v>
      </c>
      <c r="AC408" s="1">
        <v>32.200000000000003</v>
      </c>
      <c r="AE408" s="1">
        <v>50</v>
      </c>
      <c r="AF408" s="1">
        <v>0</v>
      </c>
      <c r="AG408" s="1">
        <v>0</v>
      </c>
      <c r="AI408" s="1" t="s">
        <v>51</v>
      </c>
      <c r="AJ408">
        <v>1</v>
      </c>
    </row>
    <row r="409" spans="1:37" ht="14.25" customHeight="1" x14ac:dyDescent="0.3">
      <c r="A409" s="1" t="s">
        <v>73</v>
      </c>
      <c r="B409" s="1">
        <v>13</v>
      </c>
      <c r="C409" s="1" t="s">
        <v>688</v>
      </c>
      <c r="D409" s="1">
        <v>355209</v>
      </c>
      <c r="E409" s="1">
        <v>3993447</v>
      </c>
      <c r="F409">
        <v>1999</v>
      </c>
      <c r="G409" s="1">
        <v>17</v>
      </c>
      <c r="H409" s="1">
        <v>124</v>
      </c>
      <c r="I409">
        <v>250</v>
      </c>
      <c r="J409" s="20">
        <v>2</v>
      </c>
      <c r="K409" s="17">
        <v>1</v>
      </c>
      <c r="L409" s="38"/>
      <c r="M409" s="17">
        <v>3</v>
      </c>
      <c r="N409" s="1" t="s">
        <v>153</v>
      </c>
      <c r="O409" s="1">
        <v>26.6</v>
      </c>
      <c r="P409" s="1">
        <v>27.9</v>
      </c>
      <c r="Q409" s="1">
        <v>48.8</v>
      </c>
      <c r="R409" s="1">
        <v>3.4</v>
      </c>
      <c r="S409" s="5">
        <f>(R409/3.14159)*100</f>
        <v>108.22545271661801</v>
      </c>
      <c r="T409" s="1" t="s">
        <v>102</v>
      </c>
      <c r="U409" s="1">
        <v>95</v>
      </c>
      <c r="V409" s="1">
        <v>5</v>
      </c>
      <c r="W409" s="1">
        <v>1</v>
      </c>
      <c r="X409" s="1">
        <f>100-U409</f>
        <v>5</v>
      </c>
      <c r="Y409" s="1">
        <v>0</v>
      </c>
      <c r="Z409" s="1">
        <v>0</v>
      </c>
      <c r="AA409" s="1" t="s">
        <v>45</v>
      </c>
      <c r="AB409" s="10">
        <v>2</v>
      </c>
      <c r="AC409" s="1">
        <v>36.4</v>
      </c>
      <c r="AE409" s="1">
        <v>5</v>
      </c>
      <c r="AF409" s="1">
        <v>0</v>
      </c>
      <c r="AG409" s="1">
        <v>0</v>
      </c>
      <c r="AI409" s="1" t="s">
        <v>51</v>
      </c>
      <c r="AJ409">
        <v>1</v>
      </c>
    </row>
    <row r="410" spans="1:37" ht="14.25" customHeight="1" x14ac:dyDescent="0.3">
      <c r="A410" s="1" t="s">
        <v>73</v>
      </c>
      <c r="B410" s="1">
        <v>13</v>
      </c>
      <c r="C410" s="1" t="s">
        <v>689</v>
      </c>
      <c r="D410" s="1">
        <v>355211</v>
      </c>
      <c r="E410" s="1">
        <v>3993457</v>
      </c>
      <c r="F410">
        <v>1999</v>
      </c>
      <c r="G410" s="1">
        <v>17</v>
      </c>
      <c r="H410" s="1">
        <v>124</v>
      </c>
      <c r="I410">
        <v>250</v>
      </c>
      <c r="J410" s="20">
        <v>2</v>
      </c>
      <c r="K410" s="17">
        <v>1</v>
      </c>
      <c r="L410" s="38"/>
      <c r="M410" s="17">
        <v>3</v>
      </c>
      <c r="N410" s="1" t="s">
        <v>153</v>
      </c>
      <c r="O410" s="1">
        <v>23.2</v>
      </c>
      <c r="P410" s="1">
        <v>27.1</v>
      </c>
      <c r="Q410" s="1">
        <v>51.6</v>
      </c>
      <c r="R410" s="1">
        <v>3.3</v>
      </c>
      <c r="S410" s="5">
        <f>(R410/3.14159)*100</f>
        <v>105.04235116612925</v>
      </c>
      <c r="T410" s="1" t="s">
        <v>102</v>
      </c>
      <c r="U410" s="1">
        <v>95</v>
      </c>
      <c r="V410" s="1">
        <v>5</v>
      </c>
      <c r="W410" s="1">
        <v>1</v>
      </c>
      <c r="X410" s="1">
        <f>100-U410</f>
        <v>5</v>
      </c>
      <c r="Y410" s="1">
        <v>0</v>
      </c>
      <c r="Z410" s="1">
        <v>0</v>
      </c>
      <c r="AA410" s="1" t="s">
        <v>45</v>
      </c>
      <c r="AB410" s="10">
        <v>2</v>
      </c>
      <c r="AC410" s="1">
        <v>36.200000000000003</v>
      </c>
      <c r="AE410" s="1">
        <v>5</v>
      </c>
      <c r="AF410" s="1">
        <v>0</v>
      </c>
      <c r="AG410" s="1">
        <v>0</v>
      </c>
      <c r="AI410" s="1" t="s">
        <v>51</v>
      </c>
      <c r="AJ410">
        <v>1</v>
      </c>
    </row>
    <row r="411" spans="1:37" ht="14.25" customHeight="1" x14ac:dyDescent="0.3">
      <c r="A411" s="1" t="s">
        <v>73</v>
      </c>
      <c r="B411" s="1">
        <v>13</v>
      </c>
      <c r="C411" s="1" t="s">
        <v>690</v>
      </c>
      <c r="D411" s="1">
        <v>355230</v>
      </c>
      <c r="E411" s="1">
        <v>3993469</v>
      </c>
      <c r="F411">
        <v>1999</v>
      </c>
      <c r="G411" s="1">
        <v>17</v>
      </c>
      <c r="H411" s="1">
        <v>124</v>
      </c>
      <c r="I411">
        <v>590</v>
      </c>
      <c r="J411" s="20">
        <v>3</v>
      </c>
      <c r="K411" s="17">
        <v>1</v>
      </c>
      <c r="L411" s="38"/>
      <c r="M411" s="17">
        <v>3</v>
      </c>
      <c r="N411" s="1" t="s">
        <v>153</v>
      </c>
      <c r="O411" s="1">
        <v>14.8</v>
      </c>
      <c r="P411" s="1">
        <v>17.3</v>
      </c>
      <c r="Q411" s="1">
        <v>63.3</v>
      </c>
      <c r="R411" s="1">
        <v>10.9</v>
      </c>
      <c r="S411" s="5">
        <f>(R411/3.14159)*100</f>
        <v>346.9580690032754</v>
      </c>
      <c r="T411" s="1" t="s">
        <v>95</v>
      </c>
      <c r="U411" s="1">
        <v>98</v>
      </c>
      <c r="V411" s="1">
        <v>1</v>
      </c>
      <c r="W411" s="1">
        <v>1</v>
      </c>
      <c r="X411" s="1">
        <f>100-U411</f>
        <v>2</v>
      </c>
      <c r="Y411" s="1">
        <v>0</v>
      </c>
      <c r="Z411" s="1">
        <v>1</v>
      </c>
      <c r="AA411" s="1" t="s">
        <v>45</v>
      </c>
      <c r="AB411" s="10">
        <v>4</v>
      </c>
      <c r="AC411" s="1">
        <v>31.2</v>
      </c>
      <c r="AE411" s="1">
        <v>1</v>
      </c>
      <c r="AF411" s="1">
        <v>0</v>
      </c>
      <c r="AG411" s="1">
        <v>1</v>
      </c>
      <c r="AI411" s="1" t="s">
        <v>51</v>
      </c>
      <c r="AJ411">
        <v>1</v>
      </c>
    </row>
    <row r="412" spans="1:37" ht="14.25" customHeight="1" x14ac:dyDescent="0.3">
      <c r="A412" s="1" t="s">
        <v>73</v>
      </c>
      <c r="B412" s="1">
        <v>13</v>
      </c>
      <c r="C412" s="1" t="s">
        <v>691</v>
      </c>
      <c r="D412" s="1">
        <v>355241</v>
      </c>
      <c r="E412" s="1">
        <v>3993457</v>
      </c>
      <c r="F412">
        <v>1999</v>
      </c>
      <c r="G412" s="1">
        <v>17</v>
      </c>
      <c r="H412" s="1">
        <v>124</v>
      </c>
      <c r="I412">
        <v>201</v>
      </c>
      <c r="J412" s="20">
        <v>2</v>
      </c>
      <c r="K412" s="17">
        <v>1</v>
      </c>
      <c r="L412" s="38"/>
      <c r="M412" s="17">
        <v>3</v>
      </c>
      <c r="N412" s="1" t="s">
        <v>153</v>
      </c>
      <c r="O412" s="1">
        <v>2</v>
      </c>
      <c r="P412" s="1">
        <v>24.5</v>
      </c>
      <c r="Q412" s="1">
        <v>55.3</v>
      </c>
      <c r="R412" s="1">
        <v>4.9000000000000004</v>
      </c>
      <c r="S412" s="5">
        <f>(R412/3.14159)*100</f>
        <v>155.97197597394953</v>
      </c>
      <c r="T412" s="1" t="s">
        <v>102</v>
      </c>
      <c r="U412" s="1">
        <v>75</v>
      </c>
      <c r="V412" s="1">
        <v>25</v>
      </c>
      <c r="W412" s="1">
        <v>0</v>
      </c>
      <c r="X412" s="1">
        <f>100-U412</f>
        <v>25</v>
      </c>
      <c r="Y412" s="1">
        <v>0</v>
      </c>
      <c r="Z412" s="1">
        <v>0</v>
      </c>
      <c r="AA412" s="1" t="s">
        <v>45</v>
      </c>
      <c r="AB412" s="10">
        <v>2</v>
      </c>
      <c r="AC412" s="1">
        <v>50.4</v>
      </c>
      <c r="AE412" s="1">
        <v>25</v>
      </c>
      <c r="AF412" s="1">
        <v>0</v>
      </c>
      <c r="AG412" s="1">
        <v>0</v>
      </c>
      <c r="AI412" s="1" t="s">
        <v>51</v>
      </c>
      <c r="AJ412">
        <v>1</v>
      </c>
      <c r="AK412" s="1" t="s">
        <v>692</v>
      </c>
    </row>
    <row r="413" spans="1:37" ht="14.25" customHeight="1" x14ac:dyDescent="0.3">
      <c r="A413" s="1" t="s">
        <v>73</v>
      </c>
      <c r="B413" s="1">
        <v>13</v>
      </c>
      <c r="C413" s="1" t="s">
        <v>693</v>
      </c>
      <c r="D413" s="1">
        <v>355244</v>
      </c>
      <c r="E413" s="1">
        <v>3993471</v>
      </c>
      <c r="F413">
        <v>1999</v>
      </c>
      <c r="G413" s="1">
        <v>17</v>
      </c>
      <c r="H413" s="1">
        <v>124</v>
      </c>
      <c r="I413">
        <v>396</v>
      </c>
      <c r="J413" s="20">
        <v>3</v>
      </c>
      <c r="K413" s="17">
        <v>1</v>
      </c>
      <c r="L413" s="38"/>
      <c r="M413" s="17">
        <v>3</v>
      </c>
      <c r="N413" s="1" t="s">
        <v>153</v>
      </c>
      <c r="O413" s="1">
        <v>32.6</v>
      </c>
      <c r="P413" s="1">
        <v>32.6</v>
      </c>
      <c r="Q413" s="1">
        <v>50.1</v>
      </c>
      <c r="R413" s="1">
        <v>3.5</v>
      </c>
      <c r="S413" s="5">
        <f>(R413/3.14159)*100</f>
        <v>111.40855426710678</v>
      </c>
      <c r="T413" s="1" t="s">
        <v>102</v>
      </c>
      <c r="U413" s="1">
        <v>99</v>
      </c>
      <c r="V413" s="1">
        <v>1</v>
      </c>
      <c r="W413" s="1">
        <v>0</v>
      </c>
      <c r="X413" s="1">
        <f>100-U413</f>
        <v>1</v>
      </c>
      <c r="Y413" s="1">
        <v>0</v>
      </c>
      <c r="Z413" s="1">
        <v>0</v>
      </c>
      <c r="AA413" s="1" t="s">
        <v>45</v>
      </c>
      <c r="AB413" s="10">
        <v>1</v>
      </c>
      <c r="AC413" s="1">
        <v>43.7</v>
      </c>
      <c r="AE413" s="1">
        <v>1</v>
      </c>
      <c r="AF413" s="1">
        <v>0</v>
      </c>
      <c r="AG413" s="1">
        <v>0</v>
      </c>
      <c r="AI413" s="1" t="s">
        <v>51</v>
      </c>
      <c r="AJ413">
        <v>1</v>
      </c>
    </row>
    <row r="414" spans="1:37" ht="14.25" customHeight="1" x14ac:dyDescent="0.3">
      <c r="A414" s="1" t="s">
        <v>73</v>
      </c>
      <c r="B414" s="1">
        <v>13</v>
      </c>
      <c r="C414" s="1" t="s">
        <v>694</v>
      </c>
      <c r="D414" s="1">
        <v>355247</v>
      </c>
      <c r="E414" s="1">
        <v>3993458</v>
      </c>
      <c r="F414">
        <v>1999</v>
      </c>
      <c r="G414" s="1">
        <v>17</v>
      </c>
      <c r="H414" s="1">
        <v>124</v>
      </c>
      <c r="I414">
        <v>259</v>
      </c>
      <c r="J414" s="20">
        <v>2</v>
      </c>
      <c r="K414" s="17">
        <v>1</v>
      </c>
      <c r="L414" s="38"/>
      <c r="M414" s="17">
        <v>3</v>
      </c>
      <c r="N414" s="1" t="s">
        <v>153</v>
      </c>
      <c r="O414" s="1">
        <v>28.5</v>
      </c>
      <c r="P414" s="1">
        <v>29.5</v>
      </c>
      <c r="Q414" s="1">
        <v>54.7</v>
      </c>
      <c r="R414" s="1">
        <v>3.8</v>
      </c>
      <c r="S414" s="5">
        <f>(R414/3.14159)*100</f>
        <v>120.95785891857307</v>
      </c>
      <c r="T414" s="1" t="s">
        <v>102</v>
      </c>
      <c r="U414" s="1">
        <v>95</v>
      </c>
      <c r="V414" s="1">
        <v>5</v>
      </c>
      <c r="W414" s="1">
        <v>0</v>
      </c>
      <c r="X414" s="1">
        <f>100-U414</f>
        <v>5</v>
      </c>
      <c r="Y414" s="1">
        <v>0</v>
      </c>
      <c r="Z414" s="1">
        <v>0</v>
      </c>
      <c r="AA414" s="1" t="s">
        <v>45</v>
      </c>
      <c r="AB414" s="10">
        <v>2</v>
      </c>
      <c r="AC414" s="1">
        <v>42.2</v>
      </c>
      <c r="AE414" s="1">
        <v>5</v>
      </c>
      <c r="AF414" s="1">
        <v>0</v>
      </c>
      <c r="AG414" s="1">
        <v>0</v>
      </c>
      <c r="AI414" s="1" t="s">
        <v>51</v>
      </c>
      <c r="AJ414">
        <v>1</v>
      </c>
    </row>
    <row r="415" spans="1:37" ht="14.25" customHeight="1" x14ac:dyDescent="0.3">
      <c r="A415" s="1" t="s">
        <v>73</v>
      </c>
      <c r="B415" s="1">
        <v>13</v>
      </c>
      <c r="C415" s="1" t="s">
        <v>695</v>
      </c>
      <c r="D415" s="1">
        <v>355254</v>
      </c>
      <c r="E415" s="1">
        <v>3993453</v>
      </c>
      <c r="F415">
        <v>1999</v>
      </c>
      <c r="G415" s="1">
        <v>17</v>
      </c>
      <c r="H415" s="1">
        <v>124</v>
      </c>
      <c r="I415">
        <v>259</v>
      </c>
      <c r="J415" s="20">
        <v>2</v>
      </c>
      <c r="K415" s="17">
        <v>1</v>
      </c>
      <c r="L415" s="38"/>
      <c r="M415" s="17">
        <v>3</v>
      </c>
      <c r="N415" s="1" t="s">
        <v>153</v>
      </c>
      <c r="O415" s="1">
        <v>29.3</v>
      </c>
      <c r="P415" s="1">
        <v>30.3</v>
      </c>
      <c r="Q415" s="1">
        <v>49.7</v>
      </c>
      <c r="R415" s="1">
        <v>3</v>
      </c>
      <c r="S415" s="5">
        <f>(R415/3.14159)*100</f>
        <v>95.493046514662964</v>
      </c>
      <c r="T415" s="1" t="s">
        <v>102</v>
      </c>
      <c r="U415" s="1">
        <v>95</v>
      </c>
      <c r="V415" s="1">
        <v>5</v>
      </c>
      <c r="W415" s="1">
        <v>0</v>
      </c>
      <c r="X415" s="1">
        <f>100-U415</f>
        <v>5</v>
      </c>
      <c r="Y415" s="1">
        <v>0</v>
      </c>
      <c r="Z415" s="1">
        <v>0</v>
      </c>
      <c r="AA415" s="1" t="s">
        <v>45</v>
      </c>
      <c r="AB415" s="10">
        <v>1</v>
      </c>
      <c r="AC415" s="1">
        <v>38.200000000000003</v>
      </c>
      <c r="AE415" s="1">
        <v>5</v>
      </c>
      <c r="AF415" s="1">
        <v>0</v>
      </c>
      <c r="AG415" s="1">
        <v>0</v>
      </c>
      <c r="AI415" s="1" t="s">
        <v>51</v>
      </c>
      <c r="AJ415">
        <v>1</v>
      </c>
    </row>
    <row r="416" spans="1:37" ht="14.25" customHeight="1" x14ac:dyDescent="0.3">
      <c r="A416" s="1" t="s">
        <v>73</v>
      </c>
      <c r="B416" s="1">
        <v>13</v>
      </c>
      <c r="C416" s="1" t="s">
        <v>696</v>
      </c>
      <c r="D416" s="1">
        <v>355263</v>
      </c>
      <c r="E416" s="1">
        <v>3993459</v>
      </c>
      <c r="F416">
        <v>1999</v>
      </c>
      <c r="G416" s="1">
        <v>17</v>
      </c>
      <c r="H416" s="1">
        <v>124</v>
      </c>
      <c r="I416">
        <v>317</v>
      </c>
      <c r="J416" s="20">
        <v>3</v>
      </c>
      <c r="K416" s="17">
        <v>1</v>
      </c>
      <c r="L416" s="38"/>
      <c r="M416" s="17">
        <v>3</v>
      </c>
      <c r="N416" s="1" t="s">
        <v>153</v>
      </c>
      <c r="O416" s="1">
        <v>17.399999999999999</v>
      </c>
      <c r="P416" s="1">
        <v>36.299999999999997</v>
      </c>
      <c r="Q416" s="1">
        <v>51.8</v>
      </c>
      <c r="R416" s="1">
        <v>3.2</v>
      </c>
      <c r="S416" s="5">
        <f>(R416/3.14159)*100</f>
        <v>101.85924961564051</v>
      </c>
      <c r="T416" s="1" t="s">
        <v>102</v>
      </c>
      <c r="U416" s="1">
        <v>55</v>
      </c>
      <c r="V416" s="1">
        <v>45</v>
      </c>
      <c r="W416" s="1">
        <v>0</v>
      </c>
      <c r="X416" s="1">
        <f>100-U416</f>
        <v>45</v>
      </c>
      <c r="Y416" s="1">
        <v>0</v>
      </c>
      <c r="Z416" s="1">
        <v>0</v>
      </c>
      <c r="AA416" s="1" t="s">
        <v>45</v>
      </c>
      <c r="AB416" s="10">
        <v>2</v>
      </c>
      <c r="AC416" s="1">
        <v>38.4</v>
      </c>
      <c r="AE416" s="1">
        <v>45</v>
      </c>
      <c r="AF416" s="1">
        <v>0</v>
      </c>
      <c r="AG416" s="1">
        <v>0</v>
      </c>
      <c r="AI416" s="1" t="s">
        <v>51</v>
      </c>
      <c r="AJ416">
        <v>1</v>
      </c>
    </row>
    <row r="417" spans="1:37" ht="14.25" customHeight="1" x14ac:dyDescent="0.3">
      <c r="A417" s="1" t="s">
        <v>73</v>
      </c>
      <c r="B417" s="1">
        <v>13</v>
      </c>
      <c r="C417" s="1" t="s">
        <v>697</v>
      </c>
      <c r="D417" s="1">
        <v>355284</v>
      </c>
      <c r="E417" s="1">
        <v>3993457</v>
      </c>
      <c r="F417">
        <v>1999</v>
      </c>
      <c r="G417" s="1">
        <v>17</v>
      </c>
      <c r="H417" s="1">
        <v>124</v>
      </c>
      <c r="I417">
        <v>455</v>
      </c>
      <c r="J417" s="20">
        <v>3</v>
      </c>
      <c r="K417" s="17">
        <v>1</v>
      </c>
      <c r="L417" s="38"/>
      <c r="M417" s="17">
        <v>3</v>
      </c>
      <c r="N417" s="1" t="s">
        <v>153</v>
      </c>
      <c r="O417" s="1">
        <v>8.8000000000000007</v>
      </c>
      <c r="P417" s="1">
        <v>28.6</v>
      </c>
      <c r="Q417" s="1">
        <v>56.2</v>
      </c>
      <c r="R417" s="1">
        <v>3.6</v>
      </c>
      <c r="S417" s="5">
        <f>(R417/3.14159)*100</f>
        <v>114.59165581759557</v>
      </c>
      <c r="T417" s="1" t="s">
        <v>102</v>
      </c>
      <c r="U417" s="1">
        <v>50</v>
      </c>
      <c r="V417" s="1">
        <v>50</v>
      </c>
      <c r="W417" s="1">
        <v>0</v>
      </c>
      <c r="X417" s="1">
        <f>100-U417</f>
        <v>50</v>
      </c>
      <c r="Y417" s="1">
        <v>0</v>
      </c>
      <c r="Z417" s="1">
        <v>0</v>
      </c>
      <c r="AA417" s="1" t="s">
        <v>45</v>
      </c>
      <c r="AB417" s="10">
        <v>2</v>
      </c>
      <c r="AC417" s="1">
        <v>39.4</v>
      </c>
      <c r="AE417" s="1">
        <v>50</v>
      </c>
      <c r="AF417" s="1">
        <v>0</v>
      </c>
      <c r="AG417" s="1">
        <v>0</v>
      </c>
      <c r="AI417" s="1" t="s">
        <v>51</v>
      </c>
      <c r="AJ417">
        <v>1</v>
      </c>
    </row>
    <row r="418" spans="1:37" ht="14.25" customHeight="1" x14ac:dyDescent="0.3">
      <c r="A418" s="1" t="s">
        <v>73</v>
      </c>
      <c r="B418" s="1">
        <v>13</v>
      </c>
      <c r="C418" s="1" t="s">
        <v>698</v>
      </c>
      <c r="D418" s="1">
        <v>355263</v>
      </c>
      <c r="E418" s="1">
        <v>3993454</v>
      </c>
      <c r="F418">
        <v>1999</v>
      </c>
      <c r="G418" s="1">
        <v>17</v>
      </c>
      <c r="H418" s="1">
        <v>124</v>
      </c>
      <c r="I418">
        <v>317</v>
      </c>
      <c r="J418" s="20">
        <v>3</v>
      </c>
      <c r="K418" s="17">
        <v>1</v>
      </c>
      <c r="L418" s="38"/>
      <c r="M418" s="17">
        <v>3</v>
      </c>
      <c r="N418" s="1" t="s">
        <v>153</v>
      </c>
      <c r="O418" s="1">
        <v>6.6</v>
      </c>
      <c r="P418" s="1">
        <v>25.8</v>
      </c>
      <c r="Q418" s="1">
        <v>47.6</v>
      </c>
      <c r="R418" s="1">
        <v>4</v>
      </c>
      <c r="S418" s="5">
        <f>(R418/3.14159)*100</f>
        <v>127.32406201955062</v>
      </c>
      <c r="T418" s="1" t="s">
        <v>102</v>
      </c>
      <c r="U418" s="1">
        <v>70</v>
      </c>
      <c r="V418" s="1">
        <v>30</v>
      </c>
      <c r="W418" s="1">
        <v>0</v>
      </c>
      <c r="X418" s="1">
        <f>100-U418</f>
        <v>30</v>
      </c>
      <c r="Y418" s="1">
        <v>0</v>
      </c>
      <c r="Z418" s="1">
        <v>0</v>
      </c>
      <c r="AA418" s="1" t="s">
        <v>45</v>
      </c>
      <c r="AB418" s="10">
        <v>1</v>
      </c>
      <c r="AC418" s="1">
        <v>35.9</v>
      </c>
      <c r="AE418" s="1">
        <v>30</v>
      </c>
      <c r="AF418" s="1">
        <v>0</v>
      </c>
      <c r="AG418" s="1">
        <v>0</v>
      </c>
      <c r="AI418" s="1" t="s">
        <v>51</v>
      </c>
      <c r="AJ418">
        <v>1</v>
      </c>
    </row>
    <row r="419" spans="1:37" ht="14.25" customHeight="1" x14ac:dyDescent="0.3">
      <c r="A419" s="1" t="s">
        <v>73</v>
      </c>
      <c r="B419" s="1">
        <v>13</v>
      </c>
      <c r="C419" s="1" t="s">
        <v>699</v>
      </c>
      <c r="D419" s="1">
        <v>355261</v>
      </c>
      <c r="E419" s="1">
        <v>3993472</v>
      </c>
      <c r="F419">
        <v>1999</v>
      </c>
      <c r="G419" s="1">
        <v>17</v>
      </c>
      <c r="H419" s="1">
        <v>124</v>
      </c>
      <c r="I419">
        <v>378</v>
      </c>
      <c r="J419" s="20">
        <v>3</v>
      </c>
      <c r="K419" s="17">
        <v>1</v>
      </c>
      <c r="L419" s="38"/>
      <c r="M419" s="17">
        <v>3</v>
      </c>
      <c r="N419" s="1" t="s">
        <v>153</v>
      </c>
      <c r="O419" s="1">
        <v>21.9</v>
      </c>
      <c r="P419" s="1">
        <v>35.1</v>
      </c>
      <c r="Q419" s="1">
        <v>51.4</v>
      </c>
      <c r="R419" s="1">
        <v>4.5</v>
      </c>
      <c r="S419" s="5">
        <f>(R419/3.14159)*100</f>
        <v>143.23956977199444</v>
      </c>
      <c r="T419" s="1" t="s">
        <v>102</v>
      </c>
      <c r="U419" s="1">
        <v>80</v>
      </c>
      <c r="V419" s="1">
        <v>20</v>
      </c>
      <c r="W419" s="1">
        <v>0</v>
      </c>
      <c r="X419" s="1">
        <f>100-U419</f>
        <v>20</v>
      </c>
      <c r="Y419" s="1">
        <v>0</v>
      </c>
      <c r="Z419" s="1">
        <v>0</v>
      </c>
      <c r="AA419" s="1" t="s">
        <v>45</v>
      </c>
      <c r="AB419" s="10">
        <v>2</v>
      </c>
      <c r="AC419" s="1">
        <v>42.6</v>
      </c>
      <c r="AE419" s="1">
        <v>20</v>
      </c>
      <c r="AF419" s="1">
        <v>0</v>
      </c>
      <c r="AG419" s="1">
        <v>0</v>
      </c>
      <c r="AI419" s="1" t="s">
        <v>51</v>
      </c>
      <c r="AJ419">
        <v>1</v>
      </c>
    </row>
    <row r="420" spans="1:37" ht="14.25" customHeight="1" x14ac:dyDescent="0.3">
      <c r="A420" s="1" t="s">
        <v>73</v>
      </c>
      <c r="B420" s="1">
        <v>13</v>
      </c>
      <c r="C420" s="1" t="s">
        <v>700</v>
      </c>
      <c r="D420" s="1">
        <v>355269</v>
      </c>
      <c r="E420" s="1">
        <v>3993438</v>
      </c>
      <c r="F420">
        <v>1999</v>
      </c>
      <c r="G420" s="1">
        <v>17</v>
      </c>
      <c r="H420" s="1">
        <v>124</v>
      </c>
      <c r="I420">
        <v>316</v>
      </c>
      <c r="J420" s="20">
        <v>2</v>
      </c>
      <c r="K420" s="17">
        <v>1</v>
      </c>
      <c r="L420" s="38"/>
      <c r="M420" s="17">
        <v>3</v>
      </c>
      <c r="N420" s="1" t="s">
        <v>153</v>
      </c>
      <c r="O420" s="1">
        <v>21.2</v>
      </c>
      <c r="P420" s="1">
        <v>40.200000000000003</v>
      </c>
      <c r="Q420" s="1">
        <v>67.099999999999994</v>
      </c>
      <c r="R420" s="1">
        <v>11.5</v>
      </c>
      <c r="S420" s="5">
        <f>(R420/3.14159)*100</f>
        <v>366.05667830620803</v>
      </c>
      <c r="T420" s="1" t="s">
        <v>95</v>
      </c>
      <c r="U420" s="1">
        <v>60</v>
      </c>
      <c r="V420" s="1">
        <v>40</v>
      </c>
      <c r="W420" s="1">
        <v>0</v>
      </c>
      <c r="X420" s="1">
        <f>100-U420</f>
        <v>40</v>
      </c>
      <c r="Y420" s="1">
        <v>0</v>
      </c>
      <c r="Z420" s="1">
        <v>1</v>
      </c>
      <c r="AA420" s="1" t="s">
        <v>45</v>
      </c>
      <c r="AB420" s="10">
        <v>4</v>
      </c>
      <c r="AC420" s="1">
        <v>54.4</v>
      </c>
      <c r="AE420" s="1">
        <v>40</v>
      </c>
      <c r="AF420" s="1">
        <v>0</v>
      </c>
      <c r="AG420" s="1">
        <v>1</v>
      </c>
      <c r="AI420" s="1" t="s">
        <v>51</v>
      </c>
      <c r="AJ420">
        <v>1</v>
      </c>
    </row>
    <row r="421" spans="1:37" ht="14.25" customHeight="1" x14ac:dyDescent="0.3">
      <c r="A421" s="1" t="s">
        <v>73</v>
      </c>
      <c r="B421" s="1">
        <v>13</v>
      </c>
      <c r="C421" s="1" t="s">
        <v>710</v>
      </c>
      <c r="D421" s="1">
        <v>355227</v>
      </c>
      <c r="E421" s="1">
        <v>3993423</v>
      </c>
      <c r="F421">
        <v>1999</v>
      </c>
      <c r="G421" s="1">
        <v>17</v>
      </c>
      <c r="H421" s="1">
        <v>124</v>
      </c>
      <c r="I421" s="71">
        <v>221</v>
      </c>
      <c r="J421" s="20">
        <v>2</v>
      </c>
      <c r="K421" s="17">
        <v>1</v>
      </c>
      <c r="L421" s="38"/>
      <c r="M421" s="17">
        <v>3</v>
      </c>
      <c r="N421" s="1" t="s">
        <v>153</v>
      </c>
      <c r="O421" s="1">
        <v>16.899999999999999</v>
      </c>
      <c r="P421" s="1">
        <v>32.799999999999997</v>
      </c>
      <c r="Q421" s="1">
        <v>54.8</v>
      </c>
      <c r="R421" s="1">
        <v>12</v>
      </c>
      <c r="S421" s="5">
        <f>(R421/3.14159)*100</f>
        <v>381.97218605865186</v>
      </c>
      <c r="T421" s="1" t="s">
        <v>97</v>
      </c>
      <c r="U421" s="1">
        <v>85</v>
      </c>
      <c r="V421" s="1">
        <v>15</v>
      </c>
      <c r="W421" s="1">
        <v>0</v>
      </c>
      <c r="X421" s="1">
        <f>100-U421</f>
        <v>15</v>
      </c>
      <c r="Y421" s="1">
        <v>0</v>
      </c>
      <c r="Z421" s="1">
        <v>1</v>
      </c>
      <c r="AA421" s="1" t="s">
        <v>45</v>
      </c>
      <c r="AB421" s="10">
        <v>4</v>
      </c>
      <c r="AC421" s="1">
        <v>40.200000000000003</v>
      </c>
      <c r="AE421" s="1">
        <v>15</v>
      </c>
      <c r="AF421" s="1">
        <v>0</v>
      </c>
      <c r="AG421" s="1">
        <v>1</v>
      </c>
      <c r="AH421" s="1" t="s">
        <v>711</v>
      </c>
      <c r="AI421" s="1" t="s">
        <v>51</v>
      </c>
      <c r="AJ421">
        <v>1</v>
      </c>
    </row>
    <row r="422" spans="1:37" ht="14.25" customHeight="1" x14ac:dyDescent="0.3">
      <c r="A422" s="1" t="s">
        <v>73</v>
      </c>
      <c r="B422" s="1">
        <v>19</v>
      </c>
      <c r="C422" s="1" t="s">
        <v>634</v>
      </c>
      <c r="D422" s="1">
        <v>354001</v>
      </c>
      <c r="E422" s="1">
        <v>3993873</v>
      </c>
      <c r="F422">
        <v>1809</v>
      </c>
      <c r="G422" s="1">
        <v>14</v>
      </c>
      <c r="H422" s="1">
        <v>143</v>
      </c>
      <c r="I422">
        <v>983</v>
      </c>
      <c r="J422" s="20">
        <v>4</v>
      </c>
      <c r="K422" s="17">
        <v>0</v>
      </c>
      <c r="L422" s="38"/>
      <c r="M422" s="17">
        <v>4</v>
      </c>
      <c r="N422" s="1" t="s">
        <v>153</v>
      </c>
      <c r="O422" s="1">
        <v>13.8</v>
      </c>
      <c r="Q422" s="1">
        <v>42.6</v>
      </c>
      <c r="R422" s="1">
        <v>5.0999999999999996</v>
      </c>
      <c r="S422" s="5">
        <f>(R422/3.14159)*100</f>
        <v>162.33817907492701</v>
      </c>
      <c r="T422" s="1" t="s">
        <v>102</v>
      </c>
      <c r="U422" s="1">
        <v>0</v>
      </c>
      <c r="V422" s="1">
        <v>100</v>
      </c>
      <c r="W422">
        <v>0</v>
      </c>
      <c r="X422" s="1">
        <f>100-U422</f>
        <v>100</v>
      </c>
      <c r="Y422" s="1">
        <v>0</v>
      </c>
      <c r="Z422">
        <v>0</v>
      </c>
      <c r="AA422" s="1" t="s">
        <v>45</v>
      </c>
      <c r="AB422" s="10">
        <v>2</v>
      </c>
      <c r="AG422" s="1">
        <v>1</v>
      </c>
      <c r="AH422" s="70">
        <v>38.6</v>
      </c>
      <c r="AI422" s="1" t="s">
        <v>53</v>
      </c>
      <c r="AJ422">
        <v>2</v>
      </c>
    </row>
    <row r="423" spans="1:37" ht="14.25" customHeight="1" x14ac:dyDescent="0.3">
      <c r="A423" s="1" t="s">
        <v>73</v>
      </c>
      <c r="B423" s="1">
        <v>19</v>
      </c>
      <c r="C423" s="1" t="s">
        <v>635</v>
      </c>
      <c r="D423" s="1">
        <v>354003</v>
      </c>
      <c r="E423" s="1">
        <v>3993873</v>
      </c>
      <c r="F423">
        <v>1809</v>
      </c>
      <c r="G423" s="1">
        <v>14</v>
      </c>
      <c r="H423" s="1">
        <v>143</v>
      </c>
      <c r="I423">
        <v>983</v>
      </c>
      <c r="J423" s="20">
        <v>4</v>
      </c>
      <c r="K423" s="17">
        <v>0</v>
      </c>
      <c r="L423" s="38"/>
      <c r="M423" s="17">
        <v>4</v>
      </c>
      <c r="N423" s="1" t="s">
        <v>153</v>
      </c>
      <c r="O423" s="1">
        <v>19.3</v>
      </c>
      <c r="Q423" s="1">
        <v>58.8</v>
      </c>
      <c r="R423" s="1">
        <v>6.2</v>
      </c>
      <c r="S423" s="5">
        <f>(R423/3.14159)*100</f>
        <v>197.35229613030344</v>
      </c>
      <c r="T423" s="1" t="s">
        <v>97</v>
      </c>
      <c r="U423" s="1">
        <v>0</v>
      </c>
      <c r="V423" s="1">
        <v>100</v>
      </c>
      <c r="W423">
        <v>0</v>
      </c>
      <c r="X423" s="1">
        <f>100-U423</f>
        <v>100</v>
      </c>
      <c r="Y423" s="1">
        <v>0</v>
      </c>
      <c r="Z423">
        <v>0</v>
      </c>
      <c r="AA423" s="1" t="s">
        <v>45</v>
      </c>
      <c r="AB423" s="10">
        <v>3</v>
      </c>
      <c r="AG423" s="1">
        <v>1</v>
      </c>
      <c r="AH423" s="70">
        <v>40</v>
      </c>
      <c r="AI423" s="1" t="s">
        <v>53</v>
      </c>
      <c r="AJ423">
        <v>2</v>
      </c>
    </row>
    <row r="424" spans="1:37" ht="14.25" customHeight="1" x14ac:dyDescent="0.3">
      <c r="A424" s="1" t="s">
        <v>73</v>
      </c>
      <c r="B424" s="1">
        <v>19</v>
      </c>
      <c r="C424" s="1" t="s">
        <v>636</v>
      </c>
      <c r="D424" s="1">
        <v>354006</v>
      </c>
      <c r="E424" s="1">
        <v>3993878</v>
      </c>
      <c r="F424">
        <v>1809</v>
      </c>
      <c r="G424" s="1">
        <v>14</v>
      </c>
      <c r="H424" s="1">
        <v>143</v>
      </c>
      <c r="I424">
        <v>987</v>
      </c>
      <c r="J424" s="20">
        <v>4</v>
      </c>
      <c r="K424" s="17">
        <v>0</v>
      </c>
      <c r="L424" s="38"/>
      <c r="M424" s="17">
        <v>4</v>
      </c>
      <c r="N424" s="1" t="s">
        <v>153</v>
      </c>
      <c r="O424" s="1">
        <v>18.5</v>
      </c>
      <c r="Q424" s="1">
        <v>60.8</v>
      </c>
      <c r="R424" s="1">
        <v>6.2</v>
      </c>
      <c r="S424" s="5">
        <f>(R424/3.14159)*100</f>
        <v>197.35229613030344</v>
      </c>
      <c r="T424" s="1" t="s">
        <v>95</v>
      </c>
      <c r="U424" s="1">
        <v>0</v>
      </c>
      <c r="V424" s="1">
        <v>100</v>
      </c>
      <c r="W424">
        <v>0</v>
      </c>
      <c r="X424" s="1">
        <f>100-U424</f>
        <v>100</v>
      </c>
      <c r="Y424" s="1">
        <v>0</v>
      </c>
      <c r="Z424">
        <v>0</v>
      </c>
      <c r="AA424" s="1" t="s">
        <v>45</v>
      </c>
      <c r="AB424" s="10">
        <v>3</v>
      </c>
      <c r="AG424" s="1">
        <v>0</v>
      </c>
      <c r="AH424" s="70">
        <v>35.4</v>
      </c>
      <c r="AI424" s="1" t="s">
        <v>53</v>
      </c>
      <c r="AJ424">
        <v>2</v>
      </c>
    </row>
    <row r="425" spans="1:37" ht="14.25" customHeight="1" x14ac:dyDescent="0.3">
      <c r="A425" s="1" t="s">
        <v>73</v>
      </c>
      <c r="B425" s="70">
        <v>19</v>
      </c>
      <c r="C425" s="1" t="s">
        <v>637</v>
      </c>
      <c r="D425" s="1">
        <v>354011</v>
      </c>
      <c r="E425" s="1">
        <v>3993878</v>
      </c>
      <c r="F425">
        <v>1809</v>
      </c>
      <c r="G425" s="1">
        <v>14</v>
      </c>
      <c r="H425" s="1">
        <v>143</v>
      </c>
      <c r="I425">
        <v>990</v>
      </c>
      <c r="J425" s="20">
        <v>4</v>
      </c>
      <c r="K425" s="17">
        <v>0</v>
      </c>
      <c r="L425" s="38"/>
      <c r="M425" s="17">
        <v>4</v>
      </c>
      <c r="N425" s="1" t="s">
        <v>153</v>
      </c>
      <c r="O425" s="1">
        <v>27.1</v>
      </c>
      <c r="Q425" s="1">
        <v>61.9</v>
      </c>
      <c r="R425" s="1">
        <v>5.3</v>
      </c>
      <c r="S425" s="5">
        <f>(R425/3.14159)*100</f>
        <v>168.70438217590456</v>
      </c>
      <c r="T425" s="1" t="s">
        <v>97</v>
      </c>
      <c r="U425" s="1">
        <v>0</v>
      </c>
      <c r="V425" s="1">
        <v>100</v>
      </c>
      <c r="W425">
        <v>0</v>
      </c>
      <c r="X425" s="1">
        <f>100-U425</f>
        <v>100</v>
      </c>
      <c r="Y425" s="1">
        <v>0</v>
      </c>
      <c r="Z425">
        <v>0</v>
      </c>
      <c r="AA425" s="1" t="s">
        <v>45</v>
      </c>
      <c r="AB425" s="10">
        <v>2</v>
      </c>
      <c r="AG425" s="1">
        <v>1</v>
      </c>
      <c r="AH425" s="70">
        <v>40</v>
      </c>
      <c r="AI425" s="1" t="s">
        <v>53</v>
      </c>
      <c r="AJ425">
        <v>2</v>
      </c>
    </row>
    <row r="426" spans="1:37" ht="14.25" customHeight="1" x14ac:dyDescent="0.3">
      <c r="A426" s="1" t="s">
        <v>73</v>
      </c>
      <c r="B426" s="70">
        <v>19</v>
      </c>
      <c r="C426" s="1" t="s">
        <v>638</v>
      </c>
      <c r="D426" s="1">
        <v>354010</v>
      </c>
      <c r="E426" s="1">
        <v>3993878</v>
      </c>
      <c r="F426">
        <v>1809</v>
      </c>
      <c r="G426" s="1">
        <v>14</v>
      </c>
      <c r="H426" s="1">
        <v>143</v>
      </c>
      <c r="I426">
        <v>990</v>
      </c>
      <c r="J426" s="20">
        <v>4</v>
      </c>
      <c r="K426" s="17">
        <v>0</v>
      </c>
      <c r="L426" s="38"/>
      <c r="M426" s="17">
        <v>4</v>
      </c>
      <c r="N426" s="1" t="s">
        <v>153</v>
      </c>
      <c r="O426" s="1">
        <v>27.6</v>
      </c>
      <c r="Q426" s="1">
        <v>57</v>
      </c>
      <c r="R426" s="1">
        <v>5.8</v>
      </c>
      <c r="S426" s="5">
        <f>(R426/3.14159)*100</f>
        <v>184.61988992834839</v>
      </c>
      <c r="T426" s="1" t="s">
        <v>102</v>
      </c>
      <c r="U426" s="1">
        <v>0</v>
      </c>
      <c r="V426" s="1">
        <v>100</v>
      </c>
      <c r="W426">
        <v>0</v>
      </c>
      <c r="X426" s="1">
        <f>100-U426</f>
        <v>100</v>
      </c>
      <c r="Y426" s="1">
        <v>0</v>
      </c>
      <c r="Z426">
        <v>0</v>
      </c>
      <c r="AA426" s="1" t="s">
        <v>45</v>
      </c>
      <c r="AB426" s="10">
        <v>3</v>
      </c>
      <c r="AG426" s="1">
        <v>1</v>
      </c>
      <c r="AH426" s="1">
        <v>42.5</v>
      </c>
      <c r="AI426" s="1" t="s">
        <v>53</v>
      </c>
      <c r="AJ426">
        <v>2</v>
      </c>
    </row>
    <row r="427" spans="1:37" ht="14.25" customHeight="1" x14ac:dyDescent="0.3">
      <c r="A427" s="1" t="s">
        <v>73</v>
      </c>
      <c r="B427" s="70">
        <v>23</v>
      </c>
      <c r="C427" s="1" t="s">
        <v>624</v>
      </c>
      <c r="D427" s="1">
        <v>353982</v>
      </c>
      <c r="E427" s="1">
        <v>3994063</v>
      </c>
      <c r="F427">
        <v>1782</v>
      </c>
      <c r="G427" s="1">
        <v>27</v>
      </c>
      <c r="H427" s="1">
        <v>175</v>
      </c>
      <c r="I427">
        <v>402</v>
      </c>
      <c r="J427" s="20">
        <v>3</v>
      </c>
      <c r="K427" s="17">
        <v>1</v>
      </c>
      <c r="L427" s="38"/>
      <c r="M427" s="17">
        <v>4</v>
      </c>
      <c r="N427" s="1" t="s">
        <v>153</v>
      </c>
      <c r="O427" s="1">
        <v>10.6</v>
      </c>
      <c r="P427" s="1">
        <v>18.7</v>
      </c>
      <c r="Q427" s="1">
        <v>60.4</v>
      </c>
      <c r="R427" s="1">
        <v>14.2</v>
      </c>
      <c r="S427" s="5">
        <f>(R427/3.14159)*100</f>
        <v>452.00042016940466</v>
      </c>
      <c r="T427" s="1" t="s">
        <v>95</v>
      </c>
      <c r="U427" s="1">
        <v>70</v>
      </c>
      <c r="V427" s="1">
        <v>30</v>
      </c>
      <c r="W427" s="1">
        <v>0</v>
      </c>
      <c r="X427" s="1">
        <f>100-U427</f>
        <v>30</v>
      </c>
      <c r="Y427" s="1">
        <v>0</v>
      </c>
      <c r="Z427" s="1">
        <v>0</v>
      </c>
      <c r="AA427" s="1" t="s">
        <v>45</v>
      </c>
      <c r="AB427" s="10">
        <v>4</v>
      </c>
      <c r="AC427" s="1">
        <v>60.4</v>
      </c>
      <c r="AE427" s="1">
        <v>30</v>
      </c>
      <c r="AF427" s="1">
        <v>0</v>
      </c>
      <c r="AG427" s="1">
        <v>1</v>
      </c>
      <c r="AH427" s="71"/>
      <c r="AI427" s="1" t="s">
        <v>53</v>
      </c>
      <c r="AJ427">
        <v>2</v>
      </c>
    </row>
    <row r="428" spans="1:37" ht="14.25" customHeight="1" x14ac:dyDescent="0.3">
      <c r="A428" s="1" t="s">
        <v>73</v>
      </c>
      <c r="B428" s="1">
        <v>24</v>
      </c>
      <c r="C428" s="1" t="s">
        <v>625</v>
      </c>
      <c r="D428" s="1">
        <v>354207</v>
      </c>
      <c r="E428" s="1">
        <v>3994024</v>
      </c>
      <c r="F428">
        <v>1765</v>
      </c>
      <c r="G428" s="1">
        <v>32</v>
      </c>
      <c r="H428" s="1">
        <v>163</v>
      </c>
      <c r="I428" s="71">
        <v>337</v>
      </c>
      <c r="J428" s="20">
        <v>3</v>
      </c>
      <c r="K428" s="17">
        <v>1</v>
      </c>
      <c r="L428" s="38"/>
      <c r="M428" s="17">
        <v>3</v>
      </c>
      <c r="N428" s="1" t="s">
        <v>153</v>
      </c>
      <c r="O428" s="1">
        <v>11.3</v>
      </c>
      <c r="P428" s="1">
        <v>25.3</v>
      </c>
      <c r="Q428" s="1">
        <v>77</v>
      </c>
      <c r="R428" s="1">
        <v>15</v>
      </c>
      <c r="S428" s="5">
        <f>(R428/3.14159)*100</f>
        <v>477.46523257331478</v>
      </c>
      <c r="T428" s="1" t="s">
        <v>95</v>
      </c>
      <c r="U428" s="1">
        <v>65</v>
      </c>
      <c r="V428" s="1">
        <v>35</v>
      </c>
      <c r="W428" s="1">
        <v>1</v>
      </c>
      <c r="X428" s="1">
        <f>100-U428</f>
        <v>35</v>
      </c>
      <c r="Y428" s="1">
        <v>0</v>
      </c>
      <c r="Z428" s="1">
        <v>1</v>
      </c>
      <c r="AA428" s="1" t="s">
        <v>45</v>
      </c>
      <c r="AB428" s="10">
        <v>4</v>
      </c>
      <c r="AC428" s="1">
        <v>60.4</v>
      </c>
      <c r="AE428" s="1">
        <v>35</v>
      </c>
      <c r="AF428" s="1">
        <v>0</v>
      </c>
      <c r="AG428" s="1">
        <v>1</v>
      </c>
      <c r="AI428" s="1" t="s">
        <v>51</v>
      </c>
      <c r="AJ428">
        <v>1</v>
      </c>
    </row>
    <row r="429" spans="1:37" ht="14.25" customHeight="1" x14ac:dyDescent="0.3">
      <c r="A429" s="1" t="s">
        <v>73</v>
      </c>
      <c r="B429" s="1">
        <v>24</v>
      </c>
      <c r="C429" s="1" t="s">
        <v>626</v>
      </c>
      <c r="D429" s="1">
        <v>354241</v>
      </c>
      <c r="E429" s="1">
        <v>3993983</v>
      </c>
      <c r="F429">
        <v>1765</v>
      </c>
      <c r="G429" s="1">
        <v>32</v>
      </c>
      <c r="H429" s="1">
        <v>163</v>
      </c>
      <c r="I429" s="71">
        <v>265</v>
      </c>
      <c r="J429" s="20">
        <v>2</v>
      </c>
      <c r="K429" s="17">
        <v>1</v>
      </c>
      <c r="L429" s="38"/>
      <c r="M429" s="17">
        <v>3</v>
      </c>
      <c r="N429" s="1" t="s">
        <v>153</v>
      </c>
      <c r="O429" s="1">
        <v>19.899999999999999</v>
      </c>
      <c r="P429" s="1">
        <v>24.7</v>
      </c>
      <c r="Q429" s="1">
        <v>64.5</v>
      </c>
      <c r="R429" s="1">
        <v>7.1</v>
      </c>
      <c r="S429" s="5">
        <f>(R429/3.14159)*100</f>
        <v>226.00021008470233</v>
      </c>
      <c r="T429" s="1" t="s">
        <v>97</v>
      </c>
      <c r="U429" s="1">
        <v>90</v>
      </c>
      <c r="V429" s="1">
        <v>10</v>
      </c>
      <c r="W429" s="1">
        <v>1</v>
      </c>
      <c r="X429" s="1">
        <f>100-U429</f>
        <v>10</v>
      </c>
      <c r="Y429" s="1">
        <v>0</v>
      </c>
      <c r="Z429" s="1">
        <v>0</v>
      </c>
      <c r="AA429" s="1" t="s">
        <v>45</v>
      </c>
      <c r="AB429" s="10">
        <v>4</v>
      </c>
      <c r="AC429" s="1">
        <v>54</v>
      </c>
      <c r="AE429" s="1">
        <v>10</v>
      </c>
      <c r="AF429" s="1">
        <v>0</v>
      </c>
      <c r="AG429" s="1">
        <v>0</v>
      </c>
      <c r="AI429" s="1" t="s">
        <v>51</v>
      </c>
      <c r="AJ429">
        <v>1</v>
      </c>
    </row>
    <row r="430" spans="1:37" ht="14.25" customHeight="1" x14ac:dyDescent="0.3">
      <c r="A430" s="1" t="s">
        <v>73</v>
      </c>
      <c r="B430" s="1">
        <v>24</v>
      </c>
      <c r="C430" s="1" t="s">
        <v>627</v>
      </c>
      <c r="D430" s="70">
        <v>354247</v>
      </c>
      <c r="E430" s="1">
        <v>3993949</v>
      </c>
      <c r="F430">
        <v>1765</v>
      </c>
      <c r="G430" s="1">
        <v>32</v>
      </c>
      <c r="H430" s="1">
        <v>163</v>
      </c>
      <c r="I430" s="71">
        <v>377</v>
      </c>
      <c r="J430" s="20">
        <v>3</v>
      </c>
      <c r="K430" s="17">
        <v>1</v>
      </c>
      <c r="L430" s="38"/>
      <c r="M430" s="17">
        <v>3</v>
      </c>
      <c r="N430" s="1" t="s">
        <v>153</v>
      </c>
      <c r="O430" s="1">
        <v>12.6</v>
      </c>
      <c r="P430" s="1">
        <v>13.6</v>
      </c>
      <c r="Q430" s="1">
        <v>68.5</v>
      </c>
      <c r="R430" s="1">
        <v>8.1999999999999993</v>
      </c>
      <c r="S430" s="5">
        <f>(R430/3.14159)*100</f>
        <v>261.01432714007876</v>
      </c>
      <c r="T430" s="1" t="s">
        <v>97</v>
      </c>
      <c r="U430" s="1">
        <v>95</v>
      </c>
      <c r="V430" s="1">
        <v>5</v>
      </c>
      <c r="W430" s="1">
        <v>1</v>
      </c>
      <c r="X430" s="1">
        <f>100-U430</f>
        <v>5</v>
      </c>
      <c r="Y430" s="1">
        <v>0</v>
      </c>
      <c r="Z430" s="1">
        <v>0</v>
      </c>
      <c r="AA430" s="1" t="s">
        <v>45</v>
      </c>
      <c r="AB430" s="10">
        <v>4</v>
      </c>
      <c r="AC430" s="1">
        <v>60</v>
      </c>
      <c r="AE430" s="1">
        <v>5</v>
      </c>
      <c r="AF430" s="1">
        <v>0</v>
      </c>
      <c r="AG430" s="1">
        <v>0</v>
      </c>
      <c r="AI430" s="1" t="s">
        <v>51</v>
      </c>
      <c r="AJ430">
        <v>1</v>
      </c>
      <c r="AK430" s="1" t="s">
        <v>628</v>
      </c>
    </row>
    <row r="431" spans="1:37" ht="14.25" customHeight="1" x14ac:dyDescent="0.3">
      <c r="A431" s="1" t="s">
        <v>73</v>
      </c>
      <c r="B431" s="1">
        <v>25</v>
      </c>
      <c r="C431" s="1" t="s">
        <v>629</v>
      </c>
      <c r="D431" s="1">
        <v>354373</v>
      </c>
      <c r="E431" s="1">
        <v>3994020</v>
      </c>
      <c r="F431">
        <v>1812</v>
      </c>
      <c r="G431" s="1">
        <v>21</v>
      </c>
      <c r="H431" s="1">
        <v>178</v>
      </c>
      <c r="I431" s="71">
        <v>239</v>
      </c>
      <c r="J431" s="20">
        <v>2</v>
      </c>
      <c r="K431" s="17">
        <v>1</v>
      </c>
      <c r="L431" s="38"/>
      <c r="M431" s="17">
        <v>2</v>
      </c>
      <c r="N431" s="1" t="s">
        <v>153</v>
      </c>
      <c r="O431" s="1">
        <v>11.5</v>
      </c>
      <c r="P431" s="1">
        <v>11.5</v>
      </c>
      <c r="Q431" s="1">
        <v>54.8</v>
      </c>
      <c r="R431" s="1">
        <v>7</v>
      </c>
      <c r="S431" s="5">
        <f>(R431/3.14159)*100</f>
        <v>222.81710853421356</v>
      </c>
      <c r="T431" s="1" t="s">
        <v>95</v>
      </c>
      <c r="U431" s="1">
        <v>98</v>
      </c>
      <c r="V431" s="1">
        <v>1</v>
      </c>
      <c r="W431" s="1">
        <v>1</v>
      </c>
      <c r="X431" s="1">
        <f>100-U431</f>
        <v>2</v>
      </c>
      <c r="Y431" s="1">
        <v>0</v>
      </c>
      <c r="Z431" s="1">
        <v>1</v>
      </c>
      <c r="AA431" s="1" t="s">
        <v>45</v>
      </c>
      <c r="AB431" s="10">
        <v>1</v>
      </c>
      <c r="AC431" s="1">
        <v>20.2</v>
      </c>
      <c r="AE431" s="1">
        <v>1</v>
      </c>
      <c r="AF431" s="1">
        <v>0</v>
      </c>
      <c r="AG431" s="1">
        <v>1</v>
      </c>
      <c r="AI431" s="1" t="s">
        <v>51</v>
      </c>
      <c r="AJ431">
        <v>1</v>
      </c>
      <c r="AK431" s="19" t="s">
        <v>630</v>
      </c>
    </row>
    <row r="432" spans="1:37" ht="14.25" customHeight="1" x14ac:dyDescent="0.3">
      <c r="A432" s="1" t="s">
        <v>73</v>
      </c>
      <c r="B432" s="1">
        <v>25</v>
      </c>
      <c r="C432" s="1" t="s">
        <v>631</v>
      </c>
      <c r="D432" s="1">
        <v>354388</v>
      </c>
      <c r="E432" s="1">
        <v>3994045</v>
      </c>
      <c r="F432">
        <v>1812</v>
      </c>
      <c r="G432" s="1">
        <v>21</v>
      </c>
      <c r="H432" s="1">
        <v>178</v>
      </c>
      <c r="I432" s="71">
        <v>303</v>
      </c>
      <c r="J432" s="20">
        <v>2</v>
      </c>
      <c r="K432" s="17">
        <v>1</v>
      </c>
      <c r="L432" s="38"/>
      <c r="M432" s="17">
        <v>3</v>
      </c>
      <c r="N432" s="1" t="s">
        <v>153</v>
      </c>
      <c r="O432" s="1">
        <v>18.100000000000001</v>
      </c>
      <c r="P432" s="1">
        <v>18.100000000000001</v>
      </c>
      <c r="Q432" s="1">
        <v>58.2</v>
      </c>
      <c r="R432" s="1">
        <v>8.5</v>
      </c>
      <c r="S432" s="5">
        <f>(R432/3.14159)*100</f>
        <v>270.56363179154505</v>
      </c>
      <c r="T432" s="1" t="s">
        <v>95</v>
      </c>
      <c r="U432" s="1">
        <v>100</v>
      </c>
      <c r="V432" s="1">
        <v>0</v>
      </c>
      <c r="W432" s="1">
        <v>0</v>
      </c>
      <c r="X432" s="1">
        <f>100-U432</f>
        <v>0</v>
      </c>
      <c r="Y432" s="1">
        <v>1</v>
      </c>
      <c r="Z432" s="1">
        <v>0</v>
      </c>
      <c r="AA432" s="1" t="s">
        <v>45</v>
      </c>
      <c r="AB432" s="10">
        <v>4</v>
      </c>
      <c r="AE432" s="1">
        <v>0</v>
      </c>
      <c r="AF432" s="1">
        <v>0</v>
      </c>
      <c r="AG432" s="1">
        <v>1</v>
      </c>
      <c r="AI432" s="1" t="s">
        <v>51</v>
      </c>
      <c r="AJ432">
        <v>1</v>
      </c>
      <c r="AK432" s="1" t="s">
        <v>632</v>
      </c>
    </row>
    <row r="433" spans="1:37" ht="14.25" customHeight="1" x14ac:dyDescent="0.3">
      <c r="A433" s="1" t="s">
        <v>73</v>
      </c>
      <c r="B433" s="1">
        <v>25</v>
      </c>
      <c r="C433" s="1" t="s">
        <v>633</v>
      </c>
      <c r="D433" s="1">
        <v>354174</v>
      </c>
      <c r="E433" s="1">
        <v>3994040</v>
      </c>
      <c r="F433">
        <v>1812</v>
      </c>
      <c r="G433" s="1">
        <v>21</v>
      </c>
      <c r="H433" s="1">
        <v>178</v>
      </c>
      <c r="I433">
        <v>482</v>
      </c>
      <c r="J433" s="20">
        <v>3</v>
      </c>
      <c r="K433" s="17">
        <v>1</v>
      </c>
      <c r="L433" s="38"/>
      <c r="M433" s="17">
        <v>3</v>
      </c>
      <c r="N433" s="1" t="s">
        <v>153</v>
      </c>
      <c r="O433" s="1">
        <v>13</v>
      </c>
      <c r="P433" s="1">
        <v>18</v>
      </c>
      <c r="Q433" s="1">
        <v>65.900000000000006</v>
      </c>
      <c r="R433" s="1">
        <v>8.3000000000000007</v>
      </c>
      <c r="S433" s="5">
        <f>(R433/3.14159)*100</f>
        <v>264.19742869056756</v>
      </c>
      <c r="T433" s="1" t="s">
        <v>95</v>
      </c>
      <c r="U433" s="1">
        <v>95</v>
      </c>
      <c r="V433" s="1">
        <v>5</v>
      </c>
      <c r="W433" s="1">
        <v>0</v>
      </c>
      <c r="X433" s="1">
        <f>100-U433</f>
        <v>5</v>
      </c>
      <c r="Y433" s="1">
        <v>0</v>
      </c>
      <c r="Z433" s="1">
        <v>0</v>
      </c>
      <c r="AA433" s="1" t="s">
        <v>45</v>
      </c>
      <c r="AB433" s="10">
        <v>4</v>
      </c>
      <c r="AC433" s="1">
        <v>21.6</v>
      </c>
      <c r="AE433" s="1">
        <v>5</v>
      </c>
      <c r="AF433" s="1">
        <v>0</v>
      </c>
      <c r="AG433" s="1">
        <v>1</v>
      </c>
      <c r="AH433" s="71"/>
      <c r="AI433" s="1" t="s">
        <v>53</v>
      </c>
      <c r="AJ433">
        <v>2</v>
      </c>
    </row>
    <row r="434" spans="1:37" ht="14.25" customHeight="1" x14ac:dyDescent="0.3">
      <c r="A434" s="1" t="s">
        <v>73</v>
      </c>
      <c r="B434" s="1">
        <v>27</v>
      </c>
      <c r="C434" s="1" t="s">
        <v>616</v>
      </c>
      <c r="D434" s="1">
        <v>355226</v>
      </c>
      <c r="E434" s="1">
        <v>3993991</v>
      </c>
      <c r="F434">
        <v>1887</v>
      </c>
      <c r="G434" s="1">
        <v>19</v>
      </c>
      <c r="H434" s="1">
        <v>167</v>
      </c>
      <c r="I434">
        <v>354</v>
      </c>
      <c r="J434" s="20">
        <v>3</v>
      </c>
      <c r="K434" s="17">
        <v>1</v>
      </c>
      <c r="L434" s="38"/>
      <c r="M434" s="17">
        <v>2</v>
      </c>
      <c r="N434" s="1" t="s">
        <v>153</v>
      </c>
      <c r="O434" s="1">
        <v>2.5</v>
      </c>
      <c r="P434" s="1">
        <v>10.4</v>
      </c>
      <c r="Q434" s="1">
        <v>52.3</v>
      </c>
      <c r="R434" s="1">
        <v>4.0999999999999996</v>
      </c>
      <c r="S434" s="5">
        <f>(R434/3.14159)*100</f>
        <v>130.50716357003938</v>
      </c>
      <c r="T434" s="1" t="s">
        <v>97</v>
      </c>
      <c r="U434" s="1">
        <v>85</v>
      </c>
      <c r="V434" s="1">
        <v>15</v>
      </c>
      <c r="W434" s="1">
        <v>0</v>
      </c>
      <c r="X434" s="1">
        <f>100-U434</f>
        <v>15</v>
      </c>
      <c r="Y434" s="1">
        <v>0</v>
      </c>
      <c r="Z434" s="1">
        <v>0</v>
      </c>
      <c r="AA434" s="1" t="s">
        <v>45</v>
      </c>
      <c r="AB434" s="10">
        <v>1</v>
      </c>
      <c r="AC434" s="1">
        <v>29</v>
      </c>
      <c r="AD434" s="1">
        <v>6.5</v>
      </c>
      <c r="AE434" s="1">
        <v>15</v>
      </c>
      <c r="AF434" s="1">
        <v>1</v>
      </c>
      <c r="AG434" s="1">
        <v>0</v>
      </c>
      <c r="AI434" s="1" t="s">
        <v>51</v>
      </c>
      <c r="AJ434">
        <v>1</v>
      </c>
    </row>
    <row r="435" spans="1:37" ht="14.25" customHeight="1" x14ac:dyDescent="0.3">
      <c r="A435" s="1" t="s">
        <v>73</v>
      </c>
      <c r="B435" s="1">
        <v>27</v>
      </c>
      <c r="C435" s="1" t="s">
        <v>617</v>
      </c>
      <c r="D435" s="1">
        <v>355174</v>
      </c>
      <c r="E435" s="1">
        <v>3994021</v>
      </c>
      <c r="F435">
        <v>1887</v>
      </c>
      <c r="G435" s="1">
        <v>19</v>
      </c>
      <c r="H435" s="1">
        <v>167</v>
      </c>
      <c r="I435">
        <v>74</v>
      </c>
      <c r="J435" s="20">
        <v>2</v>
      </c>
      <c r="K435" s="17">
        <v>1</v>
      </c>
      <c r="L435" s="38"/>
      <c r="M435" s="17">
        <v>2</v>
      </c>
      <c r="N435" s="1" t="s">
        <v>153</v>
      </c>
      <c r="O435" s="1">
        <v>16.600000000000001</v>
      </c>
      <c r="P435" s="1">
        <v>16.600000000000001</v>
      </c>
      <c r="Q435" s="1">
        <v>71.3</v>
      </c>
      <c r="R435" s="1">
        <v>12.2</v>
      </c>
      <c r="S435" s="5">
        <f>(R435/3.14159)*100</f>
        <v>388.33838915962934</v>
      </c>
      <c r="T435" s="1" t="s">
        <v>95</v>
      </c>
      <c r="U435" s="1">
        <v>99</v>
      </c>
      <c r="V435" s="1">
        <v>1</v>
      </c>
      <c r="W435" s="1">
        <v>0</v>
      </c>
      <c r="X435" s="1">
        <f>100-U435</f>
        <v>1</v>
      </c>
      <c r="Y435" s="1">
        <v>0</v>
      </c>
      <c r="Z435" s="1">
        <v>0</v>
      </c>
      <c r="AA435" s="1" t="s">
        <v>45</v>
      </c>
      <c r="AB435" s="10">
        <v>4</v>
      </c>
      <c r="AC435" s="1">
        <v>17.600000000000001</v>
      </c>
      <c r="AE435" s="1">
        <v>1</v>
      </c>
      <c r="AF435" s="1">
        <v>0</v>
      </c>
      <c r="AG435" s="1">
        <v>1</v>
      </c>
      <c r="AI435" s="1" t="s">
        <v>51</v>
      </c>
      <c r="AJ435">
        <v>1</v>
      </c>
      <c r="AK435" s="1" t="s">
        <v>618</v>
      </c>
    </row>
    <row r="436" spans="1:37" ht="14.25" customHeight="1" x14ac:dyDescent="0.3">
      <c r="A436" s="1" t="s">
        <v>73</v>
      </c>
      <c r="B436" s="1">
        <v>27</v>
      </c>
      <c r="C436" s="1" t="s">
        <v>619</v>
      </c>
      <c r="D436" s="1">
        <v>355189</v>
      </c>
      <c r="E436" s="1">
        <v>3994029</v>
      </c>
      <c r="F436">
        <v>1887</v>
      </c>
      <c r="G436" s="1">
        <v>19</v>
      </c>
      <c r="H436" s="1">
        <v>167</v>
      </c>
      <c r="I436">
        <v>123</v>
      </c>
      <c r="J436" s="20">
        <v>2</v>
      </c>
      <c r="K436" s="17">
        <v>1</v>
      </c>
      <c r="L436" s="38"/>
      <c r="M436" s="17">
        <v>2</v>
      </c>
      <c r="N436" s="1" t="s">
        <v>153</v>
      </c>
      <c r="O436" s="1">
        <v>15.7</v>
      </c>
      <c r="P436" s="1">
        <v>15.7</v>
      </c>
      <c r="Q436" s="1">
        <v>77.8</v>
      </c>
      <c r="R436" s="1">
        <v>10</v>
      </c>
      <c r="S436" s="5">
        <f>(R436/3.14159)*100</f>
        <v>318.31015504887654</v>
      </c>
      <c r="T436" s="1" t="s">
        <v>95</v>
      </c>
      <c r="U436" s="1">
        <v>98</v>
      </c>
      <c r="V436" s="1">
        <v>1</v>
      </c>
      <c r="W436" s="1">
        <v>1</v>
      </c>
      <c r="X436" s="1">
        <f>100-U436</f>
        <v>2</v>
      </c>
      <c r="Y436" s="1">
        <v>0</v>
      </c>
      <c r="Z436" s="1">
        <v>0</v>
      </c>
      <c r="AA436" s="1" t="s">
        <v>45</v>
      </c>
      <c r="AB436" s="10">
        <v>4</v>
      </c>
      <c r="AC436" s="1">
        <v>24.6</v>
      </c>
      <c r="AE436" s="1">
        <v>1</v>
      </c>
      <c r="AF436" s="1">
        <v>0</v>
      </c>
      <c r="AG436" s="1">
        <v>1</v>
      </c>
      <c r="AI436" s="1" t="s">
        <v>51</v>
      </c>
      <c r="AJ436">
        <v>1</v>
      </c>
      <c r="AK436" s="71"/>
    </row>
    <row r="437" spans="1:37" ht="14.25" customHeight="1" x14ac:dyDescent="0.3">
      <c r="A437" s="1" t="s">
        <v>73</v>
      </c>
      <c r="B437" s="1">
        <v>27</v>
      </c>
      <c r="C437" s="1" t="s">
        <v>620</v>
      </c>
      <c r="D437" s="1">
        <v>355181</v>
      </c>
      <c r="E437" s="1">
        <v>3994063</v>
      </c>
      <c r="F437">
        <v>1887</v>
      </c>
      <c r="G437" s="1">
        <v>19</v>
      </c>
      <c r="H437" s="1">
        <v>167</v>
      </c>
      <c r="I437">
        <v>199</v>
      </c>
      <c r="J437" s="20">
        <v>2</v>
      </c>
      <c r="K437" s="17">
        <v>1</v>
      </c>
      <c r="L437" s="38"/>
      <c r="M437" s="17">
        <v>2</v>
      </c>
      <c r="N437" s="1" t="s">
        <v>153</v>
      </c>
      <c r="O437" s="1">
        <v>15.8</v>
      </c>
      <c r="P437" s="1">
        <v>15.8</v>
      </c>
      <c r="Q437" s="1">
        <v>61.9</v>
      </c>
      <c r="R437" s="1">
        <v>10.5</v>
      </c>
      <c r="S437" s="5">
        <f>(R437/3.14159)*100</f>
        <v>334.22566280132037</v>
      </c>
      <c r="T437" s="1" t="s">
        <v>95</v>
      </c>
      <c r="U437" s="1">
        <v>99</v>
      </c>
      <c r="V437" s="1">
        <v>1</v>
      </c>
      <c r="W437" s="1">
        <v>0</v>
      </c>
      <c r="X437" s="1">
        <f>100-U437</f>
        <v>1</v>
      </c>
      <c r="Y437" s="1">
        <v>0</v>
      </c>
      <c r="Z437" s="1">
        <v>0</v>
      </c>
      <c r="AA437" s="1" t="s">
        <v>45</v>
      </c>
      <c r="AB437" s="10">
        <v>4</v>
      </c>
      <c r="AC437" s="1">
        <v>21.4</v>
      </c>
      <c r="AE437" s="1">
        <v>1</v>
      </c>
      <c r="AF437" s="1">
        <v>0</v>
      </c>
      <c r="AG437" s="1">
        <v>1</v>
      </c>
      <c r="AI437" s="1" t="s">
        <v>51</v>
      </c>
      <c r="AJ437">
        <v>1</v>
      </c>
      <c r="AK437" s="1" t="s">
        <v>621</v>
      </c>
    </row>
    <row r="438" spans="1:37" ht="14.25" customHeight="1" x14ac:dyDescent="0.3">
      <c r="A438" s="1" t="s">
        <v>73</v>
      </c>
      <c r="B438" s="1">
        <v>27</v>
      </c>
      <c r="C438" s="1" t="s">
        <v>622</v>
      </c>
      <c r="D438" s="1">
        <v>355227</v>
      </c>
      <c r="E438" s="1">
        <v>3994058</v>
      </c>
      <c r="F438">
        <v>1887</v>
      </c>
      <c r="G438" s="1">
        <v>19</v>
      </c>
      <c r="H438" s="1">
        <v>167</v>
      </c>
      <c r="I438">
        <v>285</v>
      </c>
      <c r="J438" s="20">
        <v>2</v>
      </c>
      <c r="K438" s="17">
        <v>1</v>
      </c>
      <c r="L438" s="38"/>
      <c r="M438" s="17">
        <v>2</v>
      </c>
      <c r="N438" s="1" t="s">
        <v>153</v>
      </c>
      <c r="O438" s="1">
        <v>17.399999999999999</v>
      </c>
      <c r="P438" s="1">
        <v>17.399999999999999</v>
      </c>
      <c r="Q438" s="1">
        <v>72.8</v>
      </c>
      <c r="R438" s="1">
        <v>13</v>
      </c>
      <c r="S438" s="5">
        <f>(R438/3.14159)*100</f>
        <v>413.80320156353952</v>
      </c>
      <c r="T438" s="1" t="s">
        <v>95</v>
      </c>
      <c r="U438" s="1">
        <v>95</v>
      </c>
      <c r="V438" s="1">
        <v>5</v>
      </c>
      <c r="W438" s="1">
        <v>0</v>
      </c>
      <c r="X438" s="1">
        <f>100-U438</f>
        <v>5</v>
      </c>
      <c r="Y438" s="1">
        <v>0</v>
      </c>
      <c r="Z438" s="1">
        <v>0</v>
      </c>
      <c r="AA438" s="1" t="s">
        <v>45</v>
      </c>
      <c r="AB438" s="10">
        <v>4</v>
      </c>
      <c r="AC438" s="1">
        <v>45.8</v>
      </c>
      <c r="AE438" s="1">
        <v>5</v>
      </c>
      <c r="AF438" s="1">
        <v>0</v>
      </c>
      <c r="AG438" s="1">
        <v>1</v>
      </c>
      <c r="AI438" s="1" t="s">
        <v>51</v>
      </c>
      <c r="AJ438">
        <v>1</v>
      </c>
      <c r="AK438" s="1" t="s">
        <v>623</v>
      </c>
    </row>
    <row r="439" spans="1:37" ht="14.25" customHeight="1" x14ac:dyDescent="0.3">
      <c r="A439" s="1" t="s">
        <v>73</v>
      </c>
      <c r="B439" s="1">
        <v>30</v>
      </c>
      <c r="C439" s="1" t="s">
        <v>643</v>
      </c>
      <c r="D439" s="1">
        <v>354421</v>
      </c>
      <c r="E439" s="1">
        <v>3994266</v>
      </c>
      <c r="F439">
        <v>1741</v>
      </c>
      <c r="G439" s="1">
        <v>13</v>
      </c>
      <c r="H439" s="1">
        <v>118</v>
      </c>
      <c r="I439">
        <v>428</v>
      </c>
      <c r="J439" s="20">
        <v>3</v>
      </c>
      <c r="K439" s="17">
        <v>0</v>
      </c>
      <c r="L439" s="38"/>
      <c r="M439" s="17">
        <v>3</v>
      </c>
      <c r="N439" s="1" t="s">
        <v>153</v>
      </c>
      <c r="O439" s="1">
        <v>16.8</v>
      </c>
      <c r="Q439" s="1">
        <v>26.3</v>
      </c>
      <c r="R439" s="1">
        <v>10.3</v>
      </c>
      <c r="S439" s="5">
        <f>(R439/3.14159)*100</f>
        <v>327.85945970034282</v>
      </c>
      <c r="T439" s="1" t="s">
        <v>95</v>
      </c>
      <c r="U439" s="1">
        <v>0</v>
      </c>
      <c r="V439" s="1">
        <v>100</v>
      </c>
      <c r="W439">
        <v>0</v>
      </c>
      <c r="X439" s="1">
        <f>100-U439</f>
        <v>100</v>
      </c>
      <c r="Y439" s="1">
        <v>0</v>
      </c>
      <c r="Z439">
        <v>0</v>
      </c>
      <c r="AA439" s="1" t="s">
        <v>45</v>
      </c>
      <c r="AB439" s="10">
        <v>1</v>
      </c>
      <c r="AG439" s="1">
        <v>1</v>
      </c>
      <c r="AI439" s="1" t="s">
        <v>66</v>
      </c>
      <c r="AJ439">
        <v>3</v>
      </c>
      <c r="AK439" s="1" t="s">
        <v>644</v>
      </c>
    </row>
    <row r="440" spans="1:37" ht="14.25" customHeight="1" x14ac:dyDescent="0.3">
      <c r="A440" s="1" t="s">
        <v>73</v>
      </c>
      <c r="B440" s="1">
        <v>30</v>
      </c>
      <c r="C440" s="1" t="s">
        <v>645</v>
      </c>
      <c r="D440" s="1">
        <v>354408</v>
      </c>
      <c r="E440" s="1">
        <v>3994264</v>
      </c>
      <c r="F440">
        <v>1741</v>
      </c>
      <c r="G440" s="1">
        <v>13</v>
      </c>
      <c r="H440" s="1">
        <v>118</v>
      </c>
      <c r="I440">
        <v>588</v>
      </c>
      <c r="J440" s="20">
        <v>3</v>
      </c>
      <c r="K440" s="17">
        <v>1</v>
      </c>
      <c r="L440" s="38"/>
      <c r="M440" s="17">
        <v>3</v>
      </c>
      <c r="N440" s="1" t="s">
        <v>153</v>
      </c>
      <c r="O440" s="1">
        <v>19.5</v>
      </c>
      <c r="P440" s="1">
        <v>21.4</v>
      </c>
      <c r="Q440" s="1">
        <v>51.8</v>
      </c>
      <c r="R440" s="1">
        <v>12.8</v>
      </c>
      <c r="S440" s="5">
        <f>(R440/3.14159)*100</f>
        <v>407.43699846256203</v>
      </c>
      <c r="T440" s="1" t="s">
        <v>95</v>
      </c>
      <c r="U440" s="1">
        <v>85</v>
      </c>
      <c r="V440" s="1">
        <v>14</v>
      </c>
      <c r="W440" s="1">
        <v>1</v>
      </c>
      <c r="X440" s="1">
        <f>100-U440</f>
        <v>15</v>
      </c>
      <c r="Y440" s="1">
        <v>1</v>
      </c>
      <c r="Z440" s="1">
        <v>1</v>
      </c>
      <c r="AA440" s="1" t="s">
        <v>45</v>
      </c>
      <c r="AB440" s="10">
        <v>3</v>
      </c>
      <c r="AC440" s="1">
        <v>36.9</v>
      </c>
      <c r="AE440" s="1">
        <v>14</v>
      </c>
      <c r="AF440" s="1">
        <v>0</v>
      </c>
      <c r="AG440" s="1">
        <v>1</v>
      </c>
      <c r="AI440" s="1" t="s">
        <v>51</v>
      </c>
      <c r="AJ440">
        <v>1</v>
      </c>
      <c r="AK440" s="1" t="s">
        <v>646</v>
      </c>
    </row>
    <row r="441" spans="1:37" ht="14.25" customHeight="1" x14ac:dyDescent="0.3">
      <c r="A441" s="1" t="s">
        <v>73</v>
      </c>
      <c r="B441" s="1">
        <v>30</v>
      </c>
      <c r="C441" s="1" t="s">
        <v>647</v>
      </c>
      <c r="D441" s="1">
        <v>354387</v>
      </c>
      <c r="E441" s="1">
        <v>3994203</v>
      </c>
      <c r="F441">
        <v>1741</v>
      </c>
      <c r="G441" s="1">
        <v>13</v>
      </c>
      <c r="H441" s="1">
        <v>118</v>
      </c>
      <c r="I441">
        <v>512</v>
      </c>
      <c r="J441" s="20">
        <v>3</v>
      </c>
      <c r="K441" s="17">
        <v>1</v>
      </c>
      <c r="L441" s="38"/>
      <c r="M441" s="17">
        <v>3</v>
      </c>
      <c r="N441" s="1" t="s">
        <v>153</v>
      </c>
      <c r="O441" s="1">
        <v>24.5</v>
      </c>
      <c r="P441" s="1">
        <v>35.700000000000003</v>
      </c>
      <c r="Q441" s="1">
        <v>53.1</v>
      </c>
      <c r="R441" s="1">
        <v>3.6</v>
      </c>
      <c r="S441" s="5">
        <f>(R441/3.14159)*100</f>
        <v>114.59165581759557</v>
      </c>
      <c r="T441" s="1" t="s">
        <v>97</v>
      </c>
      <c r="U441" s="1">
        <v>30</v>
      </c>
      <c r="V441" s="1">
        <v>70</v>
      </c>
      <c r="W441" s="1">
        <v>0</v>
      </c>
      <c r="X441" s="1">
        <f>100-U441</f>
        <v>70</v>
      </c>
      <c r="Y441" s="1">
        <v>0</v>
      </c>
      <c r="Z441" s="1">
        <v>0</v>
      </c>
      <c r="AA441" s="1" t="s">
        <v>45</v>
      </c>
      <c r="AB441" s="10">
        <v>2</v>
      </c>
      <c r="AC441" s="1">
        <v>52.4</v>
      </c>
      <c r="AE441" s="1">
        <v>70</v>
      </c>
      <c r="AF441" s="1">
        <v>0</v>
      </c>
      <c r="AG441" s="1">
        <v>0</v>
      </c>
      <c r="AI441" s="1" t="s">
        <v>51</v>
      </c>
      <c r="AJ441">
        <v>1</v>
      </c>
      <c r="AK441" s="1" t="s">
        <v>648</v>
      </c>
    </row>
    <row r="442" spans="1:37" ht="14.25" customHeight="1" x14ac:dyDescent="0.3">
      <c r="A442" s="1" t="s">
        <v>73</v>
      </c>
      <c r="B442" s="1">
        <v>30</v>
      </c>
      <c r="C442" s="1" t="s">
        <v>649</v>
      </c>
      <c r="D442" s="1">
        <v>354394</v>
      </c>
      <c r="E442" s="1">
        <v>3994219</v>
      </c>
      <c r="F442">
        <v>1741</v>
      </c>
      <c r="G442" s="1">
        <v>13</v>
      </c>
      <c r="H442" s="1">
        <v>118</v>
      </c>
      <c r="I442">
        <v>469</v>
      </c>
      <c r="J442" s="20">
        <v>3</v>
      </c>
      <c r="K442" s="17">
        <v>1</v>
      </c>
      <c r="L442" s="38"/>
      <c r="M442" s="17">
        <v>3</v>
      </c>
      <c r="N442" s="1" t="s">
        <v>153</v>
      </c>
      <c r="O442" s="1">
        <v>21.5</v>
      </c>
      <c r="P442" s="1">
        <v>50.5</v>
      </c>
      <c r="Q442" s="1">
        <v>60.6</v>
      </c>
      <c r="R442" s="1">
        <v>6.1</v>
      </c>
      <c r="S442" s="5">
        <f>(R442/3.14159)*100</f>
        <v>194.16919457981467</v>
      </c>
      <c r="T442" s="1" t="s">
        <v>95</v>
      </c>
      <c r="U442" s="1">
        <v>20</v>
      </c>
      <c r="V442" s="1">
        <v>80</v>
      </c>
      <c r="W442" s="1">
        <v>0</v>
      </c>
      <c r="X442" s="1">
        <f>100-U442</f>
        <v>80</v>
      </c>
      <c r="Y442" s="1">
        <v>0</v>
      </c>
      <c r="Z442" s="1">
        <v>1</v>
      </c>
      <c r="AA442" s="1" t="s">
        <v>45</v>
      </c>
      <c r="AB442" s="10">
        <v>2</v>
      </c>
      <c r="AC442" s="1">
        <v>55.4</v>
      </c>
      <c r="AE442" s="1">
        <v>80</v>
      </c>
      <c r="AF442" s="1">
        <v>0</v>
      </c>
      <c r="AG442" s="1">
        <v>1</v>
      </c>
      <c r="AI442" s="1" t="s">
        <v>51</v>
      </c>
      <c r="AJ442">
        <v>1</v>
      </c>
    </row>
    <row r="443" spans="1:37" ht="14.25" customHeight="1" x14ac:dyDescent="0.3">
      <c r="A443" s="1" t="s">
        <v>73</v>
      </c>
      <c r="B443" s="1">
        <v>30</v>
      </c>
      <c r="C443" s="1" t="s">
        <v>650</v>
      </c>
      <c r="D443" s="1">
        <v>354415</v>
      </c>
      <c r="E443" s="1">
        <v>3994197</v>
      </c>
      <c r="F443">
        <v>1741</v>
      </c>
      <c r="G443" s="1">
        <v>13</v>
      </c>
      <c r="H443" s="1">
        <v>118</v>
      </c>
      <c r="I443">
        <v>311</v>
      </c>
      <c r="J443" s="20">
        <v>2</v>
      </c>
      <c r="K443" s="17">
        <v>1</v>
      </c>
      <c r="L443" s="38"/>
      <c r="M443" s="17">
        <v>3</v>
      </c>
      <c r="N443" s="1" t="s">
        <v>153</v>
      </c>
      <c r="O443" s="1">
        <v>17.7</v>
      </c>
      <c r="P443" s="1">
        <v>17.899999999999999</v>
      </c>
      <c r="Q443" s="1">
        <v>59.6</v>
      </c>
      <c r="R443" s="1">
        <v>7.2</v>
      </c>
      <c r="S443" s="5">
        <f>(R443/3.14159)*100</f>
        <v>229.18331163519113</v>
      </c>
      <c r="T443" s="1" t="s">
        <v>95</v>
      </c>
      <c r="U443" s="1">
        <v>99</v>
      </c>
      <c r="V443" s="1">
        <v>1</v>
      </c>
      <c r="W443" s="1">
        <v>0</v>
      </c>
      <c r="X443" s="1">
        <f>100-U443</f>
        <v>1</v>
      </c>
      <c r="Y443" s="1">
        <v>0</v>
      </c>
      <c r="Z443" s="1">
        <v>1</v>
      </c>
      <c r="AA443" s="1" t="s">
        <v>45</v>
      </c>
      <c r="AB443" s="10">
        <v>4</v>
      </c>
      <c r="AC443" s="1">
        <v>17.899999999999999</v>
      </c>
      <c r="AE443" s="1">
        <v>1</v>
      </c>
      <c r="AF443" s="1">
        <v>0</v>
      </c>
      <c r="AG443" s="1">
        <v>1</v>
      </c>
      <c r="AI443" s="1" t="s">
        <v>51</v>
      </c>
      <c r="AJ443">
        <v>1</v>
      </c>
    </row>
    <row r="444" spans="1:37" ht="14.25" customHeight="1" x14ac:dyDescent="0.3">
      <c r="A444" s="1" t="s">
        <v>73</v>
      </c>
      <c r="B444" s="1">
        <v>31</v>
      </c>
      <c r="C444" s="1" t="s">
        <v>639</v>
      </c>
      <c r="D444" s="1">
        <v>354676</v>
      </c>
      <c r="E444" s="1">
        <v>3994240</v>
      </c>
      <c r="F444">
        <v>1791</v>
      </c>
      <c r="G444" s="1">
        <v>14</v>
      </c>
      <c r="H444" s="1">
        <v>133</v>
      </c>
      <c r="I444">
        <v>827</v>
      </c>
      <c r="J444" s="20">
        <v>4</v>
      </c>
      <c r="K444" s="17">
        <v>1</v>
      </c>
      <c r="L444" s="38"/>
      <c r="M444" s="17">
        <v>3</v>
      </c>
      <c r="N444" s="1" t="s">
        <v>94</v>
      </c>
      <c r="O444" s="1">
        <v>25.5</v>
      </c>
      <c r="P444" s="1">
        <v>33.299999999999997</v>
      </c>
      <c r="Q444" s="1">
        <v>45.7</v>
      </c>
      <c r="R444" s="1">
        <v>12.7</v>
      </c>
      <c r="S444" s="5">
        <f>(R444/3.14159)*100</f>
        <v>404.25389691207317</v>
      </c>
      <c r="T444" s="1" t="s">
        <v>95</v>
      </c>
      <c r="U444" s="1">
        <v>55</v>
      </c>
      <c r="V444" s="1">
        <v>40</v>
      </c>
      <c r="W444" s="1">
        <v>5</v>
      </c>
      <c r="X444" s="1">
        <f>100-U444</f>
        <v>45</v>
      </c>
      <c r="Y444" s="1">
        <v>0</v>
      </c>
      <c r="Z444" s="1">
        <v>0</v>
      </c>
      <c r="AA444" s="1" t="s">
        <v>45</v>
      </c>
      <c r="AB444" s="10">
        <v>2</v>
      </c>
      <c r="AC444" s="1">
        <v>44.5</v>
      </c>
      <c r="AE444" s="1">
        <v>40</v>
      </c>
      <c r="AF444" s="1">
        <v>0</v>
      </c>
      <c r="AG444" s="1">
        <v>1</v>
      </c>
      <c r="AH444" s="1">
        <v>43.9</v>
      </c>
      <c r="AI444" s="1" t="s">
        <v>53</v>
      </c>
      <c r="AJ444">
        <v>2</v>
      </c>
      <c r="AK444" s="1" t="s">
        <v>424</v>
      </c>
    </row>
    <row r="445" spans="1:37" ht="14.25" customHeight="1" x14ac:dyDescent="0.3">
      <c r="A445" s="1" t="s">
        <v>73</v>
      </c>
      <c r="B445" s="1">
        <v>31</v>
      </c>
      <c r="C445" s="1" t="s">
        <v>640</v>
      </c>
      <c r="D445" s="1">
        <v>354646</v>
      </c>
      <c r="E445" s="1">
        <v>3994217</v>
      </c>
      <c r="F445">
        <v>1791</v>
      </c>
      <c r="G445" s="1">
        <v>14</v>
      </c>
      <c r="H445" s="1">
        <v>133</v>
      </c>
      <c r="I445">
        <v>269</v>
      </c>
      <c r="J445" s="20">
        <v>2</v>
      </c>
      <c r="K445" s="17">
        <v>1</v>
      </c>
      <c r="L445" s="38"/>
      <c r="M445" s="17">
        <v>3</v>
      </c>
      <c r="N445" s="1" t="s">
        <v>153</v>
      </c>
      <c r="O445" s="1">
        <v>13.8</v>
      </c>
      <c r="P445" s="1">
        <v>13.8</v>
      </c>
      <c r="Q445" s="1">
        <v>46.5</v>
      </c>
      <c r="R445" s="1">
        <v>6</v>
      </c>
      <c r="S445" s="5">
        <f>(R445/3.14159)*100</f>
        <v>190.98609302932593</v>
      </c>
      <c r="T445" s="1" t="s">
        <v>95</v>
      </c>
      <c r="U445" s="1">
        <v>99</v>
      </c>
      <c r="V445" s="1">
        <v>5</v>
      </c>
      <c r="W445" s="1">
        <v>0</v>
      </c>
      <c r="X445" s="1">
        <f>100-U445</f>
        <v>1</v>
      </c>
      <c r="Y445" s="1">
        <v>0</v>
      </c>
      <c r="Z445" s="1">
        <v>0</v>
      </c>
      <c r="AA445" s="1" t="s">
        <v>45</v>
      </c>
      <c r="AB445" s="10">
        <v>3</v>
      </c>
      <c r="AC445" s="1">
        <v>17.3</v>
      </c>
      <c r="AE445" s="1">
        <v>1</v>
      </c>
      <c r="AF445" s="1">
        <v>0</v>
      </c>
      <c r="AG445" s="1">
        <v>0</v>
      </c>
      <c r="AH445" s="1">
        <v>27.2</v>
      </c>
      <c r="AI445" s="1" t="s">
        <v>51</v>
      </c>
      <c r="AJ445">
        <v>1</v>
      </c>
    </row>
    <row r="446" spans="1:37" ht="14.25" customHeight="1" x14ac:dyDescent="0.3">
      <c r="A446" s="1" t="s">
        <v>73</v>
      </c>
      <c r="B446" s="1">
        <v>31</v>
      </c>
      <c r="C446" s="1" t="s">
        <v>641</v>
      </c>
      <c r="D446" s="1">
        <v>354607</v>
      </c>
      <c r="E446" s="1">
        <v>3994216</v>
      </c>
      <c r="F446">
        <v>1791</v>
      </c>
      <c r="G446" s="1">
        <v>14</v>
      </c>
      <c r="H446" s="1">
        <v>133</v>
      </c>
      <c r="I446">
        <v>268</v>
      </c>
      <c r="J446" s="20">
        <v>2</v>
      </c>
      <c r="K446" s="17">
        <v>1</v>
      </c>
      <c r="L446" s="38"/>
      <c r="M446" s="17">
        <v>3</v>
      </c>
      <c r="N446" s="1" t="s">
        <v>153</v>
      </c>
      <c r="O446" s="1">
        <v>18.8</v>
      </c>
      <c r="P446" s="1">
        <v>18.8</v>
      </c>
      <c r="Q446" s="1">
        <v>56.4</v>
      </c>
      <c r="R446" s="1">
        <v>10.3</v>
      </c>
      <c r="S446" s="5">
        <f>(R446/3.14159)*100</f>
        <v>327.85945970034282</v>
      </c>
      <c r="T446" s="1" t="s">
        <v>97</v>
      </c>
      <c r="U446" s="1">
        <v>45</v>
      </c>
      <c r="V446" s="1">
        <v>55</v>
      </c>
      <c r="W446" s="1">
        <v>0</v>
      </c>
      <c r="X446" s="1">
        <f>100-U446</f>
        <v>55</v>
      </c>
      <c r="Y446" s="1">
        <v>1</v>
      </c>
      <c r="Z446" s="1">
        <v>0</v>
      </c>
      <c r="AA446" s="1" t="s">
        <v>45</v>
      </c>
      <c r="AB446" s="10">
        <v>4</v>
      </c>
      <c r="AC446" s="1">
        <v>48.3</v>
      </c>
      <c r="AE446" s="1">
        <v>55</v>
      </c>
      <c r="AF446" s="1">
        <v>0</v>
      </c>
      <c r="AG446" s="1">
        <v>1</v>
      </c>
      <c r="AH446" s="1">
        <v>20.2</v>
      </c>
      <c r="AI446" s="1" t="s">
        <v>51</v>
      </c>
      <c r="AJ446">
        <v>1</v>
      </c>
    </row>
    <row r="447" spans="1:37" ht="14.25" customHeight="1" x14ac:dyDescent="0.3">
      <c r="A447" s="1" t="s">
        <v>73</v>
      </c>
      <c r="B447" s="1">
        <v>31</v>
      </c>
      <c r="C447" s="1" t="s">
        <v>642</v>
      </c>
      <c r="D447" s="1">
        <v>354594</v>
      </c>
      <c r="E447" s="1">
        <v>3994226</v>
      </c>
      <c r="F447">
        <v>1791</v>
      </c>
      <c r="G447" s="1">
        <v>14</v>
      </c>
      <c r="H447" s="1">
        <v>133</v>
      </c>
      <c r="I447">
        <v>268</v>
      </c>
      <c r="J447" s="20">
        <v>2</v>
      </c>
      <c r="K447" s="17">
        <v>1</v>
      </c>
      <c r="L447" s="38"/>
      <c r="M447" s="17">
        <v>3</v>
      </c>
      <c r="N447" s="1" t="s">
        <v>153</v>
      </c>
      <c r="O447" s="1">
        <v>12.3</v>
      </c>
      <c r="P447" s="1">
        <v>12.3</v>
      </c>
      <c r="Q447" s="1">
        <v>46</v>
      </c>
      <c r="R447" s="1">
        <v>14</v>
      </c>
      <c r="S447" s="5">
        <f>(R447/3.14159)*100</f>
        <v>445.63421706842712</v>
      </c>
      <c r="T447" s="1" t="s">
        <v>97</v>
      </c>
      <c r="U447" s="1">
        <v>85</v>
      </c>
      <c r="V447" s="1">
        <v>10</v>
      </c>
      <c r="W447" s="1">
        <v>5</v>
      </c>
      <c r="X447" s="1">
        <f>100-U447</f>
        <v>15</v>
      </c>
      <c r="Y447" s="1">
        <v>1</v>
      </c>
      <c r="Z447" s="1">
        <v>0</v>
      </c>
      <c r="AA447" s="1" t="s">
        <v>45</v>
      </c>
      <c r="AB447" s="10">
        <v>3</v>
      </c>
      <c r="AC447" s="1">
        <v>28</v>
      </c>
      <c r="AE447" s="1">
        <v>10</v>
      </c>
      <c r="AF447" s="1">
        <v>0</v>
      </c>
      <c r="AG447" s="1">
        <v>1</v>
      </c>
      <c r="AH447" s="1">
        <v>21.7</v>
      </c>
      <c r="AI447" s="1" t="s">
        <v>51</v>
      </c>
      <c r="AJ447">
        <v>1</v>
      </c>
      <c r="AK447" s="1" t="s">
        <v>424</v>
      </c>
    </row>
    <row r="448" spans="1:37" ht="14.25" customHeight="1" x14ac:dyDescent="0.3">
      <c r="A448" s="1" t="s">
        <v>73</v>
      </c>
      <c r="B448" s="1">
        <v>33</v>
      </c>
      <c r="C448" s="1" t="s">
        <v>613</v>
      </c>
      <c r="D448" s="1">
        <v>355199</v>
      </c>
      <c r="E448" s="1">
        <v>3994290</v>
      </c>
      <c r="F448">
        <v>1854</v>
      </c>
      <c r="G448" s="1">
        <v>12</v>
      </c>
      <c r="H448" s="1">
        <v>116</v>
      </c>
      <c r="I448">
        <v>247</v>
      </c>
      <c r="J448" s="20">
        <v>2</v>
      </c>
      <c r="K448" s="17">
        <v>1</v>
      </c>
      <c r="L448" s="38"/>
      <c r="M448" s="17">
        <v>2</v>
      </c>
      <c r="N448" s="1" t="s">
        <v>94</v>
      </c>
      <c r="O448" s="1">
        <v>10.7</v>
      </c>
      <c r="P448" s="1">
        <v>10.7</v>
      </c>
      <c r="Q448" s="1">
        <v>60.9</v>
      </c>
      <c r="R448" s="1">
        <v>6</v>
      </c>
      <c r="S448" s="5">
        <f>(R448/3.14159)*100</f>
        <v>190.98609302932593</v>
      </c>
      <c r="T448" s="1" t="s">
        <v>97</v>
      </c>
      <c r="U448" s="1">
        <v>98</v>
      </c>
      <c r="V448" s="1">
        <v>1</v>
      </c>
      <c r="W448" s="1">
        <v>1</v>
      </c>
      <c r="X448" s="1">
        <f>100-U448</f>
        <v>2</v>
      </c>
      <c r="Y448" s="1">
        <v>0</v>
      </c>
      <c r="Z448" s="1">
        <v>0</v>
      </c>
      <c r="AA448" s="1" t="s">
        <v>45</v>
      </c>
      <c r="AB448" s="10">
        <v>2</v>
      </c>
      <c r="AC448" s="1">
        <v>15.4</v>
      </c>
      <c r="AE448" s="1">
        <v>1</v>
      </c>
      <c r="AF448" s="1">
        <v>0</v>
      </c>
      <c r="AG448" s="1">
        <v>0</v>
      </c>
      <c r="AI448" s="1" t="s">
        <v>53</v>
      </c>
      <c r="AJ448">
        <v>2</v>
      </c>
      <c r="AK448" s="19" t="s">
        <v>614</v>
      </c>
    </row>
    <row r="449" spans="1:37" ht="14.25" customHeight="1" x14ac:dyDescent="0.3">
      <c r="A449" s="1" t="s">
        <v>73</v>
      </c>
      <c r="B449" s="1">
        <v>33</v>
      </c>
      <c r="C449" s="1" t="s">
        <v>615</v>
      </c>
      <c r="D449" s="1">
        <v>355190</v>
      </c>
      <c r="E449" s="1">
        <v>3994223</v>
      </c>
      <c r="F449">
        <v>1854</v>
      </c>
      <c r="G449" s="1">
        <v>12</v>
      </c>
      <c r="H449" s="1">
        <v>116</v>
      </c>
      <c r="I449" s="71">
        <v>302</v>
      </c>
      <c r="J449" s="20">
        <v>2</v>
      </c>
      <c r="K449" s="17">
        <v>1</v>
      </c>
      <c r="L449" s="38"/>
      <c r="M449" s="17">
        <v>2</v>
      </c>
      <c r="N449" s="1" t="s">
        <v>153</v>
      </c>
      <c r="O449" s="1">
        <v>13.1</v>
      </c>
      <c r="P449" s="1">
        <v>13.1</v>
      </c>
      <c r="Q449" s="1">
        <v>59.5</v>
      </c>
      <c r="R449" s="1">
        <v>8.8000000000000007</v>
      </c>
      <c r="S449" s="5">
        <f>(R449/3.14159)*100</f>
        <v>280.11293644301134</v>
      </c>
      <c r="T449" s="1" t="s">
        <v>95</v>
      </c>
      <c r="U449" s="1">
        <v>95</v>
      </c>
      <c r="V449" s="1">
        <v>1</v>
      </c>
      <c r="W449" s="1">
        <v>5</v>
      </c>
      <c r="X449" s="1">
        <f>100-U449</f>
        <v>5</v>
      </c>
      <c r="Y449" s="1">
        <v>0</v>
      </c>
      <c r="Z449" s="1">
        <v>0</v>
      </c>
      <c r="AA449" s="1" t="s">
        <v>45</v>
      </c>
      <c r="AB449" s="10">
        <v>4</v>
      </c>
      <c r="AC449" s="1">
        <v>37.299999999999997</v>
      </c>
      <c r="AE449" s="1">
        <v>1</v>
      </c>
      <c r="AF449" s="1">
        <v>0</v>
      </c>
      <c r="AG449" s="1">
        <v>0</v>
      </c>
      <c r="AI449" s="1" t="s">
        <v>380</v>
      </c>
      <c r="AJ449">
        <v>1</v>
      </c>
      <c r="AK449" s="71"/>
    </row>
    <row r="450" spans="1:37" ht="14.25" customHeight="1" x14ac:dyDescent="0.3">
      <c r="A450" s="1" t="s">
        <v>73</v>
      </c>
      <c r="B450" s="1">
        <v>35</v>
      </c>
      <c r="C450" s="1" t="s">
        <v>719</v>
      </c>
      <c r="D450" s="1">
        <v>354817</v>
      </c>
      <c r="E450" s="1">
        <v>3994444</v>
      </c>
      <c r="F450">
        <v>1802</v>
      </c>
      <c r="G450" s="1">
        <v>15</v>
      </c>
      <c r="H450" s="1">
        <v>77</v>
      </c>
      <c r="I450">
        <v>721</v>
      </c>
      <c r="J450" s="20">
        <v>4</v>
      </c>
      <c r="K450" s="17">
        <v>1</v>
      </c>
      <c r="L450" s="38"/>
      <c r="M450" s="17">
        <v>4</v>
      </c>
      <c r="N450" s="1" t="s">
        <v>153</v>
      </c>
      <c r="O450" s="1">
        <v>8.6</v>
      </c>
      <c r="P450" s="1">
        <v>26.6</v>
      </c>
      <c r="Q450" s="1">
        <v>73.5</v>
      </c>
      <c r="R450" s="1">
        <v>14.7</v>
      </c>
      <c r="S450" s="5">
        <f>(R450/3.14159)*100</f>
        <v>467.91592792184849</v>
      </c>
      <c r="T450" s="1" t="s">
        <v>95</v>
      </c>
      <c r="U450" s="1">
        <v>75</v>
      </c>
      <c r="V450" s="1">
        <v>25</v>
      </c>
      <c r="W450" s="1">
        <v>0</v>
      </c>
      <c r="X450" s="1">
        <f>100-U450</f>
        <v>25</v>
      </c>
      <c r="Y450" s="1">
        <v>0</v>
      </c>
      <c r="Z450" s="1">
        <v>0</v>
      </c>
      <c r="AA450" s="1" t="s">
        <v>45</v>
      </c>
      <c r="AB450" s="10">
        <v>4</v>
      </c>
      <c r="AC450" s="1">
        <v>42.4</v>
      </c>
      <c r="AE450" s="1">
        <v>25</v>
      </c>
      <c r="AF450" s="1">
        <v>0</v>
      </c>
      <c r="AG450" s="1">
        <v>1</v>
      </c>
      <c r="AI450" s="1" t="s">
        <v>51</v>
      </c>
      <c r="AJ450">
        <v>1</v>
      </c>
    </row>
    <row r="451" spans="1:37" ht="14.25" customHeight="1" x14ac:dyDescent="0.3">
      <c r="A451" s="1" t="s">
        <v>73</v>
      </c>
      <c r="B451" s="1">
        <v>35</v>
      </c>
      <c r="C451" s="1" t="s">
        <v>720</v>
      </c>
      <c r="D451" s="1">
        <v>354763</v>
      </c>
      <c r="E451" s="1">
        <v>3994464</v>
      </c>
      <c r="F451">
        <v>1802</v>
      </c>
      <c r="G451" s="1">
        <v>15</v>
      </c>
      <c r="H451" s="1">
        <v>77</v>
      </c>
      <c r="I451">
        <v>940</v>
      </c>
      <c r="J451" s="20">
        <v>4</v>
      </c>
      <c r="K451" s="17">
        <v>1</v>
      </c>
      <c r="L451" s="38"/>
      <c r="M451" s="17">
        <v>4</v>
      </c>
      <c r="N451" s="1" t="s">
        <v>153</v>
      </c>
      <c r="O451" s="1">
        <v>17.899999999999999</v>
      </c>
      <c r="P451" s="1">
        <v>36.9</v>
      </c>
      <c r="Q451" s="1">
        <v>52.4</v>
      </c>
      <c r="R451" s="1">
        <v>9.1999999999999993</v>
      </c>
      <c r="S451" s="5">
        <f>(R451/3.14159)*100</f>
        <v>292.84534264496637</v>
      </c>
      <c r="T451" s="1" t="s">
        <v>102</v>
      </c>
      <c r="U451" s="1">
        <v>35</v>
      </c>
      <c r="V451" s="1">
        <v>65</v>
      </c>
      <c r="W451" s="1">
        <v>0</v>
      </c>
      <c r="X451" s="1">
        <f>100-U451</f>
        <v>65</v>
      </c>
      <c r="Y451" s="1">
        <v>0</v>
      </c>
      <c r="Z451" s="1">
        <v>1</v>
      </c>
      <c r="AA451" s="1" t="s">
        <v>45</v>
      </c>
      <c r="AB451" s="10">
        <v>1</v>
      </c>
      <c r="AC451" s="1">
        <v>45</v>
      </c>
      <c r="AE451" s="1">
        <v>65</v>
      </c>
      <c r="AF451" s="1">
        <v>0</v>
      </c>
      <c r="AG451" s="1">
        <v>1</v>
      </c>
      <c r="AH451" s="19" t="s">
        <v>721</v>
      </c>
      <c r="AI451" s="1" t="s">
        <v>51</v>
      </c>
      <c r="AJ451">
        <v>1</v>
      </c>
    </row>
    <row r="452" spans="1:37" ht="14.25" customHeight="1" x14ac:dyDescent="0.3">
      <c r="A452" s="1" t="s">
        <v>73</v>
      </c>
      <c r="B452" s="1">
        <v>35</v>
      </c>
      <c r="C452" s="1" t="s">
        <v>722</v>
      </c>
      <c r="D452" s="1">
        <v>354761</v>
      </c>
      <c r="E452" s="1">
        <v>3994469</v>
      </c>
      <c r="F452">
        <v>1802</v>
      </c>
      <c r="G452" s="1">
        <v>15</v>
      </c>
      <c r="H452" s="1">
        <v>77</v>
      </c>
      <c r="I452">
        <v>940</v>
      </c>
      <c r="J452" s="20">
        <v>4</v>
      </c>
      <c r="K452" s="17">
        <v>1</v>
      </c>
      <c r="L452" s="38"/>
      <c r="M452" s="17">
        <v>4</v>
      </c>
      <c r="N452" s="1" t="s">
        <v>153</v>
      </c>
      <c r="O452" s="1">
        <v>14.5</v>
      </c>
      <c r="P452" s="1">
        <v>47.8</v>
      </c>
      <c r="Q452" s="1">
        <v>70.599999999999994</v>
      </c>
      <c r="R452" s="1">
        <v>10.3</v>
      </c>
      <c r="S452" s="5">
        <f>(R452/3.14159)*100</f>
        <v>327.85945970034282</v>
      </c>
      <c r="T452" s="1" t="s">
        <v>97</v>
      </c>
      <c r="U452" s="1">
        <v>30</v>
      </c>
      <c r="V452" s="1">
        <v>70</v>
      </c>
      <c r="W452" s="1">
        <v>0</v>
      </c>
      <c r="X452" s="1">
        <f>100-U452</f>
        <v>70</v>
      </c>
      <c r="Y452" s="1">
        <v>0</v>
      </c>
      <c r="Z452" s="1">
        <v>1</v>
      </c>
      <c r="AA452" s="1" t="s">
        <v>45</v>
      </c>
      <c r="AB452" s="10">
        <v>4</v>
      </c>
      <c r="AC452" s="1">
        <v>62</v>
      </c>
      <c r="AE452" s="1">
        <v>70</v>
      </c>
      <c r="AF452" s="1">
        <v>0</v>
      </c>
      <c r="AG452" s="1">
        <v>1</v>
      </c>
      <c r="AH452" s="73" t="s">
        <v>723</v>
      </c>
      <c r="AI452" s="1" t="s">
        <v>51</v>
      </c>
      <c r="AJ452">
        <v>1</v>
      </c>
    </row>
    <row r="453" spans="1:37" ht="14.25" customHeight="1" x14ac:dyDescent="0.3">
      <c r="A453" s="1" t="s">
        <v>73</v>
      </c>
      <c r="B453" s="1">
        <v>35</v>
      </c>
      <c r="C453" s="1" t="s">
        <v>724</v>
      </c>
      <c r="D453" s="1">
        <v>354774</v>
      </c>
      <c r="E453" s="1">
        <v>3994461</v>
      </c>
      <c r="F453">
        <v>1802</v>
      </c>
      <c r="G453" s="1">
        <v>15</v>
      </c>
      <c r="H453" s="1">
        <v>77</v>
      </c>
      <c r="I453">
        <v>864</v>
      </c>
      <c r="J453" s="20">
        <v>4</v>
      </c>
      <c r="K453" s="17">
        <v>1</v>
      </c>
      <c r="L453" s="38"/>
      <c r="M453" s="17">
        <v>4</v>
      </c>
      <c r="N453" s="1" t="s">
        <v>153</v>
      </c>
      <c r="O453" s="1">
        <v>19</v>
      </c>
      <c r="P453" s="1">
        <v>29.3</v>
      </c>
      <c r="Q453" s="1">
        <v>74.5</v>
      </c>
      <c r="R453" s="1">
        <v>12</v>
      </c>
      <c r="S453" s="5">
        <f>(R453/3.14159)*100</f>
        <v>381.97218605865186</v>
      </c>
      <c r="T453" s="1" t="s">
        <v>97</v>
      </c>
      <c r="U453" s="1">
        <v>30</v>
      </c>
      <c r="V453" s="1">
        <v>70</v>
      </c>
      <c r="W453" s="1">
        <v>0</v>
      </c>
      <c r="X453" s="1">
        <f>100-U453</f>
        <v>70</v>
      </c>
      <c r="Y453" s="1">
        <v>0</v>
      </c>
      <c r="Z453" s="1">
        <v>1</v>
      </c>
      <c r="AA453" s="1" t="s">
        <v>45</v>
      </c>
      <c r="AB453" s="10">
        <v>4</v>
      </c>
      <c r="AC453" s="1">
        <v>70.599999999999994</v>
      </c>
      <c r="AE453" s="1">
        <v>70</v>
      </c>
      <c r="AF453" s="1">
        <v>0</v>
      </c>
      <c r="AG453" s="1">
        <v>1</v>
      </c>
      <c r="AH453" s="19" t="s">
        <v>725</v>
      </c>
      <c r="AI453" s="1" t="s">
        <v>51</v>
      </c>
      <c r="AJ453">
        <v>1</v>
      </c>
    </row>
    <row r="454" spans="1:37" ht="14.25" customHeight="1" x14ac:dyDescent="0.3">
      <c r="A454" s="1" t="s">
        <v>73</v>
      </c>
      <c r="B454" s="19">
        <v>35</v>
      </c>
      <c r="C454" s="1" t="s">
        <v>726</v>
      </c>
      <c r="D454" s="1">
        <v>354557</v>
      </c>
      <c r="E454" s="1">
        <v>3994454</v>
      </c>
      <c r="F454">
        <v>1802</v>
      </c>
      <c r="G454" s="1">
        <v>15</v>
      </c>
      <c r="H454" s="1">
        <v>77</v>
      </c>
      <c r="I454">
        <v>1114</v>
      </c>
      <c r="J454" s="20">
        <v>4</v>
      </c>
      <c r="K454" s="17">
        <v>0</v>
      </c>
      <c r="L454" s="38"/>
      <c r="M454" s="17">
        <v>4</v>
      </c>
      <c r="N454" s="1" t="s">
        <v>153</v>
      </c>
      <c r="O454" s="1">
        <v>19.899999999999999</v>
      </c>
      <c r="Q454" s="1">
        <v>58.1</v>
      </c>
      <c r="R454" s="1">
        <v>5.6</v>
      </c>
      <c r="S454" s="5">
        <f>(R454/3.14159)*100</f>
        <v>178.25368682737084</v>
      </c>
      <c r="T454" s="1" t="s">
        <v>97</v>
      </c>
      <c r="U454" s="1">
        <v>0</v>
      </c>
      <c r="V454" s="1">
        <v>100</v>
      </c>
      <c r="W454" s="1">
        <v>0</v>
      </c>
      <c r="X454" s="1">
        <f>100-U454</f>
        <v>100</v>
      </c>
      <c r="Y454" s="1">
        <v>0</v>
      </c>
      <c r="Z454">
        <v>0</v>
      </c>
      <c r="AA454" s="1" t="s">
        <v>45</v>
      </c>
      <c r="AB454" s="10">
        <v>3</v>
      </c>
      <c r="AG454" s="1">
        <v>0</v>
      </c>
      <c r="AH454" s="19" t="s">
        <v>723</v>
      </c>
      <c r="AI454" s="1" t="s">
        <v>51</v>
      </c>
      <c r="AJ454">
        <v>1</v>
      </c>
    </row>
    <row r="455" spans="1:37" ht="14.25" customHeight="1" x14ac:dyDescent="0.3">
      <c r="A455" s="1" t="s">
        <v>73</v>
      </c>
      <c r="B455" s="19">
        <v>35</v>
      </c>
      <c r="C455" s="1" t="s">
        <v>727</v>
      </c>
      <c r="D455" s="1">
        <v>354591</v>
      </c>
      <c r="E455" s="1">
        <v>3994485</v>
      </c>
      <c r="F455">
        <v>1802</v>
      </c>
      <c r="G455" s="1">
        <v>15</v>
      </c>
      <c r="H455" s="1">
        <v>77</v>
      </c>
      <c r="I455">
        <v>1119</v>
      </c>
      <c r="J455" s="20">
        <v>4</v>
      </c>
      <c r="K455" s="17">
        <v>0</v>
      </c>
      <c r="L455" s="38"/>
      <c r="M455" s="17">
        <v>4</v>
      </c>
      <c r="N455" s="1" t="s">
        <v>153</v>
      </c>
      <c r="O455" s="1">
        <v>6.5</v>
      </c>
      <c r="Q455" s="1">
        <v>56.5</v>
      </c>
      <c r="R455" s="1">
        <v>7.9</v>
      </c>
      <c r="S455" s="5">
        <f>(R455/3.14159)*100</f>
        <v>251.46502248861248</v>
      </c>
      <c r="T455" s="1" t="s">
        <v>95</v>
      </c>
      <c r="U455" s="1">
        <v>0</v>
      </c>
      <c r="V455" s="1">
        <v>100</v>
      </c>
      <c r="W455" s="1">
        <v>0</v>
      </c>
      <c r="X455" s="1">
        <f>100-U455</f>
        <v>100</v>
      </c>
      <c r="Y455" s="1">
        <v>0</v>
      </c>
      <c r="Z455">
        <v>0</v>
      </c>
      <c r="AA455" s="1" t="s">
        <v>45</v>
      </c>
      <c r="AB455" s="10">
        <v>3</v>
      </c>
      <c r="AG455" s="1">
        <v>0</v>
      </c>
      <c r="AI455" s="1" t="s">
        <v>53</v>
      </c>
      <c r="AJ455">
        <v>2</v>
      </c>
    </row>
    <row r="456" spans="1:37" ht="14.25" customHeight="1" x14ac:dyDescent="0.3">
      <c r="A456" s="1" t="s">
        <v>73</v>
      </c>
      <c r="B456" s="19">
        <v>35</v>
      </c>
      <c r="C456" s="1" t="s">
        <v>728</v>
      </c>
      <c r="D456" s="1">
        <v>354685</v>
      </c>
      <c r="E456" s="1">
        <v>3994455</v>
      </c>
      <c r="F456">
        <v>1802</v>
      </c>
      <c r="G456" s="1">
        <v>15</v>
      </c>
      <c r="H456" s="1">
        <v>77</v>
      </c>
      <c r="I456">
        <v>903</v>
      </c>
      <c r="J456" s="20">
        <v>4</v>
      </c>
      <c r="K456" s="17">
        <v>1</v>
      </c>
      <c r="L456" s="38"/>
      <c r="M456" s="17">
        <v>4</v>
      </c>
      <c r="N456" s="1" t="s">
        <v>153</v>
      </c>
      <c r="O456" s="1">
        <v>10.8</v>
      </c>
      <c r="P456" s="1">
        <v>26.2</v>
      </c>
      <c r="Q456" s="1">
        <v>65.599999999999994</v>
      </c>
      <c r="R456" s="1">
        <v>6.7</v>
      </c>
      <c r="S456" s="5">
        <f>(R456/3.14159)*100</f>
        <v>213.26780388274727</v>
      </c>
      <c r="T456" s="1" t="s">
        <v>95</v>
      </c>
      <c r="U456" s="1">
        <v>35</v>
      </c>
      <c r="V456" s="1">
        <v>65</v>
      </c>
      <c r="W456" s="1">
        <v>0</v>
      </c>
      <c r="X456" s="1">
        <f>100-U456</f>
        <v>65</v>
      </c>
      <c r="Y456" s="1">
        <v>0</v>
      </c>
      <c r="Z456" s="1">
        <v>1</v>
      </c>
      <c r="AA456" s="1" t="s">
        <v>45</v>
      </c>
      <c r="AB456" s="10">
        <v>4</v>
      </c>
      <c r="AC456" s="1">
        <v>64.7</v>
      </c>
      <c r="AD456" s="1">
        <v>21.4</v>
      </c>
      <c r="AE456" s="1">
        <v>60</v>
      </c>
      <c r="AF456" s="1">
        <v>5</v>
      </c>
      <c r="AG456" s="1">
        <v>0</v>
      </c>
      <c r="AH456" s="19" t="s">
        <v>723</v>
      </c>
      <c r="AI456" s="1" t="s">
        <v>51</v>
      </c>
      <c r="AJ456">
        <v>1</v>
      </c>
    </row>
    <row r="457" spans="1:37" ht="14.25" customHeight="1" x14ac:dyDescent="0.3">
      <c r="A457" s="1" t="s">
        <v>73</v>
      </c>
      <c r="B457" s="1">
        <v>36</v>
      </c>
      <c r="C457" s="1" t="s">
        <v>712</v>
      </c>
      <c r="D457" s="1">
        <v>354947</v>
      </c>
      <c r="E457" s="1">
        <v>3994499</v>
      </c>
      <c r="F457">
        <v>1821</v>
      </c>
      <c r="G457" s="1">
        <v>11</v>
      </c>
      <c r="H457" s="1">
        <v>81</v>
      </c>
      <c r="I457">
        <v>384</v>
      </c>
      <c r="J457" s="20">
        <v>3</v>
      </c>
      <c r="K457" s="17">
        <v>1</v>
      </c>
      <c r="L457" s="38"/>
      <c r="M457" s="17">
        <v>3</v>
      </c>
      <c r="N457" s="1" t="s">
        <v>153</v>
      </c>
      <c r="O457" s="1">
        <v>26.1</v>
      </c>
      <c r="P457" s="1">
        <v>28.2</v>
      </c>
      <c r="Q457" s="1">
        <v>50.5</v>
      </c>
      <c r="R457" s="1">
        <v>3.2</v>
      </c>
      <c r="S457" s="5">
        <f>(R457/3.14159)*100</f>
        <v>101.85924961564051</v>
      </c>
      <c r="T457" s="1" t="s">
        <v>97</v>
      </c>
      <c r="U457" s="1">
        <v>95</v>
      </c>
      <c r="V457" s="1">
        <v>5</v>
      </c>
      <c r="W457" s="1">
        <v>1</v>
      </c>
      <c r="X457" s="1">
        <f>100-U457</f>
        <v>5</v>
      </c>
      <c r="Y457" s="1">
        <v>0</v>
      </c>
      <c r="Z457" s="1">
        <v>1</v>
      </c>
      <c r="AA457" s="1" t="s">
        <v>45</v>
      </c>
      <c r="AB457" s="10">
        <v>2</v>
      </c>
      <c r="AC457" s="1">
        <v>31.3</v>
      </c>
      <c r="AE457" s="1">
        <v>5</v>
      </c>
      <c r="AF457" s="1">
        <v>0</v>
      </c>
      <c r="AG457" s="1">
        <v>0</v>
      </c>
      <c r="AH457" s="1" t="s">
        <v>713</v>
      </c>
      <c r="AI457" s="1" t="s">
        <v>51</v>
      </c>
      <c r="AJ457">
        <v>1</v>
      </c>
    </row>
    <row r="458" spans="1:37" ht="14.25" customHeight="1" x14ac:dyDescent="0.3">
      <c r="A458" s="1" t="s">
        <v>73</v>
      </c>
      <c r="B458" s="1">
        <v>36</v>
      </c>
      <c r="C458" s="1" t="s">
        <v>714</v>
      </c>
      <c r="D458" s="1">
        <v>354980</v>
      </c>
      <c r="E458" s="1">
        <v>3994484</v>
      </c>
      <c r="F458">
        <v>1821</v>
      </c>
      <c r="G458" s="1">
        <v>11</v>
      </c>
      <c r="H458" s="1">
        <v>81</v>
      </c>
      <c r="I458">
        <v>357</v>
      </c>
      <c r="J458" s="20">
        <v>3</v>
      </c>
      <c r="K458" s="17">
        <v>1</v>
      </c>
      <c r="L458" s="38"/>
      <c r="M458" s="17">
        <v>3</v>
      </c>
      <c r="N458" s="1" t="s">
        <v>153</v>
      </c>
      <c r="O458" s="1">
        <v>26.8</v>
      </c>
      <c r="P458" s="1">
        <v>29.2</v>
      </c>
      <c r="Q458" s="1">
        <v>57.3</v>
      </c>
      <c r="R458" s="1">
        <v>4.2</v>
      </c>
      <c r="S458" s="5">
        <f>(R458/3.14159)*100</f>
        <v>133.69026512052815</v>
      </c>
      <c r="T458" s="1" t="s">
        <v>97</v>
      </c>
      <c r="U458" s="1">
        <v>80</v>
      </c>
      <c r="V458" s="1">
        <v>20</v>
      </c>
      <c r="W458" s="1">
        <v>0</v>
      </c>
      <c r="X458" s="1">
        <f>100-U458</f>
        <v>20</v>
      </c>
      <c r="Y458" s="1">
        <v>0</v>
      </c>
      <c r="Z458" s="1">
        <v>0</v>
      </c>
      <c r="AA458" s="1" t="s">
        <v>45</v>
      </c>
      <c r="AB458" s="10">
        <v>2</v>
      </c>
      <c r="AC458" s="1">
        <v>39.200000000000003</v>
      </c>
      <c r="AE458" s="1">
        <v>20</v>
      </c>
      <c r="AF458" s="1">
        <v>0</v>
      </c>
      <c r="AG458" s="1">
        <v>0</v>
      </c>
      <c r="AI458" s="1" t="s">
        <v>51</v>
      </c>
      <c r="AJ458">
        <v>1</v>
      </c>
    </row>
    <row r="459" spans="1:37" ht="14.25" customHeight="1" x14ac:dyDescent="0.3">
      <c r="A459" s="1" t="s">
        <v>73</v>
      </c>
      <c r="B459" s="1">
        <v>36</v>
      </c>
      <c r="C459" s="1" t="s">
        <v>715</v>
      </c>
      <c r="D459" s="1">
        <v>355014</v>
      </c>
      <c r="E459" s="1">
        <v>3994474</v>
      </c>
      <c r="F459">
        <v>1821</v>
      </c>
      <c r="G459" s="1">
        <v>11</v>
      </c>
      <c r="H459" s="1">
        <v>81</v>
      </c>
      <c r="I459">
        <v>346</v>
      </c>
      <c r="J459" s="20">
        <v>3</v>
      </c>
      <c r="K459" s="17">
        <v>1</v>
      </c>
      <c r="L459" s="38"/>
      <c r="M459" s="17">
        <v>3</v>
      </c>
      <c r="N459" s="1" t="s">
        <v>153</v>
      </c>
      <c r="O459" s="1">
        <v>14.2</v>
      </c>
      <c r="P459" s="1">
        <v>33</v>
      </c>
      <c r="Q459" s="1">
        <v>54.6</v>
      </c>
      <c r="R459" s="1">
        <v>4.2</v>
      </c>
      <c r="S459" s="5">
        <f>(R459/3.14159)*100</f>
        <v>133.69026512052815</v>
      </c>
      <c r="T459" s="1" t="s">
        <v>97</v>
      </c>
      <c r="U459" s="1">
        <v>40</v>
      </c>
      <c r="V459" s="1">
        <v>60</v>
      </c>
      <c r="W459" s="1">
        <v>0</v>
      </c>
      <c r="X459" s="1">
        <f>100-U459</f>
        <v>60</v>
      </c>
      <c r="Y459" s="1">
        <v>0</v>
      </c>
      <c r="Z459" s="1">
        <v>0</v>
      </c>
      <c r="AA459" s="1" t="s">
        <v>45</v>
      </c>
      <c r="AB459" s="10">
        <v>2</v>
      </c>
      <c r="AC459" s="1">
        <v>46.6</v>
      </c>
      <c r="AE459" s="1">
        <v>60</v>
      </c>
      <c r="AF459" s="1">
        <v>0</v>
      </c>
      <c r="AG459" s="1">
        <v>0</v>
      </c>
      <c r="AI459" s="1" t="s">
        <v>51</v>
      </c>
      <c r="AJ459">
        <v>1</v>
      </c>
    </row>
    <row r="460" spans="1:37" ht="14.25" customHeight="1" x14ac:dyDescent="0.3">
      <c r="A460" s="1" t="s">
        <v>73</v>
      </c>
      <c r="B460" s="1">
        <v>36</v>
      </c>
      <c r="C460" s="1" t="s">
        <v>716</v>
      </c>
      <c r="D460" s="1">
        <v>355046</v>
      </c>
      <c r="E460" s="1">
        <v>3994495</v>
      </c>
      <c r="F460">
        <v>1821</v>
      </c>
      <c r="G460" s="1">
        <v>11</v>
      </c>
      <c r="H460" s="1">
        <v>81</v>
      </c>
      <c r="I460">
        <v>795</v>
      </c>
      <c r="J460" s="20">
        <v>4</v>
      </c>
      <c r="K460" s="17">
        <v>1</v>
      </c>
      <c r="L460" s="38"/>
      <c r="M460" s="17">
        <v>2</v>
      </c>
      <c r="N460" s="1" t="s">
        <v>153</v>
      </c>
      <c r="O460" s="1">
        <v>10.1</v>
      </c>
      <c r="P460" s="1">
        <v>15</v>
      </c>
      <c r="Q460" s="1">
        <v>67.099999999999994</v>
      </c>
      <c r="R460" s="1">
        <v>10.1</v>
      </c>
      <c r="S460" s="5">
        <f>(R460/3.14159)*100</f>
        <v>321.49325659936528</v>
      </c>
      <c r="T460" s="1" t="s">
        <v>97</v>
      </c>
      <c r="U460" s="1">
        <v>95</v>
      </c>
      <c r="V460" s="1">
        <v>5</v>
      </c>
      <c r="W460" s="1">
        <v>0</v>
      </c>
      <c r="X460" s="1">
        <f>100-U460</f>
        <v>5</v>
      </c>
      <c r="Y460" s="1">
        <v>0</v>
      </c>
      <c r="Z460" s="1">
        <v>0</v>
      </c>
      <c r="AA460" s="1" t="s">
        <v>45</v>
      </c>
      <c r="AB460" s="10">
        <v>4</v>
      </c>
      <c r="AC460" s="1">
        <v>33.9</v>
      </c>
      <c r="AE460" s="1">
        <v>5</v>
      </c>
      <c r="AF460" s="1">
        <v>0</v>
      </c>
      <c r="AG460" s="1">
        <v>1</v>
      </c>
      <c r="AI460" s="1" t="s">
        <v>51</v>
      </c>
      <c r="AJ460">
        <v>1</v>
      </c>
    </row>
    <row r="461" spans="1:37" ht="14.25" customHeight="1" x14ac:dyDescent="0.3">
      <c r="A461" s="1" t="s">
        <v>73</v>
      </c>
      <c r="B461" s="1">
        <v>36</v>
      </c>
      <c r="C461" s="1" t="s">
        <v>717</v>
      </c>
      <c r="D461" s="1">
        <v>355035</v>
      </c>
      <c r="E461" s="1">
        <v>3994447</v>
      </c>
      <c r="F461">
        <v>1821</v>
      </c>
      <c r="G461" s="1">
        <v>11</v>
      </c>
      <c r="H461" s="1">
        <v>81</v>
      </c>
      <c r="I461">
        <v>309</v>
      </c>
      <c r="J461" s="20">
        <v>2</v>
      </c>
      <c r="K461" s="17">
        <v>1</v>
      </c>
      <c r="L461" s="38"/>
      <c r="M461" s="17">
        <v>2</v>
      </c>
      <c r="N461" s="1" t="s">
        <v>153</v>
      </c>
      <c r="O461" s="1">
        <v>9.1</v>
      </c>
      <c r="P461" s="1">
        <v>9.1</v>
      </c>
      <c r="Q461" s="1">
        <v>68.7</v>
      </c>
      <c r="R461" s="1">
        <v>12.7</v>
      </c>
      <c r="S461" s="5">
        <f>(R461/3.14159)*100</f>
        <v>404.25389691207317</v>
      </c>
      <c r="T461" s="1" t="s">
        <v>95</v>
      </c>
      <c r="U461" s="1">
        <v>95</v>
      </c>
      <c r="V461" s="1">
        <v>5</v>
      </c>
      <c r="W461" s="1">
        <v>1</v>
      </c>
      <c r="X461" s="1">
        <f>100-U461</f>
        <v>5</v>
      </c>
      <c r="Y461" s="1">
        <v>0</v>
      </c>
      <c r="Z461" s="1">
        <v>0</v>
      </c>
      <c r="AA461" s="1" t="s">
        <v>45</v>
      </c>
      <c r="AB461" s="10">
        <v>4</v>
      </c>
      <c r="AC461" s="1">
        <v>33</v>
      </c>
      <c r="AE461" s="1">
        <v>5</v>
      </c>
      <c r="AF461" s="1">
        <v>0</v>
      </c>
      <c r="AG461" s="1">
        <v>1</v>
      </c>
      <c r="AI461" s="1" t="s">
        <v>51</v>
      </c>
      <c r="AJ461">
        <v>1</v>
      </c>
    </row>
    <row r="462" spans="1:37" ht="14.25" customHeight="1" x14ac:dyDescent="0.3">
      <c r="A462" s="1" t="s">
        <v>73</v>
      </c>
      <c r="B462" s="1">
        <v>36</v>
      </c>
      <c r="C462" s="1" t="s">
        <v>718</v>
      </c>
      <c r="D462" s="1">
        <v>354972</v>
      </c>
      <c r="E462" s="1">
        <v>3994396</v>
      </c>
      <c r="F462">
        <v>1821</v>
      </c>
      <c r="G462" s="1">
        <v>11</v>
      </c>
      <c r="H462" s="1">
        <v>81</v>
      </c>
      <c r="I462">
        <v>262</v>
      </c>
      <c r="J462" s="20">
        <v>2</v>
      </c>
      <c r="K462" s="17">
        <v>1</v>
      </c>
      <c r="L462" s="38"/>
      <c r="M462" s="17">
        <v>2</v>
      </c>
      <c r="N462" s="1" t="s">
        <v>153</v>
      </c>
      <c r="O462" s="1">
        <v>22.1</v>
      </c>
      <c r="P462" s="1">
        <v>22.1</v>
      </c>
      <c r="Q462" s="1">
        <v>67.5</v>
      </c>
      <c r="R462" s="1">
        <v>8.8000000000000007</v>
      </c>
      <c r="S462" s="5">
        <f>(R462/3.14159)*100</f>
        <v>280.11293644301134</v>
      </c>
      <c r="T462" s="1" t="s">
        <v>95</v>
      </c>
      <c r="U462" s="1">
        <v>95</v>
      </c>
      <c r="V462" s="1">
        <v>0</v>
      </c>
      <c r="W462" s="1">
        <v>5</v>
      </c>
      <c r="X462" s="1">
        <f>100-U462</f>
        <v>5</v>
      </c>
      <c r="Y462" s="1">
        <v>0</v>
      </c>
      <c r="Z462" s="1">
        <v>1</v>
      </c>
      <c r="AA462" s="1" t="s">
        <v>45</v>
      </c>
      <c r="AB462" s="10">
        <v>4</v>
      </c>
      <c r="AE462" s="1">
        <v>0</v>
      </c>
      <c r="AF462" s="1">
        <v>0</v>
      </c>
      <c r="AG462" s="1">
        <v>1</v>
      </c>
      <c r="AI462" s="1" t="s">
        <v>51</v>
      </c>
      <c r="AJ462">
        <v>1</v>
      </c>
    </row>
    <row r="463" spans="1:37" ht="14.25" customHeight="1" x14ac:dyDescent="0.3">
      <c r="A463" s="1" t="s">
        <v>77</v>
      </c>
      <c r="B463" s="1">
        <v>3</v>
      </c>
      <c r="C463" s="1" t="s">
        <v>511</v>
      </c>
      <c r="D463" s="1">
        <v>353987</v>
      </c>
      <c r="E463" s="1">
        <v>3978108</v>
      </c>
      <c r="F463">
        <v>1841</v>
      </c>
      <c r="G463" s="1">
        <v>24</v>
      </c>
      <c r="H463" s="1">
        <v>178</v>
      </c>
      <c r="I463">
        <v>749</v>
      </c>
      <c r="J463" s="20">
        <v>4</v>
      </c>
      <c r="K463" s="17">
        <v>1</v>
      </c>
      <c r="L463" s="38"/>
      <c r="M463" s="17">
        <v>4</v>
      </c>
      <c r="N463" s="1" t="s">
        <v>153</v>
      </c>
      <c r="O463" s="1">
        <v>28.9</v>
      </c>
      <c r="P463" s="1">
        <v>40.5</v>
      </c>
      <c r="Q463" s="1">
        <v>65.2</v>
      </c>
      <c r="R463" s="1">
        <v>8.1</v>
      </c>
      <c r="S463" s="5">
        <f>(R463/3.14159)*100</f>
        <v>257.83122558959002</v>
      </c>
      <c r="T463" s="1" t="s">
        <v>102</v>
      </c>
      <c r="U463" s="1">
        <v>55</v>
      </c>
      <c r="V463" s="1">
        <v>35</v>
      </c>
      <c r="W463" s="1">
        <v>10</v>
      </c>
      <c r="X463" s="1">
        <f>100-U463</f>
        <v>45</v>
      </c>
      <c r="Y463" s="1">
        <v>0</v>
      </c>
      <c r="Z463" s="1">
        <v>0</v>
      </c>
      <c r="AA463" s="1" t="s">
        <v>45</v>
      </c>
      <c r="AB463" s="10">
        <v>3</v>
      </c>
      <c r="AC463" s="1">
        <v>59.6</v>
      </c>
      <c r="AE463" s="1">
        <v>45</v>
      </c>
      <c r="AF463" s="1">
        <v>0</v>
      </c>
      <c r="AG463" s="1">
        <v>1</v>
      </c>
      <c r="AH463" s="1">
        <v>50</v>
      </c>
      <c r="AI463" s="1" t="s">
        <v>384</v>
      </c>
      <c r="AJ463">
        <v>3</v>
      </c>
      <c r="AK463" s="1" t="s">
        <v>512</v>
      </c>
    </row>
    <row r="464" spans="1:37" ht="14.25" customHeight="1" x14ac:dyDescent="0.3">
      <c r="A464" s="1" t="s">
        <v>77</v>
      </c>
      <c r="B464" s="1">
        <v>3</v>
      </c>
      <c r="C464" s="1" t="s">
        <v>513</v>
      </c>
      <c r="D464" s="1">
        <v>353989</v>
      </c>
      <c r="E464" s="1">
        <v>3978095</v>
      </c>
      <c r="F464">
        <v>1841</v>
      </c>
      <c r="G464" s="1">
        <v>24</v>
      </c>
      <c r="H464" s="1">
        <v>178</v>
      </c>
      <c r="I464">
        <v>602</v>
      </c>
      <c r="J464" s="20">
        <v>3</v>
      </c>
      <c r="K464" s="17">
        <v>1</v>
      </c>
      <c r="L464" s="38"/>
      <c r="M464" s="17">
        <v>4</v>
      </c>
      <c r="N464" s="1" t="s">
        <v>153</v>
      </c>
      <c r="O464" s="1">
        <v>27.7</v>
      </c>
      <c r="P464" s="1">
        <v>50.8</v>
      </c>
      <c r="Q464" s="1">
        <v>66.900000000000006</v>
      </c>
      <c r="R464" s="1">
        <v>13.9</v>
      </c>
      <c r="S464" s="5">
        <f>(R464/3.14159)*100</f>
        <v>442.45111551793838</v>
      </c>
      <c r="T464" s="1" t="s">
        <v>97</v>
      </c>
      <c r="U464" s="1">
        <v>60</v>
      </c>
      <c r="V464" s="1">
        <v>30</v>
      </c>
      <c r="W464" s="1">
        <v>10</v>
      </c>
      <c r="X464" s="1">
        <f>100-U464</f>
        <v>40</v>
      </c>
      <c r="Y464" s="1">
        <v>0</v>
      </c>
      <c r="Z464" s="1">
        <v>0</v>
      </c>
      <c r="AA464" s="1" t="s">
        <v>45</v>
      </c>
      <c r="AB464" s="10">
        <v>3</v>
      </c>
      <c r="AC464" s="1">
        <v>59.8</v>
      </c>
      <c r="AE464" s="1">
        <v>40</v>
      </c>
      <c r="AF464" s="1">
        <v>0</v>
      </c>
      <c r="AG464" s="1">
        <v>1</v>
      </c>
      <c r="AH464" s="1">
        <v>50</v>
      </c>
      <c r="AI464" s="1" t="s">
        <v>384</v>
      </c>
      <c r="AJ464">
        <v>3</v>
      </c>
    </row>
    <row r="465" spans="1:37" ht="14.25" customHeight="1" x14ac:dyDescent="0.3">
      <c r="A465" s="1" t="s">
        <v>77</v>
      </c>
      <c r="B465" s="1">
        <v>3</v>
      </c>
      <c r="C465" s="1" t="s">
        <v>514</v>
      </c>
      <c r="D465" s="1">
        <v>353995</v>
      </c>
      <c r="E465" s="1">
        <v>3978083</v>
      </c>
      <c r="F465">
        <v>1841</v>
      </c>
      <c r="G465" s="1">
        <v>24</v>
      </c>
      <c r="H465" s="1">
        <v>178</v>
      </c>
      <c r="I465">
        <v>536</v>
      </c>
      <c r="J465" s="20">
        <v>3</v>
      </c>
      <c r="K465" s="17">
        <v>1</v>
      </c>
      <c r="L465" s="38"/>
      <c r="M465" s="17">
        <v>4</v>
      </c>
      <c r="N465" s="1" t="s">
        <v>153</v>
      </c>
      <c r="O465" s="1">
        <v>10</v>
      </c>
      <c r="P465" s="1">
        <v>30.6</v>
      </c>
      <c r="Q465" s="1">
        <v>67.5</v>
      </c>
      <c r="R465" s="1">
        <v>16.2</v>
      </c>
      <c r="S465" s="5">
        <f>(R465/3.14159)*100</f>
        <v>515.66245117918004</v>
      </c>
      <c r="T465" s="1" t="s">
        <v>97</v>
      </c>
      <c r="U465" s="1">
        <v>65</v>
      </c>
      <c r="V465" s="1">
        <v>30</v>
      </c>
      <c r="W465" s="1">
        <v>5</v>
      </c>
      <c r="X465" s="1">
        <f>100-U465</f>
        <v>35</v>
      </c>
      <c r="Y465" s="1">
        <v>0</v>
      </c>
      <c r="Z465" s="1">
        <v>0</v>
      </c>
      <c r="AA465" s="1" t="s">
        <v>45</v>
      </c>
      <c r="AB465" s="10">
        <v>4</v>
      </c>
      <c r="AC465" s="1">
        <v>65.900000000000006</v>
      </c>
      <c r="AD465" s="1">
        <v>13.4</v>
      </c>
      <c r="AE465" s="1">
        <v>30</v>
      </c>
      <c r="AF465" s="1">
        <v>5</v>
      </c>
      <c r="AG465" s="1">
        <v>1</v>
      </c>
      <c r="AH465" s="1">
        <v>37</v>
      </c>
      <c r="AI465" s="1" t="s">
        <v>384</v>
      </c>
      <c r="AJ465">
        <v>3</v>
      </c>
    </row>
    <row r="466" spans="1:37" ht="14.25" customHeight="1" x14ac:dyDescent="0.3">
      <c r="A466" s="1" t="s">
        <v>77</v>
      </c>
      <c r="B466" s="1">
        <v>3</v>
      </c>
      <c r="C466" s="1" t="s">
        <v>515</v>
      </c>
      <c r="D466" s="1">
        <v>354013</v>
      </c>
      <c r="E466" s="1">
        <v>3978073</v>
      </c>
      <c r="F466">
        <v>1841</v>
      </c>
      <c r="G466" s="1">
        <v>24</v>
      </c>
      <c r="H466" s="1">
        <v>178</v>
      </c>
      <c r="I466">
        <v>652</v>
      </c>
      <c r="J466" s="20">
        <v>4</v>
      </c>
      <c r="K466" s="17">
        <v>1</v>
      </c>
      <c r="L466" s="38"/>
      <c r="M466" s="17">
        <v>4</v>
      </c>
      <c r="N466" s="1" t="s">
        <v>153</v>
      </c>
      <c r="O466" s="1">
        <v>14.5</v>
      </c>
      <c r="P466" s="1">
        <v>69.2</v>
      </c>
      <c r="Q466" s="1">
        <v>70.599999999999994</v>
      </c>
      <c r="R466" s="1">
        <v>13.8</v>
      </c>
      <c r="S466" s="5">
        <f>(R466/3.14159)*100</f>
        <v>439.26801396744963</v>
      </c>
      <c r="T466" s="1" t="s">
        <v>95</v>
      </c>
      <c r="U466" s="1">
        <v>5</v>
      </c>
      <c r="V466" s="1">
        <v>85</v>
      </c>
      <c r="W466" s="1">
        <v>10</v>
      </c>
      <c r="X466" s="1">
        <f>100-U466</f>
        <v>95</v>
      </c>
      <c r="Y466" s="1">
        <v>0</v>
      </c>
      <c r="Z466" s="1">
        <v>1</v>
      </c>
      <c r="AA466" s="1" t="s">
        <v>45</v>
      </c>
      <c r="AB466" s="10">
        <v>3</v>
      </c>
      <c r="AC466" s="1">
        <v>70.3</v>
      </c>
      <c r="AD466" s="1">
        <v>69.599999999999994</v>
      </c>
      <c r="AE466" s="1">
        <v>30</v>
      </c>
      <c r="AF466" s="1">
        <v>65</v>
      </c>
      <c r="AG466" s="1">
        <v>1</v>
      </c>
      <c r="AH466" s="1">
        <v>35.700000000000003</v>
      </c>
      <c r="AI466" s="1" t="s">
        <v>384</v>
      </c>
      <c r="AJ466">
        <v>3</v>
      </c>
    </row>
    <row r="467" spans="1:37" ht="14.25" customHeight="1" x14ac:dyDescent="0.3">
      <c r="A467" s="1" t="s">
        <v>77</v>
      </c>
      <c r="B467" s="1">
        <v>3</v>
      </c>
      <c r="C467" s="1" t="s">
        <v>516</v>
      </c>
      <c r="D467" s="1">
        <v>353945</v>
      </c>
      <c r="E467" s="1">
        <v>3978047</v>
      </c>
      <c r="F467">
        <v>1841</v>
      </c>
      <c r="G467" s="1">
        <v>24</v>
      </c>
      <c r="H467" s="1">
        <v>178</v>
      </c>
      <c r="I467">
        <v>786</v>
      </c>
      <c r="J467" s="20">
        <v>4</v>
      </c>
      <c r="K467" s="17">
        <v>0</v>
      </c>
      <c r="L467" s="38"/>
      <c r="M467" s="17">
        <v>4</v>
      </c>
      <c r="N467" s="1" t="s">
        <v>153</v>
      </c>
      <c r="O467" s="1">
        <v>12.6</v>
      </c>
      <c r="Q467" s="1">
        <v>40.1</v>
      </c>
      <c r="R467" s="1">
        <v>8.6999999999999993</v>
      </c>
      <c r="S467" s="5">
        <f>(R467/3.14159)*100</f>
        <v>276.92983489252254</v>
      </c>
      <c r="T467" s="1" t="s">
        <v>95</v>
      </c>
      <c r="U467" s="1">
        <v>0</v>
      </c>
      <c r="V467" s="1">
        <v>100</v>
      </c>
      <c r="W467">
        <v>0</v>
      </c>
      <c r="X467" s="1">
        <f>100-U467</f>
        <v>100</v>
      </c>
      <c r="Y467">
        <v>0</v>
      </c>
      <c r="Z467">
        <v>0</v>
      </c>
      <c r="AA467" s="1" t="s">
        <v>45</v>
      </c>
      <c r="AB467" s="10">
        <v>2</v>
      </c>
      <c r="AG467" s="1">
        <v>0</v>
      </c>
      <c r="AH467" s="1">
        <v>37.700000000000003</v>
      </c>
      <c r="AI467" s="1" t="s">
        <v>59</v>
      </c>
      <c r="AJ467">
        <v>1</v>
      </c>
      <c r="AK467" s="1" t="s">
        <v>517</v>
      </c>
    </row>
    <row r="468" spans="1:37" ht="14.25" customHeight="1" x14ac:dyDescent="0.3">
      <c r="A468" s="1" t="s">
        <v>77</v>
      </c>
      <c r="B468" s="1">
        <v>3</v>
      </c>
      <c r="C468" s="1" t="s">
        <v>518</v>
      </c>
      <c r="D468" s="1">
        <v>353971</v>
      </c>
      <c r="E468" s="1">
        <v>3978187</v>
      </c>
      <c r="F468">
        <v>1841</v>
      </c>
      <c r="G468" s="1">
        <v>24</v>
      </c>
      <c r="H468" s="1">
        <v>178</v>
      </c>
      <c r="I468">
        <v>1192</v>
      </c>
      <c r="J468" s="20">
        <v>4</v>
      </c>
      <c r="K468" s="17">
        <v>0</v>
      </c>
      <c r="L468" s="38"/>
      <c r="M468" s="17">
        <v>4</v>
      </c>
      <c r="N468" s="1" t="s">
        <v>153</v>
      </c>
      <c r="O468" s="1">
        <v>14.8</v>
      </c>
      <c r="Q468" s="1">
        <v>49.5</v>
      </c>
      <c r="R468" s="1">
        <v>11.5</v>
      </c>
      <c r="S468" s="5">
        <f>(R468/3.14159)*100</f>
        <v>366.05667830620803</v>
      </c>
      <c r="T468" s="1" t="s">
        <v>95</v>
      </c>
      <c r="U468" s="1">
        <v>0</v>
      </c>
      <c r="V468" s="1">
        <v>100</v>
      </c>
      <c r="W468">
        <v>0</v>
      </c>
      <c r="X468" s="1">
        <f>100-U468</f>
        <v>100</v>
      </c>
      <c r="Y468">
        <v>0</v>
      </c>
      <c r="Z468">
        <v>0</v>
      </c>
      <c r="AA468" s="1" t="s">
        <v>45</v>
      </c>
      <c r="AB468" s="10">
        <v>3</v>
      </c>
      <c r="AG468" s="1">
        <v>1</v>
      </c>
      <c r="AH468" s="1">
        <v>14.2</v>
      </c>
      <c r="AI468" s="1" t="s">
        <v>44</v>
      </c>
      <c r="AJ468">
        <v>1</v>
      </c>
      <c r="AK468" s="19" t="s">
        <v>519</v>
      </c>
    </row>
    <row r="469" spans="1:37" ht="14.25" customHeight="1" x14ac:dyDescent="0.3">
      <c r="A469" s="1" t="s">
        <v>77</v>
      </c>
      <c r="B469" s="1">
        <v>3</v>
      </c>
      <c r="C469" s="1" t="s">
        <v>520</v>
      </c>
      <c r="D469" s="1">
        <v>353918</v>
      </c>
      <c r="E469" s="1">
        <v>3978202</v>
      </c>
      <c r="F469">
        <v>1841</v>
      </c>
      <c r="G469" s="1">
        <v>24</v>
      </c>
      <c r="H469" s="1">
        <v>178</v>
      </c>
      <c r="I469">
        <v>1075</v>
      </c>
      <c r="J469" s="20">
        <v>4</v>
      </c>
      <c r="K469" s="17">
        <v>1</v>
      </c>
      <c r="L469" s="38"/>
      <c r="M469" s="17">
        <v>4</v>
      </c>
      <c r="N469" s="1" t="s">
        <v>153</v>
      </c>
      <c r="O469" s="1">
        <v>29.3</v>
      </c>
      <c r="P469" s="1">
        <v>72.8</v>
      </c>
      <c r="Q469" s="1">
        <v>77.099999999999994</v>
      </c>
      <c r="R469" s="1">
        <v>16.3</v>
      </c>
      <c r="S469" s="5">
        <f>(R469/3.14159)*100</f>
        <v>518.84555272966873</v>
      </c>
      <c r="T469" s="1" t="s">
        <v>95</v>
      </c>
      <c r="U469" s="1">
        <v>5</v>
      </c>
      <c r="V469" s="1">
        <v>75</v>
      </c>
      <c r="W469" s="1">
        <v>20</v>
      </c>
      <c r="X469" s="1">
        <f>100-U469</f>
        <v>95</v>
      </c>
      <c r="Y469" s="1">
        <v>0</v>
      </c>
      <c r="Z469" s="1">
        <v>1</v>
      </c>
      <c r="AA469" s="1" t="s">
        <v>45</v>
      </c>
      <c r="AB469" s="10">
        <v>3</v>
      </c>
      <c r="AC469" s="1">
        <v>77.099999999999994</v>
      </c>
      <c r="AD469" s="1">
        <v>62.6</v>
      </c>
      <c r="AE469" s="1">
        <v>60</v>
      </c>
      <c r="AF469" s="1">
        <v>35</v>
      </c>
      <c r="AG469" s="1">
        <v>1</v>
      </c>
      <c r="AH469" s="1">
        <v>65.900000000000006</v>
      </c>
      <c r="AI469" s="1" t="s">
        <v>44</v>
      </c>
      <c r="AJ469">
        <v>1</v>
      </c>
    </row>
    <row r="470" spans="1:37" ht="14.25" customHeight="1" x14ac:dyDescent="0.3">
      <c r="A470" s="1" t="s">
        <v>77</v>
      </c>
      <c r="B470" s="1">
        <v>4</v>
      </c>
      <c r="C470" s="1" t="s">
        <v>524</v>
      </c>
      <c r="D470" s="1">
        <v>353899</v>
      </c>
      <c r="E470" s="1">
        <v>3978184</v>
      </c>
      <c r="F470">
        <v>1818</v>
      </c>
      <c r="G470" s="1">
        <v>20</v>
      </c>
      <c r="H470" s="1">
        <v>129</v>
      </c>
      <c r="I470">
        <v>918</v>
      </c>
      <c r="J470" s="20">
        <v>4</v>
      </c>
      <c r="K470" s="17">
        <v>0</v>
      </c>
      <c r="L470" s="61">
        <v>1</v>
      </c>
      <c r="M470" s="17">
        <v>4</v>
      </c>
      <c r="N470" s="1" t="s">
        <v>153</v>
      </c>
      <c r="Q470" s="1">
        <v>4.0999999999999996</v>
      </c>
      <c r="R470" s="1">
        <v>9</v>
      </c>
      <c r="S470" s="5">
        <f>(R470/3.14159)*100</f>
        <v>286.47913954398888</v>
      </c>
      <c r="T470" s="1" t="s">
        <v>97</v>
      </c>
      <c r="U470" s="1">
        <v>0</v>
      </c>
      <c r="V470" s="1">
        <v>100</v>
      </c>
      <c r="W470" s="1">
        <v>0</v>
      </c>
      <c r="X470" s="1">
        <f>100-U470</f>
        <v>100</v>
      </c>
      <c r="Y470" s="1">
        <v>0</v>
      </c>
      <c r="Z470">
        <v>0</v>
      </c>
      <c r="AA470" s="1" t="s">
        <v>45</v>
      </c>
      <c r="AB470" s="10">
        <v>0</v>
      </c>
      <c r="AG470" s="1">
        <v>1</v>
      </c>
      <c r="AH470" s="1">
        <v>17.7</v>
      </c>
      <c r="AI470" s="1" t="s">
        <v>53</v>
      </c>
      <c r="AJ470">
        <v>2</v>
      </c>
      <c r="AK470" s="1" t="s">
        <v>525</v>
      </c>
    </row>
    <row r="471" spans="1:37" ht="14.25" customHeight="1" x14ac:dyDescent="0.3">
      <c r="A471" s="1" t="s">
        <v>77</v>
      </c>
      <c r="B471" s="1">
        <v>4</v>
      </c>
      <c r="C471" s="1" t="s">
        <v>521</v>
      </c>
      <c r="D471" s="1">
        <v>353850</v>
      </c>
      <c r="E471" s="1">
        <v>3978117</v>
      </c>
      <c r="F471">
        <v>1818</v>
      </c>
      <c r="G471" s="1">
        <v>20</v>
      </c>
      <c r="H471" s="1">
        <v>129</v>
      </c>
      <c r="I471">
        <v>939</v>
      </c>
      <c r="J471" s="20">
        <v>4</v>
      </c>
      <c r="K471" s="17">
        <v>0</v>
      </c>
      <c r="L471" s="38"/>
      <c r="M471" s="17">
        <v>4</v>
      </c>
      <c r="N471" s="1" t="s">
        <v>243</v>
      </c>
      <c r="O471" s="1">
        <v>15.7</v>
      </c>
      <c r="Q471" s="1">
        <v>49.5</v>
      </c>
      <c r="R471" s="1">
        <v>12.5</v>
      </c>
      <c r="S471" s="5">
        <f>(R471/3.14159)*100</f>
        <v>397.88769381109563</v>
      </c>
      <c r="T471" s="1" t="s">
        <v>102</v>
      </c>
      <c r="U471" s="1">
        <v>0</v>
      </c>
      <c r="V471" s="1">
        <v>100</v>
      </c>
      <c r="W471" s="1">
        <v>0</v>
      </c>
      <c r="X471" s="1">
        <f>100-U471</f>
        <v>100</v>
      </c>
      <c r="Y471" s="1">
        <v>0</v>
      </c>
      <c r="Z471">
        <v>0</v>
      </c>
      <c r="AA471" s="1" t="s">
        <v>45</v>
      </c>
      <c r="AB471" s="10">
        <v>3</v>
      </c>
      <c r="AG471" s="1">
        <v>1</v>
      </c>
      <c r="AH471" s="1">
        <v>39.6</v>
      </c>
      <c r="AI471" s="1" t="s">
        <v>66</v>
      </c>
      <c r="AJ471">
        <v>3</v>
      </c>
    </row>
    <row r="472" spans="1:37" ht="14.25" customHeight="1" x14ac:dyDescent="0.3">
      <c r="A472" s="1" t="s">
        <v>77</v>
      </c>
      <c r="B472" s="1">
        <v>4</v>
      </c>
      <c r="C472" s="1" t="s">
        <v>522</v>
      </c>
      <c r="D472" s="1">
        <v>353850</v>
      </c>
      <c r="E472" s="1">
        <v>3978169</v>
      </c>
      <c r="F472">
        <v>1818</v>
      </c>
      <c r="G472" s="1">
        <v>20</v>
      </c>
      <c r="H472" s="1">
        <v>129</v>
      </c>
      <c r="I472">
        <v>992</v>
      </c>
      <c r="J472" s="20">
        <v>4</v>
      </c>
      <c r="K472" s="17">
        <v>0</v>
      </c>
      <c r="L472" s="61">
        <v>1</v>
      </c>
      <c r="M472" s="17">
        <v>4</v>
      </c>
      <c r="N472" s="1" t="s">
        <v>153</v>
      </c>
      <c r="Q472" s="1">
        <v>68</v>
      </c>
      <c r="R472" s="1">
        <v>3.5</v>
      </c>
      <c r="S472" s="5">
        <f>(R472/3.14159)*100</f>
        <v>111.40855426710678</v>
      </c>
      <c r="T472" s="1" t="s">
        <v>97</v>
      </c>
      <c r="U472" s="1">
        <v>0</v>
      </c>
      <c r="V472" s="1">
        <v>100</v>
      </c>
      <c r="W472" s="1">
        <v>0</v>
      </c>
      <c r="X472" s="1">
        <f>100-U472</f>
        <v>100</v>
      </c>
      <c r="Y472" s="1">
        <v>0</v>
      </c>
      <c r="Z472">
        <v>0</v>
      </c>
      <c r="AA472" s="1" t="s">
        <v>45</v>
      </c>
      <c r="AB472" s="10">
        <v>0</v>
      </c>
      <c r="AG472" s="1">
        <v>1</v>
      </c>
      <c r="AH472" s="1">
        <v>10.5</v>
      </c>
      <c r="AI472" s="1" t="s">
        <v>51</v>
      </c>
      <c r="AJ472">
        <v>1</v>
      </c>
      <c r="AK472" s="1" t="s">
        <v>523</v>
      </c>
    </row>
    <row r="473" spans="1:37" ht="14.25" customHeight="1" x14ac:dyDescent="0.3">
      <c r="A473" s="1" t="s">
        <v>77</v>
      </c>
      <c r="B473" s="1">
        <v>4</v>
      </c>
      <c r="C473" s="1" t="s">
        <v>526</v>
      </c>
      <c r="D473" s="1">
        <v>353912</v>
      </c>
      <c r="E473" s="1">
        <v>3978153</v>
      </c>
      <c r="F473">
        <v>1818</v>
      </c>
      <c r="G473" s="1">
        <v>20</v>
      </c>
      <c r="H473" s="1">
        <v>129</v>
      </c>
      <c r="I473">
        <v>690</v>
      </c>
      <c r="J473" s="20">
        <v>4</v>
      </c>
      <c r="K473" s="17">
        <v>1</v>
      </c>
      <c r="L473" s="38"/>
      <c r="M473" s="17">
        <v>4</v>
      </c>
      <c r="N473" s="1" t="s">
        <v>153</v>
      </c>
      <c r="O473" s="1">
        <v>25.5</v>
      </c>
      <c r="P473" s="1">
        <v>50.6</v>
      </c>
      <c r="Q473" s="1">
        <v>55.6</v>
      </c>
      <c r="R473" s="1">
        <v>5.0999999999999996</v>
      </c>
      <c r="S473" s="5">
        <f>(R473/3.14159)*100</f>
        <v>162.33817907492701</v>
      </c>
      <c r="T473" s="1" t="s">
        <v>102</v>
      </c>
      <c r="U473" s="1">
        <v>5</v>
      </c>
      <c r="V473" s="1">
        <v>95</v>
      </c>
      <c r="W473" s="1">
        <v>0</v>
      </c>
      <c r="X473" s="1">
        <f>100-U473</f>
        <v>95</v>
      </c>
      <c r="Y473" s="1">
        <v>0</v>
      </c>
      <c r="Z473" s="1">
        <v>1</v>
      </c>
      <c r="AA473" s="1" t="s">
        <v>45</v>
      </c>
      <c r="AB473" s="10">
        <v>3</v>
      </c>
      <c r="AC473" s="1">
        <v>55.6</v>
      </c>
      <c r="AD473" s="1">
        <v>44.4</v>
      </c>
      <c r="AE473" s="1">
        <v>75</v>
      </c>
      <c r="AF473" s="1">
        <v>20</v>
      </c>
      <c r="AG473" s="1">
        <v>0</v>
      </c>
      <c r="AH473" s="1">
        <v>29.9</v>
      </c>
      <c r="AI473" s="1" t="s">
        <v>51</v>
      </c>
      <c r="AJ473">
        <v>1</v>
      </c>
      <c r="AK473" s="1" t="s">
        <v>527</v>
      </c>
    </row>
    <row r="474" spans="1:37" ht="14.25" customHeight="1" x14ac:dyDescent="0.3">
      <c r="A474" s="1" t="s">
        <v>77</v>
      </c>
      <c r="B474" s="1">
        <v>4</v>
      </c>
      <c r="C474" s="1" t="s">
        <v>528</v>
      </c>
      <c r="D474" s="1">
        <v>353912</v>
      </c>
      <c r="E474" s="70">
        <v>3978123</v>
      </c>
      <c r="F474">
        <v>1818</v>
      </c>
      <c r="G474" s="1">
        <v>20</v>
      </c>
      <c r="H474" s="1">
        <v>129</v>
      </c>
      <c r="I474" s="71">
        <v>606</v>
      </c>
      <c r="J474" s="20">
        <v>3</v>
      </c>
      <c r="K474" s="17">
        <v>1</v>
      </c>
      <c r="L474" s="38"/>
      <c r="M474" s="17">
        <v>4</v>
      </c>
      <c r="N474" s="1" t="s">
        <v>153</v>
      </c>
      <c r="O474" s="1">
        <v>14.1</v>
      </c>
      <c r="P474" s="1">
        <v>39.9</v>
      </c>
      <c r="Q474" s="1">
        <v>57.1</v>
      </c>
      <c r="R474" s="1">
        <v>5.2</v>
      </c>
      <c r="S474" s="5">
        <f>(R474/3.14159)*100</f>
        <v>165.52128062541581</v>
      </c>
      <c r="T474" s="1" t="s">
        <v>97</v>
      </c>
      <c r="U474" s="1">
        <v>5</v>
      </c>
      <c r="V474" s="1">
        <v>95</v>
      </c>
      <c r="W474" s="1">
        <v>0</v>
      </c>
      <c r="X474" s="1">
        <f>100-U474</f>
        <v>95</v>
      </c>
      <c r="Y474" s="1">
        <v>0</v>
      </c>
      <c r="Z474" s="1">
        <v>1</v>
      </c>
      <c r="AA474" s="1" t="s">
        <v>45</v>
      </c>
      <c r="AB474" s="10">
        <v>3</v>
      </c>
      <c r="AC474" s="1">
        <v>56.9</v>
      </c>
      <c r="AD474" s="1">
        <v>56.6</v>
      </c>
      <c r="AE474" s="1">
        <v>15</v>
      </c>
      <c r="AF474" s="1">
        <v>80</v>
      </c>
      <c r="AG474" s="1">
        <v>0</v>
      </c>
      <c r="AH474" s="1">
        <v>47.1</v>
      </c>
      <c r="AI474" s="1" t="s">
        <v>51</v>
      </c>
      <c r="AJ474">
        <v>1</v>
      </c>
    </row>
    <row r="475" spans="1:37" ht="14.25" customHeight="1" x14ac:dyDescent="0.3">
      <c r="A475" s="1" t="s">
        <v>77</v>
      </c>
      <c r="B475" s="1">
        <v>8</v>
      </c>
      <c r="C475" s="1" t="s">
        <v>529</v>
      </c>
      <c r="D475" s="1">
        <v>353774</v>
      </c>
      <c r="E475" s="1">
        <v>3978290</v>
      </c>
      <c r="F475">
        <v>1774</v>
      </c>
      <c r="G475" s="1">
        <v>33</v>
      </c>
      <c r="H475" s="1">
        <v>94</v>
      </c>
      <c r="I475">
        <v>1155</v>
      </c>
      <c r="J475" s="20">
        <v>4</v>
      </c>
      <c r="K475" s="17">
        <v>0</v>
      </c>
      <c r="L475" s="38"/>
      <c r="M475" s="17">
        <v>4</v>
      </c>
      <c r="N475" s="1" t="s">
        <v>153</v>
      </c>
      <c r="O475" s="1">
        <v>14.6</v>
      </c>
      <c r="Q475" s="1">
        <v>55.4</v>
      </c>
      <c r="R475" s="1">
        <v>6.1</v>
      </c>
      <c r="S475" s="5">
        <f>(R475/3.14159)*100</f>
        <v>194.16919457981467</v>
      </c>
      <c r="T475" s="1" t="s">
        <v>95</v>
      </c>
      <c r="U475" s="1">
        <v>0</v>
      </c>
      <c r="V475" s="1">
        <v>100</v>
      </c>
      <c r="W475" s="1">
        <v>0</v>
      </c>
      <c r="X475" s="1">
        <f>100-U475</f>
        <v>100</v>
      </c>
      <c r="Y475" s="1">
        <v>0</v>
      </c>
      <c r="Z475">
        <v>0</v>
      </c>
      <c r="AA475" s="1" t="s">
        <v>45</v>
      </c>
      <c r="AB475" s="10">
        <v>3</v>
      </c>
      <c r="AG475" s="1">
        <v>0</v>
      </c>
      <c r="AH475" s="1">
        <v>35</v>
      </c>
      <c r="AI475" s="1" t="s">
        <v>60</v>
      </c>
      <c r="AJ475">
        <v>1</v>
      </c>
    </row>
    <row r="476" spans="1:37" ht="14.25" customHeight="1" x14ac:dyDescent="0.3">
      <c r="A476" s="1" t="s">
        <v>77</v>
      </c>
      <c r="B476" s="1">
        <v>8</v>
      </c>
      <c r="C476" s="1" t="s">
        <v>530</v>
      </c>
      <c r="D476" s="1">
        <v>353802</v>
      </c>
      <c r="E476" s="1">
        <v>3978244</v>
      </c>
      <c r="F476">
        <v>1774</v>
      </c>
      <c r="G476" s="1">
        <v>33</v>
      </c>
      <c r="H476" s="1">
        <v>94</v>
      </c>
      <c r="I476">
        <v>1116</v>
      </c>
      <c r="J476" s="20">
        <v>4</v>
      </c>
      <c r="K476" s="17">
        <v>0</v>
      </c>
      <c r="L476" s="38"/>
      <c r="M476" s="17">
        <v>4</v>
      </c>
      <c r="N476" s="1" t="s">
        <v>153</v>
      </c>
      <c r="O476" s="1">
        <v>18.100000000000001</v>
      </c>
      <c r="Q476" s="1">
        <v>42.8</v>
      </c>
      <c r="R476" s="1">
        <v>14.2</v>
      </c>
      <c r="S476" s="5">
        <f>(R476/3.14159)*100</f>
        <v>452.00042016940466</v>
      </c>
      <c r="T476" s="1" t="s">
        <v>97</v>
      </c>
      <c r="U476" s="1">
        <v>0</v>
      </c>
      <c r="V476" s="1">
        <v>100</v>
      </c>
      <c r="W476" s="1">
        <v>0</v>
      </c>
      <c r="X476" s="1">
        <f>100-U476</f>
        <v>100</v>
      </c>
      <c r="Y476" s="1">
        <v>0</v>
      </c>
      <c r="Z476">
        <v>0</v>
      </c>
      <c r="AA476" s="1" t="s">
        <v>45</v>
      </c>
      <c r="AB476" s="10">
        <v>1</v>
      </c>
      <c r="AG476" s="1">
        <v>1</v>
      </c>
      <c r="AH476" s="1">
        <v>19.5</v>
      </c>
      <c r="AI476" s="1" t="s">
        <v>59</v>
      </c>
      <c r="AJ476">
        <v>1</v>
      </c>
    </row>
    <row r="477" spans="1:37" ht="14.25" customHeight="1" x14ac:dyDescent="0.3">
      <c r="A477" s="1" t="s">
        <v>77</v>
      </c>
      <c r="B477" s="1">
        <v>8</v>
      </c>
      <c r="C477" s="1" t="s">
        <v>531</v>
      </c>
      <c r="D477" s="1">
        <v>353818</v>
      </c>
      <c r="E477" s="1">
        <v>3978283</v>
      </c>
      <c r="F477">
        <v>1774</v>
      </c>
      <c r="G477" s="1">
        <v>33</v>
      </c>
      <c r="H477" s="1">
        <v>94</v>
      </c>
      <c r="I477">
        <v>1086</v>
      </c>
      <c r="J477" s="20">
        <v>4</v>
      </c>
      <c r="K477" s="17">
        <v>0</v>
      </c>
      <c r="L477" s="61">
        <v>1</v>
      </c>
      <c r="M477" s="17">
        <v>4</v>
      </c>
      <c r="N477" s="1" t="s">
        <v>153</v>
      </c>
      <c r="Q477" s="1">
        <v>22.5</v>
      </c>
      <c r="R477" s="1">
        <v>12.1</v>
      </c>
      <c r="S477" s="5">
        <f>(R477/3.14159)*100</f>
        <v>385.1552876091406</v>
      </c>
      <c r="T477" s="1" t="s">
        <v>97</v>
      </c>
      <c r="U477" s="1">
        <v>0</v>
      </c>
      <c r="V477" s="1">
        <v>100</v>
      </c>
      <c r="W477" s="1">
        <v>0</v>
      </c>
      <c r="X477" s="1">
        <f>100-U477</f>
        <v>100</v>
      </c>
      <c r="Y477" s="1">
        <v>0</v>
      </c>
      <c r="Z477">
        <v>0</v>
      </c>
      <c r="AA477" s="1" t="s">
        <v>45</v>
      </c>
      <c r="AB477" s="10">
        <v>0</v>
      </c>
      <c r="AG477" s="1">
        <v>0</v>
      </c>
      <c r="AH477" s="1">
        <v>38.4</v>
      </c>
      <c r="AI477" s="1" t="s">
        <v>57</v>
      </c>
      <c r="AJ477">
        <v>1</v>
      </c>
      <c r="AK477" s="1" t="s">
        <v>532</v>
      </c>
    </row>
    <row r="478" spans="1:37" ht="14.25" customHeight="1" x14ac:dyDescent="0.3">
      <c r="A478" s="1" t="s">
        <v>77</v>
      </c>
      <c r="B478" s="1">
        <v>9</v>
      </c>
      <c r="C478" s="1" t="s">
        <v>533</v>
      </c>
      <c r="D478" s="1">
        <v>353934</v>
      </c>
      <c r="E478" s="1">
        <v>3978259</v>
      </c>
      <c r="F478">
        <v>1814</v>
      </c>
      <c r="G478" s="1">
        <v>25</v>
      </c>
      <c r="H478" s="1">
        <v>159</v>
      </c>
      <c r="I478">
        <v>1171</v>
      </c>
      <c r="J478" s="20">
        <v>4</v>
      </c>
      <c r="K478" s="17">
        <v>0</v>
      </c>
      <c r="L478" s="38"/>
      <c r="M478" s="17">
        <v>4</v>
      </c>
      <c r="N478" s="1" t="s">
        <v>153</v>
      </c>
      <c r="O478" s="1">
        <v>10.5</v>
      </c>
      <c r="Q478" s="1">
        <v>63.3</v>
      </c>
      <c r="R478" s="1">
        <v>12.3</v>
      </c>
      <c r="S478" s="5">
        <f>(R478/3.14159)*100</f>
        <v>391.52149071011814</v>
      </c>
      <c r="T478" s="1" t="s">
        <v>97</v>
      </c>
      <c r="U478" s="1">
        <v>0</v>
      </c>
      <c r="V478" s="1">
        <v>100</v>
      </c>
      <c r="W478" s="1">
        <v>0</v>
      </c>
      <c r="X478" s="1">
        <f>100-U478</f>
        <v>100</v>
      </c>
      <c r="Y478" s="1">
        <v>0</v>
      </c>
      <c r="Z478">
        <v>0</v>
      </c>
      <c r="AA478" s="1" t="s">
        <v>45</v>
      </c>
      <c r="AB478" s="10">
        <v>3</v>
      </c>
      <c r="AG478" s="1">
        <v>1</v>
      </c>
      <c r="AH478" s="1">
        <v>51</v>
      </c>
      <c r="AI478" s="1" t="s">
        <v>400</v>
      </c>
      <c r="AJ478">
        <v>2</v>
      </c>
      <c r="AK478" s="1" t="s">
        <v>534</v>
      </c>
    </row>
    <row r="479" spans="1:37" ht="14.25" customHeight="1" x14ac:dyDescent="0.3">
      <c r="A479" s="1" t="s">
        <v>77</v>
      </c>
      <c r="B479" s="1">
        <v>9</v>
      </c>
      <c r="C479" s="1" t="s">
        <v>535</v>
      </c>
      <c r="D479" s="1">
        <v>353930</v>
      </c>
      <c r="E479" s="1">
        <v>3978259</v>
      </c>
      <c r="F479">
        <v>1814</v>
      </c>
      <c r="G479" s="1">
        <v>25</v>
      </c>
      <c r="H479" s="1">
        <v>159</v>
      </c>
      <c r="I479">
        <v>1195</v>
      </c>
      <c r="J479" s="20">
        <v>4</v>
      </c>
      <c r="K479" s="17">
        <v>0</v>
      </c>
      <c r="L479" s="38"/>
      <c r="M479" s="17">
        <v>4</v>
      </c>
      <c r="N479" s="1" t="s">
        <v>153</v>
      </c>
      <c r="O479" s="1">
        <v>9.3000000000000007</v>
      </c>
      <c r="Q479" s="1">
        <v>41.6</v>
      </c>
      <c r="R479" s="1">
        <v>10.1</v>
      </c>
      <c r="S479" s="5">
        <f>(R479/3.14159)*100</f>
        <v>321.49325659936528</v>
      </c>
      <c r="T479" s="1" t="s">
        <v>102</v>
      </c>
      <c r="U479" s="1">
        <v>0</v>
      </c>
      <c r="V479" s="1">
        <v>100</v>
      </c>
      <c r="W479" s="1">
        <v>0</v>
      </c>
      <c r="X479" s="1">
        <f>100-U479</f>
        <v>100</v>
      </c>
      <c r="Y479" s="1">
        <v>0</v>
      </c>
      <c r="Z479">
        <v>0</v>
      </c>
      <c r="AA479" s="1" t="s">
        <v>45</v>
      </c>
      <c r="AB479" s="10">
        <v>1</v>
      </c>
      <c r="AG479" s="1">
        <v>1</v>
      </c>
      <c r="AH479" s="1">
        <v>48.3</v>
      </c>
      <c r="AI479" s="1" t="s">
        <v>400</v>
      </c>
      <c r="AJ479">
        <v>2</v>
      </c>
      <c r="AK479" s="1" t="s">
        <v>536</v>
      </c>
    </row>
    <row r="480" spans="1:37" ht="14.25" customHeight="1" x14ac:dyDescent="0.3">
      <c r="A480" s="1" t="s">
        <v>77</v>
      </c>
      <c r="B480" s="1">
        <v>9</v>
      </c>
      <c r="C480" s="1" t="s">
        <v>537</v>
      </c>
      <c r="D480" s="1">
        <v>353923</v>
      </c>
      <c r="E480" s="1">
        <v>3978252</v>
      </c>
      <c r="F480">
        <v>1814</v>
      </c>
      <c r="G480" s="1">
        <v>25</v>
      </c>
      <c r="H480" s="1">
        <v>159</v>
      </c>
      <c r="I480">
        <v>1117</v>
      </c>
      <c r="J480" s="20">
        <v>4</v>
      </c>
      <c r="K480" s="17">
        <v>0</v>
      </c>
      <c r="L480" s="38"/>
      <c r="M480" s="17">
        <v>4</v>
      </c>
      <c r="N480" s="1" t="s">
        <v>153</v>
      </c>
      <c r="O480" s="1">
        <v>13</v>
      </c>
      <c r="Q480" s="70">
        <v>69.900000000000006</v>
      </c>
      <c r="R480" s="1">
        <v>13.9</v>
      </c>
      <c r="S480" s="5">
        <f>(R480/3.14159)*100</f>
        <v>442.45111551793838</v>
      </c>
      <c r="T480" s="1" t="s">
        <v>97</v>
      </c>
      <c r="U480" s="1">
        <v>0</v>
      </c>
      <c r="V480" s="1">
        <v>100</v>
      </c>
      <c r="W480" s="1">
        <v>0</v>
      </c>
      <c r="X480" s="1">
        <f>100-U480</f>
        <v>100</v>
      </c>
      <c r="Y480" s="1">
        <v>0</v>
      </c>
      <c r="Z480">
        <v>0</v>
      </c>
      <c r="AA480" s="1" t="s">
        <v>45</v>
      </c>
      <c r="AB480" s="10">
        <v>3</v>
      </c>
      <c r="AG480" s="1">
        <v>1</v>
      </c>
      <c r="AH480" s="1">
        <v>40.200000000000003</v>
      </c>
      <c r="AI480" s="1" t="s">
        <v>400</v>
      </c>
      <c r="AJ480">
        <v>2</v>
      </c>
    </row>
    <row r="481" spans="1:37" ht="14.25" customHeight="1" x14ac:dyDescent="0.3">
      <c r="A481" s="1" t="s">
        <v>77</v>
      </c>
      <c r="B481" s="1">
        <v>9</v>
      </c>
      <c r="C481" s="1" t="s">
        <v>538</v>
      </c>
      <c r="D481" s="1">
        <v>353885</v>
      </c>
      <c r="E481" s="1">
        <v>3978236</v>
      </c>
      <c r="F481">
        <v>1814</v>
      </c>
      <c r="G481" s="1">
        <v>25</v>
      </c>
      <c r="H481" s="1">
        <v>159</v>
      </c>
      <c r="I481">
        <v>1191</v>
      </c>
      <c r="J481" s="20">
        <v>4</v>
      </c>
      <c r="K481" s="17">
        <v>0</v>
      </c>
      <c r="L481" s="38"/>
      <c r="M481" s="17">
        <v>4</v>
      </c>
      <c r="N481" s="1" t="s">
        <v>153</v>
      </c>
      <c r="O481" s="1">
        <v>12.2</v>
      </c>
      <c r="Q481" s="1">
        <v>46.7</v>
      </c>
      <c r="R481" s="1">
        <v>3.5</v>
      </c>
      <c r="S481" s="5">
        <f>(R481/3.14159)*100</f>
        <v>111.40855426710678</v>
      </c>
      <c r="T481" s="1" t="s">
        <v>102</v>
      </c>
      <c r="U481" s="1">
        <v>0</v>
      </c>
      <c r="V481" s="1">
        <v>100</v>
      </c>
      <c r="W481" s="1">
        <v>0</v>
      </c>
      <c r="X481" s="1">
        <f>100-U481</f>
        <v>100</v>
      </c>
      <c r="Y481" s="1">
        <v>0</v>
      </c>
      <c r="Z481">
        <v>0</v>
      </c>
      <c r="AA481" s="1" t="s">
        <v>45</v>
      </c>
      <c r="AB481" s="10">
        <v>1</v>
      </c>
      <c r="AG481" s="1">
        <v>0</v>
      </c>
      <c r="AH481" s="1">
        <v>14.5</v>
      </c>
      <c r="AI481" s="1" t="s">
        <v>44</v>
      </c>
      <c r="AJ481">
        <v>1</v>
      </c>
      <c r="AK481" s="1" t="s">
        <v>539</v>
      </c>
    </row>
    <row r="482" spans="1:37" ht="14.25" customHeight="1" x14ac:dyDescent="0.3">
      <c r="A482" s="1" t="s">
        <v>77</v>
      </c>
      <c r="B482" s="1">
        <v>11</v>
      </c>
      <c r="C482" s="1" t="s">
        <v>540</v>
      </c>
      <c r="D482" s="1">
        <v>353792</v>
      </c>
      <c r="E482" s="1">
        <v>3978313</v>
      </c>
      <c r="F482">
        <v>1771</v>
      </c>
      <c r="G482" s="1">
        <v>20</v>
      </c>
      <c r="H482" s="1">
        <v>113</v>
      </c>
      <c r="I482">
        <v>1163</v>
      </c>
      <c r="J482" s="20">
        <v>4</v>
      </c>
      <c r="K482" s="17">
        <v>0</v>
      </c>
      <c r="L482" s="38"/>
      <c r="M482" s="17">
        <v>4</v>
      </c>
      <c r="N482" s="1" t="s">
        <v>153</v>
      </c>
      <c r="O482" s="1">
        <v>11.9</v>
      </c>
      <c r="Q482" s="1">
        <v>56</v>
      </c>
      <c r="R482" s="1">
        <v>12.4</v>
      </c>
      <c r="S482" s="5">
        <f>(R482/3.14159)*100</f>
        <v>394.70459226060689</v>
      </c>
      <c r="T482" s="1" t="s">
        <v>95</v>
      </c>
      <c r="U482" s="1">
        <v>0</v>
      </c>
      <c r="V482" s="1">
        <v>100</v>
      </c>
      <c r="W482" s="1">
        <v>0</v>
      </c>
      <c r="X482" s="1">
        <f>100-U482</f>
        <v>100</v>
      </c>
      <c r="Y482" s="1">
        <v>0</v>
      </c>
      <c r="Z482">
        <v>0</v>
      </c>
      <c r="AA482" s="1" t="s">
        <v>45</v>
      </c>
      <c r="AB482" s="10">
        <v>4</v>
      </c>
      <c r="AG482" s="1">
        <v>1</v>
      </c>
      <c r="AH482" s="1">
        <v>57.5</v>
      </c>
      <c r="AI482" s="1" t="s">
        <v>44</v>
      </c>
      <c r="AJ482">
        <v>1</v>
      </c>
      <c r="AK482" s="1" t="s">
        <v>541</v>
      </c>
    </row>
    <row r="483" spans="1:37" ht="14.25" customHeight="1" x14ac:dyDescent="0.3">
      <c r="A483" s="1" t="s">
        <v>77</v>
      </c>
      <c r="B483" s="1">
        <v>12</v>
      </c>
      <c r="C483" s="1" t="s">
        <v>542</v>
      </c>
      <c r="D483" s="1">
        <v>353912</v>
      </c>
      <c r="E483" s="1">
        <v>3978347</v>
      </c>
      <c r="F483">
        <v>1797</v>
      </c>
      <c r="G483" s="1">
        <v>16</v>
      </c>
      <c r="H483" s="1">
        <v>138</v>
      </c>
      <c r="I483">
        <v>1190</v>
      </c>
      <c r="J483" s="20">
        <v>4</v>
      </c>
      <c r="K483" s="17">
        <v>0</v>
      </c>
      <c r="L483" s="38"/>
      <c r="M483" s="17">
        <v>4</v>
      </c>
      <c r="N483" s="1" t="s">
        <v>153</v>
      </c>
      <c r="O483" s="1">
        <v>17.600000000000001</v>
      </c>
      <c r="Q483" s="1">
        <v>64</v>
      </c>
      <c r="R483" s="1">
        <v>15.7</v>
      </c>
      <c r="S483" s="5">
        <f>(R483/3.14159)*100</f>
        <v>499.74694342673615</v>
      </c>
      <c r="T483" s="1" t="s">
        <v>95</v>
      </c>
      <c r="U483" s="1">
        <v>0</v>
      </c>
      <c r="V483" s="1">
        <v>100</v>
      </c>
      <c r="W483" s="1">
        <v>0</v>
      </c>
      <c r="X483" s="1">
        <f>100-U483</f>
        <v>100</v>
      </c>
      <c r="Y483" s="1">
        <v>0</v>
      </c>
      <c r="Z483">
        <v>0</v>
      </c>
      <c r="AA483" s="1" t="s">
        <v>45</v>
      </c>
      <c r="AB483" s="10">
        <v>2</v>
      </c>
      <c r="AG483" s="1">
        <v>1</v>
      </c>
      <c r="AH483" s="1">
        <v>30</v>
      </c>
      <c r="AI483" s="1" t="s">
        <v>44</v>
      </c>
      <c r="AJ483">
        <v>1</v>
      </c>
    </row>
    <row r="484" spans="1:37" ht="14.25" customHeight="1" x14ac:dyDescent="0.3">
      <c r="A484" s="1" t="s">
        <v>77</v>
      </c>
      <c r="B484" s="1">
        <v>12</v>
      </c>
      <c r="C484" s="1" t="s">
        <v>543</v>
      </c>
      <c r="D484" s="1">
        <v>353847</v>
      </c>
      <c r="E484" s="1">
        <v>3978325</v>
      </c>
      <c r="F484">
        <v>1797</v>
      </c>
      <c r="G484" s="1">
        <v>16</v>
      </c>
      <c r="H484" s="1">
        <v>138</v>
      </c>
      <c r="I484">
        <v>1188</v>
      </c>
      <c r="J484" s="20">
        <v>4</v>
      </c>
      <c r="K484" s="17">
        <v>0</v>
      </c>
      <c r="L484" s="38"/>
      <c r="M484" s="17">
        <v>4</v>
      </c>
      <c r="N484" s="1" t="s">
        <v>153</v>
      </c>
      <c r="O484" s="1">
        <v>28.6</v>
      </c>
      <c r="Q484" s="1">
        <v>43.8</v>
      </c>
      <c r="R484" s="1">
        <v>17.600000000000001</v>
      </c>
      <c r="S484" s="5">
        <f>(R484/3.14159)*100</f>
        <v>560.22587288602267</v>
      </c>
      <c r="T484" s="1" t="s">
        <v>95</v>
      </c>
      <c r="U484" s="1">
        <v>0</v>
      </c>
      <c r="V484" s="1">
        <v>100</v>
      </c>
      <c r="W484" s="1">
        <v>0</v>
      </c>
      <c r="X484" s="1">
        <f>100-U484</f>
        <v>100</v>
      </c>
      <c r="Y484" s="1">
        <v>0</v>
      </c>
      <c r="Z484">
        <v>0</v>
      </c>
      <c r="AA484" s="1" t="s">
        <v>45</v>
      </c>
      <c r="AB484" s="10">
        <v>1</v>
      </c>
      <c r="AG484" s="1">
        <v>1</v>
      </c>
      <c r="AH484" s="1">
        <v>55.8</v>
      </c>
      <c r="AI484" s="1" t="s">
        <v>55</v>
      </c>
      <c r="AJ484">
        <v>3</v>
      </c>
      <c r="AK484" s="1" t="s">
        <v>544</v>
      </c>
    </row>
    <row r="485" spans="1:37" ht="14.25" customHeight="1" x14ac:dyDescent="0.3">
      <c r="A485" s="1" t="s">
        <v>77</v>
      </c>
      <c r="B485" s="1">
        <v>12</v>
      </c>
      <c r="C485" s="1" t="s">
        <v>545</v>
      </c>
      <c r="D485" s="1">
        <v>353853</v>
      </c>
      <c r="E485" s="1">
        <v>3978384</v>
      </c>
      <c r="F485">
        <v>1797</v>
      </c>
      <c r="G485" s="1">
        <v>16</v>
      </c>
      <c r="H485" s="1">
        <v>138</v>
      </c>
      <c r="I485">
        <v>1203</v>
      </c>
      <c r="J485" s="20">
        <v>4</v>
      </c>
      <c r="K485" s="17">
        <v>0</v>
      </c>
      <c r="L485" s="38"/>
      <c r="M485" s="17">
        <v>4</v>
      </c>
      <c r="N485" s="1" t="s">
        <v>153</v>
      </c>
      <c r="O485" s="1">
        <v>21.5</v>
      </c>
      <c r="Q485" s="1">
        <v>50</v>
      </c>
      <c r="R485" s="1">
        <v>3.7</v>
      </c>
      <c r="S485" s="5">
        <f>(R485/3.14159)*100</f>
        <v>117.77475736808431</v>
      </c>
      <c r="T485" s="1" t="s">
        <v>97</v>
      </c>
      <c r="U485" s="1">
        <v>0</v>
      </c>
      <c r="V485" s="1">
        <v>100</v>
      </c>
      <c r="W485" s="1">
        <v>0</v>
      </c>
      <c r="X485" s="1">
        <f>100-U485</f>
        <v>100</v>
      </c>
      <c r="Y485" s="1">
        <v>0</v>
      </c>
      <c r="Z485">
        <v>0</v>
      </c>
      <c r="AA485" s="1" t="s">
        <v>45</v>
      </c>
      <c r="AB485" s="10">
        <v>3</v>
      </c>
      <c r="AG485" s="1">
        <v>0</v>
      </c>
      <c r="AH485" s="1">
        <v>40.200000000000003</v>
      </c>
      <c r="AI485" s="1" t="s">
        <v>44</v>
      </c>
      <c r="AJ485">
        <v>1</v>
      </c>
    </row>
    <row r="486" spans="1:37" ht="14.25" customHeight="1" x14ac:dyDescent="0.3">
      <c r="A486" s="1" t="s">
        <v>77</v>
      </c>
      <c r="B486" s="1">
        <v>12</v>
      </c>
      <c r="C486" s="1" t="s">
        <v>546</v>
      </c>
      <c r="D486" s="1">
        <v>353853</v>
      </c>
      <c r="E486" s="1">
        <v>3978383</v>
      </c>
      <c r="F486">
        <v>1797</v>
      </c>
      <c r="G486" s="1">
        <v>16</v>
      </c>
      <c r="H486" s="1">
        <v>138</v>
      </c>
      <c r="I486">
        <v>1210</v>
      </c>
      <c r="J486" s="20">
        <v>4</v>
      </c>
      <c r="K486" s="17">
        <v>0</v>
      </c>
      <c r="L486" s="38"/>
      <c r="M486" s="17">
        <v>4</v>
      </c>
      <c r="N486" s="1" t="s">
        <v>153</v>
      </c>
      <c r="O486" s="1">
        <v>12.5</v>
      </c>
      <c r="Q486" s="1">
        <v>29.1</v>
      </c>
      <c r="R486" s="1">
        <v>3</v>
      </c>
      <c r="S486" s="5">
        <f>(R486/3.14159)*100</f>
        <v>95.493046514662964</v>
      </c>
      <c r="T486" s="1" t="s">
        <v>102</v>
      </c>
      <c r="U486" s="1">
        <v>0</v>
      </c>
      <c r="V486" s="1">
        <v>100</v>
      </c>
      <c r="W486" s="1">
        <v>0</v>
      </c>
      <c r="X486" s="1">
        <f>100-U486</f>
        <v>100</v>
      </c>
      <c r="Y486" s="1">
        <v>0</v>
      </c>
      <c r="Z486">
        <v>0</v>
      </c>
      <c r="AA486" s="1" t="s">
        <v>45</v>
      </c>
      <c r="AB486" s="10">
        <v>1</v>
      </c>
      <c r="AG486" s="1">
        <v>0</v>
      </c>
      <c r="AH486" s="1">
        <v>50.4</v>
      </c>
      <c r="AI486" s="1" t="s">
        <v>44</v>
      </c>
      <c r="AJ486">
        <v>1</v>
      </c>
    </row>
    <row r="487" spans="1:37" ht="14.25" customHeight="1" x14ac:dyDescent="0.3">
      <c r="A487" s="1" t="s">
        <v>77</v>
      </c>
      <c r="B487" s="1">
        <v>12</v>
      </c>
      <c r="C487" s="1" t="s">
        <v>547</v>
      </c>
      <c r="D487" s="1">
        <v>353895</v>
      </c>
      <c r="E487" s="1">
        <v>3978389</v>
      </c>
      <c r="F487">
        <v>1797</v>
      </c>
      <c r="G487" s="1">
        <v>16</v>
      </c>
      <c r="H487" s="1">
        <v>138</v>
      </c>
      <c r="I487">
        <v>1169</v>
      </c>
      <c r="J487" s="20">
        <v>4</v>
      </c>
      <c r="K487" s="17">
        <v>0</v>
      </c>
      <c r="L487" s="38"/>
      <c r="M487" s="17">
        <v>4</v>
      </c>
      <c r="N487" s="1" t="s">
        <v>153</v>
      </c>
      <c r="O487" s="1">
        <v>19.8</v>
      </c>
      <c r="Q487" s="1">
        <v>50.5</v>
      </c>
      <c r="R487" s="1">
        <v>8.9</v>
      </c>
      <c r="S487" s="5">
        <f>(R487/3.14159)*100</f>
        <v>283.29603799350014</v>
      </c>
      <c r="T487" s="1" t="s">
        <v>97</v>
      </c>
      <c r="U487" s="1">
        <v>0</v>
      </c>
      <c r="V487" s="1">
        <v>100</v>
      </c>
      <c r="W487" s="1">
        <v>0</v>
      </c>
      <c r="X487" s="1">
        <f>100-U487</f>
        <v>100</v>
      </c>
      <c r="Y487" s="1">
        <v>0</v>
      </c>
      <c r="Z487">
        <v>0</v>
      </c>
      <c r="AA487" s="1" t="s">
        <v>45</v>
      </c>
      <c r="AB487" s="10">
        <v>4</v>
      </c>
      <c r="AG487" s="1">
        <v>1</v>
      </c>
      <c r="AH487" s="1">
        <v>29.8</v>
      </c>
      <c r="AI487" s="1" t="s">
        <v>53</v>
      </c>
      <c r="AJ487">
        <v>2</v>
      </c>
      <c r="AK487" s="1" t="s">
        <v>548</v>
      </c>
    </row>
    <row r="488" spans="1:37" ht="14.25" customHeight="1" x14ac:dyDescent="0.3">
      <c r="A488" s="1" t="s">
        <v>77</v>
      </c>
      <c r="B488" s="1">
        <v>12</v>
      </c>
      <c r="C488" s="1" t="s">
        <v>549</v>
      </c>
      <c r="D488" s="1">
        <v>353890</v>
      </c>
      <c r="E488" s="1">
        <v>3978398</v>
      </c>
      <c r="F488">
        <v>1797</v>
      </c>
      <c r="G488" s="1">
        <v>16</v>
      </c>
      <c r="H488" s="1">
        <v>138</v>
      </c>
      <c r="I488">
        <v>1174</v>
      </c>
      <c r="J488" s="20">
        <v>4</v>
      </c>
      <c r="K488" s="17">
        <v>0</v>
      </c>
      <c r="L488" s="38"/>
      <c r="M488" s="17">
        <v>4</v>
      </c>
      <c r="N488" s="1" t="s">
        <v>153</v>
      </c>
      <c r="O488" s="1">
        <v>30.1</v>
      </c>
      <c r="Q488" s="1">
        <v>61</v>
      </c>
      <c r="R488" s="1">
        <v>10.6</v>
      </c>
      <c r="S488" s="5">
        <f>(R488/3.14159)*100</f>
        <v>337.40876435180911</v>
      </c>
      <c r="T488" s="1" t="s">
        <v>97</v>
      </c>
      <c r="U488" s="1">
        <v>0</v>
      </c>
      <c r="V488" s="1">
        <v>100</v>
      </c>
      <c r="W488" s="1">
        <v>0</v>
      </c>
      <c r="X488" s="1">
        <f>100-U488</f>
        <v>100</v>
      </c>
      <c r="Y488" s="1">
        <v>0</v>
      </c>
      <c r="Z488">
        <v>0</v>
      </c>
      <c r="AA488" s="1" t="s">
        <v>45</v>
      </c>
      <c r="AB488" s="10">
        <v>4</v>
      </c>
      <c r="AG488" s="1">
        <v>1</v>
      </c>
      <c r="AH488" s="1">
        <v>33.9</v>
      </c>
      <c r="AI488" s="1" t="s">
        <v>53</v>
      </c>
      <c r="AJ488">
        <v>2</v>
      </c>
    </row>
    <row r="489" spans="1:37" ht="14.25" customHeight="1" x14ac:dyDescent="0.3">
      <c r="A489" s="1" t="s">
        <v>77</v>
      </c>
      <c r="B489" s="1">
        <v>12</v>
      </c>
      <c r="C489" s="1" t="s">
        <v>550</v>
      </c>
      <c r="D489" s="1">
        <v>353843</v>
      </c>
      <c r="E489" s="1">
        <v>3978421</v>
      </c>
      <c r="F489">
        <v>1797</v>
      </c>
      <c r="G489" s="1">
        <v>16</v>
      </c>
      <c r="H489" s="1">
        <v>138</v>
      </c>
      <c r="I489" s="71">
        <v>1203</v>
      </c>
      <c r="J489" s="20">
        <v>4</v>
      </c>
      <c r="K489" s="17">
        <v>0</v>
      </c>
      <c r="L489" s="38"/>
      <c r="M489" s="17">
        <v>4</v>
      </c>
      <c r="N489" s="1" t="s">
        <v>153</v>
      </c>
      <c r="O489" s="1">
        <v>22.2</v>
      </c>
      <c r="Q489" s="1">
        <v>49.1</v>
      </c>
      <c r="R489" s="1">
        <v>6.2</v>
      </c>
      <c r="S489" s="5">
        <f>(R489/3.14159)*100</f>
        <v>197.35229613030344</v>
      </c>
      <c r="T489" s="1" t="s">
        <v>95</v>
      </c>
      <c r="U489" s="1">
        <v>0</v>
      </c>
      <c r="V489" s="1">
        <v>100</v>
      </c>
      <c r="W489" s="1">
        <v>0</v>
      </c>
      <c r="X489" s="1">
        <f>100-U489</f>
        <v>100</v>
      </c>
      <c r="Y489" s="1">
        <v>0</v>
      </c>
      <c r="Z489">
        <v>0</v>
      </c>
      <c r="AA489" s="1" t="s">
        <v>45</v>
      </c>
      <c r="AB489" s="10">
        <v>4</v>
      </c>
      <c r="AG489" s="1">
        <v>0</v>
      </c>
      <c r="AH489" s="1">
        <v>63.7</v>
      </c>
      <c r="AI489" s="1" t="s">
        <v>51</v>
      </c>
      <c r="AJ489">
        <v>1</v>
      </c>
    </row>
    <row r="490" spans="1:37" ht="14.25" customHeight="1" x14ac:dyDescent="0.3">
      <c r="A490" s="1" t="s">
        <v>77</v>
      </c>
      <c r="B490" s="1">
        <v>12</v>
      </c>
      <c r="C490" s="1" t="s">
        <v>551</v>
      </c>
      <c r="D490" s="1">
        <v>353897</v>
      </c>
      <c r="E490" s="1">
        <v>3978416</v>
      </c>
      <c r="F490">
        <v>1797</v>
      </c>
      <c r="G490" s="1">
        <v>16</v>
      </c>
      <c r="H490" s="1">
        <v>138</v>
      </c>
      <c r="I490">
        <v>1139</v>
      </c>
      <c r="J490" s="20">
        <v>4</v>
      </c>
      <c r="K490" s="17">
        <v>0</v>
      </c>
      <c r="L490" s="38"/>
      <c r="M490" s="17">
        <v>4</v>
      </c>
      <c r="N490" s="1" t="s">
        <v>153</v>
      </c>
      <c r="O490" s="1">
        <v>18.5</v>
      </c>
      <c r="Q490" s="1">
        <v>63.7</v>
      </c>
      <c r="R490" s="1">
        <v>6.3</v>
      </c>
      <c r="S490" s="5">
        <f>(R490/3.14159)*100</f>
        <v>200.53539768079222</v>
      </c>
      <c r="T490" s="1" t="s">
        <v>97</v>
      </c>
      <c r="U490" s="1">
        <v>0</v>
      </c>
      <c r="V490" s="1">
        <v>100</v>
      </c>
      <c r="W490" s="1">
        <v>0</v>
      </c>
      <c r="X490" s="1">
        <f>100-U490</f>
        <v>100</v>
      </c>
      <c r="Y490" s="1">
        <v>0</v>
      </c>
      <c r="Z490">
        <v>0</v>
      </c>
      <c r="AA490" s="1" t="s">
        <v>45</v>
      </c>
      <c r="AB490" s="10">
        <v>4</v>
      </c>
      <c r="AG490" s="1">
        <v>1</v>
      </c>
      <c r="AH490" s="1">
        <v>43.2</v>
      </c>
      <c r="AI490" s="1" t="s">
        <v>53</v>
      </c>
      <c r="AJ490">
        <v>2</v>
      </c>
    </row>
    <row r="491" spans="1:37" ht="14.25" customHeight="1" x14ac:dyDescent="0.3">
      <c r="A491" s="1" t="s">
        <v>77</v>
      </c>
      <c r="B491" s="1">
        <v>12</v>
      </c>
      <c r="C491" s="1" t="s">
        <v>552</v>
      </c>
      <c r="D491" s="1">
        <v>353843</v>
      </c>
      <c r="E491" s="1">
        <v>3978385</v>
      </c>
      <c r="F491">
        <v>1797</v>
      </c>
      <c r="G491" s="1">
        <v>16</v>
      </c>
      <c r="H491" s="1">
        <v>138</v>
      </c>
      <c r="I491">
        <v>1203</v>
      </c>
      <c r="J491" s="20">
        <v>4</v>
      </c>
      <c r="K491" s="17">
        <v>0</v>
      </c>
      <c r="L491" s="38"/>
      <c r="M491" s="17">
        <v>4</v>
      </c>
      <c r="N491" s="1" t="s">
        <v>153</v>
      </c>
      <c r="O491" s="1">
        <v>16.8</v>
      </c>
      <c r="Q491" s="1">
        <v>51.8</v>
      </c>
      <c r="R491" s="1">
        <v>3.8</v>
      </c>
      <c r="S491" s="5">
        <f>(R491/3.14159)*100</f>
        <v>120.95785891857307</v>
      </c>
      <c r="T491" s="1" t="s">
        <v>102</v>
      </c>
      <c r="U491" s="1">
        <v>0</v>
      </c>
      <c r="V491" s="1">
        <v>100</v>
      </c>
      <c r="W491" s="1">
        <v>0</v>
      </c>
      <c r="X491" s="1">
        <f>100-U491</f>
        <v>100</v>
      </c>
      <c r="Y491" s="1">
        <v>0</v>
      </c>
      <c r="Z491">
        <v>0</v>
      </c>
      <c r="AA491" s="1" t="s">
        <v>45</v>
      </c>
      <c r="AB491" s="10">
        <v>1</v>
      </c>
      <c r="AG491" s="1">
        <v>0</v>
      </c>
      <c r="AH491" s="1">
        <v>51</v>
      </c>
      <c r="AI491" s="1" t="s">
        <v>44</v>
      </c>
      <c r="AJ491">
        <v>1</v>
      </c>
      <c r="AK491" s="1" t="s">
        <v>553</v>
      </c>
    </row>
    <row r="492" spans="1:37" ht="14.25" customHeight="1" x14ac:dyDescent="0.3">
      <c r="A492" s="1" t="s">
        <v>77</v>
      </c>
      <c r="B492" s="1">
        <v>12</v>
      </c>
      <c r="C492" s="1" t="s">
        <v>554</v>
      </c>
      <c r="D492" s="1">
        <v>353848</v>
      </c>
      <c r="E492" s="1">
        <v>3978390</v>
      </c>
      <c r="F492">
        <v>1797</v>
      </c>
      <c r="G492" s="1">
        <v>16</v>
      </c>
      <c r="H492" s="1">
        <v>138</v>
      </c>
      <c r="I492">
        <v>1195</v>
      </c>
      <c r="J492" s="20">
        <v>4</v>
      </c>
      <c r="K492" s="17">
        <v>0</v>
      </c>
      <c r="L492" s="38"/>
      <c r="M492" s="17">
        <v>4</v>
      </c>
      <c r="N492" s="1" t="s">
        <v>153</v>
      </c>
      <c r="O492" s="1">
        <v>32.1</v>
      </c>
      <c r="Q492" s="1">
        <v>55.1</v>
      </c>
      <c r="R492" s="1">
        <v>3.3</v>
      </c>
      <c r="S492" s="5">
        <f>(R492/3.14159)*100</f>
        <v>105.04235116612925</v>
      </c>
      <c r="T492" s="1" t="s">
        <v>102</v>
      </c>
      <c r="U492" s="1">
        <v>0</v>
      </c>
      <c r="V492" s="1">
        <v>100</v>
      </c>
      <c r="W492" s="1">
        <v>0</v>
      </c>
      <c r="X492" s="1">
        <f>100-U492</f>
        <v>100</v>
      </c>
      <c r="Y492" s="1">
        <v>0</v>
      </c>
      <c r="Z492">
        <v>0</v>
      </c>
      <c r="AA492" s="1" t="s">
        <v>45</v>
      </c>
      <c r="AB492" s="10">
        <v>3</v>
      </c>
      <c r="AG492" s="1">
        <v>0</v>
      </c>
      <c r="AH492" s="1">
        <v>50.2</v>
      </c>
      <c r="AI492" s="1" t="s">
        <v>44</v>
      </c>
      <c r="AJ492">
        <v>1</v>
      </c>
      <c r="AK492" s="1" t="s">
        <v>555</v>
      </c>
    </row>
    <row r="493" spans="1:37" ht="14.25" customHeight="1" x14ac:dyDescent="0.3">
      <c r="S493" s="10"/>
    </row>
    <row r="494" spans="1:37" ht="14.25" customHeight="1" x14ac:dyDescent="0.3">
      <c r="H494" s="41"/>
      <c r="S494" s="33"/>
      <c r="V494" s="39"/>
      <c r="W494" s="39"/>
      <c r="X494" s="39"/>
      <c r="Y494" s="39"/>
      <c r="Z494" s="39"/>
      <c r="AB494" s="39"/>
    </row>
    <row r="495" spans="1:37" ht="14.25" customHeight="1" x14ac:dyDescent="0.3">
      <c r="G495" s="41"/>
      <c r="H495" s="41"/>
      <c r="S495" s="10"/>
      <c r="W495" s="40"/>
      <c r="X495" s="40"/>
      <c r="Y495" s="64"/>
      <c r="Z495" s="64"/>
      <c r="AB495" s="40"/>
    </row>
    <row r="496" spans="1:37" ht="14.25" customHeight="1" x14ac:dyDescent="0.3">
      <c r="S496" s="10"/>
      <c r="W496" s="40"/>
      <c r="X496" s="40"/>
      <c r="Y496" s="64"/>
      <c r="Z496" s="64"/>
      <c r="AB496" s="40"/>
    </row>
    <row r="497" spans="19:28" ht="14.25" customHeight="1" x14ac:dyDescent="0.3">
      <c r="S497" s="10"/>
      <c r="W497" s="40"/>
      <c r="X497" s="40"/>
      <c r="Y497" s="64"/>
      <c r="Z497" s="64"/>
      <c r="AB497" s="40"/>
    </row>
    <row r="498" spans="19:28" ht="14.25" customHeight="1" x14ac:dyDescent="0.3">
      <c r="S498" s="10"/>
      <c r="W498" s="40"/>
      <c r="X498" s="40"/>
      <c r="Y498" s="64"/>
      <c r="Z498" s="64"/>
      <c r="AB498" s="40"/>
    </row>
    <row r="499" spans="19:28" ht="14.25" customHeight="1" x14ac:dyDescent="0.3">
      <c r="S499" s="10"/>
      <c r="W499" s="40"/>
      <c r="X499" s="40"/>
      <c r="Y499" s="64"/>
      <c r="Z499" s="64"/>
      <c r="AB499" s="40"/>
    </row>
    <row r="500" spans="19:28" ht="14.25" customHeight="1" x14ac:dyDescent="0.3">
      <c r="S500" s="10"/>
      <c r="W500" s="40"/>
      <c r="X500" s="40"/>
      <c r="Y500" s="64"/>
      <c r="Z500" s="64"/>
      <c r="AB500" s="40"/>
    </row>
    <row r="501" spans="19:28" ht="14.25" customHeight="1" x14ac:dyDescent="0.3">
      <c r="S501" s="10"/>
      <c r="V501" s="65"/>
      <c r="W501" s="40"/>
      <c r="X501" s="40"/>
      <c r="Y501" s="64"/>
      <c r="Z501" s="64"/>
      <c r="AB501" s="40"/>
    </row>
    <row r="502" spans="19:28" ht="14.25" customHeight="1" x14ac:dyDescent="0.3">
      <c r="S502" s="10"/>
    </row>
    <row r="503" spans="19:28" ht="14.25" customHeight="1" x14ac:dyDescent="0.3">
      <c r="S503" s="10"/>
      <c r="V503" s="39"/>
      <c r="W503" s="39"/>
      <c r="X503" s="39"/>
    </row>
    <row r="504" spans="19:28" ht="14.25" customHeight="1" x14ac:dyDescent="0.3">
      <c r="S504" s="10"/>
    </row>
    <row r="505" spans="19:28" ht="14.25" customHeight="1" x14ac:dyDescent="0.3">
      <c r="S505" s="10"/>
    </row>
    <row r="506" spans="19:28" ht="14.25" customHeight="1" x14ac:dyDescent="0.3">
      <c r="S506" s="10"/>
    </row>
    <row r="507" spans="19:28" ht="14.25" customHeight="1" x14ac:dyDescent="0.3">
      <c r="S507" s="10"/>
    </row>
    <row r="508" spans="19:28" ht="14.25" customHeight="1" x14ac:dyDescent="0.3">
      <c r="S508" s="10"/>
    </row>
    <row r="509" spans="19:28" ht="14.25" customHeight="1" x14ac:dyDescent="0.3">
      <c r="S509" s="10"/>
    </row>
    <row r="510" spans="19:28" ht="14.25" customHeight="1" x14ac:dyDescent="0.3">
      <c r="S510" s="10"/>
    </row>
    <row r="511" spans="19:28" ht="14.25" customHeight="1" x14ac:dyDescent="0.3">
      <c r="S511" s="10"/>
    </row>
    <row r="512" spans="19:28" ht="14.25" customHeight="1" x14ac:dyDescent="0.3">
      <c r="S512" s="10"/>
    </row>
    <row r="513" spans="19:19" ht="14.25" customHeight="1" x14ac:dyDescent="0.3">
      <c r="S513" s="10"/>
    </row>
    <row r="514" spans="19:19" ht="14.25" customHeight="1" x14ac:dyDescent="0.3">
      <c r="S514" s="10"/>
    </row>
    <row r="515" spans="19:19" ht="14.25" customHeight="1" x14ac:dyDescent="0.3">
      <c r="S515" s="10"/>
    </row>
    <row r="516" spans="19:19" ht="14.25" customHeight="1" x14ac:dyDescent="0.3">
      <c r="S516" s="10"/>
    </row>
    <row r="517" spans="19:19" ht="14.25" customHeight="1" x14ac:dyDescent="0.3">
      <c r="S517" s="10"/>
    </row>
    <row r="518" spans="19:19" ht="14.25" customHeight="1" x14ac:dyDescent="0.3">
      <c r="S518" s="10"/>
    </row>
    <row r="519" spans="19:19" ht="14.25" customHeight="1" x14ac:dyDescent="0.3">
      <c r="S519" s="10"/>
    </row>
    <row r="520" spans="19:19" ht="14.25" customHeight="1" x14ac:dyDescent="0.3">
      <c r="S520" s="10"/>
    </row>
    <row r="521" spans="19:19" ht="14.25" customHeight="1" x14ac:dyDescent="0.3">
      <c r="S521" s="10"/>
    </row>
    <row r="522" spans="19:19" ht="14.25" customHeight="1" x14ac:dyDescent="0.3">
      <c r="S522" s="10"/>
    </row>
    <row r="523" spans="19:19" ht="14.25" customHeight="1" x14ac:dyDescent="0.3">
      <c r="S523" s="10"/>
    </row>
    <row r="524" spans="19:19" ht="14.25" customHeight="1" x14ac:dyDescent="0.3">
      <c r="S524" s="10"/>
    </row>
    <row r="525" spans="19:19" ht="14.25" customHeight="1" x14ac:dyDescent="0.3">
      <c r="S525" s="10"/>
    </row>
    <row r="526" spans="19:19" ht="14.25" customHeight="1" x14ac:dyDescent="0.3">
      <c r="S526" s="10"/>
    </row>
    <row r="527" spans="19:19" ht="14.25" customHeight="1" x14ac:dyDescent="0.3">
      <c r="S527" s="10"/>
    </row>
    <row r="528" spans="19:19" ht="14.25" customHeight="1" x14ac:dyDescent="0.3">
      <c r="S528" s="10"/>
    </row>
    <row r="529" spans="19:19" ht="14.25" customHeight="1" x14ac:dyDescent="0.3">
      <c r="S529" s="10"/>
    </row>
    <row r="530" spans="19:19" ht="14.25" customHeight="1" x14ac:dyDescent="0.3">
      <c r="S530" s="10"/>
    </row>
    <row r="531" spans="19:19" ht="14.25" customHeight="1" x14ac:dyDescent="0.3">
      <c r="S531" s="10"/>
    </row>
    <row r="532" spans="19:19" ht="14.25" customHeight="1" x14ac:dyDescent="0.3">
      <c r="S532" s="10"/>
    </row>
    <row r="533" spans="19:19" ht="14.25" customHeight="1" x14ac:dyDescent="0.3">
      <c r="S533" s="10"/>
    </row>
    <row r="534" spans="19:19" ht="14.25" customHeight="1" x14ac:dyDescent="0.3">
      <c r="S534" s="10"/>
    </row>
    <row r="535" spans="19:19" ht="14.25" customHeight="1" x14ac:dyDescent="0.3">
      <c r="S535" s="10"/>
    </row>
    <row r="536" spans="19:19" ht="14.25" customHeight="1" x14ac:dyDescent="0.3">
      <c r="S536" s="10"/>
    </row>
    <row r="537" spans="19:19" ht="14.25" customHeight="1" x14ac:dyDescent="0.3">
      <c r="S537" s="10"/>
    </row>
    <row r="538" spans="19:19" ht="14.25" customHeight="1" x14ac:dyDescent="0.3">
      <c r="S538" s="10"/>
    </row>
    <row r="539" spans="19:19" ht="14.25" customHeight="1" x14ac:dyDescent="0.3">
      <c r="S539" s="10"/>
    </row>
    <row r="540" spans="19:19" ht="14.25" customHeight="1" x14ac:dyDescent="0.3">
      <c r="S540" s="10"/>
    </row>
    <row r="541" spans="19:19" ht="14.25" customHeight="1" x14ac:dyDescent="0.3">
      <c r="S541" s="10"/>
    </row>
    <row r="542" spans="19:19" ht="14.25" customHeight="1" x14ac:dyDescent="0.3">
      <c r="S542" s="10"/>
    </row>
    <row r="543" spans="19:19" ht="14.25" customHeight="1" x14ac:dyDescent="0.3">
      <c r="S543" s="10"/>
    </row>
    <row r="544" spans="19:19" ht="14.25" customHeight="1" x14ac:dyDescent="0.3">
      <c r="S544" s="10"/>
    </row>
    <row r="545" spans="19:19" ht="14.25" customHeight="1" x14ac:dyDescent="0.3">
      <c r="S545" s="10"/>
    </row>
    <row r="546" spans="19:19" ht="14.25" customHeight="1" x14ac:dyDescent="0.3">
      <c r="S546" s="10"/>
    </row>
    <row r="547" spans="19:19" ht="14.25" customHeight="1" x14ac:dyDescent="0.3">
      <c r="S547" s="10"/>
    </row>
    <row r="548" spans="19:19" ht="14.25" customHeight="1" x14ac:dyDescent="0.3">
      <c r="S548" s="10"/>
    </row>
    <row r="549" spans="19:19" ht="14.25" customHeight="1" x14ac:dyDescent="0.3">
      <c r="S549" s="10"/>
    </row>
    <row r="550" spans="19:19" ht="14.25" customHeight="1" x14ac:dyDescent="0.3">
      <c r="S550" s="10"/>
    </row>
    <row r="551" spans="19:19" ht="14.25" customHeight="1" x14ac:dyDescent="0.3">
      <c r="S551" s="10"/>
    </row>
    <row r="552" spans="19:19" ht="14.25" customHeight="1" x14ac:dyDescent="0.3">
      <c r="S552" s="10"/>
    </row>
    <row r="553" spans="19:19" ht="14.25" customHeight="1" x14ac:dyDescent="0.3">
      <c r="S553" s="10"/>
    </row>
    <row r="554" spans="19:19" ht="14.25" customHeight="1" x14ac:dyDescent="0.3">
      <c r="S554" s="10"/>
    </row>
    <row r="555" spans="19:19" ht="14.25" customHeight="1" x14ac:dyDescent="0.3">
      <c r="S555" s="10"/>
    </row>
    <row r="556" spans="19:19" ht="14.25" customHeight="1" x14ac:dyDescent="0.3">
      <c r="S556" s="10"/>
    </row>
    <row r="557" spans="19:19" ht="14.25" customHeight="1" x14ac:dyDescent="0.3">
      <c r="S557" s="10"/>
    </row>
    <row r="558" spans="19:19" ht="14.25" customHeight="1" x14ac:dyDescent="0.3">
      <c r="S558" s="10"/>
    </row>
    <row r="559" spans="19:19" ht="14.25" customHeight="1" x14ac:dyDescent="0.3">
      <c r="S559" s="10"/>
    </row>
    <row r="560" spans="19:19" ht="14.25" customHeight="1" x14ac:dyDescent="0.3">
      <c r="S560" s="10"/>
    </row>
    <row r="561" spans="19:19" ht="14.25" customHeight="1" x14ac:dyDescent="0.3">
      <c r="S561" s="10"/>
    </row>
    <row r="562" spans="19:19" ht="14.25" customHeight="1" x14ac:dyDescent="0.3">
      <c r="S562" s="10"/>
    </row>
    <row r="563" spans="19:19" ht="14.25" customHeight="1" x14ac:dyDescent="0.3">
      <c r="S563" s="10"/>
    </row>
    <row r="564" spans="19:19" ht="14.25" customHeight="1" x14ac:dyDescent="0.3">
      <c r="S564" s="10"/>
    </row>
    <row r="565" spans="19:19" ht="14.25" customHeight="1" x14ac:dyDescent="0.3">
      <c r="S565" s="10"/>
    </row>
    <row r="566" spans="19:19" ht="14.25" customHeight="1" x14ac:dyDescent="0.3">
      <c r="S566" s="10"/>
    </row>
    <row r="567" spans="19:19" ht="14.25" customHeight="1" x14ac:dyDescent="0.3">
      <c r="S567" s="10"/>
    </row>
    <row r="568" spans="19:19" ht="14.25" customHeight="1" x14ac:dyDescent="0.3">
      <c r="S568" s="10"/>
    </row>
    <row r="569" spans="19:19" ht="14.25" customHeight="1" x14ac:dyDescent="0.3">
      <c r="S569" s="10"/>
    </row>
    <row r="570" spans="19:19" ht="14.25" customHeight="1" x14ac:dyDescent="0.3">
      <c r="S570" s="10"/>
    </row>
    <row r="571" spans="19:19" ht="14.25" customHeight="1" x14ac:dyDescent="0.3">
      <c r="S571" s="10"/>
    </row>
    <row r="572" spans="19:19" ht="14.25" customHeight="1" x14ac:dyDescent="0.3">
      <c r="S572" s="10"/>
    </row>
    <row r="573" spans="19:19" ht="14.25" customHeight="1" x14ac:dyDescent="0.3">
      <c r="S573" s="10"/>
    </row>
    <row r="574" spans="19:19" ht="14.25" customHeight="1" x14ac:dyDescent="0.3">
      <c r="S574" s="10"/>
    </row>
    <row r="575" spans="19:19" ht="14.25" customHeight="1" x14ac:dyDescent="0.3">
      <c r="S575" s="10"/>
    </row>
    <row r="576" spans="19:19" ht="14.25" customHeight="1" x14ac:dyDescent="0.3">
      <c r="S576" s="10"/>
    </row>
    <row r="577" spans="19:19" ht="14.25" customHeight="1" x14ac:dyDescent="0.3">
      <c r="S577" s="10"/>
    </row>
    <row r="578" spans="19:19" ht="14.25" customHeight="1" x14ac:dyDescent="0.3">
      <c r="S578" s="10"/>
    </row>
    <row r="579" spans="19:19" ht="14.25" customHeight="1" x14ac:dyDescent="0.3">
      <c r="S579" s="10"/>
    </row>
    <row r="580" spans="19:19" ht="14.25" customHeight="1" x14ac:dyDescent="0.3">
      <c r="S580" s="10"/>
    </row>
    <row r="581" spans="19:19" ht="14.25" customHeight="1" x14ac:dyDescent="0.3">
      <c r="S581" s="10"/>
    </row>
    <row r="582" spans="19:19" ht="14.25" customHeight="1" x14ac:dyDescent="0.3">
      <c r="S582" s="10"/>
    </row>
    <row r="583" spans="19:19" ht="14.25" customHeight="1" x14ac:dyDescent="0.3">
      <c r="S583" s="10"/>
    </row>
    <row r="584" spans="19:19" ht="14.25" customHeight="1" x14ac:dyDescent="0.3">
      <c r="S584" s="10"/>
    </row>
    <row r="585" spans="19:19" ht="14.25" customHeight="1" x14ac:dyDescent="0.3">
      <c r="S585" s="10"/>
    </row>
    <row r="586" spans="19:19" ht="14.25" customHeight="1" x14ac:dyDescent="0.3">
      <c r="S586" s="10"/>
    </row>
    <row r="587" spans="19:19" ht="14.25" customHeight="1" x14ac:dyDescent="0.3">
      <c r="S587" s="10"/>
    </row>
    <row r="588" spans="19:19" ht="14.25" customHeight="1" x14ac:dyDescent="0.3">
      <c r="S588" s="10"/>
    </row>
    <row r="589" spans="19:19" ht="14.25" customHeight="1" x14ac:dyDescent="0.3">
      <c r="S589" s="10"/>
    </row>
    <row r="590" spans="19:19" ht="14.25" customHeight="1" x14ac:dyDescent="0.3">
      <c r="S590" s="10"/>
    </row>
    <row r="591" spans="19:19" ht="14.25" customHeight="1" x14ac:dyDescent="0.3">
      <c r="S591" s="10"/>
    </row>
    <row r="592" spans="19:19" ht="14.25" customHeight="1" x14ac:dyDescent="0.3">
      <c r="S592" s="10"/>
    </row>
    <row r="593" spans="19:19" ht="14.25" customHeight="1" x14ac:dyDescent="0.3">
      <c r="S593" s="10"/>
    </row>
    <row r="594" spans="19:19" ht="14.25" customHeight="1" x14ac:dyDescent="0.3">
      <c r="S594" s="10"/>
    </row>
    <row r="595" spans="19:19" ht="14.25" customHeight="1" x14ac:dyDescent="0.3">
      <c r="S595" s="10"/>
    </row>
    <row r="596" spans="19:19" ht="14.25" customHeight="1" x14ac:dyDescent="0.3">
      <c r="S596" s="10"/>
    </row>
    <row r="597" spans="19:19" ht="14.25" customHeight="1" x14ac:dyDescent="0.3">
      <c r="S597" s="10"/>
    </row>
    <row r="598" spans="19:19" ht="14.25" customHeight="1" x14ac:dyDescent="0.3">
      <c r="S598" s="10"/>
    </row>
    <row r="599" spans="19:19" ht="14.25" customHeight="1" x14ac:dyDescent="0.3">
      <c r="S599" s="10"/>
    </row>
    <row r="600" spans="19:19" ht="14.25" customHeight="1" x14ac:dyDescent="0.3">
      <c r="S600" s="10"/>
    </row>
    <row r="601" spans="19:19" ht="14.25" customHeight="1" x14ac:dyDescent="0.3">
      <c r="S601" s="10"/>
    </row>
    <row r="602" spans="19:19" ht="14.25" customHeight="1" x14ac:dyDescent="0.3">
      <c r="S602" s="10"/>
    </row>
    <row r="603" spans="19:19" ht="14.25" customHeight="1" x14ac:dyDescent="0.3">
      <c r="S603" s="10"/>
    </row>
    <row r="604" spans="19:19" ht="14.25" customHeight="1" x14ac:dyDescent="0.3">
      <c r="S604" s="10"/>
    </row>
    <row r="605" spans="19:19" ht="14.25" customHeight="1" x14ac:dyDescent="0.3">
      <c r="S605" s="10"/>
    </row>
    <row r="606" spans="19:19" ht="14.25" customHeight="1" x14ac:dyDescent="0.3">
      <c r="S606" s="10"/>
    </row>
    <row r="607" spans="19:19" ht="14.25" customHeight="1" x14ac:dyDescent="0.3">
      <c r="S607" s="10"/>
    </row>
    <row r="608" spans="19:19" ht="14.25" customHeight="1" x14ac:dyDescent="0.3">
      <c r="S608" s="10"/>
    </row>
    <row r="609" spans="19:19" ht="14.25" customHeight="1" x14ac:dyDescent="0.3">
      <c r="S609" s="10"/>
    </row>
    <row r="610" spans="19:19" ht="14.25" customHeight="1" x14ac:dyDescent="0.3">
      <c r="S610" s="10"/>
    </row>
    <row r="611" spans="19:19" ht="14.25" customHeight="1" x14ac:dyDescent="0.3">
      <c r="S611" s="10"/>
    </row>
    <row r="612" spans="19:19" ht="14.25" customHeight="1" x14ac:dyDescent="0.3">
      <c r="S612" s="10"/>
    </row>
    <row r="613" spans="19:19" ht="14.25" customHeight="1" x14ac:dyDescent="0.3">
      <c r="S613" s="10"/>
    </row>
    <row r="614" spans="19:19" ht="14.25" customHeight="1" x14ac:dyDescent="0.3">
      <c r="S614" s="10"/>
    </row>
    <row r="615" spans="19:19" ht="14.25" customHeight="1" x14ac:dyDescent="0.3">
      <c r="S615" s="10"/>
    </row>
    <row r="616" spans="19:19" ht="14.25" customHeight="1" x14ac:dyDescent="0.3">
      <c r="S616" s="10"/>
    </row>
    <row r="617" spans="19:19" ht="14.25" customHeight="1" x14ac:dyDescent="0.3">
      <c r="S617" s="10"/>
    </row>
    <row r="618" spans="19:19" ht="14.25" customHeight="1" x14ac:dyDescent="0.3">
      <c r="S618" s="10"/>
    </row>
    <row r="619" spans="19:19" ht="14.25" customHeight="1" x14ac:dyDescent="0.3">
      <c r="S619" s="10"/>
    </row>
    <row r="620" spans="19:19" ht="14.25" customHeight="1" x14ac:dyDescent="0.3">
      <c r="S620" s="10"/>
    </row>
    <row r="621" spans="19:19" ht="14.25" customHeight="1" x14ac:dyDescent="0.3">
      <c r="S621" s="10"/>
    </row>
    <row r="622" spans="19:19" ht="14.25" customHeight="1" x14ac:dyDescent="0.3">
      <c r="S622" s="10"/>
    </row>
    <row r="623" spans="19:19" ht="14.25" customHeight="1" x14ac:dyDescent="0.3">
      <c r="S623" s="10"/>
    </row>
    <row r="624" spans="19:19" ht="14.25" customHeight="1" x14ac:dyDescent="0.3">
      <c r="S624" s="10"/>
    </row>
    <row r="625" spans="19:19" ht="14.25" customHeight="1" x14ac:dyDescent="0.3">
      <c r="S625" s="10"/>
    </row>
    <row r="626" spans="19:19" ht="14.25" customHeight="1" x14ac:dyDescent="0.3">
      <c r="S626" s="10"/>
    </row>
    <row r="627" spans="19:19" ht="14.25" customHeight="1" x14ac:dyDescent="0.3">
      <c r="S627" s="10"/>
    </row>
    <row r="628" spans="19:19" ht="14.25" customHeight="1" x14ac:dyDescent="0.3">
      <c r="S628" s="10"/>
    </row>
    <row r="629" spans="19:19" ht="14.25" customHeight="1" x14ac:dyDescent="0.3">
      <c r="S629" s="10"/>
    </row>
    <row r="630" spans="19:19" ht="14.25" customHeight="1" x14ac:dyDescent="0.3">
      <c r="S630" s="10"/>
    </row>
    <row r="631" spans="19:19" ht="14.25" customHeight="1" x14ac:dyDescent="0.3">
      <c r="S631" s="10"/>
    </row>
    <row r="632" spans="19:19" ht="14.25" customHeight="1" x14ac:dyDescent="0.3">
      <c r="S632" s="10"/>
    </row>
    <row r="633" spans="19:19" ht="14.25" customHeight="1" x14ac:dyDescent="0.3">
      <c r="S633" s="10"/>
    </row>
    <row r="634" spans="19:19" ht="14.25" customHeight="1" x14ac:dyDescent="0.3">
      <c r="S634" s="10"/>
    </row>
    <row r="635" spans="19:19" ht="14.25" customHeight="1" x14ac:dyDescent="0.3">
      <c r="S635" s="10"/>
    </row>
    <row r="636" spans="19:19" ht="14.25" customHeight="1" x14ac:dyDescent="0.3">
      <c r="S636" s="10"/>
    </row>
    <row r="637" spans="19:19" ht="14.25" customHeight="1" x14ac:dyDescent="0.3">
      <c r="S637" s="10"/>
    </row>
    <row r="638" spans="19:19" ht="14.25" customHeight="1" x14ac:dyDescent="0.3">
      <c r="S638" s="10"/>
    </row>
    <row r="639" spans="19:19" ht="14.25" customHeight="1" x14ac:dyDescent="0.3">
      <c r="S639" s="10"/>
    </row>
    <row r="640" spans="19:19" ht="14.25" customHeight="1" x14ac:dyDescent="0.3">
      <c r="S640" s="10"/>
    </row>
    <row r="641" spans="19:19" ht="14.25" customHeight="1" x14ac:dyDescent="0.3">
      <c r="S641" s="10"/>
    </row>
    <row r="642" spans="19:19" ht="14.25" customHeight="1" x14ac:dyDescent="0.3">
      <c r="S642" s="10"/>
    </row>
    <row r="643" spans="19:19" ht="14.25" customHeight="1" x14ac:dyDescent="0.3">
      <c r="S643" s="10"/>
    </row>
    <row r="644" spans="19:19" ht="14.25" customHeight="1" x14ac:dyDescent="0.3">
      <c r="S644" s="10"/>
    </row>
    <row r="645" spans="19:19" ht="14.25" customHeight="1" x14ac:dyDescent="0.3">
      <c r="S645" s="10"/>
    </row>
    <row r="646" spans="19:19" ht="14.25" customHeight="1" x14ac:dyDescent="0.3">
      <c r="S646" s="10"/>
    </row>
    <row r="647" spans="19:19" ht="14.25" customHeight="1" x14ac:dyDescent="0.3">
      <c r="S647" s="10"/>
    </row>
    <row r="648" spans="19:19" ht="14.25" customHeight="1" x14ac:dyDescent="0.3">
      <c r="S648" s="10"/>
    </row>
    <row r="649" spans="19:19" ht="14.25" customHeight="1" x14ac:dyDescent="0.3">
      <c r="S649" s="10"/>
    </row>
    <row r="650" spans="19:19" ht="14.25" customHeight="1" x14ac:dyDescent="0.3">
      <c r="S650" s="10"/>
    </row>
    <row r="651" spans="19:19" ht="14.25" customHeight="1" x14ac:dyDescent="0.3">
      <c r="S651" s="10"/>
    </row>
    <row r="652" spans="19:19" ht="14.25" customHeight="1" x14ac:dyDescent="0.3">
      <c r="S652" s="10"/>
    </row>
    <row r="653" spans="19:19" ht="14.25" customHeight="1" x14ac:dyDescent="0.3">
      <c r="S653" s="10"/>
    </row>
    <row r="654" spans="19:19" ht="14.25" customHeight="1" x14ac:dyDescent="0.3">
      <c r="S654" s="10"/>
    </row>
    <row r="655" spans="19:19" ht="14.25" customHeight="1" x14ac:dyDescent="0.3">
      <c r="S655" s="10"/>
    </row>
    <row r="656" spans="19:19" ht="14.25" customHeight="1" x14ac:dyDescent="0.3">
      <c r="S656" s="10"/>
    </row>
    <row r="657" spans="19:19" ht="14.25" customHeight="1" x14ac:dyDescent="0.3">
      <c r="S657" s="10"/>
    </row>
    <row r="658" spans="19:19" ht="14.25" customHeight="1" x14ac:dyDescent="0.3">
      <c r="S658" s="10"/>
    </row>
    <row r="659" spans="19:19" ht="14.25" customHeight="1" x14ac:dyDescent="0.3">
      <c r="S659" s="10"/>
    </row>
    <row r="660" spans="19:19" ht="14.25" customHeight="1" x14ac:dyDescent="0.3">
      <c r="S660" s="10"/>
    </row>
    <row r="661" spans="19:19" ht="14.25" customHeight="1" x14ac:dyDescent="0.3">
      <c r="S661" s="10"/>
    </row>
    <row r="662" spans="19:19" ht="14.25" customHeight="1" x14ac:dyDescent="0.3">
      <c r="S662" s="10"/>
    </row>
    <row r="663" spans="19:19" ht="14.25" customHeight="1" x14ac:dyDescent="0.3">
      <c r="S663" s="10"/>
    </row>
    <row r="664" spans="19:19" ht="14.25" customHeight="1" x14ac:dyDescent="0.3">
      <c r="S664" s="10"/>
    </row>
    <row r="665" spans="19:19" ht="14.25" customHeight="1" x14ac:dyDescent="0.3">
      <c r="S665" s="10"/>
    </row>
    <row r="666" spans="19:19" ht="14.25" customHeight="1" x14ac:dyDescent="0.3">
      <c r="S666" s="10"/>
    </row>
    <row r="667" spans="19:19" ht="14.25" customHeight="1" x14ac:dyDescent="0.3">
      <c r="S667" s="10"/>
    </row>
    <row r="668" spans="19:19" ht="14.25" customHeight="1" x14ac:dyDescent="0.3">
      <c r="S668" s="10"/>
    </row>
    <row r="669" spans="19:19" ht="14.25" customHeight="1" x14ac:dyDescent="0.3">
      <c r="S669" s="10"/>
    </row>
    <row r="670" spans="19:19" ht="14.25" customHeight="1" x14ac:dyDescent="0.3">
      <c r="S670" s="10"/>
    </row>
    <row r="671" spans="19:19" ht="14.25" customHeight="1" x14ac:dyDescent="0.3">
      <c r="S671" s="10"/>
    </row>
    <row r="672" spans="19:19" ht="14.25" customHeight="1" x14ac:dyDescent="0.3">
      <c r="S672" s="10"/>
    </row>
    <row r="673" spans="19:19" ht="14.25" customHeight="1" x14ac:dyDescent="0.3">
      <c r="S673" s="10"/>
    </row>
    <row r="674" spans="19:19" ht="14.25" customHeight="1" x14ac:dyDescent="0.3">
      <c r="S674" s="10"/>
    </row>
    <row r="675" spans="19:19" ht="14.25" customHeight="1" x14ac:dyDescent="0.3">
      <c r="S675" s="10"/>
    </row>
    <row r="676" spans="19:19" ht="14.25" customHeight="1" x14ac:dyDescent="0.3">
      <c r="S676" s="10"/>
    </row>
    <row r="677" spans="19:19" ht="14.25" customHeight="1" x14ac:dyDescent="0.3">
      <c r="S677" s="10"/>
    </row>
    <row r="678" spans="19:19" ht="14.25" customHeight="1" x14ac:dyDescent="0.3">
      <c r="S678" s="10"/>
    </row>
    <row r="679" spans="19:19" ht="14.25" customHeight="1" x14ac:dyDescent="0.3">
      <c r="S679" s="10"/>
    </row>
    <row r="680" spans="19:19" ht="14.25" customHeight="1" x14ac:dyDescent="0.3">
      <c r="S680" s="10"/>
    </row>
    <row r="681" spans="19:19" ht="14.25" customHeight="1" x14ac:dyDescent="0.3">
      <c r="S681" s="10"/>
    </row>
    <row r="682" spans="19:19" ht="14.25" customHeight="1" x14ac:dyDescent="0.3">
      <c r="S682" s="10"/>
    </row>
    <row r="683" spans="19:19" ht="14.25" customHeight="1" x14ac:dyDescent="0.3">
      <c r="S683" s="10"/>
    </row>
    <row r="684" spans="19:19" ht="14.25" customHeight="1" x14ac:dyDescent="0.3">
      <c r="S684" s="10"/>
    </row>
    <row r="685" spans="19:19" ht="14.25" customHeight="1" x14ac:dyDescent="0.3">
      <c r="S685" s="10"/>
    </row>
    <row r="686" spans="19:19" ht="14.25" customHeight="1" x14ac:dyDescent="0.3">
      <c r="S686" s="10"/>
    </row>
    <row r="687" spans="19:19" ht="14.25" customHeight="1" x14ac:dyDescent="0.3">
      <c r="S687" s="10"/>
    </row>
    <row r="688" spans="19:19" ht="14.25" customHeight="1" x14ac:dyDescent="0.3">
      <c r="S688" s="10"/>
    </row>
    <row r="689" spans="19:19" ht="14.25" customHeight="1" x14ac:dyDescent="0.3">
      <c r="S689" s="10"/>
    </row>
    <row r="690" spans="19:19" ht="14.25" customHeight="1" x14ac:dyDescent="0.3">
      <c r="S690" s="10"/>
    </row>
    <row r="691" spans="19:19" ht="14.25" customHeight="1" x14ac:dyDescent="0.3">
      <c r="S691" s="10"/>
    </row>
    <row r="692" spans="19:19" ht="14.25" customHeight="1" x14ac:dyDescent="0.3">
      <c r="S692" s="10"/>
    </row>
    <row r="693" spans="19:19" ht="14.25" customHeight="1" x14ac:dyDescent="0.3">
      <c r="S693" s="10"/>
    </row>
    <row r="694" spans="19:19" ht="14.25" customHeight="1" x14ac:dyDescent="0.3">
      <c r="S694" s="10"/>
    </row>
    <row r="695" spans="19:19" ht="14.25" customHeight="1" x14ac:dyDescent="0.3">
      <c r="S695" s="10"/>
    </row>
    <row r="696" spans="19:19" ht="14.25" customHeight="1" x14ac:dyDescent="0.3">
      <c r="S696" s="10"/>
    </row>
    <row r="697" spans="19:19" ht="14.25" customHeight="1" x14ac:dyDescent="0.3">
      <c r="S697" s="10"/>
    </row>
    <row r="698" spans="19:19" ht="14.25" customHeight="1" x14ac:dyDescent="0.3">
      <c r="S698" s="10"/>
    </row>
    <row r="699" spans="19:19" ht="14.25" customHeight="1" x14ac:dyDescent="0.3">
      <c r="S699" s="10"/>
    </row>
    <row r="700" spans="19:19" ht="14.25" customHeight="1" x14ac:dyDescent="0.3">
      <c r="S700" s="10"/>
    </row>
    <row r="701" spans="19:19" ht="14.25" customHeight="1" x14ac:dyDescent="0.3">
      <c r="S701" s="10"/>
    </row>
    <row r="702" spans="19:19" ht="14.25" customHeight="1" x14ac:dyDescent="0.3">
      <c r="S702" s="10"/>
    </row>
    <row r="703" spans="19:19" ht="14.25" customHeight="1" x14ac:dyDescent="0.3">
      <c r="S703" s="10"/>
    </row>
    <row r="704" spans="19:19" ht="14.25" customHeight="1" x14ac:dyDescent="0.3">
      <c r="S704" s="10"/>
    </row>
    <row r="705" spans="19:19" ht="14.25" customHeight="1" x14ac:dyDescent="0.3">
      <c r="S705" s="10"/>
    </row>
    <row r="706" spans="19:19" ht="14.25" customHeight="1" x14ac:dyDescent="0.3">
      <c r="S706" s="10"/>
    </row>
    <row r="707" spans="19:19" ht="14.25" customHeight="1" x14ac:dyDescent="0.3">
      <c r="S707" s="10"/>
    </row>
    <row r="708" spans="19:19" ht="14.25" customHeight="1" x14ac:dyDescent="0.3">
      <c r="S708" s="10"/>
    </row>
    <row r="709" spans="19:19" ht="14.25" customHeight="1" x14ac:dyDescent="0.3">
      <c r="S709" s="10"/>
    </row>
    <row r="710" spans="19:19" ht="14.25" customHeight="1" x14ac:dyDescent="0.3">
      <c r="S710" s="10"/>
    </row>
    <row r="711" spans="19:19" ht="14.25" customHeight="1" x14ac:dyDescent="0.3">
      <c r="S711" s="10"/>
    </row>
    <row r="712" spans="19:19" ht="14.25" customHeight="1" x14ac:dyDescent="0.3">
      <c r="S712" s="10"/>
    </row>
    <row r="713" spans="19:19" ht="14.25" customHeight="1" x14ac:dyDescent="0.3">
      <c r="S713" s="10"/>
    </row>
    <row r="714" spans="19:19" ht="14.25" customHeight="1" x14ac:dyDescent="0.3">
      <c r="S714" s="10"/>
    </row>
    <row r="715" spans="19:19" ht="14.25" customHeight="1" x14ac:dyDescent="0.3">
      <c r="S715" s="10"/>
    </row>
    <row r="716" spans="19:19" ht="14.25" customHeight="1" x14ac:dyDescent="0.3">
      <c r="S716" s="10"/>
    </row>
    <row r="717" spans="19:19" ht="14.25" customHeight="1" x14ac:dyDescent="0.3">
      <c r="S717" s="10"/>
    </row>
    <row r="718" spans="19:19" ht="14.25" customHeight="1" x14ac:dyDescent="0.3">
      <c r="S718" s="10"/>
    </row>
    <row r="719" spans="19:19" ht="14.25" customHeight="1" x14ac:dyDescent="0.3">
      <c r="S719" s="10"/>
    </row>
    <row r="720" spans="19:19" ht="14.25" customHeight="1" x14ac:dyDescent="0.3">
      <c r="S720" s="10"/>
    </row>
    <row r="721" spans="19:19" ht="14.25" customHeight="1" x14ac:dyDescent="0.3">
      <c r="S721" s="10"/>
    </row>
    <row r="722" spans="19:19" ht="14.25" customHeight="1" x14ac:dyDescent="0.3">
      <c r="S722" s="10"/>
    </row>
    <row r="723" spans="19:19" ht="14.25" customHeight="1" x14ac:dyDescent="0.3">
      <c r="S723" s="10"/>
    </row>
    <row r="724" spans="19:19" ht="14.25" customHeight="1" x14ac:dyDescent="0.3">
      <c r="S724" s="10"/>
    </row>
    <row r="725" spans="19:19" ht="14.25" customHeight="1" x14ac:dyDescent="0.3">
      <c r="S725" s="10"/>
    </row>
    <row r="726" spans="19:19" ht="14.25" customHeight="1" x14ac:dyDescent="0.3">
      <c r="S726" s="10"/>
    </row>
    <row r="727" spans="19:19" ht="14.25" customHeight="1" x14ac:dyDescent="0.3">
      <c r="S727" s="10"/>
    </row>
    <row r="728" spans="19:19" ht="14.25" customHeight="1" x14ac:dyDescent="0.3">
      <c r="S728" s="10"/>
    </row>
    <row r="729" spans="19:19" ht="14.25" customHeight="1" x14ac:dyDescent="0.3">
      <c r="S729" s="10"/>
    </row>
    <row r="730" spans="19:19" ht="14.25" customHeight="1" x14ac:dyDescent="0.3">
      <c r="S730" s="10"/>
    </row>
    <row r="731" spans="19:19" ht="14.25" customHeight="1" x14ac:dyDescent="0.3">
      <c r="S731" s="10"/>
    </row>
    <row r="732" spans="19:19" ht="14.25" customHeight="1" x14ac:dyDescent="0.3">
      <c r="S732" s="10"/>
    </row>
    <row r="733" spans="19:19" ht="14.25" customHeight="1" x14ac:dyDescent="0.3">
      <c r="S733" s="10"/>
    </row>
    <row r="734" spans="19:19" ht="14.25" customHeight="1" x14ac:dyDescent="0.3">
      <c r="S734" s="10"/>
    </row>
    <row r="735" spans="19:19" ht="14.25" customHeight="1" x14ac:dyDescent="0.3">
      <c r="S735" s="10"/>
    </row>
    <row r="736" spans="19:19" ht="14.25" customHeight="1" x14ac:dyDescent="0.3">
      <c r="S736" s="10"/>
    </row>
    <row r="737" spans="19:19" ht="14.25" customHeight="1" x14ac:dyDescent="0.3">
      <c r="S737" s="10"/>
    </row>
    <row r="738" spans="19:19" ht="14.25" customHeight="1" x14ac:dyDescent="0.3">
      <c r="S738" s="10"/>
    </row>
    <row r="739" spans="19:19" ht="14.25" customHeight="1" x14ac:dyDescent="0.3">
      <c r="S739" s="10"/>
    </row>
    <row r="740" spans="19:19" ht="14.25" customHeight="1" x14ac:dyDescent="0.3">
      <c r="S740" s="10"/>
    </row>
    <row r="741" spans="19:19" ht="14.25" customHeight="1" x14ac:dyDescent="0.3">
      <c r="S741" s="10"/>
    </row>
    <row r="742" spans="19:19" ht="14.25" customHeight="1" x14ac:dyDescent="0.3">
      <c r="S742" s="10"/>
    </row>
    <row r="743" spans="19:19" ht="14.25" customHeight="1" x14ac:dyDescent="0.3">
      <c r="S743" s="10"/>
    </row>
    <row r="744" spans="19:19" ht="14.25" customHeight="1" x14ac:dyDescent="0.3">
      <c r="S744" s="10"/>
    </row>
    <row r="745" spans="19:19" ht="14.25" customHeight="1" x14ac:dyDescent="0.3">
      <c r="S745" s="10"/>
    </row>
    <row r="746" spans="19:19" ht="14.25" customHeight="1" x14ac:dyDescent="0.3">
      <c r="S746" s="10"/>
    </row>
    <row r="747" spans="19:19" ht="14.25" customHeight="1" x14ac:dyDescent="0.3">
      <c r="S747" s="10"/>
    </row>
    <row r="748" spans="19:19" ht="14.25" customHeight="1" x14ac:dyDescent="0.3">
      <c r="S748" s="10"/>
    </row>
    <row r="749" spans="19:19" ht="14.25" customHeight="1" x14ac:dyDescent="0.3">
      <c r="S749" s="10"/>
    </row>
    <row r="750" spans="19:19" ht="14.25" customHeight="1" x14ac:dyDescent="0.3">
      <c r="S750" s="10"/>
    </row>
    <row r="751" spans="19:19" ht="14.25" customHeight="1" x14ac:dyDescent="0.3">
      <c r="S751" s="10"/>
    </row>
    <row r="752" spans="19:19" ht="14.25" customHeight="1" x14ac:dyDescent="0.3">
      <c r="S752" s="10"/>
    </row>
    <row r="753" spans="19:19" ht="14.25" customHeight="1" x14ac:dyDescent="0.3">
      <c r="S753" s="10"/>
    </row>
    <row r="754" spans="19:19" ht="14.25" customHeight="1" x14ac:dyDescent="0.3">
      <c r="S754" s="10"/>
    </row>
    <row r="755" spans="19:19" ht="14.25" customHeight="1" x14ac:dyDescent="0.3">
      <c r="S755" s="10"/>
    </row>
    <row r="756" spans="19:19" ht="14.25" customHeight="1" x14ac:dyDescent="0.3">
      <c r="S756" s="10"/>
    </row>
    <row r="757" spans="19:19" ht="14.25" customHeight="1" x14ac:dyDescent="0.3">
      <c r="S757" s="10"/>
    </row>
    <row r="758" spans="19:19" ht="14.25" customHeight="1" x14ac:dyDescent="0.3">
      <c r="S758" s="10"/>
    </row>
    <row r="759" spans="19:19" ht="14.25" customHeight="1" x14ac:dyDescent="0.3">
      <c r="S759" s="10"/>
    </row>
    <row r="760" spans="19:19" ht="14.25" customHeight="1" x14ac:dyDescent="0.3">
      <c r="S760" s="10"/>
    </row>
    <row r="761" spans="19:19" ht="14.25" customHeight="1" x14ac:dyDescent="0.3">
      <c r="S761" s="10"/>
    </row>
    <row r="762" spans="19:19" ht="14.25" customHeight="1" x14ac:dyDescent="0.3">
      <c r="S762" s="10"/>
    </row>
    <row r="763" spans="19:19" ht="14.25" customHeight="1" x14ac:dyDescent="0.3">
      <c r="S763" s="10"/>
    </row>
    <row r="764" spans="19:19" ht="14.25" customHeight="1" x14ac:dyDescent="0.3">
      <c r="S764" s="10"/>
    </row>
    <row r="765" spans="19:19" ht="14.25" customHeight="1" x14ac:dyDescent="0.3">
      <c r="S765" s="10"/>
    </row>
    <row r="766" spans="19:19" ht="14.25" customHeight="1" x14ac:dyDescent="0.3">
      <c r="S766" s="10"/>
    </row>
    <row r="767" spans="19:19" ht="14.25" customHeight="1" x14ac:dyDescent="0.3">
      <c r="S767" s="10"/>
    </row>
    <row r="768" spans="19:19" ht="14.25" customHeight="1" x14ac:dyDescent="0.3">
      <c r="S768" s="10"/>
    </row>
    <row r="769" spans="19:19" ht="14.25" customHeight="1" x14ac:dyDescent="0.3">
      <c r="S769" s="10"/>
    </row>
    <row r="770" spans="19:19" ht="14.25" customHeight="1" x14ac:dyDescent="0.3">
      <c r="S770" s="10"/>
    </row>
    <row r="771" spans="19:19" ht="14.25" customHeight="1" x14ac:dyDescent="0.3">
      <c r="S771" s="10"/>
    </row>
    <row r="772" spans="19:19" ht="14.25" customHeight="1" x14ac:dyDescent="0.3">
      <c r="S772" s="10"/>
    </row>
    <row r="773" spans="19:19" ht="14.25" customHeight="1" x14ac:dyDescent="0.3">
      <c r="S773" s="10"/>
    </row>
    <row r="774" spans="19:19" ht="14.25" customHeight="1" x14ac:dyDescent="0.3">
      <c r="S774" s="10"/>
    </row>
    <row r="775" spans="19:19" ht="14.25" customHeight="1" x14ac:dyDescent="0.3">
      <c r="S775" s="10"/>
    </row>
    <row r="776" spans="19:19" ht="14.25" customHeight="1" x14ac:dyDescent="0.3">
      <c r="S776" s="10"/>
    </row>
    <row r="777" spans="19:19" ht="14.25" customHeight="1" x14ac:dyDescent="0.3">
      <c r="S777" s="10"/>
    </row>
    <row r="778" spans="19:19" ht="14.25" customHeight="1" x14ac:dyDescent="0.3">
      <c r="S778" s="10"/>
    </row>
    <row r="779" spans="19:19" ht="14.25" customHeight="1" x14ac:dyDescent="0.3">
      <c r="S779" s="10"/>
    </row>
    <row r="780" spans="19:19" ht="14.25" customHeight="1" x14ac:dyDescent="0.3">
      <c r="S780" s="10"/>
    </row>
    <row r="781" spans="19:19" ht="14.25" customHeight="1" x14ac:dyDescent="0.3">
      <c r="S781" s="10"/>
    </row>
    <row r="782" spans="19:19" ht="14.25" customHeight="1" x14ac:dyDescent="0.3">
      <c r="S782" s="10"/>
    </row>
    <row r="783" spans="19:19" ht="14.25" customHeight="1" x14ac:dyDescent="0.3">
      <c r="S783" s="10"/>
    </row>
    <row r="784" spans="19:19" ht="14.25" customHeight="1" x14ac:dyDescent="0.3">
      <c r="S784" s="10"/>
    </row>
    <row r="785" spans="19:19" ht="14.25" customHeight="1" x14ac:dyDescent="0.3">
      <c r="S785" s="10"/>
    </row>
    <row r="786" spans="19:19" ht="14.25" customHeight="1" x14ac:dyDescent="0.3">
      <c r="S786" s="10"/>
    </row>
    <row r="787" spans="19:19" ht="14.25" customHeight="1" x14ac:dyDescent="0.3">
      <c r="S787" s="10"/>
    </row>
    <row r="788" spans="19:19" ht="14.25" customHeight="1" x14ac:dyDescent="0.3">
      <c r="S788" s="10"/>
    </row>
    <row r="789" spans="19:19" ht="14.25" customHeight="1" x14ac:dyDescent="0.3">
      <c r="S789" s="10"/>
    </row>
    <row r="790" spans="19:19" ht="14.25" customHeight="1" x14ac:dyDescent="0.3">
      <c r="S790" s="10"/>
    </row>
    <row r="791" spans="19:19" ht="14.25" customHeight="1" x14ac:dyDescent="0.3">
      <c r="S791" s="10"/>
    </row>
    <row r="792" spans="19:19" ht="14.25" customHeight="1" x14ac:dyDescent="0.3">
      <c r="S792" s="10"/>
    </row>
    <row r="793" spans="19:19" ht="14.25" customHeight="1" x14ac:dyDescent="0.3">
      <c r="S793" s="10"/>
    </row>
    <row r="794" spans="19:19" ht="14.25" customHeight="1" x14ac:dyDescent="0.3">
      <c r="S794" s="10"/>
    </row>
    <row r="795" spans="19:19" ht="14.25" customHeight="1" x14ac:dyDescent="0.3">
      <c r="S795" s="10"/>
    </row>
    <row r="796" spans="19:19" ht="14.25" customHeight="1" x14ac:dyDescent="0.3">
      <c r="S796" s="10"/>
    </row>
    <row r="797" spans="19:19" ht="14.25" customHeight="1" x14ac:dyDescent="0.3">
      <c r="S797" s="10"/>
    </row>
    <row r="798" spans="19:19" ht="14.25" customHeight="1" x14ac:dyDescent="0.3">
      <c r="S798" s="10"/>
    </row>
    <row r="799" spans="19:19" ht="14.25" customHeight="1" x14ac:dyDescent="0.3">
      <c r="S799" s="10"/>
    </row>
    <row r="800" spans="19:19" ht="14.25" customHeight="1" x14ac:dyDescent="0.3">
      <c r="S800" s="10"/>
    </row>
    <row r="801" spans="19:19" ht="14.25" customHeight="1" x14ac:dyDescent="0.3">
      <c r="S801" s="10"/>
    </row>
    <row r="802" spans="19:19" ht="14.25" customHeight="1" x14ac:dyDescent="0.3">
      <c r="S802" s="10"/>
    </row>
    <row r="803" spans="19:19" ht="14.25" customHeight="1" x14ac:dyDescent="0.3">
      <c r="S803" s="10"/>
    </row>
    <row r="804" spans="19:19" ht="14.25" customHeight="1" x14ac:dyDescent="0.3">
      <c r="S804" s="10"/>
    </row>
    <row r="805" spans="19:19" ht="14.25" customHeight="1" x14ac:dyDescent="0.3">
      <c r="S805" s="10"/>
    </row>
    <row r="806" spans="19:19" ht="14.25" customHeight="1" x14ac:dyDescent="0.3">
      <c r="S806" s="10"/>
    </row>
    <row r="807" spans="19:19" ht="14.25" customHeight="1" x14ac:dyDescent="0.3">
      <c r="S807" s="10"/>
    </row>
    <row r="808" spans="19:19" ht="14.25" customHeight="1" x14ac:dyDescent="0.3">
      <c r="S808" s="10"/>
    </row>
    <row r="809" spans="19:19" ht="14.25" customHeight="1" x14ac:dyDescent="0.3">
      <c r="S809" s="10"/>
    </row>
    <row r="810" spans="19:19" ht="14.25" customHeight="1" x14ac:dyDescent="0.3">
      <c r="S810" s="10"/>
    </row>
    <row r="811" spans="19:19" ht="14.25" customHeight="1" x14ac:dyDescent="0.3">
      <c r="S811" s="10"/>
    </row>
    <row r="812" spans="19:19" ht="14.25" customHeight="1" x14ac:dyDescent="0.3">
      <c r="S812" s="10"/>
    </row>
    <row r="813" spans="19:19" ht="14.25" customHeight="1" x14ac:dyDescent="0.3">
      <c r="S813" s="10"/>
    </row>
    <row r="814" spans="19:19" ht="14.25" customHeight="1" x14ac:dyDescent="0.3">
      <c r="S814" s="10"/>
    </row>
    <row r="815" spans="19:19" ht="14.25" customHeight="1" x14ac:dyDescent="0.3">
      <c r="S815" s="10"/>
    </row>
    <row r="816" spans="19:19" ht="14.25" customHeight="1" x14ac:dyDescent="0.3">
      <c r="S816" s="10"/>
    </row>
    <row r="817" spans="19:19" ht="14.25" customHeight="1" x14ac:dyDescent="0.3">
      <c r="S817" s="10"/>
    </row>
    <row r="818" spans="19:19" ht="14.25" customHeight="1" x14ac:dyDescent="0.3">
      <c r="S818" s="10"/>
    </row>
    <row r="819" spans="19:19" ht="14.25" customHeight="1" x14ac:dyDescent="0.3">
      <c r="S819" s="10"/>
    </row>
    <row r="820" spans="19:19" ht="14.25" customHeight="1" x14ac:dyDescent="0.3">
      <c r="S820" s="10"/>
    </row>
    <row r="821" spans="19:19" ht="14.25" customHeight="1" x14ac:dyDescent="0.3">
      <c r="S821" s="10"/>
    </row>
    <row r="822" spans="19:19" ht="14.25" customHeight="1" x14ac:dyDescent="0.3">
      <c r="S822" s="10"/>
    </row>
    <row r="823" spans="19:19" ht="14.25" customHeight="1" x14ac:dyDescent="0.3">
      <c r="S823" s="10"/>
    </row>
    <row r="824" spans="19:19" ht="14.25" customHeight="1" x14ac:dyDescent="0.3">
      <c r="S824" s="10"/>
    </row>
    <row r="825" spans="19:19" ht="14.25" customHeight="1" x14ac:dyDescent="0.3">
      <c r="S825" s="10"/>
    </row>
    <row r="826" spans="19:19" ht="14.25" customHeight="1" x14ac:dyDescent="0.3">
      <c r="S826" s="10"/>
    </row>
    <row r="827" spans="19:19" ht="14.25" customHeight="1" x14ac:dyDescent="0.3">
      <c r="S827" s="10"/>
    </row>
    <row r="828" spans="19:19" ht="14.25" customHeight="1" x14ac:dyDescent="0.3">
      <c r="S828" s="10"/>
    </row>
    <row r="829" spans="19:19" ht="14.25" customHeight="1" x14ac:dyDescent="0.3">
      <c r="S829" s="10"/>
    </row>
    <row r="830" spans="19:19" ht="14.25" customHeight="1" x14ac:dyDescent="0.3">
      <c r="S830" s="10"/>
    </row>
    <row r="831" spans="19:19" ht="14.25" customHeight="1" x14ac:dyDescent="0.3">
      <c r="S831" s="10"/>
    </row>
    <row r="832" spans="19:19" ht="14.25" customHeight="1" x14ac:dyDescent="0.3">
      <c r="S832" s="10"/>
    </row>
    <row r="833" spans="19:19" ht="14.25" customHeight="1" x14ac:dyDescent="0.3">
      <c r="S833" s="10"/>
    </row>
    <row r="834" spans="19:19" ht="14.25" customHeight="1" x14ac:dyDescent="0.3">
      <c r="S834" s="10"/>
    </row>
    <row r="835" spans="19:19" ht="14.25" customHeight="1" x14ac:dyDescent="0.3">
      <c r="S835" s="10"/>
    </row>
    <row r="836" spans="19:19" ht="14.25" customHeight="1" x14ac:dyDescent="0.3">
      <c r="S836" s="10"/>
    </row>
    <row r="837" spans="19:19" ht="14.25" customHeight="1" x14ac:dyDescent="0.3">
      <c r="S837" s="10"/>
    </row>
    <row r="838" spans="19:19" ht="14.25" customHeight="1" x14ac:dyDescent="0.3">
      <c r="S838" s="10"/>
    </row>
    <row r="839" spans="19:19" ht="14.25" customHeight="1" x14ac:dyDescent="0.3">
      <c r="S839" s="10"/>
    </row>
    <row r="840" spans="19:19" ht="14.25" customHeight="1" x14ac:dyDescent="0.3">
      <c r="S840" s="10"/>
    </row>
    <row r="841" spans="19:19" ht="14.25" customHeight="1" x14ac:dyDescent="0.3">
      <c r="S841" s="10"/>
    </row>
    <row r="842" spans="19:19" ht="14.25" customHeight="1" x14ac:dyDescent="0.3">
      <c r="S842" s="10"/>
    </row>
    <row r="843" spans="19:19" ht="14.25" customHeight="1" x14ac:dyDescent="0.3">
      <c r="S843" s="10"/>
    </row>
    <row r="844" spans="19:19" ht="14.25" customHeight="1" x14ac:dyDescent="0.3">
      <c r="S844" s="10"/>
    </row>
    <row r="845" spans="19:19" ht="14.25" customHeight="1" x14ac:dyDescent="0.3">
      <c r="S845" s="10"/>
    </row>
    <row r="846" spans="19:19" ht="14.25" customHeight="1" x14ac:dyDescent="0.3">
      <c r="S846" s="10"/>
    </row>
    <row r="847" spans="19:19" ht="14.25" customHeight="1" x14ac:dyDescent="0.3">
      <c r="S847" s="10"/>
    </row>
    <row r="848" spans="19:19" ht="14.25" customHeight="1" x14ac:dyDescent="0.3">
      <c r="S848" s="10"/>
    </row>
    <row r="849" spans="19:19" ht="14.25" customHeight="1" x14ac:dyDescent="0.3">
      <c r="S849" s="10"/>
    </row>
    <row r="850" spans="19:19" ht="14.25" customHeight="1" x14ac:dyDescent="0.3">
      <c r="S850" s="10"/>
    </row>
    <row r="851" spans="19:19" ht="14.25" customHeight="1" x14ac:dyDescent="0.3">
      <c r="S851" s="10"/>
    </row>
    <row r="852" spans="19:19" ht="14.25" customHeight="1" x14ac:dyDescent="0.3">
      <c r="S852" s="10"/>
    </row>
    <row r="853" spans="19:19" ht="14.25" customHeight="1" x14ac:dyDescent="0.3">
      <c r="S853" s="10"/>
    </row>
    <row r="854" spans="19:19" ht="14.25" customHeight="1" x14ac:dyDescent="0.3">
      <c r="S854" s="10"/>
    </row>
    <row r="855" spans="19:19" ht="14.25" customHeight="1" x14ac:dyDescent="0.3">
      <c r="S855" s="10"/>
    </row>
    <row r="856" spans="19:19" ht="14.25" customHeight="1" x14ac:dyDescent="0.3">
      <c r="S856" s="10"/>
    </row>
    <row r="857" spans="19:19" ht="14.25" customHeight="1" x14ac:dyDescent="0.3">
      <c r="S857" s="10"/>
    </row>
    <row r="858" spans="19:19" ht="14.25" customHeight="1" x14ac:dyDescent="0.3">
      <c r="S858" s="10"/>
    </row>
    <row r="859" spans="19:19" ht="14.25" customHeight="1" x14ac:dyDescent="0.3">
      <c r="S859" s="10"/>
    </row>
    <row r="860" spans="19:19" ht="14.25" customHeight="1" x14ac:dyDescent="0.3">
      <c r="S860" s="10"/>
    </row>
    <row r="861" spans="19:19" ht="14.25" customHeight="1" x14ac:dyDescent="0.3">
      <c r="S861" s="10"/>
    </row>
    <row r="862" spans="19:19" ht="14.25" customHeight="1" x14ac:dyDescent="0.3">
      <c r="S862" s="10"/>
    </row>
    <row r="863" spans="19:19" ht="14.25" customHeight="1" x14ac:dyDescent="0.3">
      <c r="S863" s="10"/>
    </row>
    <row r="864" spans="19:19" ht="14.25" customHeight="1" x14ac:dyDescent="0.3">
      <c r="S864" s="10"/>
    </row>
    <row r="865" spans="19:19" ht="14.25" customHeight="1" x14ac:dyDescent="0.3">
      <c r="S865" s="10"/>
    </row>
    <row r="866" spans="19:19" ht="14.25" customHeight="1" x14ac:dyDescent="0.3">
      <c r="S866" s="10"/>
    </row>
    <row r="867" spans="19:19" ht="14.25" customHeight="1" x14ac:dyDescent="0.3">
      <c r="S867" s="10"/>
    </row>
    <row r="868" spans="19:19" ht="14.25" customHeight="1" x14ac:dyDescent="0.3">
      <c r="S868" s="10"/>
    </row>
    <row r="869" spans="19:19" ht="14.25" customHeight="1" x14ac:dyDescent="0.3">
      <c r="S869" s="10"/>
    </row>
    <row r="870" spans="19:19" ht="14.25" customHeight="1" x14ac:dyDescent="0.3">
      <c r="S870" s="10"/>
    </row>
    <row r="871" spans="19:19" ht="14.25" customHeight="1" x14ac:dyDescent="0.3">
      <c r="S871" s="10"/>
    </row>
    <row r="872" spans="19:19" ht="14.25" customHeight="1" x14ac:dyDescent="0.3">
      <c r="S872" s="10"/>
    </row>
    <row r="873" spans="19:19" ht="14.25" customHeight="1" x14ac:dyDescent="0.3">
      <c r="S873" s="10"/>
    </row>
    <row r="874" spans="19:19" ht="14.25" customHeight="1" x14ac:dyDescent="0.3">
      <c r="S874" s="10"/>
    </row>
    <row r="875" spans="19:19" ht="14.25" customHeight="1" x14ac:dyDescent="0.3">
      <c r="S875" s="10"/>
    </row>
    <row r="876" spans="19:19" ht="14.25" customHeight="1" x14ac:dyDescent="0.3">
      <c r="S876" s="10"/>
    </row>
    <row r="877" spans="19:19" ht="14.25" customHeight="1" x14ac:dyDescent="0.3">
      <c r="S877" s="10"/>
    </row>
    <row r="878" spans="19:19" ht="14.25" customHeight="1" x14ac:dyDescent="0.3">
      <c r="S878" s="10"/>
    </row>
    <row r="879" spans="19:19" ht="14.25" customHeight="1" x14ac:dyDescent="0.3">
      <c r="S879" s="10"/>
    </row>
    <row r="880" spans="19:19" ht="14.25" customHeight="1" x14ac:dyDescent="0.3">
      <c r="S880" s="10"/>
    </row>
    <row r="881" spans="19:19" ht="14.25" customHeight="1" x14ac:dyDescent="0.3">
      <c r="S881" s="10"/>
    </row>
    <row r="882" spans="19:19" ht="14.25" customHeight="1" x14ac:dyDescent="0.3">
      <c r="S882" s="10"/>
    </row>
    <row r="883" spans="19:19" ht="14.25" customHeight="1" x14ac:dyDescent="0.3">
      <c r="S883" s="10"/>
    </row>
    <row r="884" spans="19:19" ht="14.25" customHeight="1" x14ac:dyDescent="0.3">
      <c r="S884" s="10"/>
    </row>
    <row r="885" spans="19:19" ht="14.25" customHeight="1" x14ac:dyDescent="0.3">
      <c r="S885" s="10"/>
    </row>
    <row r="886" spans="19:19" ht="14.25" customHeight="1" x14ac:dyDescent="0.3">
      <c r="S886" s="10"/>
    </row>
    <row r="887" spans="19:19" ht="14.25" customHeight="1" x14ac:dyDescent="0.3">
      <c r="S887" s="10"/>
    </row>
    <row r="888" spans="19:19" ht="14.25" customHeight="1" x14ac:dyDescent="0.3">
      <c r="S888" s="10"/>
    </row>
    <row r="889" spans="19:19" ht="14.25" customHeight="1" x14ac:dyDescent="0.3">
      <c r="S889" s="10"/>
    </row>
    <row r="890" spans="19:19" ht="14.25" customHeight="1" x14ac:dyDescent="0.3">
      <c r="S890" s="10"/>
    </row>
    <row r="891" spans="19:19" ht="14.25" customHeight="1" x14ac:dyDescent="0.3">
      <c r="S891" s="10"/>
    </row>
    <row r="892" spans="19:19" ht="14.25" customHeight="1" x14ac:dyDescent="0.3">
      <c r="S892" s="10"/>
    </row>
    <row r="893" spans="19:19" ht="14.25" customHeight="1" x14ac:dyDescent="0.3">
      <c r="S893" s="10"/>
    </row>
    <row r="894" spans="19:19" ht="14.25" customHeight="1" x14ac:dyDescent="0.3">
      <c r="S894" s="10"/>
    </row>
    <row r="895" spans="19:19" ht="14.25" customHeight="1" x14ac:dyDescent="0.3">
      <c r="S895" s="10"/>
    </row>
    <row r="896" spans="19:19" ht="14.25" customHeight="1" x14ac:dyDescent="0.3">
      <c r="S896" s="10"/>
    </row>
    <row r="897" spans="19:19" ht="14.25" customHeight="1" x14ac:dyDescent="0.3">
      <c r="S897" s="10"/>
    </row>
    <row r="898" spans="19:19" ht="14.25" customHeight="1" x14ac:dyDescent="0.3">
      <c r="S898" s="10"/>
    </row>
    <row r="899" spans="19:19" ht="14.25" customHeight="1" x14ac:dyDescent="0.3">
      <c r="S899" s="10"/>
    </row>
    <row r="900" spans="19:19" ht="14.25" customHeight="1" x14ac:dyDescent="0.3">
      <c r="S900" s="10"/>
    </row>
    <row r="901" spans="19:19" ht="14.25" customHeight="1" x14ac:dyDescent="0.3">
      <c r="S901" s="10"/>
    </row>
    <row r="902" spans="19:19" ht="14.25" customHeight="1" x14ac:dyDescent="0.3">
      <c r="S902" s="10"/>
    </row>
    <row r="903" spans="19:19" ht="14.25" customHeight="1" x14ac:dyDescent="0.3">
      <c r="S903" s="10"/>
    </row>
    <row r="904" spans="19:19" ht="14.25" customHeight="1" x14ac:dyDescent="0.3">
      <c r="S904" s="10"/>
    </row>
    <row r="905" spans="19:19" ht="14.25" customHeight="1" x14ac:dyDescent="0.3">
      <c r="S905" s="10"/>
    </row>
    <row r="906" spans="19:19" ht="14.25" customHeight="1" x14ac:dyDescent="0.3">
      <c r="S906" s="10"/>
    </row>
    <row r="907" spans="19:19" ht="14.25" customHeight="1" x14ac:dyDescent="0.3">
      <c r="S907" s="10"/>
    </row>
    <row r="908" spans="19:19" ht="14.25" customHeight="1" x14ac:dyDescent="0.3">
      <c r="S908" s="10"/>
    </row>
    <row r="909" spans="19:19" ht="14.25" customHeight="1" x14ac:dyDescent="0.3">
      <c r="S909" s="10"/>
    </row>
    <row r="910" spans="19:19" ht="14.25" customHeight="1" x14ac:dyDescent="0.3">
      <c r="S910" s="10"/>
    </row>
    <row r="911" spans="19:19" ht="14.25" customHeight="1" x14ac:dyDescent="0.3">
      <c r="S911" s="10"/>
    </row>
    <row r="912" spans="19:19" ht="14.25" customHeight="1" x14ac:dyDescent="0.3">
      <c r="S912" s="10"/>
    </row>
    <row r="913" spans="19:19" ht="14.25" customHeight="1" x14ac:dyDescent="0.3">
      <c r="S913" s="10"/>
    </row>
    <row r="914" spans="19:19" ht="14.25" customHeight="1" x14ac:dyDescent="0.3">
      <c r="S914" s="10"/>
    </row>
    <row r="915" spans="19:19" ht="14.25" customHeight="1" x14ac:dyDescent="0.3">
      <c r="S915" s="10"/>
    </row>
    <row r="916" spans="19:19" ht="14.25" customHeight="1" x14ac:dyDescent="0.3">
      <c r="S916" s="10"/>
    </row>
    <row r="917" spans="19:19" ht="14.25" customHeight="1" x14ac:dyDescent="0.3">
      <c r="S917" s="10"/>
    </row>
    <row r="918" spans="19:19" ht="14.25" customHeight="1" x14ac:dyDescent="0.3">
      <c r="S918" s="10"/>
    </row>
    <row r="919" spans="19:19" ht="14.25" customHeight="1" x14ac:dyDescent="0.3">
      <c r="S919" s="10"/>
    </row>
    <row r="920" spans="19:19" ht="14.25" customHeight="1" x14ac:dyDescent="0.3">
      <c r="S920" s="10"/>
    </row>
    <row r="921" spans="19:19" ht="14.25" customHeight="1" x14ac:dyDescent="0.3">
      <c r="S921" s="10"/>
    </row>
    <row r="922" spans="19:19" ht="14.25" customHeight="1" x14ac:dyDescent="0.3">
      <c r="S922" s="10"/>
    </row>
    <row r="923" spans="19:19" ht="14.25" customHeight="1" x14ac:dyDescent="0.3">
      <c r="S923" s="10"/>
    </row>
    <row r="924" spans="19:19" ht="14.25" customHeight="1" x14ac:dyDescent="0.3">
      <c r="S924" s="10"/>
    </row>
    <row r="925" spans="19:19" ht="14.25" customHeight="1" x14ac:dyDescent="0.3">
      <c r="S925" s="10"/>
    </row>
    <row r="926" spans="19:19" ht="14.25" customHeight="1" x14ac:dyDescent="0.3">
      <c r="S926" s="10"/>
    </row>
    <row r="927" spans="19:19" ht="14.25" customHeight="1" x14ac:dyDescent="0.3">
      <c r="S927" s="10"/>
    </row>
    <row r="928" spans="19:19" ht="14.25" customHeight="1" x14ac:dyDescent="0.3">
      <c r="S928" s="10"/>
    </row>
    <row r="929" spans="19:19" ht="14.25" customHeight="1" x14ac:dyDescent="0.3">
      <c r="S929" s="10"/>
    </row>
    <row r="930" spans="19:19" ht="14.25" customHeight="1" x14ac:dyDescent="0.3">
      <c r="S930" s="10"/>
    </row>
    <row r="931" spans="19:19" ht="14.25" customHeight="1" x14ac:dyDescent="0.3">
      <c r="S931" s="10"/>
    </row>
    <row r="932" spans="19:19" ht="14.25" customHeight="1" x14ac:dyDescent="0.3">
      <c r="S932" s="10"/>
    </row>
    <row r="933" spans="19:19" ht="14.25" customHeight="1" x14ac:dyDescent="0.3">
      <c r="S933" s="10"/>
    </row>
    <row r="934" spans="19:19" ht="14.25" customHeight="1" x14ac:dyDescent="0.3">
      <c r="S934" s="10"/>
    </row>
    <row r="935" spans="19:19" ht="14.25" customHeight="1" x14ac:dyDescent="0.3">
      <c r="S935" s="10"/>
    </row>
    <row r="936" spans="19:19" ht="14.25" customHeight="1" x14ac:dyDescent="0.3">
      <c r="S936" s="10"/>
    </row>
    <row r="937" spans="19:19" ht="14.25" customHeight="1" x14ac:dyDescent="0.3">
      <c r="S937" s="10"/>
    </row>
    <row r="938" spans="19:19" ht="14.25" customHeight="1" x14ac:dyDescent="0.3">
      <c r="S938" s="10"/>
    </row>
    <row r="939" spans="19:19" ht="14.25" customHeight="1" x14ac:dyDescent="0.3">
      <c r="S939" s="10"/>
    </row>
    <row r="940" spans="19:19" ht="14.25" customHeight="1" x14ac:dyDescent="0.3">
      <c r="S940" s="10"/>
    </row>
    <row r="941" spans="19:19" ht="14.25" customHeight="1" x14ac:dyDescent="0.3">
      <c r="S941" s="10"/>
    </row>
    <row r="942" spans="19:19" ht="14.25" customHeight="1" x14ac:dyDescent="0.3">
      <c r="S942" s="10"/>
    </row>
    <row r="943" spans="19:19" ht="14.25" customHeight="1" x14ac:dyDescent="0.3">
      <c r="S943" s="10"/>
    </row>
    <row r="944" spans="19:19" ht="14.25" customHeight="1" x14ac:dyDescent="0.3">
      <c r="S944" s="10"/>
    </row>
    <row r="945" spans="19:19" ht="14.25" customHeight="1" x14ac:dyDescent="0.3">
      <c r="S945" s="10"/>
    </row>
    <row r="946" spans="19:19" ht="14.25" customHeight="1" x14ac:dyDescent="0.3">
      <c r="S946" s="10"/>
    </row>
    <row r="947" spans="19:19" ht="14.25" customHeight="1" x14ac:dyDescent="0.3">
      <c r="S947" s="10"/>
    </row>
    <row r="948" spans="19:19" ht="14.25" customHeight="1" x14ac:dyDescent="0.3">
      <c r="S948" s="10"/>
    </row>
    <row r="949" spans="19:19" ht="14.25" customHeight="1" x14ac:dyDescent="0.3">
      <c r="S949" s="10"/>
    </row>
    <row r="950" spans="19:19" ht="14.25" customHeight="1" x14ac:dyDescent="0.3">
      <c r="S950" s="10"/>
    </row>
    <row r="951" spans="19:19" ht="14.25" customHeight="1" x14ac:dyDescent="0.3">
      <c r="S951" s="10"/>
    </row>
    <row r="952" spans="19:19" ht="14.25" customHeight="1" x14ac:dyDescent="0.3">
      <c r="S952" s="10"/>
    </row>
    <row r="953" spans="19:19" ht="14.25" customHeight="1" x14ac:dyDescent="0.3">
      <c r="S953" s="10"/>
    </row>
    <row r="954" spans="19:19" ht="14.25" customHeight="1" x14ac:dyDescent="0.3">
      <c r="S954" s="10"/>
    </row>
    <row r="955" spans="19:19" ht="14.25" customHeight="1" x14ac:dyDescent="0.3">
      <c r="S955" s="10"/>
    </row>
    <row r="956" spans="19:19" ht="14.25" customHeight="1" x14ac:dyDescent="0.3">
      <c r="S956" s="10"/>
    </row>
    <row r="957" spans="19:19" ht="14.25" customHeight="1" x14ac:dyDescent="0.3">
      <c r="S957" s="10"/>
    </row>
    <row r="958" spans="19:19" ht="14.25" customHeight="1" x14ac:dyDescent="0.3">
      <c r="S958" s="10"/>
    </row>
    <row r="959" spans="19:19" ht="14.25" customHeight="1" x14ac:dyDescent="0.3">
      <c r="S959" s="10"/>
    </row>
    <row r="960" spans="19:19" ht="14.25" customHeight="1" x14ac:dyDescent="0.3">
      <c r="S960" s="10"/>
    </row>
    <row r="961" spans="19:19" ht="14.25" customHeight="1" x14ac:dyDescent="0.3">
      <c r="S961" s="10"/>
    </row>
    <row r="962" spans="19:19" ht="14.25" customHeight="1" x14ac:dyDescent="0.3">
      <c r="S962" s="10"/>
    </row>
    <row r="963" spans="19:19" ht="14.25" customHeight="1" x14ac:dyDescent="0.3">
      <c r="S963" s="10"/>
    </row>
    <row r="964" spans="19:19" ht="14.25" customHeight="1" x14ac:dyDescent="0.3">
      <c r="S964" s="10"/>
    </row>
    <row r="965" spans="19:19" ht="14.25" customHeight="1" x14ac:dyDescent="0.3">
      <c r="S965" s="10"/>
    </row>
    <row r="966" spans="19:19" ht="14.25" customHeight="1" x14ac:dyDescent="0.3">
      <c r="S966" s="10"/>
    </row>
    <row r="967" spans="19:19" ht="14.25" customHeight="1" x14ac:dyDescent="0.3">
      <c r="S967" s="10"/>
    </row>
    <row r="968" spans="19:19" ht="14.25" customHeight="1" x14ac:dyDescent="0.3">
      <c r="S968" s="10"/>
    </row>
    <row r="969" spans="19:19" ht="14.25" customHeight="1" x14ac:dyDescent="0.3">
      <c r="S969" s="10"/>
    </row>
    <row r="970" spans="19:19" ht="14.25" customHeight="1" x14ac:dyDescent="0.3">
      <c r="S970" s="10"/>
    </row>
    <row r="971" spans="19:19" ht="14.25" customHeight="1" x14ac:dyDescent="0.3">
      <c r="S971" s="10"/>
    </row>
    <row r="972" spans="19:19" ht="14.25" customHeight="1" x14ac:dyDescent="0.3">
      <c r="S972" s="10"/>
    </row>
    <row r="973" spans="19:19" ht="14.25" customHeight="1" x14ac:dyDescent="0.3">
      <c r="S973" s="10"/>
    </row>
    <row r="974" spans="19:19" ht="14.25" customHeight="1" x14ac:dyDescent="0.3">
      <c r="S974" s="10"/>
    </row>
    <row r="975" spans="19:19" ht="14.25" customHeight="1" x14ac:dyDescent="0.3">
      <c r="S975" s="10"/>
    </row>
    <row r="976" spans="19:19" ht="14.25" customHeight="1" x14ac:dyDescent="0.3">
      <c r="S976" s="10"/>
    </row>
    <row r="977" spans="19:19" ht="14.25" customHeight="1" x14ac:dyDescent="0.3">
      <c r="S977" s="10"/>
    </row>
    <row r="978" spans="19:19" ht="14.25" customHeight="1" x14ac:dyDescent="0.3">
      <c r="S978" s="10"/>
    </row>
    <row r="979" spans="19:19" ht="14.25" customHeight="1" x14ac:dyDescent="0.3">
      <c r="S979" s="10"/>
    </row>
    <row r="980" spans="19:19" ht="14.25" customHeight="1" x14ac:dyDescent="0.3">
      <c r="S980" s="10"/>
    </row>
    <row r="981" spans="19:19" ht="14.25" customHeight="1" x14ac:dyDescent="0.3">
      <c r="S981" s="10"/>
    </row>
    <row r="982" spans="19:19" ht="14.25" customHeight="1" x14ac:dyDescent="0.3">
      <c r="S982" s="10"/>
    </row>
    <row r="983" spans="19:19" ht="14.25" customHeight="1" x14ac:dyDescent="0.3">
      <c r="S983" s="10"/>
    </row>
    <row r="984" spans="19:19" ht="14.25" customHeight="1" x14ac:dyDescent="0.3">
      <c r="S984" s="10"/>
    </row>
    <row r="985" spans="19:19" ht="14.25" customHeight="1" x14ac:dyDescent="0.3">
      <c r="S985" s="10"/>
    </row>
    <row r="986" spans="19:19" ht="14.25" customHeight="1" x14ac:dyDescent="0.3">
      <c r="S986" s="10"/>
    </row>
    <row r="987" spans="19:19" ht="14.25" customHeight="1" x14ac:dyDescent="0.3">
      <c r="S987" s="10"/>
    </row>
    <row r="988" spans="19:19" ht="14.25" customHeight="1" x14ac:dyDescent="0.3">
      <c r="S988" s="10"/>
    </row>
    <row r="989" spans="19:19" ht="14.25" customHeight="1" x14ac:dyDescent="0.3">
      <c r="S989" s="10"/>
    </row>
    <row r="990" spans="19:19" ht="14.25" customHeight="1" x14ac:dyDescent="0.3">
      <c r="S990" s="10"/>
    </row>
    <row r="991" spans="19:19" ht="14.25" customHeight="1" x14ac:dyDescent="0.3">
      <c r="S991" s="10"/>
    </row>
    <row r="992" spans="19:19" ht="14.25" customHeight="1" x14ac:dyDescent="0.3">
      <c r="S992" s="10"/>
    </row>
    <row r="993" spans="19:19" ht="14.25" customHeight="1" x14ac:dyDescent="0.3">
      <c r="S993" s="10"/>
    </row>
    <row r="994" spans="19:19" ht="14.25" customHeight="1" x14ac:dyDescent="0.3">
      <c r="S994" s="10"/>
    </row>
    <row r="995" spans="19:19" ht="14.25" customHeight="1" x14ac:dyDescent="0.3">
      <c r="S995" s="10"/>
    </row>
    <row r="996" spans="19:19" ht="14.25" customHeight="1" x14ac:dyDescent="0.3">
      <c r="S996" s="10"/>
    </row>
    <row r="997" spans="19:19" ht="14.25" customHeight="1" x14ac:dyDescent="0.3">
      <c r="S997" s="10"/>
    </row>
    <row r="998" spans="19:19" ht="14.25" customHeight="1" x14ac:dyDescent="0.3">
      <c r="S998" s="10"/>
    </row>
    <row r="999" spans="19:19" ht="14.25" customHeight="1" x14ac:dyDescent="0.3">
      <c r="S999" s="10"/>
    </row>
    <row r="1000" spans="19:19" ht="14.25" customHeight="1" x14ac:dyDescent="0.3">
      <c r="S1000" s="10"/>
    </row>
  </sheetData>
  <sortState xmlns:xlrd2="http://schemas.microsoft.com/office/spreadsheetml/2017/richdata2" ref="A2:AK492">
    <sortCondition ref="A2:A492"/>
    <sortCondition ref="B2:B492"/>
    <sortCondition ref="C2:C492"/>
  </sortState>
  <phoneticPr fontId="23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68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 x14ac:dyDescent="0.3"/>
  <cols>
    <col min="1" max="1" width="12.109375" customWidth="1"/>
    <col min="2" max="2" width="6.6640625" customWidth="1"/>
    <col min="3" max="4" width="7.6640625" customWidth="1"/>
    <col min="5" max="5" width="10.109375" customWidth="1"/>
    <col min="6" max="6" width="6.33203125" customWidth="1"/>
    <col min="7" max="7" width="5.6640625" customWidth="1"/>
    <col min="8" max="8" width="6.33203125" customWidth="1"/>
    <col min="9" max="10" width="6.109375" customWidth="1"/>
    <col min="11" max="11" width="7.109375" customWidth="1"/>
    <col min="12" max="13" width="5.44140625" customWidth="1"/>
    <col min="14" max="14" width="6.44140625" customWidth="1"/>
    <col min="15" max="16" width="5.33203125" customWidth="1"/>
    <col min="17" max="17" width="6.33203125" customWidth="1"/>
    <col min="18" max="18" width="8.109375" customWidth="1"/>
    <col min="19" max="19" width="9.6640625" customWidth="1"/>
    <col min="20" max="20" width="10.109375" bestFit="1" customWidth="1"/>
    <col min="21" max="21" width="10.6640625" bestFit="1" customWidth="1"/>
    <col min="22" max="22" width="11.6640625" bestFit="1" customWidth="1"/>
    <col min="23" max="23" width="12.6640625" bestFit="1" customWidth="1"/>
    <col min="24" max="24" width="8.6640625" customWidth="1"/>
  </cols>
  <sheetData>
    <row r="1" spans="1:23" ht="14.25" customHeight="1" x14ac:dyDescent="0.3">
      <c r="A1" s="1" t="s">
        <v>0</v>
      </c>
      <c r="B1" s="1" t="s">
        <v>2</v>
      </c>
      <c r="C1" s="1" t="s">
        <v>82</v>
      </c>
      <c r="D1" s="50" t="s">
        <v>6</v>
      </c>
      <c r="E1" t="s">
        <v>964</v>
      </c>
      <c r="F1" s="1" t="s">
        <v>757</v>
      </c>
      <c r="G1" s="1" t="s">
        <v>758</v>
      </c>
      <c r="H1" s="1" t="s">
        <v>759</v>
      </c>
      <c r="I1" s="1" t="s">
        <v>746</v>
      </c>
      <c r="J1" s="1" t="s">
        <v>747</v>
      </c>
      <c r="K1" s="1" t="s">
        <v>748</v>
      </c>
      <c r="L1" s="1" t="s">
        <v>749</v>
      </c>
      <c r="M1" s="1" t="s">
        <v>750</v>
      </c>
      <c r="N1" s="1" t="s">
        <v>751</v>
      </c>
      <c r="O1" s="1" t="s">
        <v>752</v>
      </c>
      <c r="P1" s="1" t="s">
        <v>753</v>
      </c>
      <c r="Q1" s="1" t="s">
        <v>754</v>
      </c>
      <c r="R1" s="1" t="s">
        <v>755</v>
      </c>
      <c r="S1" s="1" t="s">
        <v>756</v>
      </c>
      <c r="T1" s="1" t="s">
        <v>963</v>
      </c>
      <c r="U1" s="50" t="s">
        <v>966</v>
      </c>
      <c r="V1" s="50" t="s">
        <v>967</v>
      </c>
      <c r="W1" s="50" t="s">
        <v>965</v>
      </c>
    </row>
    <row r="2" spans="1:23" ht="14.25" customHeight="1" x14ac:dyDescent="0.3">
      <c r="A2" s="1" t="s">
        <v>43</v>
      </c>
      <c r="B2" s="1">
        <v>1</v>
      </c>
      <c r="C2" s="1" t="s">
        <v>760</v>
      </c>
      <c r="D2" s="1">
        <v>24</v>
      </c>
      <c r="E2" s="56">
        <f t="shared" ref="E2:E65" si="0">SQRT(1+((D2/100)^2))</f>
        <v>1.0283968105745953</v>
      </c>
      <c r="F2" s="1">
        <v>15</v>
      </c>
      <c r="G2" s="1">
        <v>2</v>
      </c>
      <c r="H2" s="1">
        <v>6</v>
      </c>
      <c r="I2" s="1">
        <v>0.3</v>
      </c>
      <c r="J2" s="1">
        <v>0.3</v>
      </c>
      <c r="K2" s="1">
        <v>1</v>
      </c>
      <c r="L2" s="1">
        <v>0</v>
      </c>
      <c r="M2" s="1">
        <v>0</v>
      </c>
      <c r="N2" s="1">
        <v>0</v>
      </c>
      <c r="O2" s="1">
        <v>100</v>
      </c>
      <c r="P2" s="1">
        <v>1.5</v>
      </c>
      <c r="Q2" s="1">
        <v>1</v>
      </c>
      <c r="R2" s="5">
        <f>AVERAGE(I2:K2)</f>
        <v>0.53333333333333333</v>
      </c>
      <c r="S2" s="5">
        <f>AVERAGE(L2:N2)</f>
        <v>0</v>
      </c>
      <c r="T2" s="5">
        <f>AVERAGE(O2:Q2)</f>
        <v>34.166666666666664</v>
      </c>
      <c r="U2" s="33">
        <f t="shared" ref="U2:U25" si="1">(11.64*F2*0.0122*0.48*1.13*E2)/6.56168</f>
        <v>0.18107955772152309</v>
      </c>
      <c r="V2" s="48">
        <f t="shared" ref="V2:V25" si="2">(11.64*G2*0.304*0.48*1.13*E2)/6.56168</f>
        <v>0.60161951417861204</v>
      </c>
      <c r="W2" s="48">
        <f t="shared" ref="W2:W25" si="3">(11.64*H2*2.87*0.4*1.13*E2)/13.1234</f>
        <v>7.0996823309445123</v>
      </c>
    </row>
    <row r="3" spans="1:23" ht="14.25" customHeight="1" x14ac:dyDescent="0.3">
      <c r="A3" s="1" t="s">
        <v>43</v>
      </c>
      <c r="B3" s="1">
        <v>1</v>
      </c>
      <c r="C3" s="1" t="s">
        <v>761</v>
      </c>
      <c r="D3" s="1">
        <v>24</v>
      </c>
      <c r="E3" s="56">
        <f t="shared" si="0"/>
        <v>1.0283968105745953</v>
      </c>
      <c r="F3" s="1">
        <v>26</v>
      </c>
      <c r="G3" s="1">
        <v>5</v>
      </c>
      <c r="H3" s="1">
        <v>1</v>
      </c>
      <c r="I3" s="1">
        <v>0.1</v>
      </c>
      <c r="J3" s="1">
        <v>0.1</v>
      </c>
      <c r="K3" s="1">
        <v>0.1</v>
      </c>
      <c r="L3" s="1">
        <v>0</v>
      </c>
      <c r="M3" s="1">
        <v>0</v>
      </c>
      <c r="N3" s="1">
        <v>0</v>
      </c>
      <c r="O3" s="1">
        <v>13</v>
      </c>
      <c r="P3" s="1">
        <v>1.5</v>
      </c>
      <c r="Q3" s="1">
        <v>8</v>
      </c>
      <c r="R3" s="5">
        <f t="shared" ref="R3:R66" si="4">AVERAGE(I3:K3)</f>
        <v>0.10000000000000002</v>
      </c>
      <c r="S3" s="5">
        <f t="shared" ref="S3:S66" si="5">AVERAGE(L3:N3)</f>
        <v>0</v>
      </c>
      <c r="T3" s="5">
        <f t="shared" ref="T3:T66" si="6">AVERAGE(O3:Q3)</f>
        <v>7.5</v>
      </c>
      <c r="U3" s="33">
        <f t="shared" si="1"/>
        <v>0.31387123338397327</v>
      </c>
      <c r="V3" s="48">
        <f t="shared" si="2"/>
        <v>1.5040487854465305</v>
      </c>
      <c r="W3" s="48">
        <f t="shared" si="3"/>
        <v>1.1832803884907521</v>
      </c>
    </row>
    <row r="4" spans="1:23" ht="14.25" customHeight="1" x14ac:dyDescent="0.3">
      <c r="A4" s="1" t="s">
        <v>43</v>
      </c>
      <c r="B4" s="1">
        <v>1</v>
      </c>
      <c r="C4" s="1" t="s">
        <v>101</v>
      </c>
      <c r="D4" s="1">
        <v>24</v>
      </c>
      <c r="E4" s="56">
        <f t="shared" si="0"/>
        <v>1.0283968105745953</v>
      </c>
      <c r="F4" s="1">
        <v>14</v>
      </c>
      <c r="G4" s="1">
        <v>3</v>
      </c>
      <c r="H4" s="1">
        <v>0</v>
      </c>
      <c r="I4" s="1">
        <v>0</v>
      </c>
      <c r="J4" s="1">
        <v>0</v>
      </c>
      <c r="K4" s="1">
        <v>0.1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0.1</v>
      </c>
      <c r="R4" s="5">
        <f t="shared" si="4"/>
        <v>3.3333333333333333E-2</v>
      </c>
      <c r="S4" s="5">
        <f t="shared" si="5"/>
        <v>0</v>
      </c>
      <c r="T4" s="5">
        <f t="shared" si="6"/>
        <v>3.3333333333333333E-2</v>
      </c>
      <c r="U4" s="33">
        <f t="shared" si="1"/>
        <v>0.16900758720675485</v>
      </c>
      <c r="V4" s="48">
        <f t="shared" si="2"/>
        <v>0.90242927126791839</v>
      </c>
      <c r="W4" s="48">
        <f t="shared" si="3"/>
        <v>0</v>
      </c>
    </row>
    <row r="5" spans="1:23" ht="14.25" customHeight="1" x14ac:dyDescent="0.3">
      <c r="A5" s="1" t="s">
        <v>43</v>
      </c>
      <c r="B5" s="1">
        <v>1</v>
      </c>
      <c r="C5" s="1" t="s">
        <v>762</v>
      </c>
      <c r="D5" s="1">
        <v>24</v>
      </c>
      <c r="E5" s="56">
        <f t="shared" si="0"/>
        <v>1.0283968105745953</v>
      </c>
      <c r="F5" s="1">
        <v>19</v>
      </c>
      <c r="G5" s="1">
        <v>15</v>
      </c>
      <c r="H5" s="1">
        <v>3</v>
      </c>
      <c r="I5" s="1">
        <v>0.1</v>
      </c>
      <c r="J5" s="1">
        <v>0.1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0.1</v>
      </c>
      <c r="R5" s="5">
        <f t="shared" si="4"/>
        <v>6.6666666666666666E-2</v>
      </c>
      <c r="S5" s="5">
        <f t="shared" si="5"/>
        <v>0</v>
      </c>
      <c r="T5" s="5">
        <f t="shared" si="6"/>
        <v>0.70000000000000007</v>
      </c>
      <c r="U5" s="33">
        <f t="shared" si="1"/>
        <v>0.22936743978059593</v>
      </c>
      <c r="V5" s="48">
        <f t="shared" si="2"/>
        <v>4.5121463563395912</v>
      </c>
      <c r="W5" s="48">
        <f t="shared" si="3"/>
        <v>3.5498411654722561</v>
      </c>
    </row>
    <row r="6" spans="1:23" ht="14.25" customHeight="1" x14ac:dyDescent="0.3">
      <c r="A6" s="1" t="s">
        <v>43</v>
      </c>
      <c r="B6" s="1">
        <v>2</v>
      </c>
      <c r="C6" s="1" t="s">
        <v>760</v>
      </c>
      <c r="D6" s="50">
        <v>34</v>
      </c>
      <c r="E6" s="56">
        <f t="shared" si="0"/>
        <v>1.0562196741208714</v>
      </c>
      <c r="F6">
        <v>53</v>
      </c>
      <c r="G6">
        <v>5</v>
      </c>
      <c r="H6">
        <v>3</v>
      </c>
      <c r="I6" s="1">
        <v>0.1</v>
      </c>
      <c r="J6" s="1">
        <v>0.2</v>
      </c>
      <c r="K6" s="1">
        <v>0.1</v>
      </c>
      <c r="L6" s="1">
        <v>0</v>
      </c>
      <c r="M6" s="1">
        <v>0</v>
      </c>
      <c r="N6" s="1">
        <v>0</v>
      </c>
      <c r="O6" s="1">
        <v>1.5</v>
      </c>
      <c r="P6" s="1">
        <v>6.5</v>
      </c>
      <c r="Q6" s="1">
        <v>0.1</v>
      </c>
      <c r="R6" s="5">
        <f t="shared" si="4"/>
        <v>0.13333333333333333</v>
      </c>
      <c r="S6" s="5">
        <f t="shared" si="5"/>
        <v>0</v>
      </c>
      <c r="T6" s="5">
        <f t="shared" si="6"/>
        <v>2.6999999999999997</v>
      </c>
      <c r="U6" s="33">
        <f t="shared" si="1"/>
        <v>0.65712436045673583</v>
      </c>
      <c r="V6" s="48">
        <f t="shared" si="2"/>
        <v>1.5447402225398055</v>
      </c>
      <c r="W6" s="48">
        <f t="shared" si="3"/>
        <v>3.6458806954885969</v>
      </c>
    </row>
    <row r="7" spans="1:23" ht="14.25" customHeight="1" x14ac:dyDescent="0.3">
      <c r="A7" s="1" t="s">
        <v>43</v>
      </c>
      <c r="B7" s="1">
        <v>2</v>
      </c>
      <c r="C7" s="1" t="s">
        <v>761</v>
      </c>
      <c r="D7" s="50">
        <v>34</v>
      </c>
      <c r="E7" s="56">
        <f t="shared" si="0"/>
        <v>1.0562196741208714</v>
      </c>
      <c r="F7">
        <v>2</v>
      </c>
      <c r="G7">
        <v>0</v>
      </c>
      <c r="H7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0.5</v>
      </c>
      <c r="R7" s="5">
        <f t="shared" si="4"/>
        <v>3.3333333333333333E-2</v>
      </c>
      <c r="S7" s="5">
        <f t="shared" si="5"/>
        <v>0</v>
      </c>
      <c r="T7" s="5">
        <f t="shared" si="6"/>
        <v>0.19999999999999998</v>
      </c>
      <c r="U7" s="33">
        <f t="shared" si="1"/>
        <v>2.479714567761267E-2</v>
      </c>
      <c r="V7" s="48">
        <f t="shared" si="2"/>
        <v>0</v>
      </c>
      <c r="W7" s="48">
        <f t="shared" si="3"/>
        <v>0</v>
      </c>
    </row>
    <row r="8" spans="1:23" ht="14.25" customHeight="1" x14ac:dyDescent="0.3">
      <c r="A8" s="1" t="s">
        <v>43</v>
      </c>
      <c r="B8" s="1">
        <v>2</v>
      </c>
      <c r="C8" s="1" t="s">
        <v>101</v>
      </c>
      <c r="D8" s="50">
        <v>34</v>
      </c>
      <c r="E8" s="56">
        <f t="shared" si="0"/>
        <v>1.0562196741208714</v>
      </c>
      <c r="F8">
        <v>19</v>
      </c>
      <c r="G8">
        <v>7</v>
      </c>
      <c r="H8">
        <v>2</v>
      </c>
      <c r="I8" s="1">
        <v>0.1</v>
      </c>
      <c r="J8" s="1">
        <v>0.1</v>
      </c>
      <c r="K8" s="1">
        <v>0.1</v>
      </c>
      <c r="L8" s="1">
        <v>0</v>
      </c>
      <c r="M8" s="1">
        <v>0</v>
      </c>
      <c r="N8" s="1">
        <v>0</v>
      </c>
      <c r="O8" s="1">
        <v>1</v>
      </c>
      <c r="P8" s="1">
        <v>7</v>
      </c>
      <c r="Q8" s="1">
        <v>20</v>
      </c>
      <c r="R8" s="5">
        <f t="shared" si="4"/>
        <v>0.10000000000000002</v>
      </c>
      <c r="S8" s="5">
        <f t="shared" si="5"/>
        <v>0</v>
      </c>
      <c r="T8" s="5">
        <f t="shared" si="6"/>
        <v>9.3333333333333339</v>
      </c>
      <c r="U8" s="33">
        <f t="shared" si="1"/>
        <v>0.2355728839373204</v>
      </c>
      <c r="V8" s="48">
        <f t="shared" si="2"/>
        <v>2.1626363115557274</v>
      </c>
      <c r="W8" s="48">
        <f t="shared" si="3"/>
        <v>2.4305871303257311</v>
      </c>
    </row>
    <row r="9" spans="1:23" ht="14.25" customHeight="1" x14ac:dyDescent="0.3">
      <c r="A9" s="1" t="s">
        <v>43</v>
      </c>
      <c r="B9" s="1">
        <v>2</v>
      </c>
      <c r="C9" s="1" t="s">
        <v>762</v>
      </c>
      <c r="D9" s="50">
        <v>34</v>
      </c>
      <c r="E9" s="56">
        <f t="shared" si="0"/>
        <v>1.0562196741208714</v>
      </c>
      <c r="F9">
        <v>14</v>
      </c>
      <c r="G9">
        <v>10</v>
      </c>
      <c r="H9">
        <v>2</v>
      </c>
      <c r="I9" s="1">
        <v>2</v>
      </c>
      <c r="J9" s="1">
        <v>0.1</v>
      </c>
      <c r="K9" s="1">
        <v>0.1</v>
      </c>
      <c r="L9" s="1">
        <v>0</v>
      </c>
      <c r="M9" s="1">
        <v>0</v>
      </c>
      <c r="N9" s="1">
        <v>0</v>
      </c>
      <c r="O9" s="1">
        <v>2</v>
      </c>
      <c r="P9" s="1">
        <v>2</v>
      </c>
      <c r="Q9" s="1">
        <v>0.1</v>
      </c>
      <c r="R9" s="5">
        <f t="shared" si="4"/>
        <v>0.73333333333333339</v>
      </c>
      <c r="S9" s="5">
        <f t="shared" si="5"/>
        <v>0</v>
      </c>
      <c r="T9" s="5">
        <f t="shared" si="6"/>
        <v>1.3666666666666665</v>
      </c>
      <c r="U9" s="33">
        <f t="shared" si="1"/>
        <v>0.17358001974328871</v>
      </c>
      <c r="V9" s="48">
        <f t="shared" si="2"/>
        <v>3.0894804450796109</v>
      </c>
      <c r="W9" s="48">
        <f t="shared" si="3"/>
        <v>2.4305871303257311</v>
      </c>
    </row>
    <row r="10" spans="1:23" ht="14.25" customHeight="1" x14ac:dyDescent="0.3">
      <c r="A10" s="1" t="s">
        <v>43</v>
      </c>
      <c r="B10" s="1">
        <v>3</v>
      </c>
      <c r="C10" s="1" t="s">
        <v>760</v>
      </c>
      <c r="D10" s="50">
        <v>18</v>
      </c>
      <c r="E10" s="56">
        <f t="shared" si="0"/>
        <v>1.016070863670443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3</v>
      </c>
      <c r="P10" s="1">
        <v>1</v>
      </c>
      <c r="Q10" s="1">
        <v>1</v>
      </c>
      <c r="R10" s="5">
        <f t="shared" si="4"/>
        <v>1</v>
      </c>
      <c r="S10" s="5">
        <f t="shared" si="5"/>
        <v>0</v>
      </c>
      <c r="T10" s="5">
        <f t="shared" si="6"/>
        <v>1.6666666666666667</v>
      </c>
      <c r="U10" s="33">
        <f t="shared" si="1"/>
        <v>0</v>
      </c>
      <c r="V10" s="48">
        <f t="shared" si="2"/>
        <v>0</v>
      </c>
      <c r="W10" s="48">
        <f t="shared" si="3"/>
        <v>0</v>
      </c>
    </row>
    <row r="11" spans="1:23" ht="14.25" customHeight="1" x14ac:dyDescent="0.3">
      <c r="A11" s="1" t="s">
        <v>43</v>
      </c>
      <c r="B11" s="1">
        <v>3</v>
      </c>
      <c r="C11" s="1" t="s">
        <v>761</v>
      </c>
      <c r="D11" s="50">
        <v>18</v>
      </c>
      <c r="E11" s="56">
        <f t="shared" si="0"/>
        <v>1.016070863670443</v>
      </c>
      <c r="F11" s="1">
        <v>2</v>
      </c>
      <c r="G11" s="1">
        <v>0</v>
      </c>
      <c r="H11" s="1">
        <v>0</v>
      </c>
      <c r="I11" s="1">
        <v>2</v>
      </c>
      <c r="J11" s="1">
        <v>4</v>
      </c>
      <c r="K11" s="1">
        <v>1</v>
      </c>
      <c r="L11" s="1">
        <v>0</v>
      </c>
      <c r="M11" s="1">
        <v>0</v>
      </c>
      <c r="N11" s="1">
        <v>0</v>
      </c>
      <c r="O11" s="1">
        <v>2</v>
      </c>
      <c r="P11" s="1">
        <v>8</v>
      </c>
      <c r="Q11" s="1">
        <v>3</v>
      </c>
      <c r="R11" s="5">
        <f t="shared" si="4"/>
        <v>2.3333333333333335</v>
      </c>
      <c r="S11" s="5">
        <f t="shared" si="5"/>
        <v>0</v>
      </c>
      <c r="T11" s="5">
        <f t="shared" si="6"/>
        <v>4.333333333333333</v>
      </c>
      <c r="U11" s="33">
        <f t="shared" si="1"/>
        <v>2.3854561548652203E-2</v>
      </c>
      <c r="V11" s="48">
        <f t="shared" si="2"/>
        <v>0</v>
      </c>
      <c r="W11" s="48">
        <f t="shared" si="3"/>
        <v>0</v>
      </c>
    </row>
    <row r="12" spans="1:23" ht="14.25" customHeight="1" x14ac:dyDescent="0.3">
      <c r="A12" s="1" t="s">
        <v>43</v>
      </c>
      <c r="B12" s="1">
        <v>3</v>
      </c>
      <c r="C12" s="1" t="s">
        <v>101</v>
      </c>
      <c r="D12" s="50">
        <v>18</v>
      </c>
      <c r="E12" s="56">
        <f t="shared" si="0"/>
        <v>1.016070863670443</v>
      </c>
      <c r="F12" s="1">
        <v>4</v>
      </c>
      <c r="G12" s="1">
        <v>4</v>
      </c>
      <c r="H12" s="1">
        <v>1</v>
      </c>
      <c r="I12" s="1">
        <v>1</v>
      </c>
      <c r="J12" s="1">
        <v>1</v>
      </c>
      <c r="K12" s="2">
        <v>3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47</v>
      </c>
      <c r="R12" s="5">
        <f t="shared" si="4"/>
        <v>1.6666666666666667</v>
      </c>
      <c r="S12" s="5">
        <f t="shared" si="5"/>
        <v>0</v>
      </c>
      <c r="T12" s="5">
        <f t="shared" si="6"/>
        <v>16.333333333333332</v>
      </c>
      <c r="U12" s="33">
        <f t="shared" si="1"/>
        <v>4.7709123097304407E-2</v>
      </c>
      <c r="V12" s="48">
        <f t="shared" si="2"/>
        <v>1.1888174935721751</v>
      </c>
      <c r="W12" s="48">
        <f t="shared" si="3"/>
        <v>1.1690980698650137</v>
      </c>
    </row>
    <row r="13" spans="1:23" ht="14.25" customHeight="1" x14ac:dyDescent="0.3">
      <c r="A13" s="1" t="s">
        <v>43</v>
      </c>
      <c r="B13" s="1">
        <v>3</v>
      </c>
      <c r="C13" s="1" t="s">
        <v>762</v>
      </c>
      <c r="D13" s="50">
        <v>18</v>
      </c>
      <c r="E13" s="56">
        <f t="shared" si="0"/>
        <v>1.016070863670443</v>
      </c>
      <c r="F13" s="1">
        <v>5</v>
      </c>
      <c r="G13" s="1">
        <v>1</v>
      </c>
      <c r="H13" s="1">
        <v>5</v>
      </c>
      <c r="I13" s="1">
        <v>1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4</v>
      </c>
      <c r="Q13" s="1">
        <v>3</v>
      </c>
      <c r="R13" s="5">
        <f t="shared" si="4"/>
        <v>1.3333333333333333</v>
      </c>
      <c r="S13" s="5">
        <f t="shared" si="5"/>
        <v>0</v>
      </c>
      <c r="T13" s="5">
        <f t="shared" si="6"/>
        <v>2.6666666666666665</v>
      </c>
      <c r="U13" s="33">
        <f t="shared" si="1"/>
        <v>5.9636403871630515E-2</v>
      </c>
      <c r="V13" s="48">
        <f t="shared" si="2"/>
        <v>0.29720437339304379</v>
      </c>
      <c r="W13" s="48">
        <f t="shared" si="3"/>
        <v>5.8454903493250692</v>
      </c>
    </row>
    <row r="14" spans="1:23" ht="14.25" customHeight="1" x14ac:dyDescent="0.3">
      <c r="A14" s="1" t="s">
        <v>43</v>
      </c>
      <c r="B14" s="1">
        <v>4</v>
      </c>
      <c r="C14" s="1" t="s">
        <v>760</v>
      </c>
      <c r="D14" s="50">
        <v>33</v>
      </c>
      <c r="E14" s="56">
        <f t="shared" si="0"/>
        <v>1.0530432089900206</v>
      </c>
      <c r="F14">
        <v>1</v>
      </c>
      <c r="G14">
        <v>1</v>
      </c>
      <c r="H14">
        <v>0</v>
      </c>
      <c r="I14" s="1">
        <v>0.1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4</v>
      </c>
      <c r="R14" s="5">
        <f t="shared" si="4"/>
        <v>6.6666666666666666E-2</v>
      </c>
      <c r="S14" s="5">
        <f t="shared" si="5"/>
        <v>0</v>
      </c>
      <c r="T14" s="5">
        <f t="shared" si="6"/>
        <v>1.3666666666666665</v>
      </c>
      <c r="U14" s="33">
        <f t="shared" si="1"/>
        <v>1.2361285487264088E-2</v>
      </c>
      <c r="V14" s="48">
        <f t="shared" si="2"/>
        <v>0.30801891705969525</v>
      </c>
      <c r="W14" s="48">
        <f t="shared" si="3"/>
        <v>0</v>
      </c>
    </row>
    <row r="15" spans="1:23" ht="14.25" customHeight="1" x14ac:dyDescent="0.3">
      <c r="A15" s="1" t="s">
        <v>43</v>
      </c>
      <c r="B15" s="1">
        <v>4</v>
      </c>
      <c r="C15" s="1" t="s">
        <v>761</v>
      </c>
      <c r="D15" s="50">
        <v>33</v>
      </c>
      <c r="E15" s="56">
        <f t="shared" si="0"/>
        <v>1.0530432089900206</v>
      </c>
      <c r="F15">
        <v>9</v>
      </c>
      <c r="G15">
        <v>1</v>
      </c>
      <c r="H15">
        <v>0</v>
      </c>
      <c r="I15" s="1">
        <v>0.1</v>
      </c>
      <c r="J15" s="1">
        <v>0.1</v>
      </c>
      <c r="K15" s="1">
        <v>0.1</v>
      </c>
      <c r="L15" s="1">
        <v>0</v>
      </c>
      <c r="M15" s="1">
        <v>0</v>
      </c>
      <c r="N15" s="1">
        <v>0</v>
      </c>
      <c r="O15" s="1">
        <v>14</v>
      </c>
      <c r="P15" s="1">
        <v>2</v>
      </c>
      <c r="Q15" s="1">
        <v>9</v>
      </c>
      <c r="R15" s="5">
        <f t="shared" si="4"/>
        <v>0.10000000000000002</v>
      </c>
      <c r="S15" s="5">
        <f t="shared" si="5"/>
        <v>0</v>
      </c>
      <c r="T15" s="5">
        <f t="shared" si="6"/>
        <v>8.3333333333333339</v>
      </c>
      <c r="U15" s="33">
        <f t="shared" si="1"/>
        <v>0.11125156938537678</v>
      </c>
      <c r="V15" s="48">
        <f t="shared" si="2"/>
        <v>0.30801891705969525</v>
      </c>
      <c r="W15" s="48">
        <f t="shared" si="3"/>
        <v>0</v>
      </c>
    </row>
    <row r="16" spans="1:23" ht="14.25" customHeight="1" x14ac:dyDescent="0.3">
      <c r="A16" s="1" t="s">
        <v>43</v>
      </c>
      <c r="B16" s="1">
        <v>4</v>
      </c>
      <c r="C16" s="1" t="s">
        <v>101</v>
      </c>
      <c r="D16" s="50">
        <v>33</v>
      </c>
      <c r="E16" s="56">
        <f t="shared" si="0"/>
        <v>1.0530432089900206</v>
      </c>
      <c r="F16">
        <v>35</v>
      </c>
      <c r="G16">
        <v>1</v>
      </c>
      <c r="H16">
        <v>0</v>
      </c>
      <c r="I16" s="1">
        <v>1</v>
      </c>
      <c r="J16" s="1">
        <v>0.1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15</v>
      </c>
      <c r="R16" s="5">
        <f t="shared" si="4"/>
        <v>0.70000000000000007</v>
      </c>
      <c r="S16" s="5">
        <f t="shared" si="5"/>
        <v>0</v>
      </c>
      <c r="T16" s="5">
        <f t="shared" si="6"/>
        <v>5.666666666666667</v>
      </c>
      <c r="U16" s="33">
        <f t="shared" si="1"/>
        <v>0.43264499205424312</v>
      </c>
      <c r="V16" s="48">
        <f t="shared" si="2"/>
        <v>0.30801891705969525</v>
      </c>
      <c r="W16" s="48">
        <f t="shared" si="3"/>
        <v>0</v>
      </c>
    </row>
    <row r="17" spans="1:23" ht="14.25" customHeight="1" x14ac:dyDescent="0.3">
      <c r="A17" s="1" t="s">
        <v>43</v>
      </c>
      <c r="B17" s="1">
        <v>4</v>
      </c>
      <c r="C17" s="1" t="s">
        <v>762</v>
      </c>
      <c r="D17" s="50">
        <v>33</v>
      </c>
      <c r="E17" s="56">
        <f t="shared" si="0"/>
        <v>1.0530432089900206</v>
      </c>
      <c r="F17">
        <v>119</v>
      </c>
      <c r="G17">
        <v>22</v>
      </c>
      <c r="H17">
        <v>2</v>
      </c>
      <c r="I17" s="1">
        <v>0</v>
      </c>
      <c r="J17" s="1">
        <v>0.1</v>
      </c>
      <c r="K17" s="1">
        <v>1</v>
      </c>
      <c r="L17" s="1">
        <v>0</v>
      </c>
      <c r="M17" s="1">
        <v>0</v>
      </c>
      <c r="N17" s="1">
        <v>0</v>
      </c>
      <c r="O17" s="1">
        <v>42</v>
      </c>
      <c r="P17" s="1">
        <v>1</v>
      </c>
      <c r="Q17" s="1">
        <v>8</v>
      </c>
      <c r="R17" s="5">
        <f t="shared" si="4"/>
        <v>0.3666666666666667</v>
      </c>
      <c r="S17" s="5">
        <f t="shared" si="5"/>
        <v>0</v>
      </c>
      <c r="T17" s="5">
        <f t="shared" si="6"/>
        <v>17</v>
      </c>
      <c r="U17" s="33">
        <f t="shared" si="1"/>
        <v>1.4709929729844264</v>
      </c>
      <c r="V17" s="48">
        <f t="shared" si="2"/>
        <v>6.7764161753132983</v>
      </c>
      <c r="W17" s="48">
        <f t="shared" si="3"/>
        <v>2.4232774054113562</v>
      </c>
    </row>
    <row r="18" spans="1:23" ht="14.25" customHeight="1" x14ac:dyDescent="0.3">
      <c r="A18" s="1" t="s">
        <v>43</v>
      </c>
      <c r="B18" s="1">
        <v>5</v>
      </c>
      <c r="C18" s="1" t="s">
        <v>760</v>
      </c>
      <c r="D18" s="50">
        <v>24</v>
      </c>
      <c r="E18" s="56">
        <f t="shared" si="0"/>
        <v>1.0283968105745953</v>
      </c>
      <c r="F18">
        <v>19</v>
      </c>
      <c r="G18">
        <v>14</v>
      </c>
      <c r="H18">
        <v>2</v>
      </c>
      <c r="I18" s="1">
        <v>1</v>
      </c>
      <c r="J18" s="1">
        <v>3</v>
      </c>
      <c r="K18" s="1">
        <v>0.1</v>
      </c>
      <c r="L18" s="1">
        <v>0</v>
      </c>
      <c r="M18" s="1">
        <v>0</v>
      </c>
      <c r="N18" s="1">
        <v>0</v>
      </c>
      <c r="O18" s="1">
        <v>41</v>
      </c>
      <c r="P18" s="1">
        <v>6</v>
      </c>
      <c r="Q18" s="1">
        <v>1</v>
      </c>
      <c r="R18" s="5">
        <f t="shared" si="4"/>
        <v>1.3666666666666665</v>
      </c>
      <c r="S18" s="5">
        <f t="shared" si="5"/>
        <v>0</v>
      </c>
      <c r="T18" s="5">
        <f t="shared" si="6"/>
        <v>16</v>
      </c>
      <c r="U18" s="33">
        <f t="shared" si="1"/>
        <v>0.22936743978059593</v>
      </c>
      <c r="V18" s="48">
        <f t="shared" si="2"/>
        <v>4.2113365992502851</v>
      </c>
      <c r="W18" s="48">
        <f t="shared" si="3"/>
        <v>2.3665607769815042</v>
      </c>
    </row>
    <row r="19" spans="1:23" ht="14.25" customHeight="1" x14ac:dyDescent="0.3">
      <c r="A19" s="1" t="s">
        <v>43</v>
      </c>
      <c r="B19" s="1">
        <v>5</v>
      </c>
      <c r="C19" s="1" t="s">
        <v>761</v>
      </c>
      <c r="D19" s="50">
        <v>24</v>
      </c>
      <c r="E19" s="56">
        <f t="shared" si="0"/>
        <v>1.0283968105745953</v>
      </c>
      <c r="F19">
        <v>0</v>
      </c>
      <c r="G19">
        <v>0</v>
      </c>
      <c r="H19">
        <v>0</v>
      </c>
      <c r="I19" s="1">
        <v>0.1</v>
      </c>
      <c r="J19" s="1">
        <v>0.1</v>
      </c>
      <c r="K19" s="1">
        <v>0.1</v>
      </c>
      <c r="L19" s="1">
        <v>0</v>
      </c>
      <c r="M19" s="1">
        <v>0</v>
      </c>
      <c r="N19" s="1">
        <v>0</v>
      </c>
      <c r="O19" s="1">
        <v>0.1</v>
      </c>
      <c r="P19" s="1">
        <v>0</v>
      </c>
      <c r="Q19" s="1">
        <v>0.1</v>
      </c>
      <c r="R19" s="5">
        <f t="shared" si="4"/>
        <v>0.10000000000000002</v>
      </c>
      <c r="S19" s="5">
        <f t="shared" si="5"/>
        <v>0</v>
      </c>
      <c r="T19" s="5">
        <f t="shared" si="6"/>
        <v>6.6666666666666666E-2</v>
      </c>
      <c r="U19" s="33">
        <f t="shared" si="1"/>
        <v>0</v>
      </c>
      <c r="V19" s="48">
        <f t="shared" si="2"/>
        <v>0</v>
      </c>
      <c r="W19" s="48">
        <f t="shared" si="3"/>
        <v>0</v>
      </c>
    </row>
    <row r="20" spans="1:23" ht="14.25" customHeight="1" x14ac:dyDescent="0.3">
      <c r="A20" s="1" t="s">
        <v>43</v>
      </c>
      <c r="B20" s="1">
        <v>5</v>
      </c>
      <c r="C20" s="1" t="s">
        <v>101</v>
      </c>
      <c r="D20" s="50">
        <v>24</v>
      </c>
      <c r="E20" s="56">
        <f t="shared" si="0"/>
        <v>1.0283968105745953</v>
      </c>
      <c r="F20">
        <v>0</v>
      </c>
      <c r="G20">
        <v>0</v>
      </c>
      <c r="H20">
        <v>0</v>
      </c>
      <c r="I20" s="1">
        <v>0.1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0.1</v>
      </c>
      <c r="P20" s="1">
        <v>0</v>
      </c>
      <c r="Q20" s="1">
        <v>0.1</v>
      </c>
      <c r="R20" s="5">
        <f t="shared" si="4"/>
        <v>6.6666666666666666E-2</v>
      </c>
      <c r="S20" s="5">
        <f t="shared" si="5"/>
        <v>0</v>
      </c>
      <c r="T20" s="5">
        <f t="shared" si="6"/>
        <v>6.6666666666666666E-2</v>
      </c>
      <c r="U20" s="33">
        <f t="shared" si="1"/>
        <v>0</v>
      </c>
      <c r="V20" s="48">
        <f t="shared" si="2"/>
        <v>0</v>
      </c>
      <c r="W20" s="48">
        <f t="shared" si="3"/>
        <v>0</v>
      </c>
    </row>
    <row r="21" spans="1:23" ht="14.25" customHeight="1" x14ac:dyDescent="0.3">
      <c r="A21" s="1" t="s">
        <v>43</v>
      </c>
      <c r="B21" s="1">
        <v>5</v>
      </c>
      <c r="C21" s="1" t="s">
        <v>762</v>
      </c>
      <c r="D21" s="50">
        <v>24</v>
      </c>
      <c r="E21" s="56">
        <f t="shared" si="0"/>
        <v>1.0283968105745953</v>
      </c>
      <c r="F21">
        <v>82</v>
      </c>
      <c r="G21">
        <v>12</v>
      </c>
      <c r="H21">
        <v>3</v>
      </c>
      <c r="I21" s="1">
        <v>4</v>
      </c>
      <c r="J21" s="1">
        <v>2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3</v>
      </c>
      <c r="Q21" s="1">
        <v>11</v>
      </c>
      <c r="R21" s="5">
        <f t="shared" si="4"/>
        <v>2.0333333333333332</v>
      </c>
      <c r="S21" s="5">
        <f t="shared" si="5"/>
        <v>0</v>
      </c>
      <c r="T21" s="5">
        <f t="shared" si="6"/>
        <v>4.666666666666667</v>
      </c>
      <c r="U21" s="33">
        <f t="shared" si="1"/>
        <v>0.98990158221099278</v>
      </c>
      <c r="V21" s="48">
        <f t="shared" si="2"/>
        <v>3.6097170850716735</v>
      </c>
      <c r="W21" s="48">
        <f t="shared" si="3"/>
        <v>3.5498411654722561</v>
      </c>
    </row>
    <row r="22" spans="1:23" ht="14.25" customHeight="1" x14ac:dyDescent="0.3">
      <c r="A22" s="1" t="s">
        <v>43</v>
      </c>
      <c r="B22" s="1">
        <v>6</v>
      </c>
      <c r="C22" s="1" t="s">
        <v>760</v>
      </c>
      <c r="D22" s="50">
        <v>20</v>
      </c>
      <c r="E22" s="56">
        <f t="shared" si="0"/>
        <v>1.019803902718557</v>
      </c>
      <c r="F22">
        <v>14</v>
      </c>
      <c r="G22">
        <v>0</v>
      </c>
      <c r="H22">
        <v>2</v>
      </c>
      <c r="I22" s="1">
        <v>0.5</v>
      </c>
      <c r="J22" s="1">
        <v>0.5</v>
      </c>
      <c r="K22" s="1">
        <v>0</v>
      </c>
      <c r="L22" s="1">
        <v>0</v>
      </c>
      <c r="M22" s="1">
        <v>0</v>
      </c>
      <c r="N22" s="1">
        <v>0</v>
      </c>
      <c r="O22" s="1">
        <v>0.5</v>
      </c>
      <c r="P22" s="1">
        <v>1</v>
      </c>
      <c r="Q22" s="1">
        <v>0</v>
      </c>
      <c r="R22" s="5">
        <f t="shared" si="4"/>
        <v>0.33333333333333331</v>
      </c>
      <c r="S22" s="5">
        <f t="shared" si="5"/>
        <v>0</v>
      </c>
      <c r="T22" s="5">
        <f t="shared" si="6"/>
        <v>0.5</v>
      </c>
      <c r="U22" s="33">
        <f t="shared" si="1"/>
        <v>0.16759542158264373</v>
      </c>
      <c r="V22" s="48">
        <f t="shared" si="2"/>
        <v>0</v>
      </c>
      <c r="W22" s="48">
        <f t="shared" si="3"/>
        <v>2.3467866601394318</v>
      </c>
    </row>
    <row r="23" spans="1:23" ht="14.25" customHeight="1" x14ac:dyDescent="0.3">
      <c r="A23" s="1" t="s">
        <v>43</v>
      </c>
      <c r="B23" s="1">
        <v>6</v>
      </c>
      <c r="C23" s="1" t="s">
        <v>761</v>
      </c>
      <c r="D23" s="50">
        <v>20</v>
      </c>
      <c r="E23" s="56">
        <f t="shared" si="0"/>
        <v>1.019803902718557</v>
      </c>
      <c r="F23">
        <v>18</v>
      </c>
      <c r="G23">
        <v>2</v>
      </c>
      <c r="H23">
        <v>1</v>
      </c>
      <c r="I23" s="1">
        <v>0.1</v>
      </c>
      <c r="J23" s="1">
        <v>0.1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">
        <v>1</v>
      </c>
      <c r="Q23" s="1">
        <v>14</v>
      </c>
      <c r="R23" s="5">
        <f t="shared" si="4"/>
        <v>6.6666666666666666E-2</v>
      </c>
      <c r="S23" s="5">
        <f t="shared" si="5"/>
        <v>0</v>
      </c>
      <c r="T23" s="5">
        <f t="shared" si="6"/>
        <v>10</v>
      </c>
      <c r="U23" s="33">
        <f t="shared" si="1"/>
        <v>0.21547982774911334</v>
      </c>
      <c r="V23" s="48">
        <f t="shared" si="2"/>
        <v>0.59659260141831005</v>
      </c>
      <c r="W23" s="48">
        <f t="shared" si="3"/>
        <v>1.1733933300697159</v>
      </c>
    </row>
    <row r="24" spans="1:23" ht="14.25" customHeight="1" x14ac:dyDescent="0.3">
      <c r="A24" s="1" t="s">
        <v>43</v>
      </c>
      <c r="B24" s="1">
        <v>6</v>
      </c>
      <c r="C24" s="1" t="s">
        <v>101</v>
      </c>
      <c r="D24" s="50">
        <v>20</v>
      </c>
      <c r="E24" s="56">
        <f t="shared" si="0"/>
        <v>1.019803902718557</v>
      </c>
      <c r="F24">
        <v>16</v>
      </c>
      <c r="G24">
        <v>4</v>
      </c>
      <c r="H24">
        <v>0</v>
      </c>
      <c r="I24" s="1">
        <v>0.1</v>
      </c>
      <c r="J24" s="1">
        <v>0.1</v>
      </c>
      <c r="K24" s="1">
        <v>0.1</v>
      </c>
      <c r="L24" s="1">
        <v>0</v>
      </c>
      <c r="M24" s="1">
        <v>0</v>
      </c>
      <c r="N24" s="1">
        <v>0</v>
      </c>
      <c r="O24" s="1">
        <v>1</v>
      </c>
      <c r="P24" s="1">
        <v>8</v>
      </c>
      <c r="Q24" s="1">
        <v>13</v>
      </c>
      <c r="R24" s="5">
        <f t="shared" si="4"/>
        <v>0.10000000000000002</v>
      </c>
      <c r="S24" s="5">
        <f t="shared" si="5"/>
        <v>0</v>
      </c>
      <c r="T24" s="5">
        <f t="shared" si="6"/>
        <v>7.333333333333333</v>
      </c>
      <c r="U24" s="33">
        <f t="shared" si="1"/>
        <v>0.19153762466587854</v>
      </c>
      <c r="V24" s="48">
        <f t="shared" si="2"/>
        <v>1.1931852028366201</v>
      </c>
      <c r="W24" s="48">
        <f t="shared" si="3"/>
        <v>0</v>
      </c>
    </row>
    <row r="25" spans="1:23" ht="14.25" customHeight="1" x14ac:dyDescent="0.3">
      <c r="A25" s="1" t="s">
        <v>43</v>
      </c>
      <c r="B25" s="1">
        <v>6</v>
      </c>
      <c r="C25" s="1" t="s">
        <v>762</v>
      </c>
      <c r="D25" s="50">
        <v>20</v>
      </c>
      <c r="E25" s="56">
        <f t="shared" si="0"/>
        <v>1.019803902718557</v>
      </c>
      <c r="F25">
        <v>10</v>
      </c>
      <c r="G25">
        <v>3</v>
      </c>
      <c r="H25">
        <v>1</v>
      </c>
      <c r="I25" s="1">
        <v>1</v>
      </c>
      <c r="J25" s="1">
        <v>0.5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7</v>
      </c>
      <c r="Q25" s="1">
        <v>6</v>
      </c>
      <c r="R25" s="5">
        <f t="shared" si="4"/>
        <v>0.83333333333333337</v>
      </c>
      <c r="S25" s="5">
        <f t="shared" si="5"/>
        <v>0</v>
      </c>
      <c r="T25" s="5">
        <f t="shared" si="6"/>
        <v>4.666666666666667</v>
      </c>
      <c r="U25" s="33">
        <f t="shared" si="1"/>
        <v>0.11971101541617409</v>
      </c>
      <c r="V25" s="48">
        <f t="shared" si="2"/>
        <v>0.8948889021274653</v>
      </c>
      <c r="W25" s="48">
        <f t="shared" si="3"/>
        <v>1.1733933300697159</v>
      </c>
    </row>
    <row r="26" spans="1:23" ht="14.25" customHeight="1" x14ac:dyDescent="0.3">
      <c r="A26" s="1" t="s">
        <v>43</v>
      </c>
      <c r="B26" s="1">
        <v>7</v>
      </c>
      <c r="C26" s="1" t="s">
        <v>760</v>
      </c>
      <c r="D26" s="50">
        <v>9</v>
      </c>
      <c r="E26" s="56">
        <f t="shared" si="0"/>
        <v>1.004041831797859</v>
      </c>
      <c r="F26" s="1">
        <v>10</v>
      </c>
      <c r="G26" s="1">
        <v>10</v>
      </c>
      <c r="H26" s="1">
        <v>4</v>
      </c>
      <c r="I26" s="1">
        <v>2</v>
      </c>
      <c r="J26" s="1">
        <v>0.1</v>
      </c>
      <c r="K26" s="1">
        <v>0.1</v>
      </c>
      <c r="L26" s="1">
        <v>0</v>
      </c>
      <c r="M26" s="1">
        <v>0</v>
      </c>
      <c r="N26" s="1">
        <v>0</v>
      </c>
      <c r="O26" s="1">
        <v>17</v>
      </c>
      <c r="P26" s="1">
        <v>2</v>
      </c>
      <c r="Q26" s="1">
        <v>20</v>
      </c>
      <c r="R26" s="5">
        <f t="shared" si="4"/>
        <v>0.73333333333333339</v>
      </c>
      <c r="S26" s="5">
        <f t="shared" si="5"/>
        <v>0</v>
      </c>
      <c r="T26" s="5">
        <f t="shared" si="6"/>
        <v>13</v>
      </c>
      <c r="U26" s="33">
        <f t="shared" ref="U26:U45" si="7">(11.64*F26*0.0122*0.48*1.13*E26)/6.56168</f>
        <v>0.11786076409829964</v>
      </c>
      <c r="V26" s="48">
        <f t="shared" ref="V26:V45" si="8">(11.64*G26*0.304*0.48*1.13*E26)/6.56168</f>
        <v>2.9368583840887776</v>
      </c>
      <c r="W26" s="48">
        <f t="shared" ref="W26:W45" si="9">(11.64*H26*2.87*0.4*1.13*E26)/13.1234</f>
        <v>4.6210295348035215</v>
      </c>
    </row>
    <row r="27" spans="1:23" ht="14.25" customHeight="1" x14ac:dyDescent="0.3">
      <c r="A27" s="1" t="s">
        <v>43</v>
      </c>
      <c r="B27" s="1">
        <v>7</v>
      </c>
      <c r="C27" s="1" t="s">
        <v>761</v>
      </c>
      <c r="D27" s="50">
        <v>9</v>
      </c>
      <c r="E27" s="56">
        <f t="shared" si="0"/>
        <v>1.004041831797859</v>
      </c>
      <c r="F27" s="1">
        <v>2</v>
      </c>
      <c r="G27" s="1">
        <v>5</v>
      </c>
      <c r="H27" s="1">
        <v>4</v>
      </c>
      <c r="I27" s="1">
        <v>0.1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0.5</v>
      </c>
      <c r="P27" s="1">
        <v>1</v>
      </c>
      <c r="Q27" s="1">
        <v>2</v>
      </c>
      <c r="R27" s="5">
        <f t="shared" si="4"/>
        <v>0.70000000000000007</v>
      </c>
      <c r="S27" s="5">
        <f t="shared" si="5"/>
        <v>0</v>
      </c>
      <c r="T27" s="5">
        <f t="shared" si="6"/>
        <v>1.1666666666666667</v>
      </c>
      <c r="U27" s="33">
        <f t="shared" si="7"/>
        <v>2.3572152819659926E-2</v>
      </c>
      <c r="V27" s="48">
        <f t="shared" si="8"/>
        <v>1.4684291920443888</v>
      </c>
      <c r="W27" s="48">
        <f t="shared" si="9"/>
        <v>4.6210295348035215</v>
      </c>
    </row>
    <row r="28" spans="1:23" ht="14.25" customHeight="1" x14ac:dyDescent="0.3">
      <c r="A28" s="1" t="s">
        <v>43</v>
      </c>
      <c r="B28" s="1">
        <v>7</v>
      </c>
      <c r="C28" s="1" t="s">
        <v>101</v>
      </c>
      <c r="D28" s="50">
        <v>9</v>
      </c>
      <c r="E28" s="56">
        <f t="shared" si="0"/>
        <v>1.004041831797859</v>
      </c>
      <c r="F28" s="1">
        <v>9</v>
      </c>
      <c r="G28" s="1">
        <v>3</v>
      </c>
      <c r="H28" s="1">
        <v>1</v>
      </c>
      <c r="I28" s="1">
        <v>0.1</v>
      </c>
      <c r="J28" s="1">
        <v>0.1</v>
      </c>
      <c r="K28" s="1">
        <v>0.1</v>
      </c>
      <c r="L28" s="1">
        <v>0</v>
      </c>
      <c r="M28" s="1">
        <v>0</v>
      </c>
      <c r="N28" s="1">
        <v>0</v>
      </c>
      <c r="O28" s="1">
        <v>2</v>
      </c>
      <c r="P28" s="1">
        <v>0.1</v>
      </c>
      <c r="Q28" s="1">
        <v>0.1</v>
      </c>
      <c r="R28" s="5">
        <f t="shared" si="4"/>
        <v>0.10000000000000002</v>
      </c>
      <c r="S28" s="5">
        <f t="shared" si="5"/>
        <v>0</v>
      </c>
      <c r="T28" s="5">
        <f t="shared" si="6"/>
        <v>0.73333333333333339</v>
      </c>
      <c r="U28" s="33">
        <f t="shared" si="7"/>
        <v>0.10607468768846966</v>
      </c>
      <c r="V28" s="48">
        <f t="shared" si="8"/>
        <v>0.88105751522663345</v>
      </c>
      <c r="W28" s="48">
        <f t="shared" si="9"/>
        <v>1.1552573837008804</v>
      </c>
    </row>
    <row r="29" spans="1:23" ht="14.25" customHeight="1" x14ac:dyDescent="0.3">
      <c r="A29" s="1" t="s">
        <v>43</v>
      </c>
      <c r="B29" s="1">
        <v>7</v>
      </c>
      <c r="C29" s="1" t="s">
        <v>762</v>
      </c>
      <c r="D29" s="50">
        <v>9</v>
      </c>
      <c r="E29" s="56">
        <f t="shared" si="0"/>
        <v>1.004041831797859</v>
      </c>
      <c r="F29" s="1">
        <v>7</v>
      </c>
      <c r="G29" s="1">
        <v>2</v>
      </c>
      <c r="H29" s="1">
        <v>1</v>
      </c>
      <c r="I29" s="1">
        <v>0.1</v>
      </c>
      <c r="J29" s="1">
        <v>0.1</v>
      </c>
      <c r="K29" s="1">
        <v>0.1</v>
      </c>
      <c r="L29" s="1">
        <v>0</v>
      </c>
      <c r="M29" s="1">
        <v>0</v>
      </c>
      <c r="N29" s="1">
        <v>0</v>
      </c>
      <c r="O29" s="1">
        <v>3</v>
      </c>
      <c r="P29" s="1">
        <v>23</v>
      </c>
      <c r="Q29" s="1">
        <v>21</v>
      </c>
      <c r="R29" s="5">
        <f t="shared" si="4"/>
        <v>0.10000000000000002</v>
      </c>
      <c r="S29" s="5">
        <f t="shared" si="5"/>
        <v>0</v>
      </c>
      <c r="T29" s="5">
        <f t="shared" si="6"/>
        <v>15.666666666666666</v>
      </c>
      <c r="U29" s="33">
        <f t="shared" si="7"/>
        <v>8.2502534868809735E-2</v>
      </c>
      <c r="V29" s="48">
        <f t="shared" si="8"/>
        <v>0.58737167681775548</v>
      </c>
      <c r="W29" s="48">
        <f t="shared" si="9"/>
        <v>1.1552573837008804</v>
      </c>
    </row>
    <row r="30" spans="1:23" ht="14.25" customHeight="1" x14ac:dyDescent="0.3">
      <c r="A30" s="1" t="s">
        <v>43</v>
      </c>
      <c r="B30" s="1">
        <v>8</v>
      </c>
      <c r="C30" s="1" t="s">
        <v>760</v>
      </c>
      <c r="D30" s="50">
        <v>21</v>
      </c>
      <c r="E30" s="56">
        <f t="shared" si="0"/>
        <v>1.0218121158021176</v>
      </c>
      <c r="F30" s="1">
        <v>3</v>
      </c>
      <c r="G30" s="1">
        <v>8</v>
      </c>
      <c r="H30" s="1">
        <v>2</v>
      </c>
      <c r="I30" s="1">
        <v>1</v>
      </c>
      <c r="J30" s="1">
        <v>2</v>
      </c>
      <c r="K30" s="1">
        <v>0.1</v>
      </c>
      <c r="L30" s="1">
        <v>0</v>
      </c>
      <c r="M30" s="1">
        <v>0</v>
      </c>
      <c r="N30" s="1">
        <v>0</v>
      </c>
      <c r="O30" s="1">
        <v>3</v>
      </c>
      <c r="P30" s="1">
        <v>4</v>
      </c>
      <c r="Q30" s="1">
        <v>0.1</v>
      </c>
      <c r="R30" s="5">
        <f t="shared" si="4"/>
        <v>1.0333333333333334</v>
      </c>
      <c r="S30" s="5">
        <f t="shared" si="5"/>
        <v>0</v>
      </c>
      <c r="T30" s="5">
        <f t="shared" si="6"/>
        <v>2.3666666666666667</v>
      </c>
      <c r="U30" s="33">
        <f t="shared" si="7"/>
        <v>3.5984025640950781E-2</v>
      </c>
      <c r="V30" s="48">
        <f t="shared" si="8"/>
        <v>2.3910696819342152</v>
      </c>
      <c r="W30" s="48">
        <f t="shared" si="9"/>
        <v>2.3514079874972249</v>
      </c>
    </row>
    <row r="31" spans="1:23" ht="14.25" customHeight="1" x14ac:dyDescent="0.3">
      <c r="A31" s="1" t="s">
        <v>43</v>
      </c>
      <c r="B31" s="1">
        <v>8</v>
      </c>
      <c r="C31" s="1" t="s">
        <v>761</v>
      </c>
      <c r="D31" s="50">
        <v>21</v>
      </c>
      <c r="E31" s="56">
        <f t="shared" si="0"/>
        <v>1.0218121158021176</v>
      </c>
      <c r="F31" s="1">
        <v>39</v>
      </c>
      <c r="G31" s="1">
        <v>6</v>
      </c>
      <c r="H31" s="1">
        <v>1</v>
      </c>
      <c r="I31" s="1">
        <v>6</v>
      </c>
      <c r="J31" s="1">
        <v>4</v>
      </c>
      <c r="K31" s="1">
        <v>3</v>
      </c>
      <c r="L31" s="1">
        <v>0</v>
      </c>
      <c r="M31" s="1">
        <v>0.1</v>
      </c>
      <c r="N31" s="1">
        <v>2</v>
      </c>
      <c r="O31" s="1">
        <v>6</v>
      </c>
      <c r="P31" s="1">
        <v>7</v>
      </c>
      <c r="Q31" s="1">
        <v>17</v>
      </c>
      <c r="R31" s="5">
        <f t="shared" si="4"/>
        <v>4.333333333333333</v>
      </c>
      <c r="S31" s="5">
        <f t="shared" si="5"/>
        <v>0.70000000000000007</v>
      </c>
      <c r="T31" s="5">
        <f t="shared" si="6"/>
        <v>10</v>
      </c>
      <c r="U31" s="33">
        <f t="shared" si="7"/>
        <v>0.46779233333236014</v>
      </c>
      <c r="V31" s="48">
        <f t="shared" si="8"/>
        <v>1.793302261450662</v>
      </c>
      <c r="W31" s="48">
        <f t="shared" si="9"/>
        <v>1.1757039937486125</v>
      </c>
    </row>
    <row r="32" spans="1:23" ht="14.25" customHeight="1" x14ac:dyDescent="0.3">
      <c r="A32" s="1" t="s">
        <v>43</v>
      </c>
      <c r="B32" s="1">
        <v>8</v>
      </c>
      <c r="C32" s="1" t="s">
        <v>101</v>
      </c>
      <c r="D32" s="50">
        <v>21</v>
      </c>
      <c r="E32" s="56">
        <f t="shared" si="0"/>
        <v>1.0218121158021176</v>
      </c>
      <c r="F32" s="1">
        <v>28</v>
      </c>
      <c r="G32" s="1">
        <v>6</v>
      </c>
      <c r="H32" s="1">
        <v>2</v>
      </c>
      <c r="I32" s="1">
        <v>0.1</v>
      </c>
      <c r="J32" s="1">
        <v>0.1</v>
      </c>
      <c r="K32" s="1">
        <v>3</v>
      </c>
      <c r="L32" s="1">
        <v>0</v>
      </c>
      <c r="M32" s="1">
        <v>0.1</v>
      </c>
      <c r="N32" s="1">
        <v>2</v>
      </c>
      <c r="O32" s="1">
        <v>0.1</v>
      </c>
      <c r="P32" s="1">
        <v>0.1</v>
      </c>
      <c r="Q32" s="1">
        <v>15</v>
      </c>
      <c r="R32" s="5">
        <f t="shared" si="4"/>
        <v>1.0666666666666667</v>
      </c>
      <c r="S32" s="5">
        <f t="shared" si="5"/>
        <v>0.70000000000000007</v>
      </c>
      <c r="T32" s="5">
        <f t="shared" si="6"/>
        <v>5.0666666666666664</v>
      </c>
      <c r="U32" s="33">
        <f t="shared" si="7"/>
        <v>0.33585090598220718</v>
      </c>
      <c r="V32" s="48">
        <f t="shared" si="8"/>
        <v>1.793302261450662</v>
      </c>
      <c r="W32" s="48">
        <f t="shared" si="9"/>
        <v>2.3514079874972249</v>
      </c>
    </row>
    <row r="33" spans="1:23" ht="14.25" customHeight="1" x14ac:dyDescent="0.3">
      <c r="A33" s="1" t="s">
        <v>43</v>
      </c>
      <c r="B33" s="1">
        <v>8</v>
      </c>
      <c r="C33" s="1" t="s">
        <v>762</v>
      </c>
      <c r="D33" s="50">
        <v>21</v>
      </c>
      <c r="E33" s="56">
        <f t="shared" si="0"/>
        <v>1.0218121158021176</v>
      </c>
      <c r="F33" s="1">
        <v>4</v>
      </c>
      <c r="G33" s="1">
        <v>4</v>
      </c>
      <c r="H33" s="1">
        <v>6</v>
      </c>
      <c r="I33" s="1">
        <v>2</v>
      </c>
      <c r="J33" s="1">
        <v>0.1</v>
      </c>
      <c r="K33" s="1">
        <v>2</v>
      </c>
      <c r="L33" s="1">
        <v>0</v>
      </c>
      <c r="M33" s="1">
        <v>0</v>
      </c>
      <c r="N33" s="1">
        <v>0</v>
      </c>
      <c r="O33" s="1">
        <v>3</v>
      </c>
      <c r="P33" s="1">
        <v>0.1</v>
      </c>
      <c r="Q33" s="1">
        <v>4</v>
      </c>
      <c r="R33" s="5">
        <f t="shared" si="4"/>
        <v>1.3666666666666665</v>
      </c>
      <c r="S33" s="5">
        <f t="shared" si="5"/>
        <v>0</v>
      </c>
      <c r="T33" s="5">
        <f t="shared" si="6"/>
        <v>2.3666666666666667</v>
      </c>
      <c r="U33" s="33">
        <f t="shared" si="7"/>
        <v>4.7978700854601035E-2</v>
      </c>
      <c r="V33" s="48">
        <f t="shared" si="8"/>
        <v>1.1955348409671076</v>
      </c>
      <c r="W33" s="48">
        <f t="shared" si="9"/>
        <v>7.0542239624916752</v>
      </c>
    </row>
    <row r="34" spans="1:23" ht="14.25" customHeight="1" x14ac:dyDescent="0.3">
      <c r="A34" s="1" t="s">
        <v>43</v>
      </c>
      <c r="B34" s="1">
        <v>9</v>
      </c>
      <c r="C34" s="1" t="s">
        <v>760</v>
      </c>
      <c r="D34" s="50">
        <v>16</v>
      </c>
      <c r="E34" s="56">
        <f t="shared" si="0"/>
        <v>1.0127191120937731</v>
      </c>
      <c r="F34">
        <v>9</v>
      </c>
      <c r="G34">
        <v>2</v>
      </c>
      <c r="H34">
        <v>2</v>
      </c>
      <c r="I34" s="1">
        <v>2</v>
      </c>
      <c r="J34" s="1">
        <v>9</v>
      </c>
      <c r="K34" s="1">
        <v>2</v>
      </c>
      <c r="L34" s="1">
        <v>0</v>
      </c>
      <c r="M34" s="1">
        <v>0</v>
      </c>
      <c r="N34" s="1">
        <v>0</v>
      </c>
      <c r="O34" s="1">
        <v>2</v>
      </c>
      <c r="P34" s="1">
        <v>9</v>
      </c>
      <c r="Q34" s="1">
        <v>4</v>
      </c>
      <c r="R34" s="5">
        <f t="shared" si="4"/>
        <v>4.333333333333333</v>
      </c>
      <c r="S34" s="5">
        <f t="shared" si="5"/>
        <v>0</v>
      </c>
      <c r="T34" s="5">
        <f t="shared" si="6"/>
        <v>5</v>
      </c>
      <c r="U34" s="33">
        <f t="shared" si="7"/>
        <v>0.1069914221991486</v>
      </c>
      <c r="V34" s="48">
        <f t="shared" si="8"/>
        <v>0.59244794806085932</v>
      </c>
      <c r="W34" s="48">
        <f t="shared" si="9"/>
        <v>2.3304830432540662</v>
      </c>
    </row>
    <row r="35" spans="1:23" ht="14.25" customHeight="1" x14ac:dyDescent="0.3">
      <c r="A35" s="1" t="s">
        <v>43</v>
      </c>
      <c r="B35" s="1">
        <v>9</v>
      </c>
      <c r="C35" s="1" t="s">
        <v>761</v>
      </c>
      <c r="D35" s="50">
        <v>16</v>
      </c>
      <c r="E35" s="56">
        <f t="shared" si="0"/>
        <v>1.0127191120937731</v>
      </c>
      <c r="F35">
        <v>1</v>
      </c>
      <c r="G35">
        <v>0</v>
      </c>
      <c r="H35">
        <v>1</v>
      </c>
      <c r="I35" s="1">
        <v>1</v>
      </c>
      <c r="J35" s="1">
        <v>0.1</v>
      </c>
      <c r="K35" s="1">
        <v>3</v>
      </c>
      <c r="L35" s="1">
        <v>0</v>
      </c>
      <c r="M35" s="1">
        <v>0</v>
      </c>
      <c r="N35" s="1">
        <v>0</v>
      </c>
      <c r="O35" s="1">
        <v>1</v>
      </c>
      <c r="P35" s="1">
        <v>0.1</v>
      </c>
      <c r="Q35" s="1">
        <v>3</v>
      </c>
      <c r="R35" s="5">
        <f t="shared" si="4"/>
        <v>1.3666666666666665</v>
      </c>
      <c r="S35" s="5">
        <f t="shared" si="5"/>
        <v>0</v>
      </c>
      <c r="T35" s="5">
        <f t="shared" si="6"/>
        <v>1.3666666666666665</v>
      </c>
      <c r="U35" s="33">
        <f t="shared" si="7"/>
        <v>1.1887935799905401E-2</v>
      </c>
      <c r="V35" s="48">
        <f t="shared" si="8"/>
        <v>0</v>
      </c>
      <c r="W35" s="48">
        <f t="shared" si="9"/>
        <v>1.1652415216270331</v>
      </c>
    </row>
    <row r="36" spans="1:23" ht="14.25" customHeight="1" x14ac:dyDescent="0.3">
      <c r="A36" s="1" t="s">
        <v>43</v>
      </c>
      <c r="B36" s="1">
        <v>9</v>
      </c>
      <c r="C36" s="1" t="s">
        <v>101</v>
      </c>
      <c r="D36" s="50">
        <v>16</v>
      </c>
      <c r="E36" s="56">
        <f t="shared" si="0"/>
        <v>1.0127191120937731</v>
      </c>
      <c r="F36">
        <v>46</v>
      </c>
      <c r="G36">
        <v>12</v>
      </c>
      <c r="H36">
        <v>4</v>
      </c>
      <c r="I36" s="1">
        <v>4</v>
      </c>
      <c r="J36" s="1">
        <v>2</v>
      </c>
      <c r="K36" s="1">
        <v>2</v>
      </c>
      <c r="L36" s="1">
        <v>0</v>
      </c>
      <c r="M36" s="1">
        <v>2</v>
      </c>
      <c r="N36" s="1">
        <v>0</v>
      </c>
      <c r="O36" s="1">
        <v>95</v>
      </c>
      <c r="P36" s="1">
        <v>2</v>
      </c>
      <c r="Q36" s="1">
        <v>56</v>
      </c>
      <c r="R36" s="5">
        <f t="shared" si="4"/>
        <v>2.6666666666666665</v>
      </c>
      <c r="S36" s="5">
        <f t="shared" si="5"/>
        <v>0.66666666666666663</v>
      </c>
      <c r="T36" s="5">
        <f t="shared" si="6"/>
        <v>51</v>
      </c>
      <c r="U36" s="33">
        <f t="shared" si="7"/>
        <v>0.54684504679564838</v>
      </c>
      <c r="V36" s="48">
        <f t="shared" si="8"/>
        <v>3.5546876883651564</v>
      </c>
      <c r="W36" s="48">
        <f t="shared" si="9"/>
        <v>4.6609660865081324</v>
      </c>
    </row>
    <row r="37" spans="1:23" ht="14.25" customHeight="1" x14ac:dyDescent="0.3">
      <c r="A37" s="1" t="s">
        <v>43</v>
      </c>
      <c r="B37" s="1">
        <v>9</v>
      </c>
      <c r="C37" s="1" t="s">
        <v>762</v>
      </c>
      <c r="D37" s="50">
        <v>16</v>
      </c>
      <c r="E37" s="56">
        <f t="shared" si="0"/>
        <v>1.0127191120937731</v>
      </c>
      <c r="F37">
        <v>32</v>
      </c>
      <c r="G37">
        <v>6</v>
      </c>
      <c r="H37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3</v>
      </c>
      <c r="P37" s="1">
        <v>2</v>
      </c>
      <c r="Q37" s="1">
        <v>23</v>
      </c>
      <c r="R37" s="5">
        <f t="shared" si="4"/>
        <v>1.3333333333333333</v>
      </c>
      <c r="S37" s="5">
        <f t="shared" si="5"/>
        <v>1</v>
      </c>
      <c r="T37" s="5">
        <f t="shared" si="6"/>
        <v>9.3333333333333339</v>
      </c>
      <c r="U37" s="33">
        <f t="shared" si="7"/>
        <v>0.38041394559697284</v>
      </c>
      <c r="V37" s="48">
        <f t="shared" si="8"/>
        <v>1.7773438441825782</v>
      </c>
      <c r="W37" s="48">
        <f t="shared" si="9"/>
        <v>0</v>
      </c>
    </row>
    <row r="38" spans="1:23" ht="14.25" customHeight="1" x14ac:dyDescent="0.3">
      <c r="A38" s="1" t="s">
        <v>43</v>
      </c>
      <c r="B38" s="1">
        <v>10</v>
      </c>
      <c r="C38" s="1" t="s">
        <v>760</v>
      </c>
      <c r="D38" s="50">
        <v>23</v>
      </c>
      <c r="E38" s="56">
        <f t="shared" si="0"/>
        <v>1.0261091559868276</v>
      </c>
      <c r="F38">
        <v>11</v>
      </c>
      <c r="G38">
        <v>5</v>
      </c>
      <c r="H38">
        <v>4</v>
      </c>
      <c r="I38" s="1">
        <v>1</v>
      </c>
      <c r="J38" s="1">
        <v>2</v>
      </c>
      <c r="K38" s="1">
        <v>0.1</v>
      </c>
      <c r="L38" s="1">
        <v>1</v>
      </c>
      <c r="M38" s="1">
        <v>1</v>
      </c>
      <c r="N38" s="1">
        <v>0</v>
      </c>
      <c r="O38" s="1">
        <v>2</v>
      </c>
      <c r="P38" s="1">
        <v>8</v>
      </c>
      <c r="Q38" s="1">
        <v>0.1</v>
      </c>
      <c r="R38" s="5">
        <f t="shared" si="4"/>
        <v>1.0333333333333334</v>
      </c>
      <c r="S38" s="5">
        <f t="shared" si="5"/>
        <v>0.66666666666666663</v>
      </c>
      <c r="T38" s="5">
        <f t="shared" si="6"/>
        <v>3.3666666666666667</v>
      </c>
      <c r="U38" s="33">
        <f t="shared" si="7"/>
        <v>0.13249628240284181</v>
      </c>
      <c r="V38" s="48">
        <f t="shared" si="8"/>
        <v>1.5007030495701903</v>
      </c>
      <c r="W38" s="48">
        <f t="shared" si="9"/>
        <v>4.7225927900403191</v>
      </c>
    </row>
    <row r="39" spans="1:23" ht="14.25" customHeight="1" x14ac:dyDescent="0.3">
      <c r="A39" s="1" t="s">
        <v>43</v>
      </c>
      <c r="B39" s="1">
        <v>10</v>
      </c>
      <c r="C39" s="1" t="s">
        <v>761</v>
      </c>
      <c r="D39" s="50">
        <v>23</v>
      </c>
      <c r="E39" s="56">
        <f t="shared" si="0"/>
        <v>1.0261091559868276</v>
      </c>
      <c r="F39">
        <v>7</v>
      </c>
      <c r="G39">
        <v>0</v>
      </c>
      <c r="H39">
        <v>3</v>
      </c>
      <c r="I39" s="1">
        <v>1</v>
      </c>
      <c r="J39" s="1">
        <v>1</v>
      </c>
      <c r="K39" s="1">
        <v>0.1</v>
      </c>
      <c r="L39" s="1">
        <v>0</v>
      </c>
      <c r="M39" s="1">
        <v>0</v>
      </c>
      <c r="N39" s="1">
        <v>0</v>
      </c>
      <c r="O39" s="1">
        <v>10</v>
      </c>
      <c r="P39" s="1">
        <v>2</v>
      </c>
      <c r="Q39" s="1">
        <v>0.1</v>
      </c>
      <c r="R39" s="5">
        <f t="shared" si="4"/>
        <v>0.70000000000000007</v>
      </c>
      <c r="S39" s="5">
        <f t="shared" si="5"/>
        <v>0</v>
      </c>
      <c r="T39" s="5">
        <f t="shared" si="6"/>
        <v>4.0333333333333332</v>
      </c>
      <c r="U39" s="33">
        <f t="shared" si="7"/>
        <v>8.4315816074535699E-2</v>
      </c>
      <c r="V39" s="48">
        <f t="shared" si="8"/>
        <v>0</v>
      </c>
      <c r="W39" s="48">
        <f t="shared" si="9"/>
        <v>3.54194459253024</v>
      </c>
    </row>
    <row r="40" spans="1:23" ht="14.25" customHeight="1" x14ac:dyDescent="0.3">
      <c r="A40" s="1" t="s">
        <v>43</v>
      </c>
      <c r="B40" s="1">
        <v>10</v>
      </c>
      <c r="C40" s="1" t="s">
        <v>101</v>
      </c>
      <c r="D40" s="50">
        <v>23</v>
      </c>
      <c r="E40" s="56">
        <f t="shared" si="0"/>
        <v>1.0261091559868276</v>
      </c>
      <c r="F40">
        <v>0</v>
      </c>
      <c r="G40">
        <v>1</v>
      </c>
      <c r="H40">
        <v>1</v>
      </c>
      <c r="I40" s="1">
        <v>2</v>
      </c>
      <c r="J40" s="1">
        <v>0.1</v>
      </c>
      <c r="K40" s="1">
        <v>1</v>
      </c>
      <c r="L40" s="1">
        <v>0</v>
      </c>
      <c r="M40" s="1">
        <v>0</v>
      </c>
      <c r="N40" s="1">
        <v>0</v>
      </c>
      <c r="O40" s="1">
        <v>15</v>
      </c>
      <c r="P40" s="1">
        <v>3</v>
      </c>
      <c r="Q40" s="1">
        <v>1</v>
      </c>
      <c r="R40" s="5">
        <f t="shared" si="4"/>
        <v>1.0333333333333334</v>
      </c>
      <c r="S40" s="5">
        <f t="shared" si="5"/>
        <v>0</v>
      </c>
      <c r="T40" s="5">
        <f t="shared" si="6"/>
        <v>6.333333333333333</v>
      </c>
      <c r="U40" s="33">
        <f t="shared" si="7"/>
        <v>0</v>
      </c>
      <c r="V40" s="48">
        <f t="shared" si="8"/>
        <v>0.30014060991403801</v>
      </c>
      <c r="W40" s="48">
        <f t="shared" si="9"/>
        <v>1.1806481975100798</v>
      </c>
    </row>
    <row r="41" spans="1:23" ht="14.25" customHeight="1" x14ac:dyDescent="0.3">
      <c r="A41" s="1" t="s">
        <v>43</v>
      </c>
      <c r="B41" s="1">
        <v>10</v>
      </c>
      <c r="C41" s="1" t="s">
        <v>762</v>
      </c>
      <c r="D41" s="50">
        <v>23</v>
      </c>
      <c r="E41" s="56">
        <f t="shared" si="0"/>
        <v>1.0261091559868276</v>
      </c>
      <c r="F41">
        <v>35</v>
      </c>
      <c r="G41">
        <v>17</v>
      </c>
      <c r="H41">
        <v>2</v>
      </c>
      <c r="I41" s="1">
        <v>2</v>
      </c>
      <c r="J41" s="1">
        <v>2</v>
      </c>
      <c r="K41" s="1">
        <v>1</v>
      </c>
      <c r="L41" s="1">
        <v>2</v>
      </c>
      <c r="M41" s="1">
        <v>1</v>
      </c>
      <c r="N41" s="1">
        <v>0</v>
      </c>
      <c r="O41" s="1">
        <v>3</v>
      </c>
      <c r="P41" s="1">
        <v>10</v>
      </c>
      <c r="Q41" s="1">
        <v>30</v>
      </c>
      <c r="R41" s="5">
        <f t="shared" si="4"/>
        <v>1.6666666666666667</v>
      </c>
      <c r="S41" s="5">
        <f t="shared" si="5"/>
        <v>1</v>
      </c>
      <c r="T41" s="5">
        <f t="shared" si="6"/>
        <v>14.333333333333334</v>
      </c>
      <c r="U41" s="33">
        <f t="shared" si="7"/>
        <v>0.42157908037267849</v>
      </c>
      <c r="V41" s="48">
        <f t="shared" si="8"/>
        <v>5.1023903685386456</v>
      </c>
      <c r="W41" s="48">
        <f t="shared" si="9"/>
        <v>2.3612963950201595</v>
      </c>
    </row>
    <row r="42" spans="1:23" ht="14.25" customHeight="1" x14ac:dyDescent="0.3">
      <c r="A42" s="1" t="s">
        <v>43</v>
      </c>
      <c r="B42" s="1">
        <v>11</v>
      </c>
      <c r="C42" s="1" t="s">
        <v>760</v>
      </c>
      <c r="D42" s="50">
        <v>8</v>
      </c>
      <c r="E42" s="56">
        <f t="shared" si="0"/>
        <v>1.0031948963187562</v>
      </c>
      <c r="F42">
        <v>10</v>
      </c>
      <c r="G42">
        <v>3</v>
      </c>
      <c r="H42">
        <v>5</v>
      </c>
      <c r="I42" s="1">
        <v>0.1</v>
      </c>
      <c r="J42" s="1">
        <v>0.1</v>
      </c>
      <c r="K42" s="1">
        <v>0.1</v>
      </c>
      <c r="L42" s="1">
        <v>0</v>
      </c>
      <c r="M42" s="1">
        <v>0</v>
      </c>
      <c r="N42" s="1">
        <v>0</v>
      </c>
      <c r="O42" s="1">
        <v>2</v>
      </c>
      <c r="P42" s="1">
        <v>7</v>
      </c>
      <c r="Q42" s="1">
        <v>7</v>
      </c>
      <c r="R42" s="5">
        <f t="shared" si="4"/>
        <v>0.10000000000000002</v>
      </c>
      <c r="S42" s="5">
        <f t="shared" si="5"/>
        <v>0</v>
      </c>
      <c r="T42" s="5">
        <f t="shared" si="6"/>
        <v>5.333333333333333</v>
      </c>
      <c r="U42" s="33">
        <f t="shared" si="7"/>
        <v>0.11776134546896797</v>
      </c>
      <c r="V42" s="48">
        <f t="shared" si="8"/>
        <v>0.88031432022703926</v>
      </c>
      <c r="W42" s="48">
        <f t="shared" si="9"/>
        <v>5.7714144697937746</v>
      </c>
    </row>
    <row r="43" spans="1:23" ht="14.25" customHeight="1" x14ac:dyDescent="0.3">
      <c r="A43" s="1" t="s">
        <v>43</v>
      </c>
      <c r="B43" s="1">
        <v>11</v>
      </c>
      <c r="C43" s="1" t="s">
        <v>761</v>
      </c>
      <c r="D43" s="50">
        <v>8</v>
      </c>
      <c r="E43" s="56">
        <f t="shared" si="0"/>
        <v>1.0031948963187562</v>
      </c>
      <c r="F43">
        <v>4</v>
      </c>
      <c r="G43">
        <v>0</v>
      </c>
      <c r="H43">
        <v>1</v>
      </c>
      <c r="I43" s="1">
        <v>0.1</v>
      </c>
      <c r="J43" s="1">
        <v>0.1</v>
      </c>
      <c r="K43" s="1">
        <v>0.1</v>
      </c>
      <c r="L43" s="1">
        <v>0</v>
      </c>
      <c r="M43" s="1">
        <v>0</v>
      </c>
      <c r="N43" s="1">
        <v>0</v>
      </c>
      <c r="O43" s="1">
        <v>41</v>
      </c>
      <c r="P43" s="1">
        <v>1</v>
      </c>
      <c r="Q43" s="1">
        <v>0.1</v>
      </c>
      <c r="R43" s="5">
        <f t="shared" si="4"/>
        <v>0.10000000000000002</v>
      </c>
      <c r="S43" s="5">
        <f t="shared" si="5"/>
        <v>0</v>
      </c>
      <c r="T43" s="5">
        <f t="shared" si="6"/>
        <v>14.033333333333333</v>
      </c>
      <c r="U43" s="33">
        <f t="shared" si="7"/>
        <v>4.7104538187587183E-2</v>
      </c>
      <c r="V43" s="48">
        <f t="shared" si="8"/>
        <v>0</v>
      </c>
      <c r="W43" s="48">
        <f t="shared" si="9"/>
        <v>1.1542828939587551</v>
      </c>
    </row>
    <row r="44" spans="1:23" ht="14.25" customHeight="1" x14ac:dyDescent="0.3">
      <c r="A44" s="1" t="s">
        <v>43</v>
      </c>
      <c r="B44" s="1">
        <v>11</v>
      </c>
      <c r="C44" s="1" t="s">
        <v>101</v>
      </c>
      <c r="D44" s="50">
        <v>8</v>
      </c>
      <c r="E44" s="56">
        <f t="shared" si="0"/>
        <v>1.0031948963187562</v>
      </c>
      <c r="F44">
        <v>12</v>
      </c>
      <c r="G44">
        <v>4</v>
      </c>
      <c r="H44">
        <v>2</v>
      </c>
      <c r="I44" s="1">
        <v>0.1</v>
      </c>
      <c r="J44" s="1">
        <v>0.1</v>
      </c>
      <c r="K44" s="1">
        <v>5</v>
      </c>
      <c r="L44" s="1">
        <v>0</v>
      </c>
      <c r="M44" s="1">
        <v>0</v>
      </c>
      <c r="N44" s="1">
        <v>0</v>
      </c>
      <c r="O44" s="1">
        <v>21</v>
      </c>
      <c r="P44" s="1">
        <v>1</v>
      </c>
      <c r="Q44" s="1">
        <v>26</v>
      </c>
      <c r="R44" s="5">
        <f t="shared" si="4"/>
        <v>1.7333333333333334</v>
      </c>
      <c r="S44" s="5">
        <f t="shared" si="5"/>
        <v>0</v>
      </c>
      <c r="T44" s="5">
        <f t="shared" si="6"/>
        <v>16</v>
      </c>
      <c r="U44" s="33">
        <f t="shared" si="7"/>
        <v>0.14131361456276156</v>
      </c>
      <c r="V44" s="48">
        <f t="shared" si="8"/>
        <v>1.1737524269693853</v>
      </c>
      <c r="W44" s="48">
        <f t="shared" si="9"/>
        <v>2.3085657879175101</v>
      </c>
    </row>
    <row r="45" spans="1:23" ht="14.25" customHeight="1" x14ac:dyDescent="0.3">
      <c r="A45" s="1" t="s">
        <v>43</v>
      </c>
      <c r="B45" s="1">
        <v>11</v>
      </c>
      <c r="C45" s="1" t="s">
        <v>762</v>
      </c>
      <c r="D45" s="50">
        <v>8</v>
      </c>
      <c r="E45" s="56">
        <f t="shared" si="0"/>
        <v>1.0031948963187562</v>
      </c>
      <c r="F45">
        <v>26</v>
      </c>
      <c r="G45">
        <v>9</v>
      </c>
      <c r="H45">
        <v>4</v>
      </c>
      <c r="I45" s="1">
        <v>0.1</v>
      </c>
      <c r="J45" s="1">
        <v>0.1</v>
      </c>
      <c r="K45" s="1">
        <v>0.1</v>
      </c>
      <c r="L45" s="1">
        <v>0</v>
      </c>
      <c r="M45" s="1">
        <v>0</v>
      </c>
      <c r="N45" s="1">
        <v>0</v>
      </c>
      <c r="O45" s="1">
        <v>6</v>
      </c>
      <c r="P45" s="1">
        <v>1</v>
      </c>
      <c r="Q45" s="1">
        <v>16</v>
      </c>
      <c r="R45" s="5">
        <f t="shared" si="4"/>
        <v>0.10000000000000002</v>
      </c>
      <c r="S45" s="5">
        <f t="shared" si="5"/>
        <v>0</v>
      </c>
      <c r="T45" s="5">
        <f t="shared" si="6"/>
        <v>7.666666666666667</v>
      </c>
      <c r="U45" s="33">
        <f t="shared" si="7"/>
        <v>0.30617949821931661</v>
      </c>
      <c r="V45" s="48">
        <f t="shared" si="8"/>
        <v>2.6409429606811168</v>
      </c>
      <c r="W45" s="48">
        <f t="shared" si="9"/>
        <v>4.6171315758350202</v>
      </c>
    </row>
    <row r="46" spans="1:23" ht="14.25" customHeight="1" x14ac:dyDescent="0.3">
      <c r="A46" s="1" t="s">
        <v>43</v>
      </c>
      <c r="B46" s="1">
        <v>12</v>
      </c>
      <c r="C46" s="1" t="s">
        <v>760</v>
      </c>
      <c r="D46" s="50">
        <v>19</v>
      </c>
      <c r="E46" s="56">
        <f t="shared" si="0"/>
        <v>1.0178899744078433</v>
      </c>
      <c r="F46" s="10">
        <v>0</v>
      </c>
      <c r="G46" s="10">
        <v>12</v>
      </c>
      <c r="H46" s="10">
        <v>3</v>
      </c>
      <c r="I46" s="1">
        <v>6</v>
      </c>
      <c r="J46" s="1">
        <v>10</v>
      </c>
      <c r="K46" s="1">
        <v>1</v>
      </c>
      <c r="L46" s="1">
        <v>0</v>
      </c>
      <c r="M46" s="1">
        <v>0</v>
      </c>
      <c r="N46" s="1">
        <v>0</v>
      </c>
      <c r="O46" s="1">
        <v>11</v>
      </c>
      <c r="P46" s="1">
        <v>10</v>
      </c>
      <c r="Q46" s="1">
        <v>5</v>
      </c>
      <c r="R46" s="5">
        <f t="shared" si="4"/>
        <v>5.666666666666667</v>
      </c>
      <c r="S46" s="5">
        <f t="shared" si="5"/>
        <v>0</v>
      </c>
      <c r="T46" s="5">
        <f t="shared" si="6"/>
        <v>8.6666666666666661</v>
      </c>
      <c r="U46" s="33">
        <f t="shared" ref="U46:U109" si="10">(11.64*F46*0.0122*0.48*1.13*E46)/6.56168</f>
        <v>0</v>
      </c>
      <c r="V46" s="48">
        <f t="shared" ref="V46:V109" si="11">(11.64*G46*0.304*0.48*1.13*E46)/6.56168</f>
        <v>3.5728376377307365</v>
      </c>
      <c r="W46" s="48">
        <f t="shared" ref="W46:W109" si="12">(11.64*H46*2.87*0.4*1.13*E46)/13.1234</f>
        <v>3.5135734532816962</v>
      </c>
    </row>
    <row r="47" spans="1:23" ht="14.25" customHeight="1" x14ac:dyDescent="0.3">
      <c r="A47" s="1" t="s">
        <v>43</v>
      </c>
      <c r="B47" s="1">
        <v>12</v>
      </c>
      <c r="C47" s="1" t="s">
        <v>761</v>
      </c>
      <c r="D47" s="50">
        <v>19</v>
      </c>
      <c r="E47" s="56">
        <f t="shared" si="0"/>
        <v>1.0178899744078433</v>
      </c>
      <c r="F47" s="10">
        <v>30</v>
      </c>
      <c r="G47" s="10">
        <v>4</v>
      </c>
      <c r="H47" s="10">
        <v>5</v>
      </c>
      <c r="I47" s="1">
        <v>5</v>
      </c>
      <c r="J47" s="1">
        <v>2</v>
      </c>
      <c r="K47" s="1">
        <v>3</v>
      </c>
      <c r="L47" s="1">
        <v>0</v>
      </c>
      <c r="M47" s="1">
        <v>0</v>
      </c>
      <c r="N47" s="1">
        <v>0</v>
      </c>
      <c r="O47" s="1">
        <v>5</v>
      </c>
      <c r="P47" s="1">
        <v>9</v>
      </c>
      <c r="Q47" s="1">
        <v>5</v>
      </c>
      <c r="R47" s="5">
        <f t="shared" si="4"/>
        <v>3.3333333333333335</v>
      </c>
      <c r="S47" s="5">
        <f t="shared" si="5"/>
        <v>0</v>
      </c>
      <c r="T47" s="5">
        <f t="shared" si="6"/>
        <v>6.333333333333333</v>
      </c>
      <c r="U47" s="33">
        <f t="shared" si="10"/>
        <v>0.35845903931180084</v>
      </c>
      <c r="V47" s="48">
        <f t="shared" si="11"/>
        <v>1.1909458792435785</v>
      </c>
      <c r="W47" s="48">
        <f t="shared" si="12"/>
        <v>5.855955755469493</v>
      </c>
    </row>
    <row r="48" spans="1:23" ht="14.25" customHeight="1" x14ac:dyDescent="0.3">
      <c r="A48" s="1" t="s">
        <v>43</v>
      </c>
      <c r="B48" s="1">
        <v>12</v>
      </c>
      <c r="C48" s="1" t="s">
        <v>101</v>
      </c>
      <c r="D48" s="50">
        <v>19</v>
      </c>
      <c r="E48" s="56">
        <f t="shared" si="0"/>
        <v>1.0178899744078433</v>
      </c>
      <c r="F48" s="10">
        <v>10</v>
      </c>
      <c r="G48" s="10">
        <v>12</v>
      </c>
      <c r="H48" s="10">
        <v>6</v>
      </c>
      <c r="I48" s="1">
        <v>3</v>
      </c>
      <c r="J48" s="1">
        <v>4</v>
      </c>
      <c r="K48" s="1">
        <v>1</v>
      </c>
      <c r="L48" s="1">
        <v>0</v>
      </c>
      <c r="M48" s="1">
        <v>0</v>
      </c>
      <c r="N48" s="1">
        <v>0</v>
      </c>
      <c r="O48" s="1">
        <v>6</v>
      </c>
      <c r="P48" s="1">
        <v>6</v>
      </c>
      <c r="Q48" s="1">
        <v>3</v>
      </c>
      <c r="R48" s="5">
        <f t="shared" si="4"/>
        <v>2.6666666666666665</v>
      </c>
      <c r="S48" s="5">
        <f t="shared" si="5"/>
        <v>0</v>
      </c>
      <c r="T48" s="5">
        <f t="shared" si="6"/>
        <v>5</v>
      </c>
      <c r="U48" s="33">
        <f t="shared" si="10"/>
        <v>0.11948634643726694</v>
      </c>
      <c r="V48" s="48">
        <f t="shared" si="11"/>
        <v>3.5728376377307365</v>
      </c>
      <c r="W48" s="48">
        <f t="shared" si="12"/>
        <v>7.0271469065633925</v>
      </c>
    </row>
    <row r="49" spans="1:23" ht="14.25" customHeight="1" x14ac:dyDescent="0.3">
      <c r="A49" s="1" t="s">
        <v>43</v>
      </c>
      <c r="B49" s="1">
        <v>12</v>
      </c>
      <c r="C49" s="1" t="s">
        <v>762</v>
      </c>
      <c r="D49" s="50">
        <v>19</v>
      </c>
      <c r="E49" s="56">
        <f t="shared" si="0"/>
        <v>1.0178899744078433</v>
      </c>
      <c r="F49" s="10">
        <v>6</v>
      </c>
      <c r="G49" s="10">
        <v>10</v>
      </c>
      <c r="H49" s="10">
        <v>2</v>
      </c>
      <c r="I49" s="1">
        <v>2</v>
      </c>
      <c r="J49" s="1">
        <v>3</v>
      </c>
      <c r="K49" s="1">
        <v>1</v>
      </c>
      <c r="L49" s="1">
        <v>0</v>
      </c>
      <c r="M49" s="1">
        <v>0</v>
      </c>
      <c r="N49" s="1">
        <v>0</v>
      </c>
      <c r="O49" s="1">
        <v>2</v>
      </c>
      <c r="P49" s="1">
        <v>8</v>
      </c>
      <c r="Q49" s="1">
        <v>2</v>
      </c>
      <c r="R49" s="5">
        <f t="shared" si="4"/>
        <v>2</v>
      </c>
      <c r="S49" s="5">
        <f t="shared" si="5"/>
        <v>0</v>
      </c>
      <c r="T49" s="5">
        <f t="shared" si="6"/>
        <v>4</v>
      </c>
      <c r="U49" s="33">
        <f t="shared" si="10"/>
        <v>7.1691807862360166E-2</v>
      </c>
      <c r="V49" s="48">
        <f t="shared" si="11"/>
        <v>2.9773646981089463</v>
      </c>
      <c r="W49" s="48">
        <f t="shared" si="12"/>
        <v>2.3423823021877976</v>
      </c>
    </row>
    <row r="50" spans="1:23" ht="14.25" customHeight="1" x14ac:dyDescent="0.3">
      <c r="A50" s="1" t="s">
        <v>43</v>
      </c>
      <c r="B50" s="1">
        <v>13</v>
      </c>
      <c r="C50" s="1" t="s">
        <v>760</v>
      </c>
      <c r="D50" s="50">
        <v>12</v>
      </c>
      <c r="E50" s="56">
        <f t="shared" si="0"/>
        <v>1.0071742649611337</v>
      </c>
      <c r="F50" s="10">
        <v>28</v>
      </c>
      <c r="G50" s="10">
        <v>8</v>
      </c>
      <c r="H50" s="10">
        <v>1</v>
      </c>
      <c r="I50" s="1">
        <v>8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12</v>
      </c>
      <c r="P50" s="1">
        <v>0.1</v>
      </c>
      <c r="Q50" s="1">
        <v>9</v>
      </c>
      <c r="R50" s="5">
        <f t="shared" si="4"/>
        <v>3</v>
      </c>
      <c r="S50" s="5">
        <f t="shared" si="5"/>
        <v>0</v>
      </c>
      <c r="T50" s="5">
        <f t="shared" si="6"/>
        <v>7.0333333333333341</v>
      </c>
      <c r="U50" s="33">
        <f t="shared" si="10"/>
        <v>0.33103971281807282</v>
      </c>
      <c r="V50" s="48">
        <f t="shared" si="11"/>
        <v>2.3568166907890897</v>
      </c>
      <c r="W50" s="48">
        <f t="shared" si="12"/>
        <v>1.1588615826756807</v>
      </c>
    </row>
    <row r="51" spans="1:23" ht="14.25" customHeight="1" x14ac:dyDescent="0.3">
      <c r="A51" s="1" t="s">
        <v>43</v>
      </c>
      <c r="B51" s="1">
        <v>13</v>
      </c>
      <c r="C51" s="1" t="s">
        <v>761</v>
      </c>
      <c r="D51" s="50">
        <v>12</v>
      </c>
      <c r="E51" s="56">
        <f t="shared" si="0"/>
        <v>1.0071742649611337</v>
      </c>
      <c r="F51" s="10">
        <v>10</v>
      </c>
      <c r="G51" s="10">
        <v>1</v>
      </c>
      <c r="H51" s="10">
        <v>3</v>
      </c>
      <c r="I51" s="1">
        <v>5</v>
      </c>
      <c r="J51" s="1">
        <v>0.1</v>
      </c>
      <c r="K51" s="1">
        <v>0.1</v>
      </c>
      <c r="L51" s="1">
        <v>0</v>
      </c>
      <c r="M51" s="1">
        <v>0</v>
      </c>
      <c r="N51" s="1">
        <v>0</v>
      </c>
      <c r="O51" s="1">
        <v>96</v>
      </c>
      <c r="P51" s="1">
        <v>8</v>
      </c>
      <c r="Q51" s="1">
        <v>0.1</v>
      </c>
      <c r="R51" s="5">
        <f t="shared" si="4"/>
        <v>1.7333333333333332</v>
      </c>
      <c r="S51" s="5">
        <f t="shared" si="5"/>
        <v>0</v>
      </c>
      <c r="T51" s="5">
        <f t="shared" si="6"/>
        <v>34.699999999999996</v>
      </c>
      <c r="U51" s="33">
        <f t="shared" si="10"/>
        <v>0.11822846886359745</v>
      </c>
      <c r="V51" s="48">
        <f t="shared" si="11"/>
        <v>0.29460208634863622</v>
      </c>
      <c r="W51" s="48">
        <f t="shared" si="12"/>
        <v>3.4765847480270424</v>
      </c>
    </row>
    <row r="52" spans="1:23" ht="14.25" customHeight="1" x14ac:dyDescent="0.3">
      <c r="A52" s="1" t="s">
        <v>43</v>
      </c>
      <c r="B52" s="1">
        <v>13</v>
      </c>
      <c r="C52" s="1" t="s">
        <v>101</v>
      </c>
      <c r="D52" s="50">
        <v>12</v>
      </c>
      <c r="E52" s="56">
        <f t="shared" si="0"/>
        <v>1.0071742649611337</v>
      </c>
      <c r="F52" s="10">
        <v>16</v>
      </c>
      <c r="G52" s="10">
        <v>19</v>
      </c>
      <c r="H52" s="10">
        <v>5</v>
      </c>
      <c r="I52" s="1">
        <v>4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9</v>
      </c>
      <c r="P52" s="1">
        <v>28</v>
      </c>
      <c r="Q52" s="1">
        <v>3</v>
      </c>
      <c r="R52" s="5">
        <f t="shared" si="4"/>
        <v>2</v>
      </c>
      <c r="S52" s="5">
        <f t="shared" si="5"/>
        <v>0</v>
      </c>
      <c r="T52" s="5">
        <f t="shared" si="6"/>
        <v>13.333333333333334</v>
      </c>
      <c r="U52" s="33">
        <f t="shared" si="10"/>
        <v>0.1891655501817559</v>
      </c>
      <c r="V52" s="48">
        <f t="shared" si="11"/>
        <v>5.5974396406240894</v>
      </c>
      <c r="W52" s="48">
        <f t="shared" si="12"/>
        <v>5.794307913378403</v>
      </c>
    </row>
    <row r="53" spans="1:23" ht="14.25" customHeight="1" x14ac:dyDescent="0.3">
      <c r="A53" s="1" t="s">
        <v>43</v>
      </c>
      <c r="B53" s="1">
        <v>13</v>
      </c>
      <c r="C53" s="1" t="s">
        <v>762</v>
      </c>
      <c r="D53" s="50">
        <v>12</v>
      </c>
      <c r="E53" s="56">
        <f t="shared" si="0"/>
        <v>1.0071742649611337</v>
      </c>
      <c r="F53" s="10">
        <v>59</v>
      </c>
      <c r="G53" s="10">
        <v>31</v>
      </c>
      <c r="H53" s="10">
        <v>3</v>
      </c>
      <c r="I53" s="1">
        <v>2</v>
      </c>
      <c r="J53" s="1">
        <v>5</v>
      </c>
      <c r="K53" s="1">
        <v>1</v>
      </c>
      <c r="L53" s="1">
        <v>0</v>
      </c>
      <c r="M53" s="1">
        <v>0</v>
      </c>
      <c r="N53" s="1">
        <v>0</v>
      </c>
      <c r="O53" s="1">
        <v>8</v>
      </c>
      <c r="P53" s="1">
        <v>19</v>
      </c>
      <c r="Q53" s="1">
        <v>9</v>
      </c>
      <c r="R53" s="5">
        <f t="shared" si="4"/>
        <v>2.6666666666666665</v>
      </c>
      <c r="S53" s="5">
        <f t="shared" si="5"/>
        <v>0</v>
      </c>
      <c r="T53" s="5">
        <f t="shared" si="6"/>
        <v>12</v>
      </c>
      <c r="U53" s="33">
        <f t="shared" si="10"/>
        <v>0.69754796629522486</v>
      </c>
      <c r="V53" s="48">
        <f t="shared" si="11"/>
        <v>9.1326646768077229</v>
      </c>
      <c r="W53" s="48">
        <f t="shared" si="12"/>
        <v>3.4765847480270424</v>
      </c>
    </row>
    <row r="54" spans="1:23" ht="14.25" customHeight="1" x14ac:dyDescent="0.3">
      <c r="A54" s="1" t="s">
        <v>43</v>
      </c>
      <c r="B54" s="1">
        <v>14</v>
      </c>
      <c r="C54" s="1" t="s">
        <v>760</v>
      </c>
      <c r="D54" s="50">
        <v>17</v>
      </c>
      <c r="E54" s="56">
        <f t="shared" si="0"/>
        <v>1.014347080638575</v>
      </c>
      <c r="F54" s="10">
        <v>1</v>
      </c>
      <c r="G54" s="10">
        <v>4</v>
      </c>
      <c r="H54" s="10">
        <v>1</v>
      </c>
      <c r="I54" s="1">
        <v>2</v>
      </c>
      <c r="J54" s="1">
        <v>1</v>
      </c>
      <c r="K54" s="1">
        <v>0.1</v>
      </c>
      <c r="L54" s="1">
        <v>0</v>
      </c>
      <c r="M54" s="1">
        <v>0</v>
      </c>
      <c r="N54" s="1">
        <v>0</v>
      </c>
      <c r="O54" s="1">
        <v>22</v>
      </c>
      <c r="P54" s="1">
        <v>2</v>
      </c>
      <c r="Q54" s="1">
        <v>5</v>
      </c>
      <c r="R54" s="5">
        <f t="shared" si="4"/>
        <v>1.0333333333333334</v>
      </c>
      <c r="S54" s="5">
        <f t="shared" si="5"/>
        <v>0</v>
      </c>
      <c r="T54" s="5">
        <f t="shared" si="6"/>
        <v>9.6666666666666661</v>
      </c>
      <c r="U54" s="33">
        <f t="shared" si="10"/>
        <v>1.190704592166943E-2</v>
      </c>
      <c r="V54" s="48">
        <f t="shared" si="11"/>
        <v>1.1868006426844282</v>
      </c>
      <c r="W54" s="48">
        <f t="shared" si="12"/>
        <v>1.1671146733446738</v>
      </c>
    </row>
    <row r="55" spans="1:23" ht="14.25" customHeight="1" x14ac:dyDescent="0.3">
      <c r="A55" s="1" t="s">
        <v>43</v>
      </c>
      <c r="B55" s="1">
        <v>14</v>
      </c>
      <c r="C55" s="1" t="s">
        <v>761</v>
      </c>
      <c r="D55" s="50">
        <v>17</v>
      </c>
      <c r="E55" s="56">
        <f t="shared" si="0"/>
        <v>1.014347080638575</v>
      </c>
      <c r="F55" s="10">
        <v>4</v>
      </c>
      <c r="G55" s="10">
        <v>2</v>
      </c>
      <c r="H55" s="10">
        <v>5</v>
      </c>
      <c r="I55" s="1">
        <v>1</v>
      </c>
      <c r="J55" s="1">
        <v>0.1</v>
      </c>
      <c r="K55" s="1">
        <v>1</v>
      </c>
      <c r="L55" s="1">
        <v>0</v>
      </c>
      <c r="M55" s="1">
        <v>0</v>
      </c>
      <c r="N55" s="1">
        <v>0</v>
      </c>
      <c r="O55" s="1">
        <v>3</v>
      </c>
      <c r="P55" s="1">
        <v>8</v>
      </c>
      <c r="Q55" s="1">
        <v>1</v>
      </c>
      <c r="R55" s="5">
        <f t="shared" si="4"/>
        <v>0.70000000000000007</v>
      </c>
      <c r="S55" s="5">
        <f t="shared" si="5"/>
        <v>0</v>
      </c>
      <c r="T55" s="5">
        <f t="shared" si="6"/>
        <v>4</v>
      </c>
      <c r="U55" s="33">
        <f t="shared" si="10"/>
        <v>4.7628183686677719E-2</v>
      </c>
      <c r="V55" s="48">
        <f t="shared" si="11"/>
        <v>0.5934003213422141</v>
      </c>
      <c r="W55" s="48">
        <f t="shared" si="12"/>
        <v>5.8355733667233691</v>
      </c>
    </row>
    <row r="56" spans="1:23" ht="14.25" customHeight="1" x14ac:dyDescent="0.3">
      <c r="A56" s="1" t="s">
        <v>43</v>
      </c>
      <c r="B56" s="1">
        <v>14</v>
      </c>
      <c r="C56" s="1" t="s">
        <v>101</v>
      </c>
      <c r="D56" s="50">
        <v>17</v>
      </c>
      <c r="E56" s="56">
        <f t="shared" si="0"/>
        <v>1.014347080638575</v>
      </c>
      <c r="F56" s="10">
        <v>2</v>
      </c>
      <c r="G56" s="10">
        <v>3</v>
      </c>
      <c r="H56" s="10">
        <v>0</v>
      </c>
      <c r="I56" s="1">
        <v>0.1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2</v>
      </c>
      <c r="R56" s="5">
        <f t="shared" si="4"/>
        <v>0.70000000000000007</v>
      </c>
      <c r="S56" s="5">
        <f t="shared" si="5"/>
        <v>0</v>
      </c>
      <c r="T56" s="5">
        <f t="shared" si="6"/>
        <v>1.3333333333333333</v>
      </c>
      <c r="U56" s="33">
        <f t="shared" si="10"/>
        <v>2.381409184333886E-2</v>
      </c>
      <c r="V56" s="48">
        <f t="shared" si="11"/>
        <v>0.89010048201332137</v>
      </c>
      <c r="W56" s="48">
        <f t="shared" si="12"/>
        <v>0</v>
      </c>
    </row>
    <row r="57" spans="1:23" ht="14.25" customHeight="1" x14ac:dyDescent="0.3">
      <c r="A57" s="1" t="s">
        <v>43</v>
      </c>
      <c r="B57" s="1">
        <v>14</v>
      </c>
      <c r="C57" s="1" t="s">
        <v>762</v>
      </c>
      <c r="D57" s="50">
        <v>17</v>
      </c>
      <c r="E57" s="56">
        <f t="shared" si="0"/>
        <v>1.014347080638575</v>
      </c>
      <c r="F57" s="10">
        <v>4</v>
      </c>
      <c r="G57" s="10">
        <v>4</v>
      </c>
      <c r="H57" s="10">
        <v>0</v>
      </c>
      <c r="I57" s="1">
        <v>0.1</v>
      </c>
      <c r="J57" s="1">
        <v>0.1</v>
      </c>
      <c r="K57" s="1">
        <v>0.1</v>
      </c>
      <c r="L57" s="1">
        <v>0</v>
      </c>
      <c r="M57" s="1">
        <v>0</v>
      </c>
      <c r="N57" s="1">
        <v>0</v>
      </c>
      <c r="O57" s="1">
        <v>0.1</v>
      </c>
      <c r="P57" s="1">
        <v>0.1</v>
      </c>
      <c r="Q57" s="1">
        <v>0</v>
      </c>
      <c r="R57" s="5">
        <f t="shared" si="4"/>
        <v>0.10000000000000002</v>
      </c>
      <c r="S57" s="5">
        <f t="shared" si="5"/>
        <v>0</v>
      </c>
      <c r="T57" s="5">
        <f t="shared" si="6"/>
        <v>6.6666666666666666E-2</v>
      </c>
      <c r="U57" s="33">
        <f t="shared" si="10"/>
        <v>4.7628183686677719E-2</v>
      </c>
      <c r="V57" s="48">
        <f t="shared" si="11"/>
        <v>1.1868006426844282</v>
      </c>
      <c r="W57" s="48">
        <f t="shared" si="12"/>
        <v>0</v>
      </c>
    </row>
    <row r="58" spans="1:23" ht="14.25" customHeight="1" x14ac:dyDescent="0.3">
      <c r="A58" s="1" t="s">
        <v>43</v>
      </c>
      <c r="B58" s="1">
        <v>15</v>
      </c>
      <c r="C58" s="1" t="s">
        <v>760</v>
      </c>
      <c r="D58" s="50">
        <v>8</v>
      </c>
      <c r="E58" s="56">
        <f t="shared" si="0"/>
        <v>1.0031948963187562</v>
      </c>
      <c r="F58" s="10">
        <v>23</v>
      </c>
      <c r="G58" s="10">
        <v>9</v>
      </c>
      <c r="H58" s="10">
        <v>0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10</v>
      </c>
      <c r="P58" s="1">
        <v>0</v>
      </c>
      <c r="Q58" s="1">
        <v>2</v>
      </c>
      <c r="R58" s="5">
        <f t="shared" si="4"/>
        <v>0.66666666666666663</v>
      </c>
      <c r="S58" s="5">
        <f t="shared" si="5"/>
        <v>0</v>
      </c>
      <c r="T58" s="5">
        <f t="shared" si="6"/>
        <v>4</v>
      </c>
      <c r="U58" s="33">
        <f t="shared" si="10"/>
        <v>0.27085109457862633</v>
      </c>
      <c r="V58" s="48">
        <f t="shared" si="11"/>
        <v>2.6409429606811168</v>
      </c>
      <c r="W58" s="48">
        <f t="shared" si="12"/>
        <v>0</v>
      </c>
    </row>
    <row r="59" spans="1:23" ht="14.25" customHeight="1" x14ac:dyDescent="0.3">
      <c r="A59" s="1" t="s">
        <v>43</v>
      </c>
      <c r="B59" s="1">
        <v>15</v>
      </c>
      <c r="C59" s="1" t="s">
        <v>761</v>
      </c>
      <c r="D59" s="50">
        <v>8</v>
      </c>
      <c r="E59" s="56">
        <f t="shared" si="0"/>
        <v>1.0031948963187562</v>
      </c>
      <c r="F59" s="10">
        <v>36</v>
      </c>
      <c r="G59" s="2"/>
      <c r="H59" s="10">
        <v>3</v>
      </c>
      <c r="I59" s="1">
        <v>0.1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2</v>
      </c>
      <c r="R59" s="5">
        <f t="shared" si="4"/>
        <v>0.70000000000000007</v>
      </c>
      <c r="S59" s="5">
        <f t="shared" si="5"/>
        <v>0</v>
      </c>
      <c r="T59" s="5">
        <f t="shared" si="6"/>
        <v>1.3333333333333333</v>
      </c>
      <c r="U59" s="33">
        <f t="shared" si="10"/>
        <v>0.42394084368828466</v>
      </c>
      <c r="V59" s="48">
        <f t="shared" si="11"/>
        <v>0</v>
      </c>
      <c r="W59" s="48">
        <f t="shared" si="12"/>
        <v>3.4628486818762654</v>
      </c>
    </row>
    <row r="60" spans="1:23" ht="14.25" customHeight="1" x14ac:dyDescent="0.3">
      <c r="A60" s="1" t="s">
        <v>43</v>
      </c>
      <c r="B60" s="1">
        <v>15</v>
      </c>
      <c r="C60" s="1" t="s">
        <v>101</v>
      </c>
      <c r="D60" s="50">
        <v>8</v>
      </c>
      <c r="E60" s="56">
        <f t="shared" si="0"/>
        <v>1.0031948963187562</v>
      </c>
      <c r="F60" s="10">
        <v>20</v>
      </c>
      <c r="G60" s="10">
        <v>9</v>
      </c>
      <c r="H60" s="10">
        <v>7</v>
      </c>
      <c r="I60" s="1">
        <v>0.1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0.1</v>
      </c>
      <c r="P60" s="1">
        <v>3</v>
      </c>
      <c r="Q60" s="1">
        <v>3</v>
      </c>
      <c r="R60" s="5">
        <f t="shared" si="4"/>
        <v>0.70000000000000007</v>
      </c>
      <c r="S60" s="5">
        <f t="shared" si="5"/>
        <v>0</v>
      </c>
      <c r="T60" s="5">
        <f t="shared" si="6"/>
        <v>2.0333333333333332</v>
      </c>
      <c r="U60" s="33">
        <f t="shared" si="10"/>
        <v>0.23552269093793593</v>
      </c>
      <c r="V60" s="48">
        <f t="shared" si="11"/>
        <v>2.6409429606811168</v>
      </c>
      <c r="W60" s="48">
        <f t="shared" si="12"/>
        <v>8.079980257711286</v>
      </c>
    </row>
    <row r="61" spans="1:23" ht="14.25" customHeight="1" x14ac:dyDescent="0.3">
      <c r="A61" s="1" t="s">
        <v>43</v>
      </c>
      <c r="B61" s="1">
        <v>15</v>
      </c>
      <c r="C61" s="1" t="s">
        <v>762</v>
      </c>
      <c r="D61" s="50">
        <v>8</v>
      </c>
      <c r="E61" s="56">
        <f t="shared" si="0"/>
        <v>1.0031948963187562</v>
      </c>
      <c r="F61" s="10">
        <v>28</v>
      </c>
      <c r="G61" s="10">
        <v>13</v>
      </c>
      <c r="H61" s="10">
        <v>1</v>
      </c>
      <c r="I61" s="1">
        <v>0.1</v>
      </c>
      <c r="J61" s="1">
        <v>0.1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46</v>
      </c>
      <c r="Q61" s="1">
        <v>5</v>
      </c>
      <c r="R61" s="5">
        <f t="shared" si="4"/>
        <v>0.39999999999999997</v>
      </c>
      <c r="S61" s="5">
        <f t="shared" si="5"/>
        <v>0</v>
      </c>
      <c r="T61" s="5">
        <f t="shared" si="6"/>
        <v>17.333333333333332</v>
      </c>
      <c r="U61" s="33">
        <f t="shared" si="10"/>
        <v>0.32973176731311027</v>
      </c>
      <c r="V61" s="48">
        <f t="shared" si="11"/>
        <v>3.8146953876505019</v>
      </c>
      <c r="W61" s="48">
        <f t="shared" si="12"/>
        <v>1.1542828939587551</v>
      </c>
    </row>
    <row r="62" spans="1:23" ht="14.25" customHeight="1" x14ac:dyDescent="0.3">
      <c r="A62" s="1" t="s">
        <v>56</v>
      </c>
      <c r="B62" s="1">
        <v>1</v>
      </c>
      <c r="C62" s="1" t="s">
        <v>760</v>
      </c>
      <c r="D62" s="1">
        <v>15</v>
      </c>
      <c r="E62" s="56">
        <f t="shared" si="0"/>
        <v>1.0111874208078342</v>
      </c>
      <c r="F62" s="10">
        <v>5</v>
      </c>
      <c r="G62" s="10">
        <v>3</v>
      </c>
      <c r="H62" s="10">
        <v>0</v>
      </c>
      <c r="I62" s="1">
        <v>0.1</v>
      </c>
      <c r="J62" s="1">
        <v>0.1</v>
      </c>
      <c r="K62" s="1">
        <v>0.1</v>
      </c>
      <c r="L62" s="1">
        <v>0</v>
      </c>
      <c r="M62" s="1">
        <v>0</v>
      </c>
      <c r="N62" s="1">
        <v>0</v>
      </c>
      <c r="O62" s="1">
        <v>0.1</v>
      </c>
      <c r="P62" s="1">
        <v>0.1</v>
      </c>
      <c r="Q62" s="1">
        <v>0.1</v>
      </c>
      <c r="R62" s="5">
        <f t="shared" si="4"/>
        <v>0.10000000000000002</v>
      </c>
      <c r="S62" s="5">
        <f t="shared" si="5"/>
        <v>0</v>
      </c>
      <c r="T62" s="5">
        <f t="shared" si="6"/>
        <v>0.10000000000000002</v>
      </c>
      <c r="U62" s="33">
        <f t="shared" si="10"/>
        <v>5.9349779206706518E-2</v>
      </c>
      <c r="V62" s="48">
        <f t="shared" si="11"/>
        <v>0.88732784650026797</v>
      </c>
      <c r="W62" s="48">
        <f t="shared" si="12"/>
        <v>0</v>
      </c>
    </row>
    <row r="63" spans="1:23" ht="14.25" customHeight="1" x14ac:dyDescent="0.3">
      <c r="A63" s="1" t="s">
        <v>56</v>
      </c>
      <c r="B63" s="1">
        <v>1</v>
      </c>
      <c r="C63" s="1" t="s">
        <v>761</v>
      </c>
      <c r="D63" s="1">
        <v>15</v>
      </c>
      <c r="E63" s="56">
        <f t="shared" si="0"/>
        <v>1.0111874208078342</v>
      </c>
      <c r="F63" s="10">
        <v>3</v>
      </c>
      <c r="G63" s="10">
        <v>0</v>
      </c>
      <c r="H63" s="10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2</v>
      </c>
      <c r="R63" s="5">
        <f t="shared" si="4"/>
        <v>1</v>
      </c>
      <c r="S63" s="5">
        <f t="shared" si="5"/>
        <v>0</v>
      </c>
      <c r="T63" s="5">
        <f t="shared" si="6"/>
        <v>1</v>
      </c>
      <c r="U63" s="33">
        <f t="shared" si="10"/>
        <v>3.5609867524023911E-2</v>
      </c>
      <c r="V63" s="48">
        <f t="shared" si="11"/>
        <v>0</v>
      </c>
      <c r="W63" s="48">
        <f t="shared" si="12"/>
        <v>0</v>
      </c>
    </row>
    <row r="64" spans="1:23" ht="14.25" customHeight="1" x14ac:dyDescent="0.3">
      <c r="A64" s="1" t="s">
        <v>56</v>
      </c>
      <c r="B64" s="1">
        <v>1</v>
      </c>
      <c r="C64" s="1" t="s">
        <v>101</v>
      </c>
      <c r="D64" s="1">
        <v>15</v>
      </c>
      <c r="E64" s="56">
        <f t="shared" si="0"/>
        <v>1.0111874208078342</v>
      </c>
      <c r="F64" s="10">
        <v>1</v>
      </c>
      <c r="G64" s="10">
        <v>0</v>
      </c>
      <c r="H64" s="10">
        <v>0</v>
      </c>
      <c r="I64" s="1">
        <v>0.1</v>
      </c>
      <c r="J64" s="1">
        <v>0.1</v>
      </c>
      <c r="K64" s="1">
        <v>0</v>
      </c>
      <c r="L64" s="1">
        <v>0</v>
      </c>
      <c r="M64" s="1">
        <v>0</v>
      </c>
      <c r="N64" s="1">
        <v>0</v>
      </c>
      <c r="O64" s="1">
        <v>0.1</v>
      </c>
      <c r="P64" s="1">
        <v>0.1</v>
      </c>
      <c r="Q64" s="1">
        <v>0</v>
      </c>
      <c r="R64" s="5">
        <f t="shared" si="4"/>
        <v>6.6666666666666666E-2</v>
      </c>
      <c r="S64" s="5">
        <f t="shared" si="5"/>
        <v>0</v>
      </c>
      <c r="T64" s="5">
        <f t="shared" si="6"/>
        <v>6.6666666666666666E-2</v>
      </c>
      <c r="U64" s="33">
        <f t="shared" si="10"/>
        <v>1.1869955841341304E-2</v>
      </c>
      <c r="V64" s="48">
        <f t="shared" si="11"/>
        <v>0</v>
      </c>
      <c r="W64" s="48">
        <f t="shared" si="12"/>
        <v>0</v>
      </c>
    </row>
    <row r="65" spans="1:23" ht="14.25" customHeight="1" x14ac:dyDescent="0.3">
      <c r="A65" s="1" t="s">
        <v>56</v>
      </c>
      <c r="B65" s="1">
        <v>1</v>
      </c>
      <c r="C65" s="1" t="s">
        <v>762</v>
      </c>
      <c r="D65" s="50">
        <v>15</v>
      </c>
      <c r="E65" s="56">
        <f t="shared" si="0"/>
        <v>1.0111874208078342</v>
      </c>
      <c r="F65" s="10">
        <v>0</v>
      </c>
      <c r="G65" s="10">
        <v>0</v>
      </c>
      <c r="H65" s="10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v>0</v>
      </c>
      <c r="Q65" s="1">
        <v>2</v>
      </c>
      <c r="R65" s="5">
        <f t="shared" si="4"/>
        <v>0</v>
      </c>
      <c r="S65" s="5">
        <f t="shared" si="5"/>
        <v>0</v>
      </c>
      <c r="T65" s="5">
        <f t="shared" si="6"/>
        <v>1.3333333333333333</v>
      </c>
      <c r="U65" s="33">
        <f t="shared" si="10"/>
        <v>0</v>
      </c>
      <c r="V65" s="48">
        <f t="shared" si="11"/>
        <v>0</v>
      </c>
      <c r="W65" s="48">
        <f t="shared" si="12"/>
        <v>0</v>
      </c>
    </row>
    <row r="66" spans="1:23" ht="14.25" customHeight="1" x14ac:dyDescent="0.3">
      <c r="A66" s="1" t="s">
        <v>56</v>
      </c>
      <c r="B66" s="1">
        <v>2</v>
      </c>
      <c r="C66" s="1" t="s">
        <v>760</v>
      </c>
      <c r="D66" s="50">
        <v>11</v>
      </c>
      <c r="E66" s="56">
        <f t="shared" ref="E66:E145" si="13">SQRT(1+((D66/100)^2))</f>
        <v>1.0060318086422517</v>
      </c>
      <c r="F66" s="10">
        <v>42</v>
      </c>
      <c r="G66" s="10">
        <v>23</v>
      </c>
      <c r="H66" s="10">
        <v>0</v>
      </c>
      <c r="I66" s="1">
        <v>2.5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3.5</v>
      </c>
      <c r="P66" s="1">
        <v>1</v>
      </c>
      <c r="Q66" s="1">
        <v>7</v>
      </c>
      <c r="R66" s="5">
        <f t="shared" si="4"/>
        <v>1.1666666666666667</v>
      </c>
      <c r="S66" s="5">
        <f t="shared" si="5"/>
        <v>0</v>
      </c>
      <c r="T66" s="5">
        <f t="shared" si="6"/>
        <v>3.8333333333333335</v>
      </c>
      <c r="U66" s="33">
        <f t="shared" si="10"/>
        <v>0.49599631256210025</v>
      </c>
      <c r="V66" s="48">
        <f t="shared" si="11"/>
        <v>6.7681620168505177</v>
      </c>
      <c r="W66" s="48">
        <f t="shared" si="12"/>
        <v>0</v>
      </c>
    </row>
    <row r="67" spans="1:23" ht="14.25" customHeight="1" x14ac:dyDescent="0.3">
      <c r="A67" s="1" t="s">
        <v>56</v>
      </c>
      <c r="B67" s="1">
        <v>2</v>
      </c>
      <c r="C67" s="1" t="s">
        <v>761</v>
      </c>
      <c r="D67" s="50">
        <v>11</v>
      </c>
      <c r="E67" s="56">
        <f t="shared" si="13"/>
        <v>1.0060318086422517</v>
      </c>
      <c r="F67" s="10">
        <v>31</v>
      </c>
      <c r="G67" s="10">
        <v>26</v>
      </c>
      <c r="H67" s="10">
        <v>4</v>
      </c>
      <c r="I67" s="1">
        <v>3</v>
      </c>
      <c r="J67" s="1">
        <v>1</v>
      </c>
      <c r="K67" s="1">
        <v>3</v>
      </c>
      <c r="L67" s="1">
        <v>0</v>
      </c>
      <c r="M67" s="1">
        <v>0</v>
      </c>
      <c r="N67" s="1">
        <v>0</v>
      </c>
      <c r="O67" s="1">
        <v>6</v>
      </c>
      <c r="P67" s="1">
        <v>3</v>
      </c>
      <c r="Q67" s="1">
        <v>4</v>
      </c>
      <c r="R67" s="5">
        <f t="shared" ref="R67:R146" si="14">AVERAGE(I67:K67)</f>
        <v>2.3333333333333335</v>
      </c>
      <c r="S67" s="5">
        <f t="shared" ref="S67:S146" si="15">AVERAGE(L67:N67)</f>
        <v>0</v>
      </c>
      <c r="T67" s="5">
        <f t="shared" ref="T67:T146" si="16">AVERAGE(O67:Q67)</f>
        <v>4.333333333333333</v>
      </c>
      <c r="U67" s="33">
        <f t="shared" si="10"/>
        <v>0.36609251641488361</v>
      </c>
      <c r="V67" s="48">
        <f t="shared" si="11"/>
        <v>7.6509657581788435</v>
      </c>
      <c r="W67" s="48">
        <f t="shared" si="12"/>
        <v>4.6301882585541527</v>
      </c>
    </row>
    <row r="68" spans="1:23" ht="14.25" customHeight="1" x14ac:dyDescent="0.3">
      <c r="A68" s="1" t="s">
        <v>56</v>
      </c>
      <c r="B68" s="1">
        <v>2</v>
      </c>
      <c r="C68" s="1" t="s">
        <v>101</v>
      </c>
      <c r="D68" s="50">
        <v>11</v>
      </c>
      <c r="E68" s="56">
        <f t="shared" si="13"/>
        <v>1.0060318086422517</v>
      </c>
      <c r="F68" s="10">
        <v>20</v>
      </c>
      <c r="G68" s="10">
        <v>26</v>
      </c>
      <c r="H68" s="10">
        <v>5</v>
      </c>
      <c r="I68" s="1">
        <v>4</v>
      </c>
      <c r="J68" s="1">
        <v>3.5</v>
      </c>
      <c r="K68" s="1">
        <v>2</v>
      </c>
      <c r="L68" s="1">
        <v>0</v>
      </c>
      <c r="M68" s="1">
        <v>0</v>
      </c>
      <c r="N68" s="1">
        <v>0</v>
      </c>
      <c r="O68" s="1">
        <v>4</v>
      </c>
      <c r="P68" s="1">
        <v>3.5</v>
      </c>
      <c r="Q68" s="1">
        <v>2</v>
      </c>
      <c r="R68" s="5">
        <f t="shared" si="14"/>
        <v>3.1666666666666665</v>
      </c>
      <c r="S68" s="5">
        <f t="shared" si="15"/>
        <v>0</v>
      </c>
      <c r="T68" s="5">
        <f t="shared" si="16"/>
        <v>3.1666666666666665</v>
      </c>
      <c r="U68" s="33">
        <f t="shared" si="10"/>
        <v>0.23618872026766685</v>
      </c>
      <c r="V68" s="48">
        <f t="shared" si="11"/>
        <v>7.6509657581788435</v>
      </c>
      <c r="W68" s="48">
        <f t="shared" si="12"/>
        <v>5.78773532319269</v>
      </c>
    </row>
    <row r="69" spans="1:23" ht="14.25" customHeight="1" x14ac:dyDescent="0.3">
      <c r="A69" s="1" t="s">
        <v>56</v>
      </c>
      <c r="B69" s="1">
        <v>2</v>
      </c>
      <c r="C69" s="1" t="s">
        <v>762</v>
      </c>
      <c r="D69" s="50">
        <v>11</v>
      </c>
      <c r="E69" s="56">
        <f t="shared" si="13"/>
        <v>1.0060318086422517</v>
      </c>
      <c r="F69" s="10">
        <v>15</v>
      </c>
      <c r="G69" s="10">
        <v>17</v>
      </c>
      <c r="H69" s="10">
        <v>2</v>
      </c>
      <c r="I69" s="1">
        <v>11</v>
      </c>
      <c r="J69" s="1">
        <v>2</v>
      </c>
      <c r="K69" s="1">
        <v>0.5</v>
      </c>
      <c r="L69" s="1">
        <v>0</v>
      </c>
      <c r="M69" s="1">
        <v>0</v>
      </c>
      <c r="N69" s="1">
        <v>0</v>
      </c>
      <c r="O69" s="1">
        <v>11</v>
      </c>
      <c r="P69" s="1">
        <v>8</v>
      </c>
      <c r="Q69" s="1">
        <v>3</v>
      </c>
      <c r="R69" s="5">
        <f t="shared" si="14"/>
        <v>4.5</v>
      </c>
      <c r="S69" s="5">
        <f t="shared" si="15"/>
        <v>0</v>
      </c>
      <c r="T69" s="5">
        <f t="shared" si="16"/>
        <v>7.333333333333333</v>
      </c>
      <c r="U69" s="33">
        <f t="shared" si="10"/>
        <v>0.17714154020075012</v>
      </c>
      <c r="V69" s="48">
        <f t="shared" si="11"/>
        <v>5.0025545341938598</v>
      </c>
      <c r="W69" s="48">
        <f t="shared" si="12"/>
        <v>2.3150941292770764</v>
      </c>
    </row>
    <row r="70" spans="1:23" ht="14.25" customHeight="1" x14ac:dyDescent="0.3">
      <c r="A70" s="1" t="s">
        <v>56</v>
      </c>
      <c r="B70" s="1">
        <v>3</v>
      </c>
      <c r="C70" s="1" t="s">
        <v>760</v>
      </c>
      <c r="D70" s="1">
        <v>15</v>
      </c>
      <c r="E70" s="56">
        <f t="shared" si="13"/>
        <v>1.0111874208078342</v>
      </c>
      <c r="F70" s="10">
        <v>6</v>
      </c>
      <c r="G70" s="10">
        <v>1</v>
      </c>
      <c r="H70" s="10">
        <v>0</v>
      </c>
      <c r="I70" s="1">
        <v>1</v>
      </c>
      <c r="J70" s="1">
        <v>2</v>
      </c>
      <c r="K70" s="1">
        <v>0.1</v>
      </c>
      <c r="L70" s="1">
        <v>0</v>
      </c>
      <c r="M70" s="1">
        <v>0</v>
      </c>
      <c r="N70" s="1">
        <v>0</v>
      </c>
      <c r="O70" s="1">
        <v>1</v>
      </c>
      <c r="P70" s="1">
        <v>2</v>
      </c>
      <c r="Q70" s="1">
        <v>0.1</v>
      </c>
      <c r="R70" s="5">
        <f t="shared" si="14"/>
        <v>1.0333333333333334</v>
      </c>
      <c r="S70" s="5">
        <f t="shared" si="15"/>
        <v>0</v>
      </c>
      <c r="T70" s="5">
        <f t="shared" si="16"/>
        <v>1.0333333333333334</v>
      </c>
      <c r="U70" s="33">
        <f t="shared" si="10"/>
        <v>7.1219735048047822E-2</v>
      </c>
      <c r="V70" s="48">
        <f t="shared" si="11"/>
        <v>0.29577594883342262</v>
      </c>
      <c r="W70" s="48">
        <f t="shared" si="12"/>
        <v>0</v>
      </c>
    </row>
    <row r="71" spans="1:23" ht="14.25" customHeight="1" x14ac:dyDescent="0.3">
      <c r="A71" s="1" t="s">
        <v>56</v>
      </c>
      <c r="B71" s="1">
        <v>3</v>
      </c>
      <c r="C71" s="1" t="s">
        <v>761</v>
      </c>
      <c r="D71" s="1">
        <v>15</v>
      </c>
      <c r="E71" s="56">
        <f t="shared" si="13"/>
        <v>1.0111874208078342</v>
      </c>
      <c r="F71" s="10">
        <v>3</v>
      </c>
      <c r="G71" s="10">
        <v>1</v>
      </c>
      <c r="H71" s="10">
        <v>0</v>
      </c>
      <c r="I71" s="1">
        <v>2</v>
      </c>
      <c r="J71" s="1">
        <v>4</v>
      </c>
      <c r="K71" s="1">
        <v>3</v>
      </c>
      <c r="L71" s="1">
        <v>0</v>
      </c>
      <c r="M71" s="1">
        <v>0</v>
      </c>
      <c r="N71" s="1">
        <v>0</v>
      </c>
      <c r="O71" s="1">
        <v>2</v>
      </c>
      <c r="P71" s="1">
        <v>4</v>
      </c>
      <c r="Q71" s="1">
        <v>3</v>
      </c>
      <c r="R71" s="5">
        <f t="shared" si="14"/>
        <v>3</v>
      </c>
      <c r="S71" s="5">
        <f t="shared" si="15"/>
        <v>0</v>
      </c>
      <c r="T71" s="5">
        <f t="shared" si="16"/>
        <v>3</v>
      </c>
      <c r="U71" s="33">
        <f t="shared" si="10"/>
        <v>3.5609867524023911E-2</v>
      </c>
      <c r="V71" s="48">
        <f t="shared" si="11"/>
        <v>0.29577594883342262</v>
      </c>
      <c r="W71" s="48">
        <f t="shared" si="12"/>
        <v>0</v>
      </c>
    </row>
    <row r="72" spans="1:23" ht="14.25" customHeight="1" x14ac:dyDescent="0.3">
      <c r="A72" s="1" t="s">
        <v>56</v>
      </c>
      <c r="B72" s="1">
        <v>3</v>
      </c>
      <c r="C72" s="1" t="s">
        <v>101</v>
      </c>
      <c r="D72" s="1">
        <v>15</v>
      </c>
      <c r="E72" s="56">
        <f t="shared" si="13"/>
        <v>1.0111874208078342</v>
      </c>
      <c r="F72" s="10">
        <v>2</v>
      </c>
      <c r="G72" s="10">
        <v>3</v>
      </c>
      <c r="H72" s="10">
        <v>1</v>
      </c>
      <c r="I72" s="1">
        <v>2</v>
      </c>
      <c r="J72" s="1">
        <v>1</v>
      </c>
      <c r="K72" s="1">
        <v>0.1</v>
      </c>
      <c r="L72" s="1">
        <v>0</v>
      </c>
      <c r="M72" s="1">
        <v>0</v>
      </c>
      <c r="N72" s="1">
        <v>0</v>
      </c>
      <c r="O72" s="1">
        <v>2</v>
      </c>
      <c r="P72" s="1">
        <v>1</v>
      </c>
      <c r="Q72" s="1">
        <v>3</v>
      </c>
      <c r="R72" s="5">
        <f t="shared" si="14"/>
        <v>1.0333333333333334</v>
      </c>
      <c r="S72" s="5">
        <f t="shared" si="15"/>
        <v>0</v>
      </c>
      <c r="T72" s="5">
        <f t="shared" si="16"/>
        <v>2</v>
      </c>
      <c r="U72" s="33">
        <f t="shared" si="10"/>
        <v>2.3739911682682607E-2</v>
      </c>
      <c r="V72" s="48">
        <f t="shared" si="11"/>
        <v>0.88732784650026797</v>
      </c>
      <c r="W72" s="48">
        <f t="shared" si="12"/>
        <v>1.1634791471804797</v>
      </c>
    </row>
    <row r="73" spans="1:23" ht="14.25" customHeight="1" x14ac:dyDescent="0.3">
      <c r="A73" s="1" t="s">
        <v>56</v>
      </c>
      <c r="B73" s="1">
        <v>3</v>
      </c>
      <c r="C73" s="1" t="s">
        <v>762</v>
      </c>
      <c r="D73" s="50">
        <v>15</v>
      </c>
      <c r="E73" s="56">
        <f t="shared" si="13"/>
        <v>1.0111874208078342</v>
      </c>
      <c r="F73" s="10">
        <v>9</v>
      </c>
      <c r="G73" s="10">
        <v>1</v>
      </c>
      <c r="H73" s="10">
        <v>0</v>
      </c>
      <c r="I73" s="1">
        <v>2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2</v>
      </c>
      <c r="P73" s="1">
        <v>1</v>
      </c>
      <c r="Q73" s="1">
        <v>1</v>
      </c>
      <c r="R73" s="5">
        <f t="shared" si="14"/>
        <v>1.3333333333333333</v>
      </c>
      <c r="S73" s="5">
        <f t="shared" si="15"/>
        <v>0</v>
      </c>
      <c r="T73" s="5">
        <f t="shared" si="16"/>
        <v>1.3333333333333333</v>
      </c>
      <c r="U73" s="33">
        <f t="shared" si="10"/>
        <v>0.10682960257207173</v>
      </c>
      <c r="V73" s="48">
        <f t="shared" si="11"/>
        <v>0.29577594883342262</v>
      </c>
      <c r="W73" s="48">
        <f t="shared" si="12"/>
        <v>0</v>
      </c>
    </row>
    <row r="74" spans="1:23" ht="14.25" customHeight="1" x14ac:dyDescent="0.3">
      <c r="A74" s="1" t="s">
        <v>56</v>
      </c>
      <c r="B74" s="1">
        <v>4</v>
      </c>
      <c r="C74" s="1" t="s">
        <v>760</v>
      </c>
      <c r="D74" s="50">
        <v>11</v>
      </c>
      <c r="E74" s="56">
        <f t="shared" si="13"/>
        <v>1.0060318086422517</v>
      </c>
      <c r="F74" s="10">
        <v>1</v>
      </c>
      <c r="G74" s="10">
        <v>1</v>
      </c>
      <c r="H74" s="10">
        <v>4</v>
      </c>
      <c r="I74" s="1">
        <v>2</v>
      </c>
      <c r="J74" s="1">
        <v>1</v>
      </c>
      <c r="K74" s="1">
        <v>0.1</v>
      </c>
      <c r="L74" s="1">
        <v>0</v>
      </c>
      <c r="M74" s="1">
        <v>0</v>
      </c>
      <c r="N74" s="1">
        <v>0</v>
      </c>
      <c r="O74" s="1">
        <v>17</v>
      </c>
      <c r="P74" s="1">
        <v>1</v>
      </c>
      <c r="Q74" s="1">
        <v>0.1</v>
      </c>
      <c r="R74" s="5">
        <f t="shared" si="14"/>
        <v>1.0333333333333334</v>
      </c>
      <c r="S74" s="5">
        <f t="shared" si="15"/>
        <v>0</v>
      </c>
      <c r="T74" s="5">
        <f t="shared" si="16"/>
        <v>6.0333333333333341</v>
      </c>
      <c r="U74" s="33">
        <f t="shared" si="10"/>
        <v>1.1809436013383341E-2</v>
      </c>
      <c r="V74" s="48">
        <f t="shared" si="11"/>
        <v>0.29426791377610945</v>
      </c>
      <c r="W74" s="48">
        <f t="shared" si="12"/>
        <v>4.6301882585541527</v>
      </c>
    </row>
    <row r="75" spans="1:23" ht="14.25" customHeight="1" x14ac:dyDescent="0.3">
      <c r="A75" s="1" t="s">
        <v>56</v>
      </c>
      <c r="B75" s="1">
        <v>4</v>
      </c>
      <c r="C75" s="1" t="s">
        <v>761</v>
      </c>
      <c r="D75" s="50">
        <v>11</v>
      </c>
      <c r="E75" s="56">
        <f t="shared" si="13"/>
        <v>1.0060318086422517</v>
      </c>
      <c r="F75" s="10">
        <v>6</v>
      </c>
      <c r="G75" s="10">
        <v>4</v>
      </c>
      <c r="H75" s="10">
        <v>1</v>
      </c>
      <c r="I75" s="1">
        <v>4</v>
      </c>
      <c r="J75" s="1">
        <v>0.1</v>
      </c>
      <c r="K75" s="1">
        <v>1</v>
      </c>
      <c r="L75" s="1">
        <v>0</v>
      </c>
      <c r="M75" s="1">
        <v>0</v>
      </c>
      <c r="N75" s="1">
        <v>0</v>
      </c>
      <c r="O75" s="1">
        <v>4</v>
      </c>
      <c r="P75" s="1">
        <v>0.1</v>
      </c>
      <c r="Q75" s="1">
        <v>1</v>
      </c>
      <c r="R75" s="5">
        <f t="shared" si="14"/>
        <v>1.7</v>
      </c>
      <c r="S75" s="5">
        <f t="shared" si="15"/>
        <v>0</v>
      </c>
      <c r="T75" s="5">
        <f t="shared" si="16"/>
        <v>1.7</v>
      </c>
      <c r="U75" s="33">
        <f t="shared" si="10"/>
        <v>7.0856616080300056E-2</v>
      </c>
      <c r="V75" s="48">
        <f t="shared" si="11"/>
        <v>1.1770716551044378</v>
      </c>
      <c r="W75" s="48">
        <f t="shared" si="12"/>
        <v>1.1575470646385382</v>
      </c>
    </row>
    <row r="76" spans="1:23" ht="14.25" customHeight="1" x14ac:dyDescent="0.3">
      <c r="A76" s="1" t="s">
        <v>56</v>
      </c>
      <c r="B76" s="1">
        <v>4</v>
      </c>
      <c r="C76" s="1" t="s">
        <v>101</v>
      </c>
      <c r="D76" s="50">
        <v>11</v>
      </c>
      <c r="E76" s="56">
        <f t="shared" si="13"/>
        <v>1.0060318086422517</v>
      </c>
      <c r="F76" s="10">
        <v>6</v>
      </c>
      <c r="G76" s="10">
        <v>8</v>
      </c>
      <c r="H76" s="10">
        <v>1</v>
      </c>
      <c r="I76" s="1">
        <v>2</v>
      </c>
      <c r="J76" s="1">
        <v>0.1</v>
      </c>
      <c r="K76" s="1">
        <v>2</v>
      </c>
      <c r="L76" s="1">
        <v>0</v>
      </c>
      <c r="M76" s="1">
        <v>0</v>
      </c>
      <c r="N76" s="1">
        <v>0</v>
      </c>
      <c r="O76" s="1">
        <v>2</v>
      </c>
      <c r="P76" s="1">
        <v>0.1</v>
      </c>
      <c r="Q76" s="1">
        <v>2</v>
      </c>
      <c r="R76" s="5">
        <f t="shared" si="14"/>
        <v>1.3666666666666665</v>
      </c>
      <c r="S76" s="5">
        <f t="shared" si="15"/>
        <v>0</v>
      </c>
      <c r="T76" s="5">
        <f t="shared" si="16"/>
        <v>1.3666666666666665</v>
      </c>
      <c r="U76" s="33">
        <f t="shared" si="10"/>
        <v>7.0856616080300056E-2</v>
      </c>
      <c r="V76" s="48">
        <f t="shared" si="11"/>
        <v>2.3541433102088756</v>
      </c>
      <c r="W76" s="48">
        <f t="shared" si="12"/>
        <v>1.1575470646385382</v>
      </c>
    </row>
    <row r="77" spans="1:23" ht="14.25" customHeight="1" x14ac:dyDescent="0.3">
      <c r="A77" s="1" t="s">
        <v>56</v>
      </c>
      <c r="B77" s="1">
        <v>4</v>
      </c>
      <c r="C77" s="1" t="s">
        <v>762</v>
      </c>
      <c r="D77" s="50">
        <v>11</v>
      </c>
      <c r="E77" s="56">
        <f t="shared" si="13"/>
        <v>1.0060318086422517</v>
      </c>
      <c r="F77" s="10">
        <v>15</v>
      </c>
      <c r="G77" s="10">
        <v>1</v>
      </c>
      <c r="H77" s="10"/>
      <c r="I77" s="1">
        <v>3</v>
      </c>
      <c r="J77" s="1">
        <v>0.1</v>
      </c>
      <c r="K77" s="1">
        <v>1</v>
      </c>
      <c r="L77" s="1">
        <v>0</v>
      </c>
      <c r="M77" s="1">
        <v>0</v>
      </c>
      <c r="N77" s="1">
        <v>0</v>
      </c>
      <c r="O77" s="1">
        <v>3</v>
      </c>
      <c r="P77" s="1">
        <v>0</v>
      </c>
      <c r="Q77" s="1">
        <v>1</v>
      </c>
      <c r="R77" s="5">
        <f t="shared" si="14"/>
        <v>1.3666666666666665</v>
      </c>
      <c r="S77" s="5">
        <f t="shared" si="15"/>
        <v>0</v>
      </c>
      <c r="T77" s="5">
        <f t="shared" si="16"/>
        <v>1.3333333333333333</v>
      </c>
      <c r="U77" s="33">
        <f t="shared" si="10"/>
        <v>0.17714154020075012</v>
      </c>
      <c r="V77" s="48">
        <f t="shared" si="11"/>
        <v>0.29426791377610945</v>
      </c>
      <c r="W77" s="48">
        <f t="shared" si="12"/>
        <v>0</v>
      </c>
    </row>
    <row r="78" spans="1:23" ht="14.25" customHeight="1" x14ac:dyDescent="0.3">
      <c r="A78" s="1" t="s">
        <v>56</v>
      </c>
      <c r="B78" s="1">
        <v>5</v>
      </c>
      <c r="C78" s="1" t="s">
        <v>760</v>
      </c>
      <c r="D78" s="1">
        <v>17</v>
      </c>
      <c r="E78" s="56">
        <f t="shared" si="13"/>
        <v>1.014347080638575</v>
      </c>
      <c r="F78" s="10">
        <v>9</v>
      </c>
      <c r="G78" s="10">
        <v>0</v>
      </c>
      <c r="H78" s="10">
        <v>0</v>
      </c>
      <c r="I78" s="1">
        <v>3</v>
      </c>
      <c r="J78" s="1">
        <v>8</v>
      </c>
      <c r="K78" s="1">
        <v>0</v>
      </c>
      <c r="L78" s="1">
        <v>0</v>
      </c>
      <c r="M78" s="1">
        <v>0</v>
      </c>
      <c r="N78" s="1">
        <v>0</v>
      </c>
      <c r="O78" s="1">
        <v>3</v>
      </c>
      <c r="P78" s="1">
        <v>8</v>
      </c>
      <c r="Q78" s="1">
        <v>0</v>
      </c>
      <c r="R78" s="5">
        <f t="shared" si="14"/>
        <v>3.6666666666666665</v>
      </c>
      <c r="S78" s="5">
        <f t="shared" si="15"/>
        <v>0</v>
      </c>
      <c r="T78" s="5">
        <f t="shared" si="16"/>
        <v>3.6666666666666665</v>
      </c>
      <c r="U78" s="33">
        <f t="shared" si="10"/>
        <v>0.10716341329502486</v>
      </c>
      <c r="V78" s="48">
        <f t="shared" si="11"/>
        <v>0</v>
      </c>
      <c r="W78" s="48">
        <f t="shared" si="12"/>
        <v>0</v>
      </c>
    </row>
    <row r="79" spans="1:23" ht="14.25" customHeight="1" x14ac:dyDescent="0.3">
      <c r="A79" s="1" t="s">
        <v>56</v>
      </c>
      <c r="B79" s="1">
        <v>5</v>
      </c>
      <c r="C79" s="1" t="s">
        <v>761</v>
      </c>
      <c r="D79" s="1">
        <v>17</v>
      </c>
      <c r="E79" s="56">
        <f t="shared" si="13"/>
        <v>1.014347080638575</v>
      </c>
      <c r="F79" s="10">
        <v>4</v>
      </c>
      <c r="G79" s="10">
        <v>1</v>
      </c>
      <c r="H79" s="10">
        <v>0</v>
      </c>
      <c r="I79" s="1">
        <v>0.1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0.1</v>
      </c>
      <c r="P79" s="1">
        <v>1</v>
      </c>
      <c r="Q79" s="1">
        <v>0</v>
      </c>
      <c r="R79" s="5">
        <f t="shared" si="14"/>
        <v>0.3666666666666667</v>
      </c>
      <c r="S79" s="5">
        <f t="shared" si="15"/>
        <v>0</v>
      </c>
      <c r="T79" s="5">
        <f t="shared" si="16"/>
        <v>0.3666666666666667</v>
      </c>
      <c r="U79" s="33">
        <f t="shared" si="10"/>
        <v>4.7628183686677719E-2</v>
      </c>
      <c r="V79" s="48">
        <f t="shared" si="11"/>
        <v>0.29670016067110705</v>
      </c>
      <c r="W79" s="48">
        <f t="shared" si="12"/>
        <v>0</v>
      </c>
    </row>
    <row r="80" spans="1:23" ht="14.25" customHeight="1" x14ac:dyDescent="0.3">
      <c r="A80" s="1" t="s">
        <v>56</v>
      </c>
      <c r="B80" s="1">
        <v>5</v>
      </c>
      <c r="C80" s="1" t="s">
        <v>101</v>
      </c>
      <c r="D80" s="1">
        <v>17</v>
      </c>
      <c r="E80" s="56">
        <f t="shared" si="13"/>
        <v>1.014347080638575</v>
      </c>
      <c r="F80" s="10">
        <v>3</v>
      </c>
      <c r="G80" s="10">
        <v>1</v>
      </c>
      <c r="H80" s="10">
        <v>0</v>
      </c>
      <c r="I80" s="1">
        <v>3</v>
      </c>
      <c r="J80" s="1">
        <v>2</v>
      </c>
      <c r="K80" s="1">
        <v>0.1</v>
      </c>
      <c r="L80" s="1">
        <v>0</v>
      </c>
      <c r="M80" s="1">
        <v>0</v>
      </c>
      <c r="N80" s="1">
        <v>0</v>
      </c>
      <c r="O80" s="1">
        <v>3</v>
      </c>
      <c r="P80" s="1">
        <v>2</v>
      </c>
      <c r="Q80" s="1">
        <v>1</v>
      </c>
      <c r="R80" s="5">
        <f t="shared" si="14"/>
        <v>1.7</v>
      </c>
      <c r="S80" s="5">
        <f t="shared" si="15"/>
        <v>0</v>
      </c>
      <c r="T80" s="5">
        <f t="shared" si="16"/>
        <v>2</v>
      </c>
      <c r="U80" s="33">
        <f t="shared" si="10"/>
        <v>3.5721137765008293E-2</v>
      </c>
      <c r="V80" s="48">
        <f t="shared" si="11"/>
        <v>0.29670016067110705</v>
      </c>
      <c r="W80" s="48">
        <f t="shared" si="12"/>
        <v>0</v>
      </c>
    </row>
    <row r="81" spans="1:23" ht="14.25" customHeight="1" x14ac:dyDescent="0.3">
      <c r="A81" s="1" t="s">
        <v>56</v>
      </c>
      <c r="B81" s="1">
        <v>5</v>
      </c>
      <c r="C81" s="1" t="s">
        <v>762</v>
      </c>
      <c r="D81" s="50">
        <v>17</v>
      </c>
      <c r="E81" s="56">
        <f t="shared" si="13"/>
        <v>1.014347080638575</v>
      </c>
      <c r="F81" s="10">
        <v>2</v>
      </c>
      <c r="G81" s="10">
        <v>2</v>
      </c>
      <c r="H81" s="10">
        <v>0</v>
      </c>
      <c r="I81" s="1">
        <v>10</v>
      </c>
      <c r="J81" s="1">
        <v>0.1</v>
      </c>
      <c r="K81" s="1">
        <v>0.1</v>
      </c>
      <c r="L81" s="1">
        <v>0</v>
      </c>
      <c r="M81" s="1">
        <v>0</v>
      </c>
      <c r="N81" s="1">
        <v>0</v>
      </c>
      <c r="O81" s="1">
        <v>10</v>
      </c>
      <c r="P81" s="1">
        <v>0.1</v>
      </c>
      <c r="Q81" s="1">
        <v>0.1</v>
      </c>
      <c r="R81" s="5">
        <f t="shared" si="14"/>
        <v>3.4</v>
      </c>
      <c r="S81" s="5">
        <f t="shared" si="15"/>
        <v>0</v>
      </c>
      <c r="T81" s="5">
        <f t="shared" si="16"/>
        <v>3.4</v>
      </c>
      <c r="U81" s="33">
        <f t="shared" si="10"/>
        <v>2.381409184333886E-2</v>
      </c>
      <c r="V81" s="48">
        <f t="shared" si="11"/>
        <v>0.5934003213422141</v>
      </c>
      <c r="W81" s="48">
        <f t="shared" si="12"/>
        <v>0</v>
      </c>
    </row>
    <row r="82" spans="1:23" ht="14.25" customHeight="1" x14ac:dyDescent="0.3">
      <c r="A82" s="1" t="s">
        <v>56</v>
      </c>
      <c r="B82" s="1">
        <v>6</v>
      </c>
      <c r="C82" s="1" t="s">
        <v>760</v>
      </c>
      <c r="D82" s="50">
        <v>22</v>
      </c>
      <c r="E82" s="56">
        <f t="shared" si="13"/>
        <v>1.0239140588936164</v>
      </c>
      <c r="F82" s="10">
        <v>18</v>
      </c>
      <c r="G82" s="10">
        <v>1</v>
      </c>
      <c r="H82" s="10">
        <v>0</v>
      </c>
      <c r="I82" s="1">
        <v>2</v>
      </c>
      <c r="J82" s="1">
        <v>3</v>
      </c>
      <c r="K82" s="1">
        <v>3</v>
      </c>
      <c r="L82" s="1">
        <v>0</v>
      </c>
      <c r="M82" s="1">
        <v>0</v>
      </c>
      <c r="N82" s="1">
        <v>0</v>
      </c>
      <c r="O82" s="1">
        <v>2</v>
      </c>
      <c r="P82" s="1">
        <v>4</v>
      </c>
      <c r="Q82" s="1">
        <v>3</v>
      </c>
      <c r="R82" s="5">
        <f t="shared" si="14"/>
        <v>2.6666666666666665</v>
      </c>
      <c r="S82" s="5">
        <f t="shared" si="15"/>
        <v>0</v>
      </c>
      <c r="T82" s="5">
        <f t="shared" si="16"/>
        <v>3</v>
      </c>
      <c r="U82" s="33">
        <f t="shared" si="10"/>
        <v>0.21634828465760603</v>
      </c>
      <c r="V82" s="48">
        <f t="shared" si="11"/>
        <v>0.29949853613803384</v>
      </c>
      <c r="W82" s="48">
        <f t="shared" si="12"/>
        <v>0</v>
      </c>
    </row>
    <row r="83" spans="1:23" ht="14.25" customHeight="1" x14ac:dyDescent="0.3">
      <c r="A83" s="1" t="s">
        <v>56</v>
      </c>
      <c r="B83" s="1">
        <v>6</v>
      </c>
      <c r="C83" s="1" t="s">
        <v>761</v>
      </c>
      <c r="D83" s="50">
        <v>22</v>
      </c>
      <c r="E83" s="56">
        <f t="shared" si="13"/>
        <v>1.0239140588936164</v>
      </c>
      <c r="F83" s="10">
        <v>18</v>
      </c>
      <c r="G83" s="10">
        <v>3</v>
      </c>
      <c r="H83" s="10">
        <v>0</v>
      </c>
      <c r="I83" s="19">
        <v>1.5</v>
      </c>
      <c r="J83" s="1">
        <v>5</v>
      </c>
      <c r="K83" s="1">
        <v>5</v>
      </c>
      <c r="L83" s="1">
        <v>0</v>
      </c>
      <c r="M83" s="1">
        <v>0</v>
      </c>
      <c r="N83" s="1">
        <v>0</v>
      </c>
      <c r="O83" s="1">
        <v>1.5</v>
      </c>
      <c r="P83" s="1">
        <v>5</v>
      </c>
      <c r="Q83" s="1">
        <v>3</v>
      </c>
      <c r="R83" s="5">
        <f t="shared" si="14"/>
        <v>3.8333333333333335</v>
      </c>
      <c r="S83" s="5">
        <f t="shared" si="15"/>
        <v>0</v>
      </c>
      <c r="T83" s="5">
        <f t="shared" si="16"/>
        <v>3.1666666666666665</v>
      </c>
      <c r="U83" s="33">
        <f t="shared" si="10"/>
        <v>0.21634828465760603</v>
      </c>
      <c r="V83" s="48">
        <f t="shared" si="11"/>
        <v>0.8984956084141017</v>
      </c>
      <c r="W83" s="48">
        <f t="shared" si="12"/>
        <v>0</v>
      </c>
    </row>
    <row r="84" spans="1:23" ht="14.25" customHeight="1" x14ac:dyDescent="0.3">
      <c r="A84" s="1" t="s">
        <v>56</v>
      </c>
      <c r="B84" s="1">
        <v>6</v>
      </c>
      <c r="C84" s="1" t="s">
        <v>101</v>
      </c>
      <c r="D84" s="50">
        <v>22</v>
      </c>
      <c r="E84" s="56">
        <f t="shared" si="13"/>
        <v>1.0239140588936164</v>
      </c>
      <c r="F84" s="10">
        <v>12</v>
      </c>
      <c r="G84" s="10">
        <v>2</v>
      </c>
      <c r="H84" s="10">
        <v>0</v>
      </c>
      <c r="I84" s="1">
        <v>1.5</v>
      </c>
      <c r="J84" s="1">
        <v>2</v>
      </c>
      <c r="K84" s="1">
        <v>0</v>
      </c>
      <c r="L84" s="1">
        <v>0</v>
      </c>
      <c r="M84" s="1">
        <v>0</v>
      </c>
      <c r="N84" s="1">
        <v>0</v>
      </c>
      <c r="O84" s="1">
        <v>1.5</v>
      </c>
      <c r="P84" s="1">
        <v>2</v>
      </c>
      <c r="Q84" s="1">
        <v>0</v>
      </c>
      <c r="R84" s="5">
        <f t="shared" si="14"/>
        <v>1.1666666666666667</v>
      </c>
      <c r="S84" s="5">
        <f t="shared" si="15"/>
        <v>0</v>
      </c>
      <c r="T84" s="5">
        <f t="shared" si="16"/>
        <v>1.1666666666666667</v>
      </c>
      <c r="U84" s="33">
        <f t="shared" si="10"/>
        <v>0.14423218977173738</v>
      </c>
      <c r="V84" s="48">
        <f t="shared" si="11"/>
        <v>0.59899707227606769</v>
      </c>
      <c r="W84" s="48">
        <f t="shared" si="12"/>
        <v>0</v>
      </c>
    </row>
    <row r="85" spans="1:23" ht="14.25" customHeight="1" x14ac:dyDescent="0.3">
      <c r="A85" s="1" t="s">
        <v>56</v>
      </c>
      <c r="B85" s="1">
        <v>6</v>
      </c>
      <c r="C85" s="1" t="s">
        <v>762</v>
      </c>
      <c r="D85" s="50">
        <v>22</v>
      </c>
      <c r="E85" s="56">
        <f t="shared" si="13"/>
        <v>1.0239140588936164</v>
      </c>
      <c r="F85" s="10">
        <v>30</v>
      </c>
      <c r="G85" s="10">
        <v>13</v>
      </c>
      <c r="H85" s="10">
        <v>2</v>
      </c>
      <c r="I85" s="1">
        <v>5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5</v>
      </c>
      <c r="P85" s="1">
        <v>8</v>
      </c>
      <c r="Q85" s="1">
        <v>0</v>
      </c>
      <c r="R85" s="5">
        <f t="shared" si="14"/>
        <v>2</v>
      </c>
      <c r="S85" s="5">
        <f t="shared" si="15"/>
        <v>0</v>
      </c>
      <c r="T85" s="5">
        <f t="shared" si="16"/>
        <v>4.333333333333333</v>
      </c>
      <c r="U85" s="33">
        <f t="shared" si="10"/>
        <v>0.36058047442934343</v>
      </c>
      <c r="V85" s="48">
        <f t="shared" si="11"/>
        <v>3.8934809697944393</v>
      </c>
      <c r="W85" s="48">
        <f t="shared" si="12"/>
        <v>2.3562450076285972</v>
      </c>
    </row>
    <row r="86" spans="1:23" ht="14.25" customHeight="1" x14ac:dyDescent="0.3">
      <c r="A86" s="1" t="s">
        <v>56</v>
      </c>
      <c r="B86" s="1">
        <v>7</v>
      </c>
      <c r="C86" s="1" t="s">
        <v>760</v>
      </c>
      <c r="D86" s="50">
        <v>18</v>
      </c>
      <c r="E86" s="56">
        <f t="shared" si="13"/>
        <v>1.016070863670443</v>
      </c>
      <c r="F86" s="10">
        <v>3</v>
      </c>
      <c r="G86" s="10">
        <v>0</v>
      </c>
      <c r="H86" s="10">
        <v>0</v>
      </c>
      <c r="I86" s="1">
        <v>2</v>
      </c>
      <c r="J86" s="1">
        <v>0.1</v>
      </c>
      <c r="K86" s="1">
        <v>2</v>
      </c>
      <c r="L86" s="1">
        <v>0</v>
      </c>
      <c r="M86" s="1">
        <v>0</v>
      </c>
      <c r="N86" s="1">
        <v>0</v>
      </c>
      <c r="O86" s="1">
        <v>3</v>
      </c>
      <c r="P86" s="1">
        <v>0.1</v>
      </c>
      <c r="Q86" s="1">
        <v>2</v>
      </c>
      <c r="R86" s="5">
        <f t="shared" si="14"/>
        <v>1.3666666666666665</v>
      </c>
      <c r="S86" s="5">
        <f t="shared" si="15"/>
        <v>0</v>
      </c>
      <c r="T86" s="5">
        <f t="shared" si="16"/>
        <v>1.7</v>
      </c>
      <c r="U86" s="33">
        <f t="shared" si="10"/>
        <v>3.5781842322978305E-2</v>
      </c>
      <c r="V86" s="48">
        <f t="shared" si="11"/>
        <v>0</v>
      </c>
      <c r="W86" s="48">
        <f t="shared" si="12"/>
        <v>0</v>
      </c>
    </row>
    <row r="87" spans="1:23" ht="14.25" customHeight="1" x14ac:dyDescent="0.3">
      <c r="A87" s="1" t="s">
        <v>56</v>
      </c>
      <c r="B87" s="1">
        <v>7</v>
      </c>
      <c r="C87" s="1" t="s">
        <v>761</v>
      </c>
      <c r="D87" s="50">
        <v>18</v>
      </c>
      <c r="E87" s="56">
        <f t="shared" si="13"/>
        <v>1.016070863670443</v>
      </c>
      <c r="F87" s="10">
        <v>28</v>
      </c>
      <c r="G87" s="10">
        <v>16</v>
      </c>
      <c r="H87" s="10">
        <v>2</v>
      </c>
      <c r="I87" s="1">
        <v>1</v>
      </c>
      <c r="J87" s="1">
        <v>0.1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2</v>
      </c>
      <c r="Q87" s="1">
        <v>16</v>
      </c>
      <c r="R87" s="5">
        <f t="shared" si="14"/>
        <v>0.70000000000000007</v>
      </c>
      <c r="S87" s="5">
        <f t="shared" si="15"/>
        <v>0</v>
      </c>
      <c r="T87" s="5">
        <f t="shared" si="16"/>
        <v>6.333333333333333</v>
      </c>
      <c r="U87" s="33">
        <f t="shared" si="10"/>
        <v>0.33396386168113079</v>
      </c>
      <c r="V87" s="48">
        <f t="shared" si="11"/>
        <v>4.7552699742887006</v>
      </c>
      <c r="W87" s="48">
        <f t="shared" si="12"/>
        <v>2.3381961397300275</v>
      </c>
    </row>
    <row r="88" spans="1:23" ht="14.25" customHeight="1" x14ac:dyDescent="0.3">
      <c r="A88" s="1" t="s">
        <v>56</v>
      </c>
      <c r="B88" s="1">
        <v>7</v>
      </c>
      <c r="C88" s="1" t="s">
        <v>101</v>
      </c>
      <c r="D88" s="50">
        <v>18</v>
      </c>
      <c r="E88" s="56">
        <f t="shared" si="13"/>
        <v>1.016070863670443</v>
      </c>
      <c r="F88" s="10">
        <v>7</v>
      </c>
      <c r="G88" s="10">
        <v>0</v>
      </c>
      <c r="H88" s="10">
        <v>0</v>
      </c>
      <c r="I88" s="1">
        <v>2</v>
      </c>
      <c r="J88" s="1">
        <v>0.1</v>
      </c>
      <c r="K88" s="1">
        <v>2</v>
      </c>
      <c r="L88" s="1">
        <v>0</v>
      </c>
      <c r="M88" s="1">
        <v>0</v>
      </c>
      <c r="N88" s="1">
        <v>0</v>
      </c>
      <c r="O88" s="1">
        <v>2</v>
      </c>
      <c r="P88" s="1">
        <v>0.1</v>
      </c>
      <c r="Q88" s="1">
        <v>2</v>
      </c>
      <c r="R88" s="5">
        <f t="shared" si="14"/>
        <v>1.3666666666666665</v>
      </c>
      <c r="S88" s="5">
        <f t="shared" si="15"/>
        <v>0</v>
      </c>
      <c r="T88" s="5">
        <f t="shared" si="16"/>
        <v>1.3666666666666665</v>
      </c>
      <c r="U88" s="33">
        <f t="shared" si="10"/>
        <v>8.3490965420282698E-2</v>
      </c>
      <c r="V88" s="48">
        <f t="shared" si="11"/>
        <v>0</v>
      </c>
      <c r="W88" s="48">
        <f t="shared" si="12"/>
        <v>0</v>
      </c>
    </row>
    <row r="89" spans="1:23" ht="14.25" customHeight="1" x14ac:dyDescent="0.3">
      <c r="A89" s="1" t="s">
        <v>56</v>
      </c>
      <c r="B89" s="1">
        <v>7</v>
      </c>
      <c r="C89" s="1" t="s">
        <v>762</v>
      </c>
      <c r="D89" s="50">
        <v>18</v>
      </c>
      <c r="E89" s="56">
        <f t="shared" si="13"/>
        <v>1.016070863670443</v>
      </c>
      <c r="F89" s="10">
        <v>7</v>
      </c>
      <c r="G89" s="10">
        <v>0</v>
      </c>
      <c r="H89" s="10">
        <v>0</v>
      </c>
      <c r="I89" s="1">
        <v>0.1</v>
      </c>
      <c r="J89" s="1">
        <v>0.1</v>
      </c>
      <c r="K89" s="1">
        <v>0.1</v>
      </c>
      <c r="L89" s="1">
        <v>0.1</v>
      </c>
      <c r="M89" s="1">
        <v>0</v>
      </c>
      <c r="N89" s="1">
        <v>0</v>
      </c>
      <c r="O89" s="1">
        <v>0.1</v>
      </c>
      <c r="P89" s="1">
        <v>0.1</v>
      </c>
      <c r="Q89" s="1">
        <v>0.1</v>
      </c>
      <c r="R89" s="5">
        <f t="shared" si="14"/>
        <v>0.10000000000000002</v>
      </c>
      <c r="S89" s="5">
        <f t="shared" si="15"/>
        <v>3.3333333333333333E-2</v>
      </c>
      <c r="T89" s="5">
        <f t="shared" si="16"/>
        <v>0.10000000000000002</v>
      </c>
      <c r="U89" s="33">
        <f t="shared" si="10"/>
        <v>8.3490965420282698E-2</v>
      </c>
      <c r="V89" s="48">
        <f t="shared" si="11"/>
        <v>0</v>
      </c>
      <c r="W89" s="48">
        <f t="shared" si="12"/>
        <v>0</v>
      </c>
    </row>
    <row r="90" spans="1:23" ht="14.25" customHeight="1" x14ac:dyDescent="0.3">
      <c r="A90" s="1" t="s">
        <v>56</v>
      </c>
      <c r="B90" s="1">
        <v>8</v>
      </c>
      <c r="C90" s="1" t="s">
        <v>760</v>
      </c>
      <c r="D90" s="50">
        <v>21</v>
      </c>
      <c r="E90" s="56">
        <f t="shared" si="13"/>
        <v>1.0218121158021176</v>
      </c>
      <c r="F90" s="10">
        <v>16</v>
      </c>
      <c r="G90" s="10">
        <v>5</v>
      </c>
      <c r="H90" s="10">
        <v>0</v>
      </c>
      <c r="I90" s="1">
        <v>1</v>
      </c>
      <c r="J90" s="1">
        <v>3</v>
      </c>
      <c r="K90" s="1">
        <v>2</v>
      </c>
      <c r="L90" s="1">
        <v>0</v>
      </c>
      <c r="M90" s="1">
        <v>0</v>
      </c>
      <c r="N90" s="1">
        <v>0</v>
      </c>
      <c r="O90" s="1">
        <v>1</v>
      </c>
      <c r="P90" s="1">
        <v>3</v>
      </c>
      <c r="Q90" s="1">
        <v>2</v>
      </c>
      <c r="R90" s="5">
        <f t="shared" si="14"/>
        <v>2</v>
      </c>
      <c r="S90" s="5">
        <f t="shared" si="15"/>
        <v>0</v>
      </c>
      <c r="T90" s="5">
        <f t="shared" si="16"/>
        <v>2</v>
      </c>
      <c r="U90" s="33">
        <f t="shared" si="10"/>
        <v>0.19191480341840414</v>
      </c>
      <c r="V90" s="48">
        <f t="shared" si="11"/>
        <v>1.4944185512088848</v>
      </c>
      <c r="W90" s="48">
        <f t="shared" si="12"/>
        <v>0</v>
      </c>
    </row>
    <row r="91" spans="1:23" ht="14.25" customHeight="1" x14ac:dyDescent="0.3">
      <c r="A91" s="1" t="s">
        <v>56</v>
      </c>
      <c r="B91" s="1">
        <v>8</v>
      </c>
      <c r="C91" s="1" t="s">
        <v>761</v>
      </c>
      <c r="D91" s="50">
        <v>21</v>
      </c>
      <c r="E91" s="56">
        <f t="shared" si="13"/>
        <v>1.0218121158021176</v>
      </c>
      <c r="F91" s="10">
        <v>6</v>
      </c>
      <c r="G91" s="10">
        <v>2</v>
      </c>
      <c r="H91" s="10">
        <v>1</v>
      </c>
      <c r="I91" s="1">
        <v>1</v>
      </c>
      <c r="J91" s="1">
        <v>3</v>
      </c>
      <c r="K91" s="1">
        <v>2</v>
      </c>
      <c r="L91" s="1">
        <v>0</v>
      </c>
      <c r="M91" s="1">
        <v>0</v>
      </c>
      <c r="N91" s="1">
        <v>0</v>
      </c>
      <c r="O91" s="1">
        <v>1</v>
      </c>
      <c r="P91" s="1">
        <v>3</v>
      </c>
      <c r="Q91" s="1">
        <v>2</v>
      </c>
      <c r="R91" s="5">
        <f t="shared" si="14"/>
        <v>2</v>
      </c>
      <c r="S91" s="5">
        <f t="shared" si="15"/>
        <v>0</v>
      </c>
      <c r="T91" s="5">
        <f t="shared" si="16"/>
        <v>2</v>
      </c>
      <c r="U91" s="33">
        <f t="shared" si="10"/>
        <v>7.1968051281901563E-2</v>
      </c>
      <c r="V91" s="48">
        <f t="shared" si="11"/>
        <v>0.5977674204835538</v>
      </c>
      <c r="W91" s="48">
        <f t="shared" si="12"/>
        <v>1.1757039937486125</v>
      </c>
    </row>
    <row r="92" spans="1:23" ht="14.25" customHeight="1" x14ac:dyDescent="0.3">
      <c r="A92" s="1" t="s">
        <v>56</v>
      </c>
      <c r="B92" s="1">
        <v>8</v>
      </c>
      <c r="C92" s="1" t="s">
        <v>101</v>
      </c>
      <c r="D92" s="50">
        <v>21</v>
      </c>
      <c r="E92" s="56">
        <f t="shared" si="13"/>
        <v>1.0218121158021176</v>
      </c>
      <c r="F92" s="10">
        <v>9</v>
      </c>
      <c r="G92" s="10">
        <v>2</v>
      </c>
      <c r="H92" s="10">
        <v>0</v>
      </c>
      <c r="I92" s="1">
        <v>2</v>
      </c>
      <c r="J92" s="1">
        <v>2</v>
      </c>
      <c r="K92" s="1">
        <v>1</v>
      </c>
      <c r="L92" s="1">
        <v>0</v>
      </c>
      <c r="M92" s="1">
        <v>0</v>
      </c>
      <c r="N92" s="1">
        <v>0</v>
      </c>
      <c r="O92" s="1">
        <v>2</v>
      </c>
      <c r="P92" s="1">
        <v>2</v>
      </c>
      <c r="Q92" s="1">
        <v>1</v>
      </c>
      <c r="R92" s="5">
        <f t="shared" si="14"/>
        <v>1.6666666666666667</v>
      </c>
      <c r="S92" s="5">
        <f t="shared" si="15"/>
        <v>0</v>
      </c>
      <c r="T92" s="5">
        <f t="shared" si="16"/>
        <v>1.6666666666666667</v>
      </c>
      <c r="U92" s="33">
        <f t="shared" si="10"/>
        <v>0.10795207692285232</v>
      </c>
      <c r="V92" s="48">
        <f t="shared" si="11"/>
        <v>0.5977674204835538</v>
      </c>
      <c r="W92" s="48">
        <f t="shared" si="12"/>
        <v>0</v>
      </c>
    </row>
    <row r="93" spans="1:23" ht="14.25" customHeight="1" x14ac:dyDescent="0.3">
      <c r="A93" s="1" t="s">
        <v>56</v>
      </c>
      <c r="B93" s="1">
        <v>8</v>
      </c>
      <c r="C93" s="1" t="s">
        <v>762</v>
      </c>
      <c r="D93" s="50">
        <v>21</v>
      </c>
      <c r="E93" s="56">
        <f t="shared" si="13"/>
        <v>1.0218121158021176</v>
      </c>
      <c r="F93" s="10">
        <v>16</v>
      </c>
      <c r="G93" s="10">
        <v>13</v>
      </c>
      <c r="H93" s="10">
        <v>0</v>
      </c>
      <c r="I93" s="1">
        <v>0.1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8</v>
      </c>
      <c r="P93" s="1">
        <v>1</v>
      </c>
      <c r="Q93" s="1">
        <v>4</v>
      </c>
      <c r="R93" s="5">
        <f t="shared" si="14"/>
        <v>0.70000000000000007</v>
      </c>
      <c r="S93" s="5">
        <f t="shared" si="15"/>
        <v>0</v>
      </c>
      <c r="T93" s="5">
        <f t="shared" si="16"/>
        <v>4.333333333333333</v>
      </c>
      <c r="U93" s="33">
        <f t="shared" si="10"/>
        <v>0.19191480341840414</v>
      </c>
      <c r="V93" s="48">
        <f t="shared" si="11"/>
        <v>3.8854882331430987</v>
      </c>
      <c r="W93" s="48">
        <f t="shared" si="12"/>
        <v>0</v>
      </c>
    </row>
    <row r="94" spans="1:23" ht="14.25" customHeight="1" x14ac:dyDescent="0.3">
      <c r="A94" s="1" t="s">
        <v>56</v>
      </c>
      <c r="B94" s="1">
        <v>9</v>
      </c>
      <c r="C94" s="1" t="s">
        <v>760</v>
      </c>
      <c r="D94" s="50">
        <v>14</v>
      </c>
      <c r="E94" s="56">
        <f t="shared" si="13"/>
        <v>1.0097524449091471</v>
      </c>
      <c r="F94" s="10">
        <v>9</v>
      </c>
      <c r="G94" s="10">
        <v>1</v>
      </c>
      <c r="H94" s="10">
        <v>0</v>
      </c>
      <c r="I94" s="1">
        <v>1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2</v>
      </c>
      <c r="R94" s="5">
        <f t="shared" si="14"/>
        <v>1</v>
      </c>
      <c r="S94" s="5">
        <f t="shared" si="15"/>
        <v>0</v>
      </c>
      <c r="T94" s="5">
        <f t="shared" si="16"/>
        <v>1.3333333333333333</v>
      </c>
      <c r="U94" s="33">
        <f t="shared" si="10"/>
        <v>0.10667800070104096</v>
      </c>
      <c r="V94" s="48">
        <f t="shared" si="11"/>
        <v>0.29535621323421174</v>
      </c>
      <c r="W94" s="48">
        <f t="shared" si="12"/>
        <v>0</v>
      </c>
    </row>
    <row r="95" spans="1:23" ht="14.25" customHeight="1" x14ac:dyDescent="0.3">
      <c r="A95" s="1" t="s">
        <v>56</v>
      </c>
      <c r="B95" s="1">
        <v>9</v>
      </c>
      <c r="C95" s="1" t="s">
        <v>761</v>
      </c>
      <c r="D95" s="50">
        <v>14</v>
      </c>
      <c r="E95" s="56">
        <f t="shared" si="13"/>
        <v>1.0097524449091471</v>
      </c>
      <c r="F95" s="10">
        <v>17</v>
      </c>
      <c r="G95" s="10">
        <v>5</v>
      </c>
      <c r="H95" s="10">
        <v>2</v>
      </c>
      <c r="I95" s="1">
        <v>1</v>
      </c>
      <c r="J95" s="1">
        <v>3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3</v>
      </c>
      <c r="Q95" s="1">
        <v>1</v>
      </c>
      <c r="R95" s="5">
        <f t="shared" si="14"/>
        <v>1.6666666666666667</v>
      </c>
      <c r="S95" s="5">
        <f t="shared" si="15"/>
        <v>0</v>
      </c>
      <c r="T95" s="5">
        <f t="shared" si="16"/>
        <v>1.6666666666666667</v>
      </c>
      <c r="U95" s="33">
        <f t="shared" si="10"/>
        <v>0.20150289021307738</v>
      </c>
      <c r="V95" s="48">
        <f t="shared" si="11"/>
        <v>1.4767810661710588</v>
      </c>
      <c r="W95" s="48">
        <f t="shared" si="12"/>
        <v>2.3236561082370555</v>
      </c>
    </row>
    <row r="96" spans="1:23" ht="14.25" customHeight="1" x14ac:dyDescent="0.3">
      <c r="A96" s="1" t="s">
        <v>56</v>
      </c>
      <c r="B96" s="1">
        <v>9</v>
      </c>
      <c r="C96" s="1" t="s">
        <v>101</v>
      </c>
      <c r="D96" s="50">
        <v>14</v>
      </c>
      <c r="E96" s="56">
        <f t="shared" si="13"/>
        <v>1.0097524449091471</v>
      </c>
      <c r="F96" s="10">
        <v>9</v>
      </c>
      <c r="G96" s="10">
        <v>0</v>
      </c>
      <c r="H96" s="10">
        <v>0</v>
      </c>
      <c r="I96" s="1">
        <v>1</v>
      </c>
      <c r="J96" s="1">
        <v>1</v>
      </c>
      <c r="K96" s="1">
        <v>6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6</v>
      </c>
      <c r="R96" s="5">
        <f t="shared" si="14"/>
        <v>2.6666666666666665</v>
      </c>
      <c r="S96" s="5">
        <f t="shared" si="15"/>
        <v>0</v>
      </c>
      <c r="T96" s="5">
        <f t="shared" si="16"/>
        <v>2.6666666666666665</v>
      </c>
      <c r="U96" s="33">
        <f t="shared" si="10"/>
        <v>0.10667800070104096</v>
      </c>
      <c r="V96" s="48">
        <f t="shared" si="11"/>
        <v>0</v>
      </c>
      <c r="W96" s="48">
        <f t="shared" si="12"/>
        <v>0</v>
      </c>
    </row>
    <row r="97" spans="1:23" ht="14.25" customHeight="1" x14ac:dyDescent="0.3">
      <c r="A97" s="1" t="s">
        <v>56</v>
      </c>
      <c r="B97" s="1">
        <v>9</v>
      </c>
      <c r="C97" s="1" t="s">
        <v>762</v>
      </c>
      <c r="D97" s="50">
        <v>14</v>
      </c>
      <c r="E97" s="56">
        <f t="shared" si="13"/>
        <v>1.0097524449091471</v>
      </c>
      <c r="F97" s="10">
        <v>11</v>
      </c>
      <c r="G97" s="10">
        <v>1</v>
      </c>
      <c r="H97" s="10">
        <v>0</v>
      </c>
      <c r="I97" s="1">
        <v>1</v>
      </c>
      <c r="J97" s="1">
        <v>1</v>
      </c>
      <c r="K97" s="1">
        <v>21</v>
      </c>
      <c r="L97" s="1">
        <v>0</v>
      </c>
      <c r="M97" s="1">
        <v>0</v>
      </c>
      <c r="N97" s="1">
        <v>0</v>
      </c>
      <c r="O97" s="1">
        <v>1</v>
      </c>
      <c r="P97" s="1">
        <v>2</v>
      </c>
      <c r="Q97" s="1">
        <v>0.1</v>
      </c>
      <c r="R97" s="5">
        <f t="shared" si="14"/>
        <v>7.666666666666667</v>
      </c>
      <c r="S97" s="5">
        <f t="shared" si="15"/>
        <v>0</v>
      </c>
      <c r="T97" s="5">
        <f t="shared" si="16"/>
        <v>1.0333333333333334</v>
      </c>
      <c r="U97" s="33">
        <f t="shared" si="10"/>
        <v>0.13038422307905009</v>
      </c>
      <c r="V97" s="48">
        <f t="shared" si="11"/>
        <v>0.29535621323421174</v>
      </c>
      <c r="W97" s="48">
        <f t="shared" si="12"/>
        <v>0</v>
      </c>
    </row>
    <row r="98" spans="1:23" ht="14.25" customHeight="1" x14ac:dyDescent="0.3">
      <c r="A98" s="1" t="s">
        <v>56</v>
      </c>
      <c r="B98" s="1">
        <v>10</v>
      </c>
      <c r="C98" s="1" t="s">
        <v>760</v>
      </c>
      <c r="D98" s="50">
        <v>24</v>
      </c>
      <c r="E98" s="56">
        <f t="shared" si="13"/>
        <v>1.0283968105745953</v>
      </c>
      <c r="F98" s="10">
        <v>7</v>
      </c>
      <c r="G98" s="10">
        <v>0</v>
      </c>
      <c r="H98" s="10">
        <v>0</v>
      </c>
      <c r="I98" s="1">
        <v>1</v>
      </c>
      <c r="J98" s="1">
        <v>3</v>
      </c>
      <c r="K98" s="1">
        <v>5</v>
      </c>
      <c r="L98" s="1">
        <v>0</v>
      </c>
      <c r="M98" s="1">
        <v>0</v>
      </c>
      <c r="N98" s="1">
        <v>0</v>
      </c>
      <c r="O98" s="1">
        <v>1</v>
      </c>
      <c r="P98" s="1">
        <v>3</v>
      </c>
      <c r="Q98" s="1">
        <v>6</v>
      </c>
      <c r="R98" s="5">
        <f t="shared" si="14"/>
        <v>3</v>
      </c>
      <c r="S98" s="5">
        <f t="shared" si="15"/>
        <v>0</v>
      </c>
      <c r="T98" s="5">
        <f t="shared" si="16"/>
        <v>3.3333333333333335</v>
      </c>
      <c r="U98" s="33">
        <f t="shared" si="10"/>
        <v>8.4503793603377425E-2</v>
      </c>
      <c r="V98" s="48">
        <f t="shared" si="11"/>
        <v>0</v>
      </c>
      <c r="W98" s="48">
        <f t="shared" si="12"/>
        <v>0</v>
      </c>
    </row>
    <row r="99" spans="1:23" ht="14.25" customHeight="1" x14ac:dyDescent="0.3">
      <c r="A99" s="1" t="s">
        <v>56</v>
      </c>
      <c r="B99" s="1">
        <v>10</v>
      </c>
      <c r="C99" s="1" t="s">
        <v>761</v>
      </c>
      <c r="D99" s="50">
        <v>24</v>
      </c>
      <c r="E99" s="56">
        <f t="shared" si="13"/>
        <v>1.0283968105745953</v>
      </c>
      <c r="F99" s="10">
        <v>2</v>
      </c>
      <c r="G99" s="10">
        <v>1</v>
      </c>
      <c r="H99" s="10">
        <v>2</v>
      </c>
      <c r="I99" s="17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5">
        <f t="shared" si="14"/>
        <v>0</v>
      </c>
      <c r="S99" s="5">
        <f t="shared" si="15"/>
        <v>0</v>
      </c>
      <c r="T99" s="5">
        <f t="shared" si="16"/>
        <v>0</v>
      </c>
      <c r="U99" s="33">
        <f t="shared" si="10"/>
        <v>2.414394102953641E-2</v>
      </c>
      <c r="V99" s="48">
        <f t="shared" si="11"/>
        <v>0.30080975708930602</v>
      </c>
      <c r="W99" s="48">
        <f t="shared" si="12"/>
        <v>2.3665607769815042</v>
      </c>
    </row>
    <row r="100" spans="1:23" ht="14.25" customHeight="1" x14ac:dyDescent="0.3">
      <c r="A100" s="1" t="s">
        <v>56</v>
      </c>
      <c r="B100" s="1">
        <v>10</v>
      </c>
      <c r="C100" s="1" t="s">
        <v>101</v>
      </c>
      <c r="D100" s="50">
        <v>24</v>
      </c>
      <c r="E100" s="56">
        <f t="shared" si="13"/>
        <v>1.0283968105745953</v>
      </c>
      <c r="F100" s="10">
        <v>6</v>
      </c>
      <c r="G100" s="10">
        <v>0</v>
      </c>
      <c r="H100" s="10">
        <v>0</v>
      </c>
      <c r="I100" s="1">
        <v>0.1</v>
      </c>
      <c r="J100" s="1">
        <v>4</v>
      </c>
      <c r="K100" s="1">
        <v>0.1</v>
      </c>
      <c r="L100" s="1">
        <v>0</v>
      </c>
      <c r="M100" s="1">
        <v>0</v>
      </c>
      <c r="N100" s="1">
        <v>0</v>
      </c>
      <c r="O100" s="1">
        <v>0.1</v>
      </c>
      <c r="P100" s="1">
        <v>4</v>
      </c>
      <c r="Q100" s="1">
        <v>0.1</v>
      </c>
      <c r="R100" s="5">
        <f t="shared" si="14"/>
        <v>1.3999999999999997</v>
      </c>
      <c r="S100" s="5">
        <f t="shared" si="15"/>
        <v>0</v>
      </c>
      <c r="T100" s="5">
        <f t="shared" si="16"/>
        <v>1.3999999999999997</v>
      </c>
      <c r="U100" s="33">
        <f t="shared" si="10"/>
        <v>7.2431823088609237E-2</v>
      </c>
      <c r="V100" s="48">
        <f t="shared" si="11"/>
        <v>0</v>
      </c>
      <c r="W100" s="48">
        <f t="shared" si="12"/>
        <v>0</v>
      </c>
    </row>
    <row r="101" spans="1:23" ht="14.25" customHeight="1" x14ac:dyDescent="0.3">
      <c r="A101" s="1" t="s">
        <v>56</v>
      </c>
      <c r="B101" s="1">
        <v>10</v>
      </c>
      <c r="C101" s="1" t="s">
        <v>762</v>
      </c>
      <c r="D101" s="50">
        <v>24</v>
      </c>
      <c r="E101" s="56">
        <f t="shared" si="13"/>
        <v>1.0283968105745953</v>
      </c>
      <c r="F101" s="10">
        <v>4</v>
      </c>
      <c r="G101" s="10">
        <v>0</v>
      </c>
      <c r="H101" s="10">
        <v>0</v>
      </c>
      <c r="I101" s="1">
        <v>0</v>
      </c>
      <c r="J101" s="1">
        <v>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0.1</v>
      </c>
      <c r="R101" s="5">
        <f t="shared" si="14"/>
        <v>0.3666666666666667</v>
      </c>
      <c r="S101" s="5">
        <f t="shared" si="15"/>
        <v>0</v>
      </c>
      <c r="T101" s="5">
        <f t="shared" si="16"/>
        <v>0.3666666666666667</v>
      </c>
      <c r="U101" s="33">
        <f t="shared" si="10"/>
        <v>4.828788205907282E-2</v>
      </c>
      <c r="V101" s="48">
        <f t="shared" si="11"/>
        <v>0</v>
      </c>
      <c r="W101" s="48">
        <f t="shared" si="12"/>
        <v>0</v>
      </c>
    </row>
    <row r="102" spans="1:23" ht="14.25" customHeight="1" x14ac:dyDescent="0.3">
      <c r="A102" s="1" t="s">
        <v>56</v>
      </c>
      <c r="B102" s="1">
        <v>11</v>
      </c>
      <c r="C102" s="1" t="s">
        <v>760</v>
      </c>
      <c r="D102" s="50">
        <v>23</v>
      </c>
      <c r="E102" s="56">
        <f t="shared" si="13"/>
        <v>1.0261091559868276</v>
      </c>
      <c r="F102" s="10">
        <v>13</v>
      </c>
      <c r="G102" s="10">
        <v>1</v>
      </c>
      <c r="H102" s="10">
        <v>0</v>
      </c>
      <c r="I102" s="1">
        <v>2.5</v>
      </c>
      <c r="J102" s="1">
        <v>1.5</v>
      </c>
      <c r="K102" s="1">
        <v>0.1</v>
      </c>
      <c r="L102" s="1">
        <v>0</v>
      </c>
      <c r="M102" s="1">
        <v>0</v>
      </c>
      <c r="N102" s="1">
        <v>0</v>
      </c>
      <c r="O102" s="1">
        <v>2.5</v>
      </c>
      <c r="P102" s="1">
        <v>1.5</v>
      </c>
      <c r="Q102" s="1">
        <v>0.1</v>
      </c>
      <c r="R102" s="5">
        <f t="shared" si="14"/>
        <v>1.3666666666666665</v>
      </c>
      <c r="S102" s="5">
        <f t="shared" si="15"/>
        <v>0</v>
      </c>
      <c r="T102" s="5">
        <f t="shared" si="16"/>
        <v>1.3666666666666665</v>
      </c>
      <c r="U102" s="33">
        <f t="shared" si="10"/>
        <v>0.15658651556699485</v>
      </c>
      <c r="V102" s="48">
        <f t="shared" si="11"/>
        <v>0.30014060991403801</v>
      </c>
      <c r="W102" s="48">
        <f t="shared" si="12"/>
        <v>0</v>
      </c>
    </row>
    <row r="103" spans="1:23" ht="14.25" customHeight="1" x14ac:dyDescent="0.3">
      <c r="A103" s="1" t="s">
        <v>56</v>
      </c>
      <c r="B103" s="1">
        <v>11</v>
      </c>
      <c r="C103" s="1" t="s">
        <v>761</v>
      </c>
      <c r="D103" s="50">
        <v>23</v>
      </c>
      <c r="E103" s="56">
        <f t="shared" si="13"/>
        <v>1.0261091559868276</v>
      </c>
      <c r="F103" s="10">
        <v>18</v>
      </c>
      <c r="G103" s="10">
        <v>2</v>
      </c>
      <c r="H103" s="10">
        <v>0</v>
      </c>
      <c r="I103" s="1">
        <v>2.5</v>
      </c>
      <c r="J103" s="1">
        <v>2</v>
      </c>
      <c r="K103" s="1">
        <v>2</v>
      </c>
      <c r="L103" s="1">
        <v>0</v>
      </c>
      <c r="M103" s="1">
        <v>0</v>
      </c>
      <c r="N103" s="1">
        <v>0</v>
      </c>
      <c r="O103" s="1">
        <v>4</v>
      </c>
      <c r="P103" s="1">
        <v>3</v>
      </c>
      <c r="Q103" s="1">
        <v>2</v>
      </c>
      <c r="R103" s="5">
        <f t="shared" si="14"/>
        <v>2.1666666666666665</v>
      </c>
      <c r="S103" s="5">
        <f t="shared" si="15"/>
        <v>0</v>
      </c>
      <c r="T103" s="5">
        <f t="shared" si="16"/>
        <v>3</v>
      </c>
      <c r="U103" s="33">
        <f t="shared" si="10"/>
        <v>0.21681209847737751</v>
      </c>
      <c r="V103" s="48">
        <f t="shared" si="11"/>
        <v>0.60028121982807603</v>
      </c>
      <c r="W103" s="48">
        <f t="shared" si="12"/>
        <v>0</v>
      </c>
    </row>
    <row r="104" spans="1:23" ht="14.25" customHeight="1" x14ac:dyDescent="0.3">
      <c r="A104" s="1" t="s">
        <v>56</v>
      </c>
      <c r="B104" s="1">
        <v>11</v>
      </c>
      <c r="C104" s="1" t="s">
        <v>101</v>
      </c>
      <c r="D104" s="50">
        <v>23</v>
      </c>
      <c r="E104" s="56">
        <f t="shared" si="13"/>
        <v>1.0261091559868276</v>
      </c>
      <c r="F104" s="10">
        <v>13</v>
      </c>
      <c r="G104" s="10">
        <v>0</v>
      </c>
      <c r="H104" s="10">
        <v>0</v>
      </c>
      <c r="I104" s="1">
        <v>2</v>
      </c>
      <c r="J104" s="1">
        <v>2</v>
      </c>
      <c r="K104" s="1">
        <v>1</v>
      </c>
      <c r="L104" s="1">
        <v>0</v>
      </c>
      <c r="M104" s="1">
        <v>0</v>
      </c>
      <c r="N104" s="1">
        <v>0</v>
      </c>
      <c r="O104" s="1">
        <v>2</v>
      </c>
      <c r="P104" s="1">
        <v>16</v>
      </c>
      <c r="Q104" s="1">
        <v>5</v>
      </c>
      <c r="R104" s="5">
        <f t="shared" si="14"/>
        <v>1.6666666666666667</v>
      </c>
      <c r="S104" s="5">
        <f t="shared" si="15"/>
        <v>0</v>
      </c>
      <c r="T104" s="5">
        <f t="shared" si="16"/>
        <v>7.666666666666667</v>
      </c>
      <c r="U104" s="33">
        <f t="shared" si="10"/>
        <v>0.15658651556699485</v>
      </c>
      <c r="V104" s="48">
        <f t="shared" si="11"/>
        <v>0</v>
      </c>
      <c r="W104" s="48">
        <f t="shared" si="12"/>
        <v>0</v>
      </c>
    </row>
    <row r="105" spans="1:23" ht="14.25" customHeight="1" x14ac:dyDescent="0.3">
      <c r="A105" s="1" t="s">
        <v>56</v>
      </c>
      <c r="B105" s="1">
        <v>11</v>
      </c>
      <c r="C105" s="1" t="s">
        <v>762</v>
      </c>
      <c r="D105" s="50">
        <v>23</v>
      </c>
      <c r="E105" s="56">
        <f t="shared" si="13"/>
        <v>1.0261091559868276</v>
      </c>
      <c r="F105" s="10">
        <v>15</v>
      </c>
      <c r="G105" s="10">
        <v>4</v>
      </c>
      <c r="H105" s="10">
        <v>1</v>
      </c>
      <c r="I105" s="1">
        <v>0.1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0.1</v>
      </c>
      <c r="P105" s="1">
        <v>0</v>
      </c>
      <c r="Q105" s="1">
        <v>15</v>
      </c>
      <c r="R105" s="5">
        <f t="shared" si="14"/>
        <v>3.3333333333333333E-2</v>
      </c>
      <c r="S105" s="5">
        <f t="shared" si="15"/>
        <v>0</v>
      </c>
      <c r="T105" s="5">
        <f t="shared" si="16"/>
        <v>5.0333333333333332</v>
      </c>
      <c r="U105" s="33">
        <f t="shared" si="10"/>
        <v>0.18067674873114792</v>
      </c>
      <c r="V105" s="48">
        <f t="shared" si="11"/>
        <v>1.2005624396561521</v>
      </c>
      <c r="W105" s="48">
        <f t="shared" si="12"/>
        <v>1.1806481975100798</v>
      </c>
    </row>
    <row r="106" spans="1:23" ht="14.25" customHeight="1" x14ac:dyDescent="0.3">
      <c r="A106" s="1" t="s">
        <v>56</v>
      </c>
      <c r="B106" s="1">
        <v>12</v>
      </c>
      <c r="C106" s="1" t="s">
        <v>760</v>
      </c>
      <c r="D106" s="50">
        <v>20</v>
      </c>
      <c r="E106" s="56">
        <f t="shared" si="13"/>
        <v>1.019803902718557</v>
      </c>
      <c r="F106" s="10">
        <v>12</v>
      </c>
      <c r="G106" s="10">
        <v>8</v>
      </c>
      <c r="H106" s="10">
        <v>0</v>
      </c>
      <c r="I106" s="1">
        <v>0.1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0.1</v>
      </c>
      <c r="P106" s="1">
        <v>1</v>
      </c>
      <c r="Q106" s="1">
        <v>0.1</v>
      </c>
      <c r="R106" s="5">
        <f t="shared" si="14"/>
        <v>0.10000000000000002</v>
      </c>
      <c r="S106" s="5">
        <f t="shared" si="15"/>
        <v>0</v>
      </c>
      <c r="T106" s="5">
        <f t="shared" si="16"/>
        <v>0.40000000000000008</v>
      </c>
      <c r="U106" s="33">
        <f t="shared" si="10"/>
        <v>0.1436532184994089</v>
      </c>
      <c r="V106" s="48">
        <f t="shared" si="11"/>
        <v>2.3863704056732402</v>
      </c>
      <c r="W106" s="48">
        <f t="shared" si="12"/>
        <v>0</v>
      </c>
    </row>
    <row r="107" spans="1:23" ht="14.25" customHeight="1" x14ac:dyDescent="0.3">
      <c r="A107" s="1" t="s">
        <v>56</v>
      </c>
      <c r="B107" s="1">
        <v>12</v>
      </c>
      <c r="C107" s="1" t="s">
        <v>761</v>
      </c>
      <c r="D107" s="50">
        <v>20</v>
      </c>
      <c r="E107" s="56">
        <f t="shared" si="13"/>
        <v>1.019803902718557</v>
      </c>
      <c r="F107" s="10">
        <v>6</v>
      </c>
      <c r="G107" s="10">
        <v>1</v>
      </c>
      <c r="H107" s="10">
        <v>0</v>
      </c>
      <c r="I107" s="1">
        <v>1</v>
      </c>
      <c r="J107" s="1">
        <v>1</v>
      </c>
      <c r="K107" s="1">
        <v>0.1</v>
      </c>
      <c r="L107" s="1">
        <v>0</v>
      </c>
      <c r="M107" s="1">
        <v>0</v>
      </c>
      <c r="N107" s="1">
        <v>0</v>
      </c>
      <c r="O107" s="1">
        <v>1</v>
      </c>
      <c r="P107" s="1">
        <v>1</v>
      </c>
      <c r="Q107" s="1">
        <v>0.1</v>
      </c>
      <c r="R107" s="5">
        <f t="shared" si="14"/>
        <v>0.70000000000000007</v>
      </c>
      <c r="S107" s="5">
        <f t="shared" si="15"/>
        <v>0</v>
      </c>
      <c r="T107" s="5">
        <f t="shared" si="16"/>
        <v>0.70000000000000007</v>
      </c>
      <c r="U107" s="33">
        <f t="shared" si="10"/>
        <v>7.1826609249704451E-2</v>
      </c>
      <c r="V107" s="48">
        <f t="shared" si="11"/>
        <v>0.29829630070915503</v>
      </c>
      <c r="W107" s="48">
        <f t="shared" si="12"/>
        <v>0</v>
      </c>
    </row>
    <row r="108" spans="1:23" ht="14.25" customHeight="1" x14ac:dyDescent="0.3">
      <c r="A108" s="1" t="s">
        <v>56</v>
      </c>
      <c r="B108" s="1">
        <v>12</v>
      </c>
      <c r="C108" s="1" t="s">
        <v>101</v>
      </c>
      <c r="D108" s="50">
        <v>20</v>
      </c>
      <c r="E108" s="56">
        <f t="shared" si="13"/>
        <v>1.019803902718557</v>
      </c>
      <c r="F108" s="10">
        <v>6</v>
      </c>
      <c r="G108" s="10">
        <v>1</v>
      </c>
      <c r="H108" s="10">
        <v>2</v>
      </c>
      <c r="I108" s="1">
        <v>0</v>
      </c>
      <c r="J108" s="1">
        <v>0.1</v>
      </c>
      <c r="K108" s="1">
        <v>0.1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3</v>
      </c>
      <c r="R108" s="5">
        <f t="shared" si="14"/>
        <v>6.6666666666666666E-2</v>
      </c>
      <c r="S108" s="5">
        <f t="shared" si="15"/>
        <v>0</v>
      </c>
      <c r="T108" s="5">
        <f t="shared" si="16"/>
        <v>1.3333333333333333</v>
      </c>
      <c r="U108" s="33">
        <f t="shared" si="10"/>
        <v>7.1826609249704451E-2</v>
      </c>
      <c r="V108" s="48">
        <f t="shared" si="11"/>
        <v>0.29829630070915503</v>
      </c>
      <c r="W108" s="48">
        <f t="shared" si="12"/>
        <v>2.3467866601394318</v>
      </c>
    </row>
    <row r="109" spans="1:23" ht="14.25" customHeight="1" x14ac:dyDescent="0.3">
      <c r="A109" s="1" t="s">
        <v>56</v>
      </c>
      <c r="B109" s="1">
        <v>12</v>
      </c>
      <c r="C109" s="1" t="s">
        <v>762</v>
      </c>
      <c r="D109" s="50">
        <v>20</v>
      </c>
      <c r="E109" s="56">
        <f t="shared" si="13"/>
        <v>1.019803902718557</v>
      </c>
      <c r="F109" s="10">
        <v>5</v>
      </c>
      <c r="G109" s="10">
        <v>4</v>
      </c>
      <c r="H109" s="10">
        <v>0</v>
      </c>
      <c r="I109" s="1">
        <v>0</v>
      </c>
      <c r="J109" s="1">
        <v>0.1</v>
      </c>
      <c r="K109" s="1">
        <v>0.1</v>
      </c>
      <c r="L109" s="1">
        <v>0</v>
      </c>
      <c r="M109" s="1">
        <v>0</v>
      </c>
      <c r="N109" s="1">
        <v>0</v>
      </c>
      <c r="O109" s="1">
        <v>0</v>
      </c>
      <c r="P109" s="1">
        <v>2</v>
      </c>
      <c r="Q109" s="1">
        <v>0.1</v>
      </c>
      <c r="R109" s="5">
        <f t="shared" si="14"/>
        <v>6.6666666666666666E-2</v>
      </c>
      <c r="S109" s="5">
        <f t="shared" si="15"/>
        <v>0</v>
      </c>
      <c r="T109" s="5">
        <f t="shared" si="16"/>
        <v>0.70000000000000007</v>
      </c>
      <c r="U109" s="33">
        <f t="shared" si="10"/>
        <v>5.9855507708087043E-2</v>
      </c>
      <c r="V109" s="48">
        <f t="shared" si="11"/>
        <v>1.1931852028366201</v>
      </c>
      <c r="W109" s="48">
        <f t="shared" si="12"/>
        <v>0</v>
      </c>
    </row>
    <row r="110" spans="1:23" ht="14.25" customHeight="1" x14ac:dyDescent="0.3">
      <c r="A110" s="1" t="s">
        <v>56</v>
      </c>
      <c r="B110" s="1">
        <v>13</v>
      </c>
      <c r="C110" s="1" t="s">
        <v>760</v>
      </c>
      <c r="D110" s="50">
        <v>20</v>
      </c>
      <c r="E110" s="56">
        <f t="shared" si="13"/>
        <v>1.019803902718557</v>
      </c>
      <c r="F110" s="10">
        <v>0</v>
      </c>
      <c r="G110" s="10">
        <v>0</v>
      </c>
      <c r="H110" s="10">
        <v>0</v>
      </c>
      <c r="I110" s="1">
        <v>0.1</v>
      </c>
      <c r="J110" s="1">
        <v>0.1</v>
      </c>
      <c r="K110" s="1">
        <v>3</v>
      </c>
      <c r="L110" s="1">
        <v>0</v>
      </c>
      <c r="M110" s="1">
        <v>0</v>
      </c>
      <c r="N110" s="1">
        <v>0</v>
      </c>
      <c r="O110" s="1">
        <v>0.1</v>
      </c>
      <c r="P110" s="1">
        <v>0.1</v>
      </c>
      <c r="Q110" s="1">
        <v>3</v>
      </c>
      <c r="R110" s="5">
        <f t="shared" si="14"/>
        <v>1.0666666666666667</v>
      </c>
      <c r="S110" s="5">
        <f t="shared" si="15"/>
        <v>0</v>
      </c>
      <c r="T110" s="5">
        <f t="shared" si="16"/>
        <v>1.0666666666666667</v>
      </c>
      <c r="U110" s="33">
        <f t="shared" ref="U110:U241" si="17">(11.64*F110*0.0122*0.48*1.13*E110)/6.56168</f>
        <v>0</v>
      </c>
      <c r="V110" s="48">
        <f t="shared" ref="V110:V241" si="18">(11.64*G110*0.304*0.48*1.13*E110)/6.56168</f>
        <v>0</v>
      </c>
      <c r="W110" s="48">
        <f t="shared" ref="W110:W241" si="19">(11.64*H110*2.87*0.4*1.13*E110)/13.1234</f>
        <v>0</v>
      </c>
    </row>
    <row r="111" spans="1:23" ht="14.25" customHeight="1" x14ac:dyDescent="0.3">
      <c r="A111" s="1" t="s">
        <v>56</v>
      </c>
      <c r="B111" s="1">
        <v>13</v>
      </c>
      <c r="C111" s="1" t="s">
        <v>761</v>
      </c>
      <c r="D111" s="50">
        <v>20</v>
      </c>
      <c r="E111" s="56">
        <f t="shared" si="13"/>
        <v>1.019803902718557</v>
      </c>
      <c r="F111" s="10">
        <v>10</v>
      </c>
      <c r="G111" s="10">
        <v>2</v>
      </c>
      <c r="H111" s="10">
        <v>0</v>
      </c>
      <c r="I111" s="1">
        <v>2</v>
      </c>
      <c r="J111" s="1">
        <v>3</v>
      </c>
      <c r="K111" s="1">
        <v>8</v>
      </c>
      <c r="L111" s="1">
        <v>0</v>
      </c>
      <c r="M111" s="1">
        <v>0</v>
      </c>
      <c r="N111" s="1">
        <v>0</v>
      </c>
      <c r="O111" s="1">
        <v>2</v>
      </c>
      <c r="P111" s="1">
        <v>3</v>
      </c>
      <c r="Q111" s="1">
        <v>8</v>
      </c>
      <c r="R111" s="5">
        <f t="shared" si="14"/>
        <v>4.333333333333333</v>
      </c>
      <c r="S111" s="5">
        <f t="shared" si="15"/>
        <v>0</v>
      </c>
      <c r="T111" s="5">
        <f t="shared" si="16"/>
        <v>4.333333333333333</v>
      </c>
      <c r="U111" s="33">
        <f t="shared" si="17"/>
        <v>0.11971101541617409</v>
      </c>
      <c r="V111" s="48">
        <f t="shared" si="18"/>
        <v>0.59659260141831005</v>
      </c>
      <c r="W111" s="48">
        <f t="shared" si="19"/>
        <v>0</v>
      </c>
    </row>
    <row r="112" spans="1:23" ht="14.25" customHeight="1" x14ac:dyDescent="0.3">
      <c r="A112" s="1" t="s">
        <v>56</v>
      </c>
      <c r="B112" s="1">
        <v>13</v>
      </c>
      <c r="C112" s="1" t="s">
        <v>101</v>
      </c>
      <c r="D112" s="50">
        <v>20</v>
      </c>
      <c r="E112" s="56">
        <f t="shared" si="13"/>
        <v>1.019803902718557</v>
      </c>
      <c r="F112" s="10">
        <v>6</v>
      </c>
      <c r="G112" s="10">
        <v>0</v>
      </c>
      <c r="H112" s="10">
        <v>0</v>
      </c>
      <c r="I112" s="1">
        <v>5</v>
      </c>
      <c r="J112" s="1">
        <v>4</v>
      </c>
      <c r="K112" s="1">
        <v>5</v>
      </c>
      <c r="L112" s="1">
        <v>0</v>
      </c>
      <c r="M112" s="1">
        <v>0</v>
      </c>
      <c r="N112" s="1">
        <v>0</v>
      </c>
      <c r="O112" s="1">
        <v>5</v>
      </c>
      <c r="P112" s="1">
        <v>4</v>
      </c>
      <c r="Q112" s="1">
        <v>7</v>
      </c>
      <c r="R112" s="5">
        <f t="shared" si="14"/>
        <v>4.666666666666667</v>
      </c>
      <c r="S112" s="5">
        <f t="shared" si="15"/>
        <v>0</v>
      </c>
      <c r="T112" s="5">
        <f t="shared" si="16"/>
        <v>5.333333333333333</v>
      </c>
      <c r="U112" s="33">
        <f t="shared" si="17"/>
        <v>7.1826609249704451E-2</v>
      </c>
      <c r="V112" s="48">
        <f t="shared" si="18"/>
        <v>0</v>
      </c>
      <c r="W112" s="48">
        <f t="shared" si="19"/>
        <v>0</v>
      </c>
    </row>
    <row r="113" spans="1:23" ht="14.25" customHeight="1" x14ac:dyDescent="0.3">
      <c r="A113" s="1" t="s">
        <v>56</v>
      </c>
      <c r="B113" s="1">
        <v>13</v>
      </c>
      <c r="C113" s="1" t="s">
        <v>762</v>
      </c>
      <c r="D113" s="50">
        <v>20</v>
      </c>
      <c r="E113" s="56">
        <f t="shared" si="13"/>
        <v>1.019803902718557</v>
      </c>
      <c r="F113" s="10">
        <v>8</v>
      </c>
      <c r="G113" s="10">
        <v>1</v>
      </c>
      <c r="H113" s="10">
        <v>0</v>
      </c>
      <c r="I113" s="1">
        <v>1</v>
      </c>
      <c r="J113" s="1">
        <v>2</v>
      </c>
      <c r="K113" s="1">
        <v>2</v>
      </c>
      <c r="L113" s="1">
        <v>0</v>
      </c>
      <c r="M113" s="1">
        <v>0</v>
      </c>
      <c r="N113" s="1">
        <v>0</v>
      </c>
      <c r="O113" s="1">
        <v>1</v>
      </c>
      <c r="P113" s="1">
        <v>2</v>
      </c>
      <c r="Q113" s="1">
        <v>2</v>
      </c>
      <c r="R113" s="5">
        <f t="shared" si="14"/>
        <v>1.6666666666666667</v>
      </c>
      <c r="S113" s="5">
        <f t="shared" si="15"/>
        <v>0</v>
      </c>
      <c r="T113" s="5">
        <f t="shared" si="16"/>
        <v>1.6666666666666667</v>
      </c>
      <c r="U113" s="33">
        <f t="shared" si="17"/>
        <v>9.5768812332939268E-2</v>
      </c>
      <c r="V113" s="48">
        <f t="shared" si="18"/>
        <v>0.29829630070915503</v>
      </c>
      <c r="W113" s="48">
        <f t="shared" si="19"/>
        <v>0</v>
      </c>
    </row>
    <row r="114" spans="1:23" ht="14.25" customHeight="1" x14ac:dyDescent="0.3">
      <c r="A114" s="1" t="s">
        <v>56</v>
      </c>
      <c r="B114" s="1">
        <v>14</v>
      </c>
      <c r="C114" s="1" t="s">
        <v>760</v>
      </c>
      <c r="D114" s="50">
        <v>21</v>
      </c>
      <c r="E114" s="56">
        <f t="shared" si="13"/>
        <v>1.0218121158021176</v>
      </c>
      <c r="F114" s="10">
        <v>37</v>
      </c>
      <c r="G114" s="10">
        <v>8</v>
      </c>
      <c r="H114" s="10">
        <v>1</v>
      </c>
      <c r="I114" s="1">
        <v>3</v>
      </c>
      <c r="J114" s="1">
        <v>1</v>
      </c>
      <c r="K114" s="1">
        <v>0.1</v>
      </c>
      <c r="L114" s="1">
        <v>0</v>
      </c>
      <c r="M114" s="1">
        <v>0</v>
      </c>
      <c r="N114" s="1">
        <v>0</v>
      </c>
      <c r="O114" s="1">
        <v>3</v>
      </c>
      <c r="P114" s="1">
        <v>1</v>
      </c>
      <c r="Q114" s="1">
        <v>5</v>
      </c>
      <c r="R114" s="5">
        <f t="shared" si="14"/>
        <v>1.3666666666666665</v>
      </c>
      <c r="S114" s="5">
        <f t="shared" si="15"/>
        <v>0</v>
      </c>
      <c r="T114" s="5">
        <f t="shared" si="16"/>
        <v>3</v>
      </c>
      <c r="U114" s="33">
        <f t="shared" si="17"/>
        <v>0.44380298290505948</v>
      </c>
      <c r="V114" s="48">
        <f t="shared" si="18"/>
        <v>2.3910696819342152</v>
      </c>
      <c r="W114" s="48">
        <f t="shared" si="19"/>
        <v>1.1757039937486125</v>
      </c>
    </row>
    <row r="115" spans="1:23" ht="14.25" customHeight="1" x14ac:dyDescent="0.3">
      <c r="A115" s="1" t="s">
        <v>56</v>
      </c>
      <c r="B115" s="1">
        <v>14</v>
      </c>
      <c r="C115" s="1" t="s">
        <v>761</v>
      </c>
      <c r="D115" s="50">
        <v>21</v>
      </c>
      <c r="E115" s="56">
        <f t="shared" si="13"/>
        <v>1.0218121158021176</v>
      </c>
      <c r="F115" s="10">
        <v>7</v>
      </c>
      <c r="G115" s="10">
        <v>2</v>
      </c>
      <c r="H115" s="10">
        <v>1</v>
      </c>
      <c r="I115" s="1">
        <v>5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5</v>
      </c>
      <c r="P115" s="1">
        <v>2</v>
      </c>
      <c r="Q115" s="1">
        <v>1</v>
      </c>
      <c r="R115" s="5">
        <f t="shared" si="14"/>
        <v>2.3333333333333335</v>
      </c>
      <c r="S115" s="5">
        <f t="shared" si="15"/>
        <v>0</v>
      </c>
      <c r="T115" s="5">
        <f t="shared" si="16"/>
        <v>2.6666666666666665</v>
      </c>
      <c r="U115" s="33">
        <f t="shared" si="17"/>
        <v>8.3962726495551795E-2</v>
      </c>
      <c r="V115" s="48">
        <f t="shared" si="18"/>
        <v>0.5977674204835538</v>
      </c>
      <c r="W115" s="48">
        <f t="shared" si="19"/>
        <v>1.1757039937486125</v>
      </c>
    </row>
    <row r="116" spans="1:23" ht="14.25" customHeight="1" x14ac:dyDescent="0.3">
      <c r="A116" s="1" t="s">
        <v>56</v>
      </c>
      <c r="B116" s="1">
        <v>14</v>
      </c>
      <c r="C116" s="1" t="s">
        <v>101</v>
      </c>
      <c r="D116" s="50">
        <v>21</v>
      </c>
      <c r="E116" s="56">
        <f t="shared" si="13"/>
        <v>1.0218121158021176</v>
      </c>
      <c r="F116" s="10">
        <v>6</v>
      </c>
      <c r="G116" s="10">
        <v>5</v>
      </c>
      <c r="H116" s="10">
        <v>0</v>
      </c>
      <c r="I116" s="1">
        <v>0.1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0.1</v>
      </c>
      <c r="P116" s="1">
        <v>0</v>
      </c>
      <c r="Q116" s="1">
        <v>1</v>
      </c>
      <c r="R116" s="5">
        <f t="shared" si="14"/>
        <v>0.3666666666666667</v>
      </c>
      <c r="S116" s="5">
        <f t="shared" si="15"/>
        <v>0</v>
      </c>
      <c r="T116" s="5">
        <f t="shared" si="16"/>
        <v>0.3666666666666667</v>
      </c>
      <c r="U116" s="33">
        <f t="shared" si="17"/>
        <v>7.1968051281901563E-2</v>
      </c>
      <c r="V116" s="48">
        <f t="shared" si="18"/>
        <v>1.4944185512088848</v>
      </c>
      <c r="W116" s="48">
        <f t="shared" si="19"/>
        <v>0</v>
      </c>
    </row>
    <row r="117" spans="1:23" ht="14.25" customHeight="1" x14ac:dyDescent="0.3">
      <c r="A117" s="1" t="s">
        <v>56</v>
      </c>
      <c r="B117" s="1">
        <v>14</v>
      </c>
      <c r="C117" s="1" t="s">
        <v>762</v>
      </c>
      <c r="D117" s="50">
        <v>21</v>
      </c>
      <c r="E117" s="56">
        <f t="shared" si="13"/>
        <v>1.0218121158021176</v>
      </c>
      <c r="F117" s="10">
        <v>2</v>
      </c>
      <c r="G117" s="10">
        <v>0</v>
      </c>
      <c r="H117" s="10">
        <v>0</v>
      </c>
      <c r="I117" s="1">
        <v>1</v>
      </c>
      <c r="J117" s="1">
        <v>0.1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0.1</v>
      </c>
      <c r="Q117" s="1">
        <v>1</v>
      </c>
      <c r="R117" s="5">
        <f t="shared" si="14"/>
        <v>0.70000000000000007</v>
      </c>
      <c r="S117" s="5">
        <f t="shared" si="15"/>
        <v>0</v>
      </c>
      <c r="T117" s="5">
        <f t="shared" si="16"/>
        <v>0.70000000000000007</v>
      </c>
      <c r="U117" s="33">
        <f t="shared" si="17"/>
        <v>2.3989350427300517E-2</v>
      </c>
      <c r="V117" s="48">
        <f t="shared" si="18"/>
        <v>0</v>
      </c>
      <c r="W117" s="48">
        <f t="shared" si="19"/>
        <v>0</v>
      </c>
    </row>
    <row r="118" spans="1:23" ht="14.25" customHeight="1" x14ac:dyDescent="0.3">
      <c r="A118" s="1" t="s">
        <v>56</v>
      </c>
      <c r="B118" s="1">
        <v>15</v>
      </c>
      <c r="C118" s="1" t="s">
        <v>760</v>
      </c>
      <c r="D118" s="50">
        <v>18</v>
      </c>
      <c r="E118" s="56">
        <f t="shared" si="13"/>
        <v>1.016070863670443</v>
      </c>
      <c r="F118" s="10">
        <v>8</v>
      </c>
      <c r="G118" s="10">
        <v>0</v>
      </c>
      <c r="H118" s="10">
        <v>0</v>
      </c>
      <c r="I118" s="1">
        <v>1</v>
      </c>
      <c r="J118" s="1">
        <v>0.1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0.1</v>
      </c>
      <c r="Q118" s="1">
        <v>1</v>
      </c>
      <c r="R118" s="5">
        <f t="shared" si="14"/>
        <v>0.70000000000000007</v>
      </c>
      <c r="S118" s="5">
        <f t="shared" si="15"/>
        <v>0</v>
      </c>
      <c r="T118" s="5">
        <f t="shared" si="16"/>
        <v>0.70000000000000007</v>
      </c>
      <c r="U118" s="33">
        <f t="shared" si="17"/>
        <v>9.5418246194608813E-2</v>
      </c>
      <c r="V118" s="48">
        <f t="shared" si="18"/>
        <v>0</v>
      </c>
      <c r="W118" s="48">
        <f t="shared" si="19"/>
        <v>0</v>
      </c>
    </row>
    <row r="119" spans="1:23" ht="14.25" customHeight="1" x14ac:dyDescent="0.3">
      <c r="A119" s="1" t="s">
        <v>56</v>
      </c>
      <c r="B119" s="1">
        <v>15</v>
      </c>
      <c r="C119" s="1" t="s">
        <v>761</v>
      </c>
      <c r="D119" s="50">
        <v>18</v>
      </c>
      <c r="E119" s="56">
        <f t="shared" si="13"/>
        <v>1.016070863670443</v>
      </c>
      <c r="F119" s="10">
        <v>13</v>
      </c>
      <c r="G119" s="10">
        <v>1</v>
      </c>
      <c r="H119" s="10">
        <v>1</v>
      </c>
      <c r="I119" s="1">
        <v>0.1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1</v>
      </c>
      <c r="R119" s="5">
        <f t="shared" si="14"/>
        <v>0.70000000000000007</v>
      </c>
      <c r="S119" s="5">
        <f t="shared" si="15"/>
        <v>0</v>
      </c>
      <c r="T119" s="5">
        <f t="shared" si="16"/>
        <v>1.3333333333333333</v>
      </c>
      <c r="U119" s="33">
        <f t="shared" si="17"/>
        <v>0.15505465006623931</v>
      </c>
      <c r="V119" s="48">
        <f t="shared" si="18"/>
        <v>0.29720437339304379</v>
      </c>
      <c r="W119" s="48">
        <f t="shared" si="19"/>
        <v>1.1690980698650137</v>
      </c>
    </row>
    <row r="120" spans="1:23" ht="14.25" customHeight="1" x14ac:dyDescent="0.3">
      <c r="A120" s="1" t="s">
        <v>56</v>
      </c>
      <c r="B120" s="1">
        <v>15</v>
      </c>
      <c r="C120" s="1" t="s">
        <v>101</v>
      </c>
      <c r="D120" s="50">
        <v>18</v>
      </c>
      <c r="E120" s="56">
        <f t="shared" si="13"/>
        <v>1.016070863670443</v>
      </c>
      <c r="F120" s="10">
        <v>10</v>
      </c>
      <c r="G120" s="10">
        <v>5</v>
      </c>
      <c r="H120" s="10">
        <v>2</v>
      </c>
      <c r="I120" s="1">
        <v>1</v>
      </c>
      <c r="J120" s="1">
        <v>0.1</v>
      </c>
      <c r="K120" s="1">
        <v>2</v>
      </c>
      <c r="L120" s="1">
        <v>0</v>
      </c>
      <c r="M120" s="1">
        <v>0</v>
      </c>
      <c r="N120" s="1">
        <v>0</v>
      </c>
      <c r="O120" s="1">
        <v>3</v>
      </c>
      <c r="P120" s="1">
        <v>0.1</v>
      </c>
      <c r="Q120" s="1">
        <v>2</v>
      </c>
      <c r="R120" s="5">
        <f t="shared" si="14"/>
        <v>1.0333333333333334</v>
      </c>
      <c r="S120" s="5">
        <f t="shared" si="15"/>
        <v>0</v>
      </c>
      <c r="T120" s="5">
        <f t="shared" si="16"/>
        <v>1.7</v>
      </c>
      <c r="U120" s="33">
        <f t="shared" si="17"/>
        <v>0.11927280774326103</v>
      </c>
      <c r="V120" s="48">
        <f t="shared" si="18"/>
        <v>1.486021866965219</v>
      </c>
      <c r="W120" s="48">
        <f t="shared" si="19"/>
        <v>2.3381961397300275</v>
      </c>
    </row>
    <row r="121" spans="1:23" ht="14.25" customHeight="1" x14ac:dyDescent="0.3">
      <c r="A121" s="1" t="s">
        <v>56</v>
      </c>
      <c r="B121" s="1">
        <v>15</v>
      </c>
      <c r="C121" s="1" t="s">
        <v>762</v>
      </c>
      <c r="D121" s="50">
        <v>18</v>
      </c>
      <c r="E121" s="56">
        <f t="shared" si="13"/>
        <v>1.016070863670443</v>
      </c>
      <c r="F121" s="10">
        <v>10</v>
      </c>
      <c r="G121" s="10">
        <v>5</v>
      </c>
      <c r="H121" s="10">
        <v>2</v>
      </c>
      <c r="I121" s="1">
        <v>0.1</v>
      </c>
      <c r="J121" s="1">
        <v>2</v>
      </c>
      <c r="K121" s="1">
        <v>0.1</v>
      </c>
      <c r="L121" s="1">
        <v>0</v>
      </c>
      <c r="M121" s="1">
        <v>0</v>
      </c>
      <c r="N121" s="1">
        <v>0</v>
      </c>
      <c r="O121" s="1">
        <v>0.1</v>
      </c>
      <c r="P121" s="1">
        <v>2</v>
      </c>
      <c r="Q121" s="1">
        <v>0.1</v>
      </c>
      <c r="R121" s="5">
        <f t="shared" si="14"/>
        <v>0.73333333333333339</v>
      </c>
      <c r="S121" s="5">
        <f t="shared" si="15"/>
        <v>0</v>
      </c>
      <c r="T121" s="5">
        <f t="shared" si="16"/>
        <v>0.73333333333333339</v>
      </c>
      <c r="U121" s="33">
        <f t="shared" si="17"/>
        <v>0.11927280774326103</v>
      </c>
      <c r="V121" s="48">
        <f t="shared" si="18"/>
        <v>1.486021866965219</v>
      </c>
      <c r="W121" s="48">
        <f t="shared" si="19"/>
        <v>2.3381961397300275</v>
      </c>
    </row>
    <row r="122" spans="1:23" ht="14.25" customHeight="1" x14ac:dyDescent="0.3">
      <c r="A122" s="1" t="s">
        <v>62</v>
      </c>
      <c r="B122">
        <v>1</v>
      </c>
      <c r="C122" t="s">
        <v>760</v>
      </c>
      <c r="D122" s="55">
        <v>7</v>
      </c>
      <c r="E122" s="56">
        <f t="shared" si="13"/>
        <v>1.0024470060806208</v>
      </c>
      <c r="F122" s="10">
        <v>18</v>
      </c>
      <c r="G122" s="10">
        <v>1</v>
      </c>
      <c r="H122" s="10">
        <v>0</v>
      </c>
      <c r="I122" s="10">
        <v>0.1</v>
      </c>
      <c r="J122" s="10">
        <v>0.1</v>
      </c>
      <c r="K122" s="10">
        <v>3</v>
      </c>
      <c r="L122" s="10">
        <v>0</v>
      </c>
      <c r="M122" s="10">
        <v>0</v>
      </c>
      <c r="N122" s="10">
        <v>0</v>
      </c>
      <c r="O122" s="10">
        <v>0.1</v>
      </c>
      <c r="P122" s="10">
        <v>0.1</v>
      </c>
      <c r="Q122" s="57">
        <v>93</v>
      </c>
      <c r="R122" s="5">
        <f t="shared" si="14"/>
        <v>1.0666666666666667</v>
      </c>
      <c r="S122" s="5">
        <f t="shared" si="15"/>
        <v>0</v>
      </c>
      <c r="T122" s="5">
        <f t="shared" si="16"/>
        <v>31.066666666666666</v>
      </c>
      <c r="U122" s="33">
        <f t="shared" si="17"/>
        <v>0.21181239611070565</v>
      </c>
      <c r="V122" s="48">
        <f t="shared" si="18"/>
        <v>0.29321934616418266</v>
      </c>
      <c r="W122" s="48">
        <f t="shared" si="19"/>
        <v>0</v>
      </c>
    </row>
    <row r="123" spans="1:23" ht="14.25" customHeight="1" x14ac:dyDescent="0.3">
      <c r="A123" s="1" t="s">
        <v>62</v>
      </c>
      <c r="B123">
        <v>1</v>
      </c>
      <c r="C123" t="s">
        <v>761</v>
      </c>
      <c r="D123" s="55">
        <v>7</v>
      </c>
      <c r="E123" s="56">
        <f t="shared" si="13"/>
        <v>1.0024470060806208</v>
      </c>
      <c r="F123" s="10">
        <v>10</v>
      </c>
      <c r="G123" s="10">
        <v>0</v>
      </c>
      <c r="H123" s="10">
        <v>0</v>
      </c>
      <c r="I123" s="10">
        <v>2</v>
      </c>
      <c r="J123" s="10">
        <v>2</v>
      </c>
      <c r="K123" s="10">
        <v>2</v>
      </c>
      <c r="L123" s="10">
        <v>0</v>
      </c>
      <c r="M123" s="10">
        <v>0</v>
      </c>
      <c r="N123" s="10">
        <v>0</v>
      </c>
      <c r="O123" s="10">
        <v>2</v>
      </c>
      <c r="P123" s="10">
        <v>2</v>
      </c>
      <c r="Q123" s="10">
        <v>3</v>
      </c>
      <c r="R123" s="5">
        <f t="shared" si="14"/>
        <v>2</v>
      </c>
      <c r="S123" s="5">
        <f t="shared" si="15"/>
        <v>0</v>
      </c>
      <c r="T123" s="5">
        <f t="shared" si="16"/>
        <v>2.3333333333333335</v>
      </c>
      <c r="U123" s="33">
        <f t="shared" si="17"/>
        <v>0.11767355339483648</v>
      </c>
      <c r="V123" s="48">
        <f t="shared" si="18"/>
        <v>0</v>
      </c>
      <c r="W123" s="48">
        <f t="shared" si="19"/>
        <v>0</v>
      </c>
    </row>
    <row r="124" spans="1:23" ht="14.25" customHeight="1" x14ac:dyDescent="0.3">
      <c r="A124" s="1" t="s">
        <v>62</v>
      </c>
      <c r="B124">
        <v>1</v>
      </c>
      <c r="C124" t="s">
        <v>101</v>
      </c>
      <c r="D124" s="55">
        <v>7</v>
      </c>
      <c r="E124" s="56">
        <f t="shared" si="13"/>
        <v>1.0024470060806208</v>
      </c>
      <c r="F124" s="10">
        <v>25</v>
      </c>
      <c r="G124" s="10">
        <v>6</v>
      </c>
      <c r="H124" s="10">
        <v>1</v>
      </c>
      <c r="I124" s="10">
        <v>3</v>
      </c>
      <c r="J124" s="10">
        <v>2</v>
      </c>
      <c r="K124" s="10">
        <v>2</v>
      </c>
      <c r="L124" s="10">
        <v>0</v>
      </c>
      <c r="M124" s="10">
        <v>0</v>
      </c>
      <c r="N124" s="10">
        <v>0</v>
      </c>
      <c r="O124" s="10">
        <v>3</v>
      </c>
      <c r="P124" s="10">
        <v>17</v>
      </c>
      <c r="Q124" s="10">
        <v>3</v>
      </c>
      <c r="R124" s="5">
        <f t="shared" si="14"/>
        <v>2.3333333333333335</v>
      </c>
      <c r="S124" s="5">
        <f t="shared" si="15"/>
        <v>0</v>
      </c>
      <c r="T124" s="5">
        <f t="shared" si="16"/>
        <v>7.666666666666667</v>
      </c>
      <c r="U124" s="33">
        <f t="shared" si="17"/>
        <v>0.29418388348709118</v>
      </c>
      <c r="V124" s="48">
        <f t="shared" si="18"/>
        <v>1.7593160769850964</v>
      </c>
      <c r="W124" s="48">
        <f t="shared" si="19"/>
        <v>1.1534223663468162</v>
      </c>
    </row>
    <row r="125" spans="1:23" ht="14.25" customHeight="1" x14ac:dyDescent="0.3">
      <c r="A125" s="1" t="s">
        <v>62</v>
      </c>
      <c r="B125">
        <v>1</v>
      </c>
      <c r="C125" t="s">
        <v>762</v>
      </c>
      <c r="D125" s="55">
        <v>7</v>
      </c>
      <c r="E125" s="56">
        <f t="shared" si="13"/>
        <v>1.0024470060806208</v>
      </c>
      <c r="F125" s="10">
        <v>8</v>
      </c>
      <c r="G125" s="10">
        <v>1</v>
      </c>
      <c r="H125" s="10">
        <v>0</v>
      </c>
      <c r="I125" s="10">
        <v>3</v>
      </c>
      <c r="J125" s="10">
        <v>0.1</v>
      </c>
      <c r="K125" s="1">
        <v>0.1</v>
      </c>
      <c r="L125">
        <v>0</v>
      </c>
      <c r="M125">
        <v>0</v>
      </c>
      <c r="N125">
        <v>0</v>
      </c>
      <c r="O125">
        <v>3</v>
      </c>
      <c r="P125">
        <v>0.1</v>
      </c>
      <c r="Q125">
        <v>2</v>
      </c>
      <c r="R125" s="5">
        <f t="shared" ref="R125:R133" si="20">AVERAGE(I125:K125)</f>
        <v>1.0666666666666667</v>
      </c>
      <c r="S125" s="5">
        <f t="shared" si="15"/>
        <v>0</v>
      </c>
      <c r="T125" s="5">
        <f t="shared" si="16"/>
        <v>1.7</v>
      </c>
      <c r="U125" s="33">
        <f t="shared" si="17"/>
        <v>9.4138842715869184E-2</v>
      </c>
      <c r="V125" s="48">
        <f t="shared" si="18"/>
        <v>0.29321934616418266</v>
      </c>
      <c r="W125" s="48">
        <f t="shared" si="19"/>
        <v>0</v>
      </c>
    </row>
    <row r="126" spans="1:23" ht="14.25" customHeight="1" x14ac:dyDescent="0.3">
      <c r="A126" s="1" t="s">
        <v>62</v>
      </c>
      <c r="B126">
        <v>2</v>
      </c>
      <c r="C126" t="s">
        <v>760</v>
      </c>
      <c r="D126" s="55">
        <v>7</v>
      </c>
      <c r="E126" s="56">
        <f t="shared" si="13"/>
        <v>1.0024470060806208</v>
      </c>
      <c r="F126" s="10">
        <v>19</v>
      </c>
      <c r="G126" s="10">
        <v>2</v>
      </c>
      <c r="H126" s="10">
        <v>0</v>
      </c>
      <c r="I126" s="10">
        <v>2</v>
      </c>
      <c r="J126" s="10">
        <v>2</v>
      </c>
      <c r="K126" s="10">
        <v>3</v>
      </c>
      <c r="L126" s="10">
        <v>1</v>
      </c>
      <c r="M126" s="10">
        <v>0</v>
      </c>
      <c r="N126" s="10">
        <v>0</v>
      </c>
      <c r="O126" s="10">
        <v>3</v>
      </c>
      <c r="P126" s="10">
        <v>3</v>
      </c>
      <c r="Q126" s="10">
        <v>3</v>
      </c>
      <c r="R126" s="5">
        <f t="shared" si="20"/>
        <v>2.3333333333333335</v>
      </c>
      <c r="S126" s="5">
        <f t="shared" si="15"/>
        <v>0.33333333333333331</v>
      </c>
      <c r="T126" s="5">
        <f t="shared" si="16"/>
        <v>3</v>
      </c>
      <c r="U126" s="33">
        <f t="shared" si="17"/>
        <v>0.22357975145018932</v>
      </c>
      <c r="V126" s="48">
        <f t="shared" si="18"/>
        <v>0.58643869232836532</v>
      </c>
      <c r="W126" s="48">
        <f t="shared" si="19"/>
        <v>0</v>
      </c>
    </row>
    <row r="127" spans="1:23" ht="14.25" customHeight="1" x14ac:dyDescent="0.3">
      <c r="A127" s="1" t="s">
        <v>62</v>
      </c>
      <c r="B127">
        <v>2</v>
      </c>
      <c r="C127" t="s">
        <v>761</v>
      </c>
      <c r="D127" s="55">
        <v>7</v>
      </c>
      <c r="E127" s="56">
        <f t="shared" si="13"/>
        <v>1.0024470060806208</v>
      </c>
      <c r="F127" s="10">
        <v>1</v>
      </c>
      <c r="G127" s="10">
        <v>0</v>
      </c>
      <c r="H127" s="10">
        <v>0</v>
      </c>
      <c r="I127" s="10">
        <v>2</v>
      </c>
      <c r="J127" s="10">
        <v>4</v>
      </c>
      <c r="K127" s="10">
        <v>0</v>
      </c>
      <c r="L127" s="10">
        <v>0</v>
      </c>
      <c r="M127" s="10">
        <v>0</v>
      </c>
      <c r="N127" s="10">
        <v>0</v>
      </c>
      <c r="O127" s="10">
        <v>12</v>
      </c>
      <c r="P127" s="10">
        <v>4</v>
      </c>
      <c r="Q127" s="10">
        <v>0</v>
      </c>
      <c r="R127" s="5">
        <f t="shared" si="20"/>
        <v>2</v>
      </c>
      <c r="S127" s="5">
        <f t="shared" si="15"/>
        <v>0</v>
      </c>
      <c r="T127" s="5">
        <f t="shared" si="16"/>
        <v>5.333333333333333</v>
      </c>
      <c r="U127" s="33">
        <f t="shared" si="17"/>
        <v>1.1767355339483648E-2</v>
      </c>
      <c r="V127" s="48">
        <f t="shared" si="18"/>
        <v>0</v>
      </c>
      <c r="W127" s="48">
        <f t="shared" si="19"/>
        <v>0</v>
      </c>
    </row>
    <row r="128" spans="1:23" ht="14.25" customHeight="1" x14ac:dyDescent="0.3">
      <c r="A128" s="1" t="s">
        <v>62</v>
      </c>
      <c r="B128">
        <v>2</v>
      </c>
      <c r="C128" t="s">
        <v>101</v>
      </c>
      <c r="D128" s="55">
        <v>7</v>
      </c>
      <c r="E128" s="56">
        <f t="shared" si="13"/>
        <v>1.0024470060806208</v>
      </c>
      <c r="F128" s="10">
        <v>4</v>
      </c>
      <c r="G128" s="10">
        <v>0</v>
      </c>
      <c r="H128" s="10">
        <v>0</v>
      </c>
      <c r="I128" s="10">
        <v>1</v>
      </c>
      <c r="J128" s="10">
        <v>0</v>
      </c>
      <c r="K128" s="10">
        <v>3</v>
      </c>
      <c r="L128" s="10">
        <v>0</v>
      </c>
      <c r="M128" s="10">
        <v>0</v>
      </c>
      <c r="N128" s="10">
        <v>0</v>
      </c>
      <c r="O128" s="10">
        <v>1</v>
      </c>
      <c r="P128" s="10">
        <v>0</v>
      </c>
      <c r="Q128" s="10">
        <v>3</v>
      </c>
      <c r="R128" s="5">
        <f t="shared" si="20"/>
        <v>1.3333333333333333</v>
      </c>
      <c r="S128" s="5">
        <f t="shared" si="15"/>
        <v>0</v>
      </c>
      <c r="T128" s="5">
        <f t="shared" si="16"/>
        <v>1.3333333333333333</v>
      </c>
      <c r="U128" s="33">
        <f t="shared" si="17"/>
        <v>4.7069421357934592E-2</v>
      </c>
      <c r="V128" s="48">
        <f t="shared" si="18"/>
        <v>0</v>
      </c>
      <c r="W128" s="48">
        <f t="shared" si="19"/>
        <v>0</v>
      </c>
    </row>
    <row r="129" spans="1:23" ht="14.25" customHeight="1" x14ac:dyDescent="0.3">
      <c r="A129" s="1" t="s">
        <v>62</v>
      </c>
      <c r="B129">
        <v>2</v>
      </c>
      <c r="C129" t="s">
        <v>762</v>
      </c>
      <c r="D129" s="55">
        <v>7</v>
      </c>
      <c r="E129" s="56">
        <f t="shared" si="13"/>
        <v>1.0024470060806208</v>
      </c>
      <c r="F129" s="10">
        <v>11</v>
      </c>
      <c r="G129" s="10">
        <v>5</v>
      </c>
      <c r="H129" s="10">
        <v>0</v>
      </c>
      <c r="I129" s="10">
        <v>1</v>
      </c>
      <c r="J129" s="10">
        <v>3</v>
      </c>
      <c r="K129" s="10">
        <v>2</v>
      </c>
      <c r="L129" s="10">
        <v>0</v>
      </c>
      <c r="M129" s="10">
        <v>0</v>
      </c>
      <c r="N129" s="10">
        <v>0</v>
      </c>
      <c r="O129" s="10">
        <v>1</v>
      </c>
      <c r="P129" s="10">
        <v>4</v>
      </c>
      <c r="Q129" s="10">
        <v>2</v>
      </c>
      <c r="R129" s="5">
        <f t="shared" si="20"/>
        <v>2</v>
      </c>
      <c r="S129" s="5">
        <f t="shared" si="15"/>
        <v>0</v>
      </c>
      <c r="T129" s="5">
        <f t="shared" si="16"/>
        <v>2.3333333333333335</v>
      </c>
      <c r="U129" s="33">
        <f t="shared" si="17"/>
        <v>0.12944090873432015</v>
      </c>
      <c r="V129" s="48">
        <f t="shared" si="18"/>
        <v>1.4660967308209134</v>
      </c>
      <c r="W129" s="48">
        <f t="shared" si="19"/>
        <v>0</v>
      </c>
    </row>
    <row r="130" spans="1:23" ht="14.25" customHeight="1" x14ac:dyDescent="0.3">
      <c r="A130" s="1" t="s">
        <v>62</v>
      </c>
      <c r="B130">
        <v>3</v>
      </c>
      <c r="C130" t="s">
        <v>760</v>
      </c>
      <c r="D130" s="55">
        <v>7</v>
      </c>
      <c r="E130" s="56">
        <f t="shared" si="13"/>
        <v>1.0024470060806208</v>
      </c>
      <c r="F130" s="10">
        <v>0</v>
      </c>
      <c r="G130" s="10">
        <v>2</v>
      </c>
      <c r="H130" s="10">
        <v>0</v>
      </c>
      <c r="I130" s="10">
        <v>1</v>
      </c>
      <c r="J130" s="10">
        <v>1</v>
      </c>
      <c r="K130" s="10">
        <v>1</v>
      </c>
      <c r="L130" s="10">
        <v>0</v>
      </c>
      <c r="M130" s="10">
        <v>0</v>
      </c>
      <c r="N130" s="10">
        <v>0</v>
      </c>
      <c r="O130" s="10">
        <v>1</v>
      </c>
      <c r="P130" s="10">
        <v>1</v>
      </c>
      <c r="Q130" s="10">
        <v>1</v>
      </c>
      <c r="R130" s="5">
        <f t="shared" si="20"/>
        <v>1</v>
      </c>
      <c r="S130" s="5">
        <f t="shared" si="15"/>
        <v>0</v>
      </c>
      <c r="T130" s="5">
        <f t="shared" si="16"/>
        <v>1</v>
      </c>
      <c r="U130" s="33">
        <f t="shared" si="17"/>
        <v>0</v>
      </c>
      <c r="V130" s="48">
        <f t="shared" si="18"/>
        <v>0.58643869232836532</v>
      </c>
      <c r="W130" s="48">
        <f t="shared" si="19"/>
        <v>0</v>
      </c>
    </row>
    <row r="131" spans="1:23" ht="14.25" customHeight="1" x14ac:dyDescent="0.3">
      <c r="A131" s="1" t="s">
        <v>62</v>
      </c>
      <c r="B131">
        <v>3</v>
      </c>
      <c r="C131" t="s">
        <v>761</v>
      </c>
      <c r="D131" s="55">
        <v>7</v>
      </c>
      <c r="E131" s="56">
        <f t="shared" si="13"/>
        <v>1.0024470060806208</v>
      </c>
      <c r="F131" s="10">
        <v>0</v>
      </c>
      <c r="G131" s="10">
        <v>0</v>
      </c>
      <c r="H131" s="10">
        <v>1</v>
      </c>
      <c r="I131" s="10">
        <v>1</v>
      </c>
      <c r="J131" s="10">
        <v>2</v>
      </c>
      <c r="K131" s="10">
        <v>2</v>
      </c>
      <c r="L131" s="10">
        <v>0</v>
      </c>
      <c r="M131" s="10">
        <v>0</v>
      </c>
      <c r="N131" s="10">
        <v>0</v>
      </c>
      <c r="O131" s="10">
        <v>2</v>
      </c>
      <c r="P131" s="10">
        <v>2</v>
      </c>
      <c r="Q131" s="10">
        <v>2</v>
      </c>
      <c r="R131" s="5">
        <f t="shared" si="20"/>
        <v>1.6666666666666667</v>
      </c>
      <c r="S131" s="5">
        <f t="shared" si="15"/>
        <v>0</v>
      </c>
      <c r="T131" s="5">
        <f t="shared" si="16"/>
        <v>2</v>
      </c>
      <c r="U131" s="33">
        <f t="shared" si="17"/>
        <v>0</v>
      </c>
      <c r="V131" s="48">
        <f t="shared" si="18"/>
        <v>0</v>
      </c>
      <c r="W131" s="48">
        <f t="shared" si="19"/>
        <v>1.1534223663468162</v>
      </c>
    </row>
    <row r="132" spans="1:23" ht="14.25" customHeight="1" x14ac:dyDescent="0.3">
      <c r="A132" s="1" t="s">
        <v>62</v>
      </c>
      <c r="B132">
        <v>3</v>
      </c>
      <c r="C132" t="s">
        <v>101</v>
      </c>
      <c r="D132" s="55">
        <v>7</v>
      </c>
      <c r="E132" s="56">
        <f t="shared" si="13"/>
        <v>1.0024470060806208</v>
      </c>
      <c r="F132" s="10">
        <v>38</v>
      </c>
      <c r="G132" s="10">
        <v>10</v>
      </c>
      <c r="H132" s="10">
        <v>2</v>
      </c>
      <c r="I132" s="10">
        <v>1</v>
      </c>
      <c r="J132" s="10">
        <v>1</v>
      </c>
      <c r="K132" s="10">
        <v>1</v>
      </c>
      <c r="L132" s="10">
        <v>0</v>
      </c>
      <c r="M132" s="10">
        <v>2</v>
      </c>
      <c r="N132" s="10">
        <v>5</v>
      </c>
      <c r="O132" s="10">
        <v>1</v>
      </c>
      <c r="P132" s="10">
        <v>3</v>
      </c>
      <c r="Q132" s="10">
        <v>9</v>
      </c>
      <c r="R132" s="5">
        <f t="shared" si="20"/>
        <v>1</v>
      </c>
      <c r="S132" s="5">
        <f t="shared" si="15"/>
        <v>2.3333333333333335</v>
      </c>
      <c r="T132" s="5">
        <f t="shared" si="16"/>
        <v>4.333333333333333</v>
      </c>
      <c r="U132" s="33">
        <f t="shared" si="17"/>
        <v>0.44715950290037865</v>
      </c>
      <c r="V132" s="48">
        <f t="shared" si="18"/>
        <v>2.9321934616418268</v>
      </c>
      <c r="W132" s="48">
        <f t="shared" si="19"/>
        <v>2.3068447326936323</v>
      </c>
    </row>
    <row r="133" spans="1:23" ht="14.25" customHeight="1" x14ac:dyDescent="0.3">
      <c r="A133" s="1" t="s">
        <v>62</v>
      </c>
      <c r="B133">
        <v>3</v>
      </c>
      <c r="C133" t="s">
        <v>762</v>
      </c>
      <c r="D133" s="55">
        <v>7</v>
      </c>
      <c r="E133" s="56">
        <f t="shared" si="13"/>
        <v>1.0024470060806208</v>
      </c>
      <c r="F133" s="10">
        <v>19</v>
      </c>
      <c r="G133" s="10">
        <v>8</v>
      </c>
      <c r="H133" s="10">
        <v>4</v>
      </c>
      <c r="I133" s="10">
        <v>1</v>
      </c>
      <c r="J133" s="10">
        <v>1</v>
      </c>
      <c r="K133" s="10">
        <v>2</v>
      </c>
      <c r="L133" s="10">
        <v>0</v>
      </c>
      <c r="M133" s="10">
        <v>0</v>
      </c>
      <c r="N133" s="10">
        <v>0</v>
      </c>
      <c r="O133" s="10">
        <v>1</v>
      </c>
      <c r="P133" s="10">
        <v>1</v>
      </c>
      <c r="Q133" s="10">
        <v>5</v>
      </c>
      <c r="R133" s="5">
        <f t="shared" si="20"/>
        <v>1.3333333333333333</v>
      </c>
      <c r="S133" s="5">
        <f t="shared" si="15"/>
        <v>0</v>
      </c>
      <c r="T133" s="5">
        <f t="shared" si="16"/>
        <v>2.3333333333333335</v>
      </c>
      <c r="U133" s="33">
        <f t="shared" si="17"/>
        <v>0.22357975145018932</v>
      </c>
      <c r="V133" s="48">
        <f t="shared" si="18"/>
        <v>2.3457547693134613</v>
      </c>
      <c r="W133" s="48">
        <f t="shared" si="19"/>
        <v>4.6136894653872647</v>
      </c>
    </row>
    <row r="134" spans="1:23" ht="14.25" customHeight="1" x14ac:dyDescent="0.3">
      <c r="A134" s="1" t="s">
        <v>62</v>
      </c>
      <c r="B134" s="1">
        <v>4</v>
      </c>
      <c r="C134" s="1" t="s">
        <v>760</v>
      </c>
      <c r="D134" s="50">
        <v>6</v>
      </c>
      <c r="E134" s="56">
        <f t="shared" si="13"/>
        <v>1.0017983829094554</v>
      </c>
      <c r="F134" s="10">
        <v>7</v>
      </c>
      <c r="G134" s="10">
        <v>7</v>
      </c>
      <c r="H134" s="10">
        <v>1</v>
      </c>
      <c r="I134" s="1">
        <v>0.1</v>
      </c>
      <c r="J134" s="1">
        <v>2</v>
      </c>
      <c r="K134" s="1">
        <v>4</v>
      </c>
      <c r="L134" s="1">
        <v>0</v>
      </c>
      <c r="M134" s="1">
        <v>0</v>
      </c>
      <c r="N134" s="1">
        <v>0</v>
      </c>
      <c r="O134" s="1">
        <v>2</v>
      </c>
      <c r="P134" s="1">
        <v>2</v>
      </c>
      <c r="Q134" s="1">
        <v>4</v>
      </c>
      <c r="R134" s="5">
        <f t="shared" si="14"/>
        <v>2.0333333333333332</v>
      </c>
      <c r="S134" s="5">
        <f t="shared" si="15"/>
        <v>0</v>
      </c>
      <c r="T134" s="5">
        <f t="shared" si="16"/>
        <v>2.6666666666666665</v>
      </c>
      <c r="U134" s="33">
        <f t="shared" si="17"/>
        <v>8.2318189740668526E-2</v>
      </c>
      <c r="V134" s="48">
        <f t="shared" si="18"/>
        <v>2.051207350915019</v>
      </c>
      <c r="W134" s="48">
        <f t="shared" si="19"/>
        <v>1.1526760560995764</v>
      </c>
    </row>
    <row r="135" spans="1:23" ht="14.25" customHeight="1" x14ac:dyDescent="0.3">
      <c r="A135" s="1" t="s">
        <v>62</v>
      </c>
      <c r="B135" s="1">
        <v>4</v>
      </c>
      <c r="C135" s="1" t="s">
        <v>761</v>
      </c>
      <c r="D135" s="50">
        <v>6</v>
      </c>
      <c r="E135" s="56">
        <f t="shared" si="13"/>
        <v>1.0017983829094554</v>
      </c>
      <c r="F135" s="10">
        <v>4</v>
      </c>
      <c r="G135" s="10">
        <v>1</v>
      </c>
      <c r="H135" s="10">
        <v>0</v>
      </c>
      <c r="I135" s="1">
        <v>0.1</v>
      </c>
      <c r="J135" s="1">
        <v>0.1</v>
      </c>
      <c r="K135" s="1">
        <v>0.1</v>
      </c>
      <c r="L135" s="1">
        <v>0</v>
      </c>
      <c r="M135" s="1">
        <v>0</v>
      </c>
      <c r="N135" s="1">
        <v>0</v>
      </c>
      <c r="O135" s="1">
        <v>1</v>
      </c>
      <c r="P135" s="1">
        <v>0.1</v>
      </c>
      <c r="Q135" s="1">
        <v>0.1</v>
      </c>
      <c r="R135" s="5">
        <f t="shared" si="14"/>
        <v>0.10000000000000002</v>
      </c>
      <c r="S135" s="5">
        <f t="shared" si="15"/>
        <v>0</v>
      </c>
      <c r="T135" s="5">
        <f t="shared" si="16"/>
        <v>0.40000000000000008</v>
      </c>
      <c r="U135" s="33">
        <f t="shared" si="17"/>
        <v>4.7038965566096304E-2</v>
      </c>
      <c r="V135" s="48">
        <f t="shared" si="18"/>
        <v>0.29302962155928841</v>
      </c>
      <c r="W135" s="48">
        <f t="shared" si="19"/>
        <v>0</v>
      </c>
    </row>
    <row r="136" spans="1:23" ht="14.25" customHeight="1" x14ac:dyDescent="0.3">
      <c r="A136" s="1" t="s">
        <v>62</v>
      </c>
      <c r="B136" s="1">
        <v>4</v>
      </c>
      <c r="C136" s="1" t="s">
        <v>101</v>
      </c>
      <c r="D136" s="50">
        <v>6</v>
      </c>
      <c r="E136" s="56">
        <f t="shared" si="13"/>
        <v>1.0017983829094554</v>
      </c>
      <c r="F136" s="10">
        <v>4</v>
      </c>
      <c r="G136" s="10">
        <v>8</v>
      </c>
      <c r="H136" s="10">
        <v>0</v>
      </c>
      <c r="I136" s="1">
        <v>0.1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64</v>
      </c>
      <c r="P136" s="1">
        <v>0.1</v>
      </c>
      <c r="Q136" s="1">
        <v>1</v>
      </c>
      <c r="R136" s="5">
        <f t="shared" si="14"/>
        <v>0.10000000000000002</v>
      </c>
      <c r="S136" s="5">
        <f t="shared" si="15"/>
        <v>0</v>
      </c>
      <c r="T136" s="5">
        <f t="shared" si="16"/>
        <v>21.7</v>
      </c>
      <c r="U136" s="33">
        <f t="shared" si="17"/>
        <v>4.7038965566096304E-2</v>
      </c>
      <c r="V136" s="48">
        <f t="shared" si="18"/>
        <v>2.3442369724743073</v>
      </c>
      <c r="W136" s="48">
        <f t="shared" si="19"/>
        <v>0</v>
      </c>
    </row>
    <row r="137" spans="1:23" ht="14.25" customHeight="1" x14ac:dyDescent="0.3">
      <c r="A137" s="1" t="s">
        <v>62</v>
      </c>
      <c r="B137" s="1">
        <v>4</v>
      </c>
      <c r="C137" s="1" t="s">
        <v>762</v>
      </c>
      <c r="D137" s="50">
        <v>6</v>
      </c>
      <c r="E137" s="56">
        <f t="shared" si="13"/>
        <v>1.0017983829094554</v>
      </c>
      <c r="F137" s="10">
        <v>0</v>
      </c>
      <c r="G137" s="10">
        <v>0</v>
      </c>
      <c r="H137" s="10">
        <v>0</v>
      </c>
      <c r="I137" s="1">
        <v>1</v>
      </c>
      <c r="J137" s="1">
        <v>0.1</v>
      </c>
      <c r="K137" s="1">
        <v>0</v>
      </c>
      <c r="L137" s="1">
        <v>2</v>
      </c>
      <c r="M137" s="1">
        <v>0</v>
      </c>
      <c r="N137" s="1">
        <v>0</v>
      </c>
      <c r="O137" s="1">
        <v>3</v>
      </c>
      <c r="P137" s="1">
        <v>0.1</v>
      </c>
      <c r="Q137" s="1">
        <v>0</v>
      </c>
      <c r="R137" s="5">
        <f t="shared" si="14"/>
        <v>0.3666666666666667</v>
      </c>
      <c r="S137" s="5">
        <f t="shared" si="15"/>
        <v>0.66666666666666663</v>
      </c>
      <c r="T137" s="5">
        <f t="shared" si="16"/>
        <v>1.0333333333333334</v>
      </c>
      <c r="U137" s="33">
        <f t="shared" si="17"/>
        <v>0</v>
      </c>
      <c r="V137" s="48">
        <f t="shared" si="18"/>
        <v>0</v>
      </c>
      <c r="W137" s="48">
        <f t="shared" si="19"/>
        <v>0</v>
      </c>
    </row>
    <row r="138" spans="1:23" ht="14.25" customHeight="1" x14ac:dyDescent="0.3">
      <c r="A138" s="1" t="s">
        <v>62</v>
      </c>
      <c r="B138" s="1">
        <v>5</v>
      </c>
      <c r="C138" s="1" t="s">
        <v>760</v>
      </c>
      <c r="D138" s="50">
        <v>3</v>
      </c>
      <c r="E138" s="56">
        <f t="shared" si="13"/>
        <v>1.0004498987955368</v>
      </c>
      <c r="F138" s="10">
        <v>15</v>
      </c>
      <c r="G138" s="10">
        <v>11</v>
      </c>
      <c r="H138" s="10">
        <v>0</v>
      </c>
      <c r="I138" s="1">
        <v>2</v>
      </c>
      <c r="J138" s="1">
        <v>4</v>
      </c>
      <c r="K138" s="1">
        <v>2</v>
      </c>
      <c r="L138" s="1">
        <v>0</v>
      </c>
      <c r="M138" s="1">
        <v>1</v>
      </c>
      <c r="N138" s="1">
        <v>0</v>
      </c>
      <c r="O138" s="1">
        <v>4</v>
      </c>
      <c r="P138" s="1">
        <v>9</v>
      </c>
      <c r="Q138" s="1">
        <v>2</v>
      </c>
      <c r="R138" s="5">
        <f t="shared" si="14"/>
        <v>2.6666666666666665</v>
      </c>
      <c r="S138" s="5">
        <f t="shared" si="15"/>
        <v>0.33333333333333331</v>
      </c>
      <c r="T138" s="5">
        <f t="shared" si="16"/>
        <v>5</v>
      </c>
      <c r="U138" s="33">
        <f t="shared" si="17"/>
        <v>0.1761586805147892</v>
      </c>
      <c r="V138" s="48">
        <f t="shared" si="18"/>
        <v>3.2189870362921047</v>
      </c>
      <c r="W138" s="48">
        <f t="shared" si="19"/>
        <v>0</v>
      </c>
    </row>
    <row r="139" spans="1:23" ht="14.25" customHeight="1" x14ac:dyDescent="0.3">
      <c r="A139" s="1" t="s">
        <v>62</v>
      </c>
      <c r="B139" s="1">
        <v>5</v>
      </c>
      <c r="C139" s="1" t="s">
        <v>761</v>
      </c>
      <c r="D139" s="50">
        <v>3</v>
      </c>
      <c r="E139" s="56">
        <f t="shared" si="13"/>
        <v>1.0004498987955368</v>
      </c>
      <c r="F139" s="10">
        <v>10</v>
      </c>
      <c r="G139" s="10">
        <v>2</v>
      </c>
      <c r="H139" s="10"/>
      <c r="I139" s="1">
        <v>0.1</v>
      </c>
      <c r="J139" s="1">
        <v>2</v>
      </c>
      <c r="K139" s="1">
        <v>0.1</v>
      </c>
      <c r="L139" s="1">
        <v>0</v>
      </c>
      <c r="M139" s="1">
        <v>0</v>
      </c>
      <c r="N139" s="1">
        <v>0</v>
      </c>
      <c r="O139" s="1">
        <v>2</v>
      </c>
      <c r="P139" s="1">
        <v>4</v>
      </c>
      <c r="Q139" s="1">
        <v>0.1</v>
      </c>
      <c r="R139" s="5">
        <f t="shared" si="14"/>
        <v>0.73333333333333339</v>
      </c>
      <c r="S139" s="5">
        <f t="shared" si="15"/>
        <v>0</v>
      </c>
      <c r="T139" s="5">
        <f t="shared" si="16"/>
        <v>2.0333333333333332</v>
      </c>
      <c r="U139" s="33">
        <f t="shared" si="17"/>
        <v>0.1174391203431928</v>
      </c>
      <c r="V139" s="48">
        <f t="shared" si="18"/>
        <v>0.58527037023492801</v>
      </c>
      <c r="W139" s="48">
        <f t="shared" si="19"/>
        <v>0</v>
      </c>
    </row>
    <row r="140" spans="1:23" ht="14.25" customHeight="1" x14ac:dyDescent="0.3">
      <c r="A140" s="1" t="s">
        <v>62</v>
      </c>
      <c r="B140" s="1">
        <v>5</v>
      </c>
      <c r="C140" s="1" t="s">
        <v>101</v>
      </c>
      <c r="D140" s="50">
        <v>3</v>
      </c>
      <c r="E140" s="56">
        <f t="shared" si="13"/>
        <v>1.0004498987955368</v>
      </c>
      <c r="F140" s="10">
        <v>2</v>
      </c>
      <c r="G140" s="10">
        <v>8</v>
      </c>
      <c r="H140" s="10">
        <v>3</v>
      </c>
      <c r="I140" s="1">
        <v>0</v>
      </c>
      <c r="J140" s="1">
        <v>0.1</v>
      </c>
      <c r="K140" s="1">
        <v>18</v>
      </c>
      <c r="L140" s="1">
        <v>0</v>
      </c>
      <c r="M140" s="1">
        <v>4</v>
      </c>
      <c r="N140" s="1">
        <v>5</v>
      </c>
      <c r="O140" s="1">
        <v>0.1</v>
      </c>
      <c r="P140" s="1">
        <v>4.0999999999999996</v>
      </c>
      <c r="Q140" s="1">
        <v>90</v>
      </c>
      <c r="R140" s="5">
        <f t="shared" si="14"/>
        <v>6.0333333333333341</v>
      </c>
      <c r="S140" s="5">
        <f t="shared" si="15"/>
        <v>3</v>
      </c>
      <c r="T140" s="5">
        <f t="shared" si="16"/>
        <v>31.400000000000002</v>
      </c>
      <c r="U140" s="33">
        <f t="shared" si="17"/>
        <v>2.3487824068638558E-2</v>
      </c>
      <c r="V140" s="48">
        <f t="shared" si="18"/>
        <v>2.341081480939712</v>
      </c>
      <c r="W140" s="48">
        <f t="shared" si="19"/>
        <v>3.4533734432263135</v>
      </c>
    </row>
    <row r="141" spans="1:23" ht="14.25" customHeight="1" x14ac:dyDescent="0.3">
      <c r="A141" s="1" t="s">
        <v>62</v>
      </c>
      <c r="B141" s="1">
        <v>5</v>
      </c>
      <c r="C141" s="1" t="s">
        <v>762</v>
      </c>
      <c r="D141" s="50">
        <v>3</v>
      </c>
      <c r="E141" s="56">
        <f t="shared" si="13"/>
        <v>1.0004498987955368</v>
      </c>
      <c r="F141" s="10">
        <v>0</v>
      </c>
      <c r="G141" s="10">
        <v>3</v>
      </c>
      <c r="H141" s="10">
        <v>0</v>
      </c>
      <c r="I141" s="1">
        <v>0.1</v>
      </c>
      <c r="J141" s="1">
        <v>0.1</v>
      </c>
      <c r="K141" s="1">
        <v>0.1</v>
      </c>
      <c r="L141" s="1">
        <v>0</v>
      </c>
      <c r="M141" s="1">
        <v>0</v>
      </c>
      <c r="N141" s="1">
        <v>0</v>
      </c>
      <c r="O141" s="1">
        <v>1</v>
      </c>
      <c r="P141" s="1">
        <v>0.1</v>
      </c>
      <c r="Q141" s="1">
        <v>0.1</v>
      </c>
      <c r="R141" s="5">
        <f t="shared" si="14"/>
        <v>0.10000000000000002</v>
      </c>
      <c r="S141" s="5">
        <f t="shared" si="15"/>
        <v>0</v>
      </c>
      <c r="T141" s="5">
        <f t="shared" si="16"/>
        <v>0.40000000000000008</v>
      </c>
      <c r="U141" s="33">
        <f t="shared" si="17"/>
        <v>0</v>
      </c>
      <c r="V141" s="48">
        <f t="shared" si="18"/>
        <v>0.87790555535239212</v>
      </c>
      <c r="W141" s="48">
        <f t="shared" si="19"/>
        <v>0</v>
      </c>
    </row>
    <row r="142" spans="1:23" ht="14.25" customHeight="1" x14ac:dyDescent="0.3">
      <c r="A142" s="1" t="s">
        <v>62</v>
      </c>
      <c r="B142">
        <v>6</v>
      </c>
      <c r="C142" t="s">
        <v>760</v>
      </c>
      <c r="D142" s="55">
        <v>4</v>
      </c>
      <c r="E142" s="56">
        <f t="shared" si="13"/>
        <v>1.0007996802557444</v>
      </c>
      <c r="F142" s="10">
        <v>0</v>
      </c>
      <c r="G142" s="10">
        <v>4</v>
      </c>
      <c r="H142" s="10">
        <v>4</v>
      </c>
      <c r="I142" s="10">
        <v>2</v>
      </c>
      <c r="J142" s="10">
        <v>1</v>
      </c>
      <c r="K142" s="10">
        <v>6</v>
      </c>
      <c r="L142" s="10">
        <v>0</v>
      </c>
      <c r="M142" s="10">
        <v>0</v>
      </c>
      <c r="N142" s="10">
        <v>0</v>
      </c>
      <c r="O142" s="10">
        <v>2</v>
      </c>
      <c r="P142" s="10">
        <v>1</v>
      </c>
      <c r="Q142" s="10">
        <v>6</v>
      </c>
      <c r="R142" s="5">
        <f t="shared" si="14"/>
        <v>3</v>
      </c>
      <c r="S142" s="5">
        <f t="shared" si="15"/>
        <v>0</v>
      </c>
      <c r="T142" s="5">
        <f t="shared" si="16"/>
        <v>3</v>
      </c>
      <c r="U142" s="33">
        <f t="shared" si="17"/>
        <v>0</v>
      </c>
      <c r="V142" s="48">
        <f t="shared" si="18"/>
        <v>1.1709499897985101</v>
      </c>
      <c r="W142" s="48">
        <f t="shared" si="19"/>
        <v>4.6061077680424765</v>
      </c>
    </row>
    <row r="143" spans="1:23" ht="14.25" customHeight="1" x14ac:dyDescent="0.3">
      <c r="A143" s="1" t="s">
        <v>62</v>
      </c>
      <c r="B143">
        <v>6</v>
      </c>
      <c r="C143" t="s">
        <v>761</v>
      </c>
      <c r="D143" s="55">
        <v>4</v>
      </c>
      <c r="E143" s="56">
        <f t="shared" si="13"/>
        <v>1.0007996802557444</v>
      </c>
      <c r="F143" s="10">
        <v>4</v>
      </c>
      <c r="G143" s="10">
        <v>8</v>
      </c>
      <c r="H143" s="10">
        <v>5</v>
      </c>
      <c r="I143" s="10">
        <v>2</v>
      </c>
      <c r="J143" s="10">
        <v>13</v>
      </c>
      <c r="K143" s="10">
        <v>3</v>
      </c>
      <c r="L143" s="10">
        <v>0</v>
      </c>
      <c r="M143" s="10">
        <v>0</v>
      </c>
      <c r="N143" s="10">
        <v>0</v>
      </c>
      <c r="O143" s="10">
        <v>2</v>
      </c>
      <c r="P143" s="10">
        <v>5</v>
      </c>
      <c r="Q143" s="10">
        <v>3</v>
      </c>
      <c r="R143" s="5">
        <f t="shared" si="14"/>
        <v>6</v>
      </c>
      <c r="S143" s="5">
        <f t="shared" si="15"/>
        <v>0</v>
      </c>
      <c r="T143" s="5">
        <f t="shared" si="16"/>
        <v>3.3333333333333335</v>
      </c>
      <c r="U143" s="33">
        <f t="shared" si="17"/>
        <v>4.6992071959019159E-2</v>
      </c>
      <c r="V143" s="48">
        <f t="shared" si="18"/>
        <v>2.3418999795970201</v>
      </c>
      <c r="W143" s="48">
        <f t="shared" si="19"/>
        <v>5.7576347100530949</v>
      </c>
    </row>
    <row r="144" spans="1:23" ht="14.25" customHeight="1" x14ac:dyDescent="0.3">
      <c r="A144" s="1" t="s">
        <v>62</v>
      </c>
      <c r="B144">
        <v>6</v>
      </c>
      <c r="C144" t="s">
        <v>101</v>
      </c>
      <c r="D144" s="55">
        <v>4</v>
      </c>
      <c r="E144" s="56">
        <f t="shared" si="13"/>
        <v>1.0007996802557444</v>
      </c>
      <c r="F144" s="10">
        <v>10</v>
      </c>
      <c r="G144" s="10">
        <v>0</v>
      </c>
      <c r="H144" s="10">
        <v>0</v>
      </c>
      <c r="I144" s="10">
        <v>2</v>
      </c>
      <c r="J144" s="10">
        <v>6</v>
      </c>
      <c r="K144" s="10">
        <v>1</v>
      </c>
      <c r="L144" s="10">
        <v>0</v>
      </c>
      <c r="M144" s="10">
        <v>0</v>
      </c>
      <c r="N144" s="10">
        <v>0</v>
      </c>
      <c r="O144" s="10">
        <v>2</v>
      </c>
      <c r="P144" s="10">
        <v>14</v>
      </c>
      <c r="Q144" s="10">
        <v>1</v>
      </c>
      <c r="R144" s="5">
        <f t="shared" si="14"/>
        <v>3</v>
      </c>
      <c r="S144" s="5">
        <f t="shared" si="15"/>
        <v>0</v>
      </c>
      <c r="T144" s="5">
        <f t="shared" si="16"/>
        <v>5.666666666666667</v>
      </c>
      <c r="U144" s="33">
        <f t="shared" si="17"/>
        <v>0.11748017989754789</v>
      </c>
      <c r="V144" s="48">
        <f t="shared" si="18"/>
        <v>0</v>
      </c>
      <c r="W144" s="48">
        <f t="shared" si="19"/>
        <v>0</v>
      </c>
    </row>
    <row r="145" spans="1:23" ht="14.25" customHeight="1" x14ac:dyDescent="0.3">
      <c r="A145" s="1" t="s">
        <v>62</v>
      </c>
      <c r="B145">
        <v>6</v>
      </c>
      <c r="C145" t="s">
        <v>762</v>
      </c>
      <c r="D145" s="55">
        <v>4</v>
      </c>
      <c r="E145" s="56">
        <f t="shared" si="13"/>
        <v>1.0007996802557444</v>
      </c>
      <c r="F145" s="10">
        <v>3</v>
      </c>
      <c r="G145" s="10">
        <v>2</v>
      </c>
      <c r="H145" s="10">
        <v>0</v>
      </c>
      <c r="I145" s="10">
        <v>2</v>
      </c>
      <c r="J145" s="10">
        <v>1</v>
      </c>
      <c r="K145" s="10">
        <v>0.1</v>
      </c>
      <c r="L145" s="10">
        <v>0</v>
      </c>
      <c r="M145" s="10">
        <v>0</v>
      </c>
      <c r="N145" s="10">
        <v>0</v>
      </c>
      <c r="O145" s="10">
        <v>65</v>
      </c>
      <c r="P145" s="10">
        <v>2</v>
      </c>
      <c r="Q145" s="10">
        <v>0.1</v>
      </c>
      <c r="R145" s="5">
        <f t="shared" si="14"/>
        <v>1.0333333333333334</v>
      </c>
      <c r="S145" s="5">
        <f t="shared" si="15"/>
        <v>0</v>
      </c>
      <c r="T145" s="5">
        <f t="shared" si="16"/>
        <v>22.366666666666664</v>
      </c>
      <c r="U145" s="33">
        <f t="shared" si="17"/>
        <v>3.5244053969264368E-2</v>
      </c>
      <c r="V145" s="48">
        <f t="shared" si="18"/>
        <v>0.58547499489925503</v>
      </c>
      <c r="W145" s="48">
        <f t="shared" si="19"/>
        <v>0</v>
      </c>
    </row>
    <row r="146" spans="1:23" ht="14.25" customHeight="1" x14ac:dyDescent="0.3">
      <c r="A146" s="1" t="s">
        <v>62</v>
      </c>
      <c r="B146" s="1">
        <v>7</v>
      </c>
      <c r="C146" s="1" t="s">
        <v>760</v>
      </c>
      <c r="D146" s="50">
        <v>2</v>
      </c>
      <c r="E146" s="56">
        <f t="shared" ref="E146:E261" si="21">SQRT(1+((D146/100)^2))</f>
        <v>1.0001999800039989</v>
      </c>
      <c r="F146" s="10">
        <v>30</v>
      </c>
      <c r="G146" s="10">
        <v>8</v>
      </c>
      <c r="H146" s="10">
        <v>1</v>
      </c>
      <c r="I146" s="1">
        <v>3</v>
      </c>
      <c r="J146" s="1">
        <v>2</v>
      </c>
      <c r="K146" s="1">
        <v>2.5</v>
      </c>
      <c r="L146" s="1">
        <v>0</v>
      </c>
      <c r="M146" s="1">
        <v>0</v>
      </c>
      <c r="N146" s="1">
        <v>0</v>
      </c>
      <c r="O146" s="1">
        <v>3</v>
      </c>
      <c r="P146" s="1">
        <v>3.5</v>
      </c>
      <c r="Q146" s="1">
        <v>3.5</v>
      </c>
      <c r="R146" s="5">
        <f t="shared" si="14"/>
        <v>2.5</v>
      </c>
      <c r="S146" s="5">
        <f t="shared" si="15"/>
        <v>0</v>
      </c>
      <c r="T146" s="5">
        <f t="shared" si="16"/>
        <v>3.3333333333333335</v>
      </c>
      <c r="U146" s="33">
        <f t="shared" si="17"/>
        <v>0.35222934989657484</v>
      </c>
      <c r="V146" s="48">
        <f t="shared" si="18"/>
        <v>2.3404966637936333</v>
      </c>
      <c r="W146" s="48">
        <f t="shared" si="19"/>
        <v>1.1508369228083357</v>
      </c>
    </row>
    <row r="147" spans="1:23" ht="14.25" customHeight="1" x14ac:dyDescent="0.3">
      <c r="A147" s="1" t="s">
        <v>62</v>
      </c>
      <c r="B147" s="1">
        <v>7</v>
      </c>
      <c r="C147" s="1" t="s">
        <v>761</v>
      </c>
      <c r="D147" s="50">
        <v>2</v>
      </c>
      <c r="E147" s="56">
        <f t="shared" si="21"/>
        <v>1.0001999800039989</v>
      </c>
      <c r="F147" s="10">
        <v>20</v>
      </c>
      <c r="G147" s="10">
        <v>8</v>
      </c>
      <c r="H147" s="10">
        <v>1</v>
      </c>
      <c r="I147" s="1">
        <v>0</v>
      </c>
      <c r="J147" s="1">
        <v>1</v>
      </c>
      <c r="K147" s="1">
        <v>3</v>
      </c>
      <c r="L147" s="1">
        <v>0</v>
      </c>
      <c r="M147" s="1">
        <v>0</v>
      </c>
      <c r="N147" s="1">
        <v>0</v>
      </c>
      <c r="O147" s="1">
        <v>1</v>
      </c>
      <c r="P147" s="1">
        <v>2</v>
      </c>
      <c r="Q147" s="1">
        <v>4</v>
      </c>
      <c r="R147" s="5">
        <f t="shared" ref="R147:R262" si="22">AVERAGE(I147:K147)</f>
        <v>1.3333333333333333</v>
      </c>
      <c r="S147" s="5">
        <f t="shared" ref="S147:S262" si="23">AVERAGE(L147:N147)</f>
        <v>0</v>
      </c>
      <c r="T147" s="5">
        <f t="shared" ref="T147:T262" si="24">AVERAGE(O147:Q147)</f>
        <v>2.3333333333333335</v>
      </c>
      <c r="U147" s="33">
        <f t="shared" si="17"/>
        <v>0.23481956659771652</v>
      </c>
      <c r="V147" s="48">
        <f t="shared" si="18"/>
        <v>2.3404966637936333</v>
      </c>
      <c r="W147" s="48">
        <f t="shared" si="19"/>
        <v>1.1508369228083357</v>
      </c>
    </row>
    <row r="148" spans="1:23" ht="14.25" customHeight="1" x14ac:dyDescent="0.3">
      <c r="A148" s="1" t="s">
        <v>62</v>
      </c>
      <c r="B148" s="1">
        <v>7</v>
      </c>
      <c r="C148" s="1" t="s">
        <v>101</v>
      </c>
      <c r="D148" s="50">
        <v>2</v>
      </c>
      <c r="E148" s="56">
        <f t="shared" si="21"/>
        <v>1.0001999800039989</v>
      </c>
      <c r="F148" s="10">
        <v>4</v>
      </c>
      <c r="G148" s="10">
        <v>0</v>
      </c>
      <c r="H148" s="10">
        <v>0</v>
      </c>
      <c r="I148" s="1">
        <v>2</v>
      </c>
      <c r="J148" s="1">
        <v>1.5</v>
      </c>
      <c r="K148" s="1">
        <v>2</v>
      </c>
      <c r="L148" s="1">
        <v>0</v>
      </c>
      <c r="M148" s="1">
        <v>0</v>
      </c>
      <c r="N148" s="1">
        <v>0</v>
      </c>
      <c r="O148" s="1">
        <v>2</v>
      </c>
      <c r="P148" s="1">
        <v>1.5</v>
      </c>
      <c r="Q148" s="1">
        <v>2</v>
      </c>
      <c r="R148" s="5">
        <f t="shared" si="22"/>
        <v>1.8333333333333333</v>
      </c>
      <c r="S148" s="5">
        <f t="shared" si="23"/>
        <v>0</v>
      </c>
      <c r="T148" s="5">
        <f t="shared" si="24"/>
        <v>1.8333333333333333</v>
      </c>
      <c r="U148" s="33">
        <f t="shared" si="17"/>
        <v>4.6963913319543305E-2</v>
      </c>
      <c r="V148" s="48">
        <f t="shared" si="18"/>
        <v>0</v>
      </c>
      <c r="W148" s="48">
        <f t="shared" si="19"/>
        <v>0</v>
      </c>
    </row>
    <row r="149" spans="1:23" ht="14.25" customHeight="1" x14ac:dyDescent="0.3">
      <c r="A149" s="1" t="s">
        <v>62</v>
      </c>
      <c r="B149" s="1">
        <v>7</v>
      </c>
      <c r="C149" s="1" t="s">
        <v>762</v>
      </c>
      <c r="D149" s="50">
        <v>2</v>
      </c>
      <c r="E149" s="56">
        <f t="shared" si="21"/>
        <v>1.0001999800039989</v>
      </c>
      <c r="F149" s="10">
        <v>23</v>
      </c>
      <c r="G149" s="10">
        <v>2</v>
      </c>
      <c r="H149" s="10">
        <v>3</v>
      </c>
      <c r="I149" s="1">
        <v>3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9</v>
      </c>
      <c r="P149" s="1">
        <v>3</v>
      </c>
      <c r="Q149" s="1">
        <v>6</v>
      </c>
      <c r="R149" s="5">
        <f t="shared" si="22"/>
        <v>3</v>
      </c>
      <c r="S149" s="5">
        <f t="shared" si="23"/>
        <v>0</v>
      </c>
      <c r="T149" s="5">
        <f t="shared" si="24"/>
        <v>6</v>
      </c>
      <c r="U149" s="33">
        <f t="shared" si="17"/>
        <v>0.27004250158737397</v>
      </c>
      <c r="V149" s="48">
        <f t="shared" si="18"/>
        <v>0.58512416594840833</v>
      </c>
      <c r="W149" s="48">
        <f t="shared" si="19"/>
        <v>3.4525107684250069</v>
      </c>
    </row>
    <row r="150" spans="1:23" ht="14.25" customHeight="1" x14ac:dyDescent="0.3">
      <c r="A150" s="1" t="s">
        <v>62</v>
      </c>
      <c r="B150" s="1">
        <v>8</v>
      </c>
      <c r="C150" s="1" t="s">
        <v>760</v>
      </c>
      <c r="D150" s="50">
        <v>8</v>
      </c>
      <c r="E150" s="56">
        <f t="shared" si="21"/>
        <v>1.0031948963187562</v>
      </c>
      <c r="F150" s="10">
        <v>27</v>
      </c>
      <c r="G150" s="10">
        <v>4</v>
      </c>
      <c r="H150" s="10">
        <v>0</v>
      </c>
      <c r="I150" s="1">
        <v>4</v>
      </c>
      <c r="J150" s="1">
        <v>2</v>
      </c>
      <c r="K150" s="1">
        <v>1</v>
      </c>
      <c r="L150" s="1">
        <v>6</v>
      </c>
      <c r="M150" s="1">
        <v>8</v>
      </c>
      <c r="N150" s="1">
        <v>0</v>
      </c>
      <c r="O150" s="1">
        <v>11</v>
      </c>
      <c r="P150" s="1">
        <v>90</v>
      </c>
      <c r="Q150" s="1">
        <v>1</v>
      </c>
      <c r="R150" s="5">
        <f t="shared" si="22"/>
        <v>2.3333333333333335</v>
      </c>
      <c r="S150" s="5">
        <f t="shared" si="23"/>
        <v>4.666666666666667</v>
      </c>
      <c r="T150" s="5">
        <f t="shared" si="24"/>
        <v>34</v>
      </c>
      <c r="U150" s="33">
        <f t="shared" si="17"/>
        <v>0.31795563276621347</v>
      </c>
      <c r="V150" s="48">
        <f t="shared" si="18"/>
        <v>1.1737524269693853</v>
      </c>
      <c r="W150" s="48">
        <f t="shared" si="19"/>
        <v>0</v>
      </c>
    </row>
    <row r="151" spans="1:23" ht="14.25" customHeight="1" x14ac:dyDescent="0.3">
      <c r="A151" s="1" t="s">
        <v>62</v>
      </c>
      <c r="B151" s="1">
        <v>8</v>
      </c>
      <c r="C151" s="1" t="s">
        <v>761</v>
      </c>
      <c r="D151" s="50">
        <v>8</v>
      </c>
      <c r="E151" s="56">
        <f t="shared" si="21"/>
        <v>1.0031948963187562</v>
      </c>
      <c r="F151" s="10">
        <v>17</v>
      </c>
      <c r="G151" s="10">
        <v>5</v>
      </c>
      <c r="H151" s="10">
        <v>0</v>
      </c>
      <c r="I151" s="1">
        <v>2</v>
      </c>
      <c r="J151" s="1">
        <v>3</v>
      </c>
      <c r="K151" s="1">
        <v>2</v>
      </c>
      <c r="L151" s="1">
        <v>2</v>
      </c>
      <c r="M151" s="1">
        <v>8</v>
      </c>
      <c r="N151" s="1">
        <v>7</v>
      </c>
      <c r="O151" s="1">
        <v>4</v>
      </c>
      <c r="P151" s="1">
        <v>23</v>
      </c>
      <c r="Q151" s="1">
        <v>10</v>
      </c>
      <c r="R151" s="5">
        <f t="shared" si="22"/>
        <v>2.3333333333333335</v>
      </c>
      <c r="S151" s="5">
        <f t="shared" si="23"/>
        <v>5.666666666666667</v>
      </c>
      <c r="T151" s="5">
        <f t="shared" si="24"/>
        <v>12.333333333333334</v>
      </c>
      <c r="U151" s="33">
        <f t="shared" si="17"/>
        <v>0.20019428729724553</v>
      </c>
      <c r="V151" s="48">
        <f t="shared" si="18"/>
        <v>1.4671905337117319</v>
      </c>
      <c r="W151" s="48">
        <f t="shared" si="19"/>
        <v>0</v>
      </c>
    </row>
    <row r="152" spans="1:23" ht="14.25" customHeight="1" x14ac:dyDescent="0.3">
      <c r="A152" s="1" t="s">
        <v>62</v>
      </c>
      <c r="B152" s="1">
        <v>8</v>
      </c>
      <c r="C152" s="1" t="s">
        <v>101</v>
      </c>
      <c r="D152" s="50">
        <v>8</v>
      </c>
      <c r="E152" s="56">
        <f t="shared" si="21"/>
        <v>1.0031948963187562</v>
      </c>
      <c r="F152" s="10">
        <v>14</v>
      </c>
      <c r="G152" s="10">
        <v>6</v>
      </c>
      <c r="H152" s="10">
        <v>3</v>
      </c>
      <c r="I152" s="1">
        <v>2</v>
      </c>
      <c r="J152" s="1">
        <v>4</v>
      </c>
      <c r="K152" s="1">
        <v>4</v>
      </c>
      <c r="L152" s="1">
        <v>4</v>
      </c>
      <c r="M152" s="1">
        <v>5</v>
      </c>
      <c r="N152" s="1">
        <v>0</v>
      </c>
      <c r="O152" s="1">
        <v>7</v>
      </c>
      <c r="P152" s="1">
        <v>9</v>
      </c>
      <c r="Q152" s="1">
        <v>4</v>
      </c>
      <c r="R152" s="5">
        <f t="shared" si="22"/>
        <v>3.3333333333333335</v>
      </c>
      <c r="S152" s="5">
        <f t="shared" si="23"/>
        <v>3</v>
      </c>
      <c r="T152" s="5">
        <f t="shared" si="24"/>
        <v>6.666666666666667</v>
      </c>
      <c r="U152" s="33">
        <f t="shared" si="17"/>
        <v>0.16486588365655513</v>
      </c>
      <c r="V152" s="48">
        <f t="shared" si="18"/>
        <v>1.7606286404540785</v>
      </c>
      <c r="W152" s="48">
        <f t="shared" si="19"/>
        <v>3.4628486818762654</v>
      </c>
    </row>
    <row r="153" spans="1:23" ht="14.25" customHeight="1" x14ac:dyDescent="0.3">
      <c r="A153" s="1" t="s">
        <v>62</v>
      </c>
      <c r="B153" s="1">
        <v>8</v>
      </c>
      <c r="C153" s="1" t="s">
        <v>762</v>
      </c>
      <c r="D153" s="50">
        <v>8</v>
      </c>
      <c r="E153" s="56">
        <f t="shared" si="21"/>
        <v>1.0031948963187562</v>
      </c>
      <c r="F153" s="10">
        <v>12</v>
      </c>
      <c r="G153" s="10">
        <v>2</v>
      </c>
      <c r="H153" s="10">
        <v>1</v>
      </c>
      <c r="I153" s="1">
        <v>0.1</v>
      </c>
      <c r="J153" s="1">
        <v>4</v>
      </c>
      <c r="K153" s="1">
        <v>1</v>
      </c>
      <c r="L153" s="1">
        <v>0</v>
      </c>
      <c r="M153" s="1">
        <v>0</v>
      </c>
      <c r="N153" s="1">
        <v>0</v>
      </c>
      <c r="O153" s="1">
        <v>0.1</v>
      </c>
      <c r="P153" s="1">
        <v>4</v>
      </c>
      <c r="Q153" s="1">
        <v>1</v>
      </c>
      <c r="R153" s="5">
        <f t="shared" si="22"/>
        <v>1.7</v>
      </c>
      <c r="S153" s="5">
        <f t="shared" si="23"/>
        <v>0</v>
      </c>
      <c r="T153" s="5">
        <f t="shared" si="24"/>
        <v>1.7</v>
      </c>
      <c r="U153" s="33">
        <f t="shared" si="17"/>
        <v>0.14131361456276156</v>
      </c>
      <c r="V153" s="48">
        <f t="shared" si="18"/>
        <v>0.58687621348469265</v>
      </c>
      <c r="W153" s="48">
        <f t="shared" si="19"/>
        <v>1.1542828939587551</v>
      </c>
    </row>
    <row r="154" spans="1:23" ht="14.25" customHeight="1" x14ac:dyDescent="0.3">
      <c r="A154" s="1" t="s">
        <v>62</v>
      </c>
      <c r="B154">
        <v>9</v>
      </c>
      <c r="C154" s="1" t="s">
        <v>760</v>
      </c>
      <c r="D154" s="59">
        <v>16</v>
      </c>
      <c r="E154" s="56">
        <f t="shared" si="21"/>
        <v>1.0127191120937731</v>
      </c>
      <c r="F154" s="10">
        <v>2</v>
      </c>
      <c r="G154" s="10">
        <v>1</v>
      </c>
      <c r="H154" s="10">
        <v>0</v>
      </c>
      <c r="I154" s="10">
        <v>0</v>
      </c>
      <c r="J154" s="10">
        <v>0.1</v>
      </c>
      <c r="K154" s="10">
        <v>0.1</v>
      </c>
      <c r="L154" s="10">
        <v>0</v>
      </c>
      <c r="M154" s="10">
        <v>0</v>
      </c>
      <c r="N154" s="10">
        <v>0</v>
      </c>
      <c r="O154" s="10">
        <v>0</v>
      </c>
      <c r="P154" s="10">
        <v>0.1</v>
      </c>
      <c r="Q154" s="10">
        <v>0.1</v>
      </c>
      <c r="R154" s="5">
        <f t="shared" si="22"/>
        <v>6.6666666666666666E-2</v>
      </c>
      <c r="S154" s="5">
        <f t="shared" si="23"/>
        <v>0</v>
      </c>
      <c r="T154" s="5">
        <f t="shared" si="24"/>
        <v>6.6666666666666666E-2</v>
      </c>
      <c r="U154" s="33">
        <f t="shared" si="17"/>
        <v>2.3775871599810802E-2</v>
      </c>
      <c r="V154" s="48">
        <f t="shared" si="18"/>
        <v>0.29622397403042966</v>
      </c>
      <c r="W154" s="48">
        <f t="shared" si="19"/>
        <v>0</v>
      </c>
    </row>
    <row r="155" spans="1:23" ht="14.25" customHeight="1" x14ac:dyDescent="0.3">
      <c r="A155" s="1" t="s">
        <v>62</v>
      </c>
      <c r="B155">
        <v>9</v>
      </c>
      <c r="C155" s="1" t="s">
        <v>761</v>
      </c>
      <c r="D155" s="59">
        <v>16</v>
      </c>
      <c r="E155" s="56">
        <f t="shared" si="21"/>
        <v>1.0127191120937731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0.1</v>
      </c>
      <c r="L155" s="10">
        <v>0</v>
      </c>
      <c r="M155" s="10">
        <v>0</v>
      </c>
      <c r="N155" s="10">
        <v>0</v>
      </c>
      <c r="O155" s="10">
        <v>1</v>
      </c>
      <c r="P155" s="10">
        <v>2</v>
      </c>
      <c r="Q155" s="10">
        <v>0.1</v>
      </c>
      <c r="R155" s="5">
        <f t="shared" si="22"/>
        <v>3.3333333333333333E-2</v>
      </c>
      <c r="S155" s="5">
        <f t="shared" si="23"/>
        <v>0</v>
      </c>
      <c r="T155" s="5">
        <f t="shared" si="24"/>
        <v>1.0333333333333334</v>
      </c>
      <c r="U155" s="33">
        <f t="shared" si="17"/>
        <v>0</v>
      </c>
      <c r="V155" s="48">
        <f t="shared" si="18"/>
        <v>0</v>
      </c>
      <c r="W155" s="48">
        <f t="shared" si="19"/>
        <v>0</v>
      </c>
    </row>
    <row r="156" spans="1:23" ht="14.25" customHeight="1" x14ac:dyDescent="0.3">
      <c r="A156" s="1" t="s">
        <v>62</v>
      </c>
      <c r="B156">
        <v>9</v>
      </c>
      <c r="C156" s="1" t="s">
        <v>101</v>
      </c>
      <c r="D156" s="59">
        <v>16</v>
      </c>
      <c r="E156" s="56">
        <f t="shared" si="21"/>
        <v>1.0127191120937731</v>
      </c>
      <c r="F156" s="10">
        <v>0</v>
      </c>
      <c r="G156" s="10">
        <v>2</v>
      </c>
      <c r="H156" s="10">
        <v>0</v>
      </c>
      <c r="I156" s="10">
        <v>0</v>
      </c>
      <c r="J156" s="10">
        <v>0.1</v>
      </c>
      <c r="K156" s="10">
        <v>0.1</v>
      </c>
      <c r="L156" s="10">
        <v>0</v>
      </c>
      <c r="M156" s="10">
        <v>0</v>
      </c>
      <c r="N156" s="10">
        <v>0</v>
      </c>
      <c r="O156" s="10">
        <v>0</v>
      </c>
      <c r="P156" s="10">
        <v>0.1</v>
      </c>
      <c r="Q156" s="10">
        <v>0.1</v>
      </c>
      <c r="R156" s="5">
        <f t="shared" si="22"/>
        <v>6.6666666666666666E-2</v>
      </c>
      <c r="S156" s="5">
        <f t="shared" si="23"/>
        <v>0</v>
      </c>
      <c r="T156" s="5">
        <f t="shared" si="24"/>
        <v>6.6666666666666666E-2</v>
      </c>
      <c r="U156" s="33">
        <f t="shared" si="17"/>
        <v>0</v>
      </c>
      <c r="V156" s="48">
        <f t="shared" si="18"/>
        <v>0.59244794806085932</v>
      </c>
      <c r="W156" s="48">
        <f t="shared" si="19"/>
        <v>0</v>
      </c>
    </row>
    <row r="157" spans="1:23" ht="14.25" customHeight="1" x14ac:dyDescent="0.3">
      <c r="A157" s="1" t="s">
        <v>62</v>
      </c>
      <c r="B157">
        <v>9</v>
      </c>
      <c r="C157" s="1" t="s">
        <v>762</v>
      </c>
      <c r="D157" s="59">
        <v>16</v>
      </c>
      <c r="E157" s="56">
        <f t="shared" si="21"/>
        <v>1.0127191120937731</v>
      </c>
      <c r="F157" s="10">
        <v>3</v>
      </c>
      <c r="G157" s="10">
        <v>0</v>
      </c>
      <c r="H157" s="10">
        <v>0</v>
      </c>
      <c r="I157" s="10">
        <v>0.1</v>
      </c>
      <c r="J157" s="10">
        <v>0</v>
      </c>
      <c r="K157" s="10">
        <v>0.1</v>
      </c>
      <c r="L157" s="10">
        <v>0</v>
      </c>
      <c r="M157" s="10">
        <v>0</v>
      </c>
      <c r="N157" s="10">
        <v>0</v>
      </c>
      <c r="O157" s="10">
        <v>0.1</v>
      </c>
      <c r="P157" s="10">
        <v>0</v>
      </c>
      <c r="Q157" s="10">
        <v>0.1</v>
      </c>
      <c r="R157" s="5">
        <f t="shared" si="22"/>
        <v>6.6666666666666666E-2</v>
      </c>
      <c r="S157" s="5">
        <f t="shared" si="23"/>
        <v>0</v>
      </c>
      <c r="T157" s="5">
        <f t="shared" si="24"/>
        <v>6.6666666666666666E-2</v>
      </c>
      <c r="U157" s="33">
        <f t="shared" si="17"/>
        <v>3.566380739971621E-2</v>
      </c>
      <c r="V157" s="48">
        <f t="shared" si="18"/>
        <v>0</v>
      </c>
      <c r="W157" s="48">
        <f t="shared" si="19"/>
        <v>0</v>
      </c>
    </row>
    <row r="158" spans="1:23" ht="14.25" customHeight="1" x14ac:dyDescent="0.3">
      <c r="A158" s="1" t="s">
        <v>62</v>
      </c>
      <c r="B158">
        <v>10</v>
      </c>
      <c r="C158" s="1" t="s">
        <v>760</v>
      </c>
      <c r="D158" s="59">
        <v>10</v>
      </c>
      <c r="E158" s="56">
        <f t="shared" si="21"/>
        <v>1.004987562112089</v>
      </c>
      <c r="F158" s="10">
        <v>1</v>
      </c>
      <c r="G158" s="10">
        <v>1</v>
      </c>
      <c r="H158" s="10">
        <v>1</v>
      </c>
      <c r="I158" s="10">
        <v>8</v>
      </c>
      <c r="J158" s="10">
        <v>4</v>
      </c>
      <c r="K158" s="10">
        <v>1</v>
      </c>
      <c r="L158" s="10">
        <v>0</v>
      </c>
      <c r="M158" s="10">
        <v>0</v>
      </c>
      <c r="N158" s="10">
        <v>0</v>
      </c>
      <c r="O158" s="10">
        <v>8</v>
      </c>
      <c r="P158" s="10">
        <v>4</v>
      </c>
      <c r="Q158" s="10">
        <v>1</v>
      </c>
      <c r="R158" s="5">
        <f t="shared" si="22"/>
        <v>4.333333333333333</v>
      </c>
      <c r="S158" s="5">
        <f t="shared" si="23"/>
        <v>0</v>
      </c>
      <c r="T158" s="5">
        <f t="shared" si="24"/>
        <v>4.333333333333333</v>
      </c>
      <c r="U158" s="33">
        <f t="shared" si="17"/>
        <v>1.1797177988861434E-2</v>
      </c>
      <c r="V158" s="48">
        <f t="shared" si="18"/>
        <v>0.29396246791917013</v>
      </c>
      <c r="W158" s="48">
        <f t="shared" si="19"/>
        <v>1.1563455474545234</v>
      </c>
    </row>
    <row r="159" spans="1:23" ht="14.25" customHeight="1" x14ac:dyDescent="0.3">
      <c r="A159" s="1" t="s">
        <v>62</v>
      </c>
      <c r="B159">
        <v>10</v>
      </c>
      <c r="C159" s="1" t="s">
        <v>761</v>
      </c>
      <c r="D159" s="59">
        <v>10</v>
      </c>
      <c r="E159" s="56">
        <f t="shared" si="21"/>
        <v>1.004987562112089</v>
      </c>
      <c r="F159" s="10">
        <v>0</v>
      </c>
      <c r="G159" s="10">
        <v>0</v>
      </c>
      <c r="H159" s="10">
        <v>1</v>
      </c>
      <c r="I159" s="10">
        <v>17</v>
      </c>
      <c r="J159" s="10">
        <v>4</v>
      </c>
      <c r="K159" s="10">
        <v>6</v>
      </c>
      <c r="L159" s="10">
        <v>0</v>
      </c>
      <c r="M159" s="10">
        <v>0</v>
      </c>
      <c r="N159" s="10">
        <v>0</v>
      </c>
      <c r="O159" s="10">
        <v>23</v>
      </c>
      <c r="P159" s="10">
        <v>4</v>
      </c>
      <c r="Q159" s="10">
        <v>6</v>
      </c>
      <c r="R159" s="5">
        <f t="shared" si="22"/>
        <v>9</v>
      </c>
      <c r="S159" s="5">
        <f t="shared" si="23"/>
        <v>0</v>
      </c>
      <c r="T159" s="5">
        <f t="shared" si="24"/>
        <v>11</v>
      </c>
      <c r="U159" s="33">
        <f t="shared" si="17"/>
        <v>0</v>
      </c>
      <c r="V159" s="48">
        <f t="shared" si="18"/>
        <v>0</v>
      </c>
      <c r="W159" s="48">
        <f t="shared" si="19"/>
        <v>1.1563455474545234</v>
      </c>
    </row>
    <row r="160" spans="1:23" ht="14.25" customHeight="1" x14ac:dyDescent="0.3">
      <c r="A160" s="1" t="s">
        <v>62</v>
      </c>
      <c r="B160">
        <v>10</v>
      </c>
      <c r="C160" s="1" t="s">
        <v>101</v>
      </c>
      <c r="D160" s="59">
        <v>10</v>
      </c>
      <c r="E160" s="56">
        <f t="shared" si="21"/>
        <v>1.004987562112089</v>
      </c>
      <c r="F160" s="10">
        <v>7</v>
      </c>
      <c r="G160" s="10">
        <v>6</v>
      </c>
      <c r="H160" s="10">
        <v>1</v>
      </c>
      <c r="I160" s="10">
        <v>1</v>
      </c>
      <c r="J160" s="10">
        <v>3</v>
      </c>
      <c r="K160" s="10">
        <v>1</v>
      </c>
      <c r="L160" s="10">
        <v>0</v>
      </c>
      <c r="M160" s="10">
        <v>0</v>
      </c>
      <c r="N160" s="10">
        <v>0</v>
      </c>
      <c r="O160" s="10">
        <v>1</v>
      </c>
      <c r="P160" s="10">
        <v>3</v>
      </c>
      <c r="Q160" s="10">
        <v>3</v>
      </c>
      <c r="R160" s="5">
        <f t="shared" si="22"/>
        <v>1.6666666666666667</v>
      </c>
      <c r="S160" s="5">
        <f t="shared" si="23"/>
        <v>0</v>
      </c>
      <c r="T160" s="5">
        <f t="shared" si="24"/>
        <v>2.3333333333333335</v>
      </c>
      <c r="U160" s="33">
        <f t="shared" si="17"/>
        <v>8.2580245922030046E-2</v>
      </c>
      <c r="V160" s="48">
        <f t="shared" si="18"/>
        <v>1.7637748075150212</v>
      </c>
      <c r="W160" s="48">
        <f t="shared" si="19"/>
        <v>1.1563455474545234</v>
      </c>
    </row>
    <row r="161" spans="1:23" ht="14.25" customHeight="1" x14ac:dyDescent="0.3">
      <c r="A161" s="1" t="s">
        <v>62</v>
      </c>
      <c r="B161">
        <v>10</v>
      </c>
      <c r="C161" s="1" t="s">
        <v>762</v>
      </c>
      <c r="D161" s="59">
        <v>10</v>
      </c>
      <c r="E161" s="56">
        <f t="shared" si="21"/>
        <v>1.004987562112089</v>
      </c>
      <c r="F161" s="10">
        <v>2</v>
      </c>
      <c r="G161" s="10">
        <v>0</v>
      </c>
      <c r="H161" s="10">
        <v>0</v>
      </c>
      <c r="I161" s="10">
        <v>1</v>
      </c>
      <c r="J161" s="10">
        <v>0.1</v>
      </c>
      <c r="K161" s="10">
        <v>0.1</v>
      </c>
      <c r="L161" s="10">
        <v>0</v>
      </c>
      <c r="M161" s="10">
        <v>0</v>
      </c>
      <c r="N161" s="10">
        <v>0</v>
      </c>
      <c r="O161" s="10">
        <v>1</v>
      </c>
      <c r="P161" s="10">
        <v>3</v>
      </c>
      <c r="Q161" s="10">
        <v>3</v>
      </c>
      <c r="R161" s="5">
        <f t="shared" si="22"/>
        <v>0.40000000000000008</v>
      </c>
      <c r="S161" s="5">
        <f t="shared" si="23"/>
        <v>0</v>
      </c>
      <c r="T161" s="5">
        <f t="shared" si="24"/>
        <v>2.3333333333333335</v>
      </c>
      <c r="U161" s="33">
        <f t="shared" si="17"/>
        <v>2.3594355977722869E-2</v>
      </c>
      <c r="V161" s="48">
        <f t="shared" si="18"/>
        <v>0</v>
      </c>
      <c r="W161" s="48">
        <f t="shared" si="19"/>
        <v>0</v>
      </c>
    </row>
    <row r="162" spans="1:23" ht="14.25" customHeight="1" x14ac:dyDescent="0.3">
      <c r="A162" s="1" t="s">
        <v>62</v>
      </c>
      <c r="B162">
        <v>11</v>
      </c>
      <c r="C162" s="1" t="s">
        <v>760</v>
      </c>
      <c r="D162" s="59">
        <v>10</v>
      </c>
      <c r="E162" s="56">
        <f t="shared" si="21"/>
        <v>1.004987562112089</v>
      </c>
      <c r="F162" s="10">
        <v>0</v>
      </c>
      <c r="G162" s="10">
        <v>0</v>
      </c>
      <c r="H162" s="10">
        <v>0</v>
      </c>
      <c r="I162" s="10">
        <v>0.1</v>
      </c>
      <c r="J162" s="10">
        <v>1</v>
      </c>
      <c r="K162" s="10">
        <v>0.1</v>
      </c>
      <c r="L162" s="10">
        <v>0</v>
      </c>
      <c r="M162" s="10">
        <v>0</v>
      </c>
      <c r="N162" s="10">
        <v>0</v>
      </c>
      <c r="O162" s="10">
        <v>0.1</v>
      </c>
      <c r="P162" s="10">
        <v>1</v>
      </c>
      <c r="Q162" s="10">
        <v>1</v>
      </c>
      <c r="R162" s="5">
        <f t="shared" si="22"/>
        <v>0.40000000000000008</v>
      </c>
      <c r="S162" s="5">
        <f t="shared" si="23"/>
        <v>0</v>
      </c>
      <c r="T162" s="5">
        <f t="shared" si="24"/>
        <v>0.70000000000000007</v>
      </c>
      <c r="U162" s="33">
        <f t="shared" si="17"/>
        <v>0</v>
      </c>
      <c r="V162" s="48">
        <f t="shared" si="18"/>
        <v>0</v>
      </c>
      <c r="W162" s="48">
        <f t="shared" si="19"/>
        <v>0</v>
      </c>
    </row>
    <row r="163" spans="1:23" ht="14.25" customHeight="1" x14ac:dyDescent="0.3">
      <c r="A163" s="1" t="s">
        <v>62</v>
      </c>
      <c r="B163">
        <v>11</v>
      </c>
      <c r="C163" s="1" t="s">
        <v>761</v>
      </c>
      <c r="D163" s="59">
        <v>10</v>
      </c>
      <c r="E163" s="56">
        <f t="shared" si="21"/>
        <v>1.004987562112089</v>
      </c>
      <c r="F163" s="10">
        <v>0</v>
      </c>
      <c r="G163" s="10">
        <v>0</v>
      </c>
      <c r="H163" s="10">
        <v>0</v>
      </c>
      <c r="I163" s="10">
        <v>1</v>
      </c>
      <c r="J163" s="10">
        <v>2</v>
      </c>
      <c r="K163" s="10">
        <v>0.1</v>
      </c>
      <c r="L163" s="10">
        <v>0</v>
      </c>
      <c r="M163" s="10">
        <v>0</v>
      </c>
      <c r="N163" s="10">
        <v>0</v>
      </c>
      <c r="O163" s="10">
        <v>1</v>
      </c>
      <c r="P163" s="10">
        <v>2</v>
      </c>
      <c r="Q163" s="10">
        <v>0.1</v>
      </c>
      <c r="R163" s="5">
        <f t="shared" si="22"/>
        <v>1.0333333333333334</v>
      </c>
      <c r="S163" s="5">
        <f t="shared" si="23"/>
        <v>0</v>
      </c>
      <c r="T163" s="5">
        <f t="shared" si="24"/>
        <v>1.0333333333333334</v>
      </c>
      <c r="U163" s="33">
        <f t="shared" si="17"/>
        <v>0</v>
      </c>
      <c r="V163" s="48">
        <f t="shared" si="18"/>
        <v>0</v>
      </c>
      <c r="W163" s="48">
        <f t="shared" si="19"/>
        <v>0</v>
      </c>
    </row>
    <row r="164" spans="1:23" ht="14.25" customHeight="1" x14ac:dyDescent="0.3">
      <c r="A164" s="1" t="s">
        <v>62</v>
      </c>
      <c r="B164">
        <v>11</v>
      </c>
      <c r="C164" s="1" t="s">
        <v>101</v>
      </c>
      <c r="D164" s="59">
        <v>10</v>
      </c>
      <c r="E164" s="56">
        <f t="shared" si="21"/>
        <v>1.004987562112089</v>
      </c>
      <c r="F164" s="10">
        <v>45</v>
      </c>
      <c r="G164" s="10">
        <v>14</v>
      </c>
      <c r="H164" s="10">
        <v>9</v>
      </c>
      <c r="I164" s="10">
        <v>3</v>
      </c>
      <c r="J164" s="10">
        <v>4</v>
      </c>
      <c r="K164" s="10">
        <v>3</v>
      </c>
      <c r="L164" s="10">
        <v>0</v>
      </c>
      <c r="M164" s="10">
        <v>0</v>
      </c>
      <c r="N164" s="10">
        <v>0</v>
      </c>
      <c r="O164" s="10">
        <v>5</v>
      </c>
      <c r="P164" s="10">
        <v>4</v>
      </c>
      <c r="Q164" s="10">
        <v>5</v>
      </c>
      <c r="R164" s="5">
        <f t="shared" si="22"/>
        <v>3.3333333333333335</v>
      </c>
      <c r="S164" s="5">
        <f t="shared" si="23"/>
        <v>0</v>
      </c>
      <c r="T164" s="5">
        <f t="shared" si="24"/>
        <v>4.666666666666667</v>
      </c>
      <c r="U164" s="33">
        <f t="shared" si="17"/>
        <v>0.53087300949876459</v>
      </c>
      <c r="V164" s="48">
        <f t="shared" si="18"/>
        <v>4.1154745508683819</v>
      </c>
      <c r="W164" s="48">
        <f t="shared" si="19"/>
        <v>10.40710992709071</v>
      </c>
    </row>
    <row r="165" spans="1:23" ht="14.25" customHeight="1" x14ac:dyDescent="0.3">
      <c r="A165" s="1" t="s">
        <v>62</v>
      </c>
      <c r="B165">
        <v>11</v>
      </c>
      <c r="C165" s="1" t="s">
        <v>762</v>
      </c>
      <c r="D165" s="59">
        <v>10</v>
      </c>
      <c r="E165" s="56">
        <f t="shared" si="21"/>
        <v>1.004987562112089</v>
      </c>
      <c r="F165" s="10">
        <v>0</v>
      </c>
      <c r="G165" s="10">
        <v>0</v>
      </c>
      <c r="H165" s="10">
        <v>0</v>
      </c>
      <c r="I165" s="10">
        <v>1</v>
      </c>
      <c r="J165" s="10">
        <v>0.1</v>
      </c>
      <c r="K165" s="10">
        <v>1</v>
      </c>
      <c r="L165" s="10">
        <v>0</v>
      </c>
      <c r="M165" s="10">
        <v>0</v>
      </c>
      <c r="N165" s="10">
        <v>0</v>
      </c>
      <c r="O165" s="10">
        <v>1</v>
      </c>
      <c r="P165" s="10">
        <v>0.1</v>
      </c>
      <c r="Q165" s="10">
        <v>1</v>
      </c>
      <c r="R165" s="5">
        <f t="shared" si="22"/>
        <v>0.70000000000000007</v>
      </c>
      <c r="S165" s="5">
        <f t="shared" si="23"/>
        <v>0</v>
      </c>
      <c r="T165" s="5">
        <f t="shared" si="24"/>
        <v>0.70000000000000007</v>
      </c>
      <c r="U165" s="33">
        <f t="shared" si="17"/>
        <v>0</v>
      </c>
      <c r="V165" s="48">
        <f t="shared" si="18"/>
        <v>0</v>
      </c>
      <c r="W165" s="48">
        <f t="shared" si="19"/>
        <v>0</v>
      </c>
    </row>
    <row r="166" spans="1:23" ht="14.25" customHeight="1" x14ac:dyDescent="0.3">
      <c r="A166" s="1" t="s">
        <v>62</v>
      </c>
      <c r="B166" s="1">
        <v>12</v>
      </c>
      <c r="C166" s="1" t="s">
        <v>760</v>
      </c>
      <c r="D166" s="50">
        <v>8</v>
      </c>
      <c r="E166" s="56">
        <f t="shared" si="21"/>
        <v>1.0031948963187562</v>
      </c>
      <c r="F166" s="10">
        <v>23</v>
      </c>
      <c r="G166" s="10">
        <v>8</v>
      </c>
      <c r="H166" s="10">
        <v>0</v>
      </c>
      <c r="I166" s="1">
        <v>1</v>
      </c>
      <c r="J166" s="1">
        <v>3</v>
      </c>
      <c r="K166" s="1">
        <v>0.1</v>
      </c>
      <c r="L166" s="1">
        <v>0</v>
      </c>
      <c r="M166" s="1">
        <v>0</v>
      </c>
      <c r="N166" s="1">
        <v>0</v>
      </c>
      <c r="O166" s="1">
        <v>1</v>
      </c>
      <c r="P166" s="1">
        <v>3</v>
      </c>
      <c r="Q166" s="1">
        <v>1</v>
      </c>
      <c r="R166" s="5">
        <f t="shared" si="22"/>
        <v>1.3666666666666665</v>
      </c>
      <c r="S166" s="5">
        <f t="shared" si="23"/>
        <v>0</v>
      </c>
      <c r="T166" s="5">
        <f t="shared" si="24"/>
        <v>1.6666666666666667</v>
      </c>
      <c r="U166" s="33">
        <f t="shared" si="17"/>
        <v>0.27085109457862633</v>
      </c>
      <c r="V166" s="48">
        <f t="shared" si="18"/>
        <v>2.3475048539387706</v>
      </c>
      <c r="W166" s="48">
        <f t="shared" si="19"/>
        <v>0</v>
      </c>
    </row>
    <row r="167" spans="1:23" ht="14.25" customHeight="1" x14ac:dyDescent="0.3">
      <c r="A167" s="1" t="s">
        <v>62</v>
      </c>
      <c r="B167" s="1">
        <v>12</v>
      </c>
      <c r="C167" s="1" t="s">
        <v>761</v>
      </c>
      <c r="D167" s="50">
        <v>8</v>
      </c>
      <c r="E167" s="56">
        <f t="shared" si="21"/>
        <v>1.0031948963187562</v>
      </c>
      <c r="F167" s="10">
        <v>2</v>
      </c>
      <c r="G167" s="10">
        <v>4</v>
      </c>
      <c r="H167" s="10">
        <v>1</v>
      </c>
      <c r="I167" s="1">
        <v>1</v>
      </c>
      <c r="J167" s="1">
        <v>0.1</v>
      </c>
      <c r="K167" s="1">
        <v>1</v>
      </c>
      <c r="L167" s="1">
        <v>0</v>
      </c>
      <c r="M167" s="1">
        <v>0</v>
      </c>
      <c r="N167" s="1">
        <v>0</v>
      </c>
      <c r="O167" s="1">
        <v>1</v>
      </c>
      <c r="P167" s="1">
        <v>46</v>
      </c>
      <c r="Q167" s="1">
        <v>24</v>
      </c>
      <c r="R167" s="5">
        <f t="shared" si="22"/>
        <v>0.70000000000000007</v>
      </c>
      <c r="S167" s="5">
        <f t="shared" si="23"/>
        <v>0</v>
      </c>
      <c r="T167" s="5">
        <f t="shared" si="24"/>
        <v>23.666666666666668</v>
      </c>
      <c r="U167" s="33">
        <f t="shared" si="17"/>
        <v>2.3552269093793592E-2</v>
      </c>
      <c r="V167" s="48">
        <f t="shared" si="18"/>
        <v>1.1737524269693853</v>
      </c>
      <c r="W167" s="48">
        <f t="shared" si="19"/>
        <v>1.1542828939587551</v>
      </c>
    </row>
    <row r="168" spans="1:23" ht="14.25" customHeight="1" x14ac:dyDescent="0.3">
      <c r="A168" s="1" t="s">
        <v>62</v>
      </c>
      <c r="B168" s="1">
        <v>12</v>
      </c>
      <c r="C168" s="1" t="s">
        <v>101</v>
      </c>
      <c r="D168" s="50">
        <v>8</v>
      </c>
      <c r="E168" s="56">
        <f t="shared" si="21"/>
        <v>1.0031948963187562</v>
      </c>
      <c r="F168" s="10">
        <v>31</v>
      </c>
      <c r="G168" s="10">
        <v>30</v>
      </c>
      <c r="H168" s="10">
        <v>10</v>
      </c>
      <c r="I168" s="1">
        <v>0.1</v>
      </c>
      <c r="J168" s="1">
        <v>0.1</v>
      </c>
      <c r="K168" s="1">
        <v>3</v>
      </c>
      <c r="L168" s="1">
        <v>0</v>
      </c>
      <c r="M168" s="1">
        <v>0</v>
      </c>
      <c r="N168" s="1">
        <v>0</v>
      </c>
      <c r="O168" s="1">
        <v>0.1</v>
      </c>
      <c r="P168" s="1">
        <v>2</v>
      </c>
      <c r="Q168" s="1">
        <v>3</v>
      </c>
      <c r="R168" s="5">
        <f t="shared" si="22"/>
        <v>1.0666666666666667</v>
      </c>
      <c r="S168" s="5">
        <f t="shared" si="23"/>
        <v>0</v>
      </c>
      <c r="T168" s="5">
        <f t="shared" si="24"/>
        <v>1.7</v>
      </c>
      <c r="U168" s="33">
        <f t="shared" si="17"/>
        <v>0.36506017095380072</v>
      </c>
      <c r="V168" s="48">
        <f t="shared" si="18"/>
        <v>8.8031432022703928</v>
      </c>
      <c r="W168" s="48">
        <f t="shared" si="19"/>
        <v>11.542828939587549</v>
      </c>
    </row>
    <row r="169" spans="1:23" ht="14.25" customHeight="1" x14ac:dyDescent="0.3">
      <c r="A169" s="1" t="s">
        <v>62</v>
      </c>
      <c r="B169" s="1">
        <v>12</v>
      </c>
      <c r="C169" s="1" t="s">
        <v>762</v>
      </c>
      <c r="D169" s="50">
        <v>8</v>
      </c>
      <c r="E169" s="56">
        <f t="shared" si="21"/>
        <v>1.0031948963187562</v>
      </c>
      <c r="F169" s="10">
        <v>10</v>
      </c>
      <c r="G169" s="10">
        <v>7</v>
      </c>
      <c r="H169" s="10">
        <v>4</v>
      </c>
      <c r="I169" s="1">
        <v>5</v>
      </c>
      <c r="J169" s="1">
        <v>0.1</v>
      </c>
      <c r="K169" s="1">
        <v>5</v>
      </c>
      <c r="L169" s="1">
        <v>0</v>
      </c>
      <c r="M169" s="1">
        <v>0</v>
      </c>
      <c r="N169" s="1">
        <v>0</v>
      </c>
      <c r="O169" s="1">
        <v>21</v>
      </c>
      <c r="P169" s="1">
        <v>0.1</v>
      </c>
      <c r="Q169" s="1">
        <v>5</v>
      </c>
      <c r="R169" s="5">
        <f t="shared" si="22"/>
        <v>3.3666666666666667</v>
      </c>
      <c r="S169" s="5">
        <f t="shared" si="23"/>
        <v>0</v>
      </c>
      <c r="T169" s="5">
        <f t="shared" si="24"/>
        <v>8.7000000000000011</v>
      </c>
      <c r="U169" s="33">
        <f t="shared" si="17"/>
        <v>0.11776134546896797</v>
      </c>
      <c r="V169" s="48">
        <f t="shared" si="18"/>
        <v>2.0540667471964245</v>
      </c>
      <c r="W169" s="48">
        <f t="shared" si="19"/>
        <v>4.6171315758350202</v>
      </c>
    </row>
    <row r="170" spans="1:23" ht="14.25" customHeight="1" x14ac:dyDescent="0.3">
      <c r="A170" s="1" t="s">
        <v>62</v>
      </c>
      <c r="B170">
        <v>13</v>
      </c>
      <c r="C170" t="s">
        <v>760</v>
      </c>
      <c r="D170" s="60">
        <v>10</v>
      </c>
      <c r="E170" s="56">
        <f t="shared" si="21"/>
        <v>1.004987562112089</v>
      </c>
      <c r="F170" s="10">
        <v>1</v>
      </c>
      <c r="G170" s="10">
        <v>0</v>
      </c>
      <c r="H170" s="10">
        <v>0</v>
      </c>
      <c r="I170" s="10">
        <v>0</v>
      </c>
      <c r="J170" s="10">
        <v>0</v>
      </c>
      <c r="K170" s="10">
        <v>3</v>
      </c>
      <c r="L170" s="10">
        <v>0</v>
      </c>
      <c r="M170" s="10">
        <v>0</v>
      </c>
      <c r="N170" s="10">
        <v>0</v>
      </c>
      <c r="O170" s="10">
        <v>2</v>
      </c>
      <c r="P170" s="10">
        <v>0</v>
      </c>
      <c r="Q170" s="10">
        <v>3</v>
      </c>
      <c r="R170" s="5">
        <f t="shared" si="22"/>
        <v>1</v>
      </c>
      <c r="S170" s="5">
        <f t="shared" si="23"/>
        <v>0</v>
      </c>
      <c r="T170" s="5">
        <f t="shared" si="24"/>
        <v>1.6666666666666667</v>
      </c>
      <c r="U170" s="33">
        <f t="shared" si="17"/>
        <v>1.1797177988861434E-2</v>
      </c>
      <c r="V170" s="48">
        <f t="shared" si="18"/>
        <v>0</v>
      </c>
      <c r="W170" s="48">
        <f t="shared" si="19"/>
        <v>0</v>
      </c>
    </row>
    <row r="171" spans="1:23" ht="14.25" customHeight="1" x14ac:dyDescent="0.3">
      <c r="A171" s="1" t="s">
        <v>62</v>
      </c>
      <c r="B171">
        <v>13</v>
      </c>
      <c r="C171" t="s">
        <v>761</v>
      </c>
      <c r="D171" s="60">
        <v>10</v>
      </c>
      <c r="E171" s="56">
        <f t="shared" si="21"/>
        <v>1.004987562112089</v>
      </c>
      <c r="F171" s="10">
        <v>2</v>
      </c>
      <c r="G171" s="10">
        <v>5</v>
      </c>
      <c r="H171" s="10">
        <v>5</v>
      </c>
      <c r="I171" s="10">
        <v>1</v>
      </c>
      <c r="J171" s="10">
        <v>1</v>
      </c>
      <c r="K171" s="10">
        <v>1</v>
      </c>
      <c r="L171" s="10">
        <v>0</v>
      </c>
      <c r="M171" s="10">
        <v>0</v>
      </c>
      <c r="N171" s="10">
        <v>0</v>
      </c>
      <c r="O171" s="10">
        <v>46</v>
      </c>
      <c r="P171" s="10">
        <v>1</v>
      </c>
      <c r="Q171" s="10">
        <v>21</v>
      </c>
      <c r="R171" s="5">
        <f t="shared" si="22"/>
        <v>1</v>
      </c>
      <c r="S171" s="5">
        <f t="shared" si="23"/>
        <v>0</v>
      </c>
      <c r="T171" s="5">
        <f t="shared" si="24"/>
        <v>22.666666666666668</v>
      </c>
      <c r="U171" s="33">
        <f t="shared" si="17"/>
        <v>2.3594355977722869E-2</v>
      </c>
      <c r="V171" s="48">
        <f t="shared" si="18"/>
        <v>1.4698123395958509</v>
      </c>
      <c r="W171" s="48">
        <f t="shared" si="19"/>
        <v>5.7817277372726172</v>
      </c>
    </row>
    <row r="172" spans="1:23" ht="14.25" customHeight="1" x14ac:dyDescent="0.3">
      <c r="A172" s="1" t="s">
        <v>62</v>
      </c>
      <c r="B172">
        <v>13</v>
      </c>
      <c r="C172" t="s">
        <v>101</v>
      </c>
      <c r="D172" s="60">
        <v>10</v>
      </c>
      <c r="E172" s="56">
        <f t="shared" si="21"/>
        <v>1.004987562112089</v>
      </c>
      <c r="F172" s="10">
        <v>0</v>
      </c>
      <c r="G172" s="10">
        <v>0</v>
      </c>
      <c r="H172" s="10">
        <v>0</v>
      </c>
      <c r="I172" s="10">
        <v>0</v>
      </c>
      <c r="J172" s="10">
        <v>3</v>
      </c>
      <c r="K172" s="10">
        <v>4</v>
      </c>
      <c r="L172" s="10">
        <v>0</v>
      </c>
      <c r="M172" s="10">
        <v>0</v>
      </c>
      <c r="N172" s="10">
        <v>0</v>
      </c>
      <c r="O172" s="10">
        <v>16</v>
      </c>
      <c r="P172" s="10">
        <v>3</v>
      </c>
      <c r="Q172" s="10">
        <v>4</v>
      </c>
      <c r="R172" s="5">
        <f t="shared" si="22"/>
        <v>2.3333333333333335</v>
      </c>
      <c r="S172" s="5">
        <f t="shared" si="23"/>
        <v>0</v>
      </c>
      <c r="T172" s="5">
        <f t="shared" si="24"/>
        <v>7.666666666666667</v>
      </c>
      <c r="U172" s="33">
        <f t="shared" si="17"/>
        <v>0</v>
      </c>
      <c r="V172" s="48">
        <f t="shared" si="18"/>
        <v>0</v>
      </c>
      <c r="W172" s="48">
        <f t="shared" si="19"/>
        <v>0</v>
      </c>
    </row>
    <row r="173" spans="1:23" ht="14.25" customHeight="1" x14ac:dyDescent="0.3">
      <c r="A173" s="1" t="s">
        <v>62</v>
      </c>
      <c r="B173">
        <v>13</v>
      </c>
      <c r="C173" t="s">
        <v>762</v>
      </c>
      <c r="D173" s="60">
        <v>10</v>
      </c>
      <c r="E173" s="56">
        <f t="shared" si="21"/>
        <v>1.004987562112089</v>
      </c>
      <c r="F173" s="10">
        <v>3</v>
      </c>
      <c r="G173" s="10">
        <v>4</v>
      </c>
      <c r="H173" s="10">
        <v>1</v>
      </c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2</v>
      </c>
      <c r="R173" s="5">
        <f t="shared" si="22"/>
        <v>0.33333333333333331</v>
      </c>
      <c r="S173" s="5">
        <f t="shared" si="23"/>
        <v>0</v>
      </c>
      <c r="T173" s="5">
        <f t="shared" si="24"/>
        <v>0.66666666666666663</v>
      </c>
      <c r="U173" s="33">
        <f t="shared" si="17"/>
        <v>3.5391533966584308E-2</v>
      </c>
      <c r="V173" s="48">
        <f t="shared" si="18"/>
        <v>1.1758498716766805</v>
      </c>
      <c r="W173" s="48">
        <f t="shared" si="19"/>
        <v>1.1563455474545234</v>
      </c>
    </row>
    <row r="174" spans="1:23" ht="14.25" customHeight="1" x14ac:dyDescent="0.3">
      <c r="A174" s="1" t="s">
        <v>62</v>
      </c>
      <c r="B174">
        <v>14</v>
      </c>
      <c r="C174" s="1" t="s">
        <v>760</v>
      </c>
      <c r="D174" s="60">
        <v>10</v>
      </c>
      <c r="E174" s="56">
        <f t="shared" si="21"/>
        <v>1.004987562112089</v>
      </c>
      <c r="F174" s="10">
        <v>0</v>
      </c>
      <c r="G174" s="10">
        <v>0</v>
      </c>
      <c r="H174" s="10">
        <v>0</v>
      </c>
      <c r="I174" s="10">
        <v>0.1</v>
      </c>
      <c r="J174" s="10">
        <v>1</v>
      </c>
      <c r="K174" s="10">
        <v>0.1</v>
      </c>
      <c r="L174" s="10">
        <v>0</v>
      </c>
      <c r="M174" s="10">
        <v>0</v>
      </c>
      <c r="N174" s="10">
        <v>0</v>
      </c>
      <c r="O174" s="10">
        <v>0.1</v>
      </c>
      <c r="P174" s="10">
        <v>1</v>
      </c>
      <c r="Q174" s="10">
        <v>6</v>
      </c>
      <c r="R174" s="5">
        <f t="shared" si="22"/>
        <v>0.40000000000000008</v>
      </c>
      <c r="S174" s="5">
        <f t="shared" si="23"/>
        <v>0</v>
      </c>
      <c r="T174" s="5">
        <f t="shared" si="24"/>
        <v>2.3666666666666667</v>
      </c>
      <c r="U174" s="33">
        <f t="shared" si="17"/>
        <v>0</v>
      </c>
      <c r="V174" s="48">
        <f t="shared" si="18"/>
        <v>0</v>
      </c>
      <c r="W174" s="48">
        <f t="shared" si="19"/>
        <v>0</v>
      </c>
    </row>
    <row r="175" spans="1:23" ht="14.25" customHeight="1" x14ac:dyDescent="0.3">
      <c r="A175" s="1" t="s">
        <v>62</v>
      </c>
      <c r="B175">
        <v>14</v>
      </c>
      <c r="C175" s="1" t="s">
        <v>761</v>
      </c>
      <c r="D175" s="60">
        <v>10</v>
      </c>
      <c r="E175" s="56">
        <f t="shared" si="21"/>
        <v>1.004987562112089</v>
      </c>
      <c r="F175" s="10">
        <v>0</v>
      </c>
      <c r="G175" s="10">
        <v>0</v>
      </c>
      <c r="H175" s="10">
        <v>0</v>
      </c>
      <c r="I175" s="10">
        <v>2</v>
      </c>
      <c r="J175" s="10">
        <v>0.1</v>
      </c>
      <c r="K175" s="10">
        <v>0</v>
      </c>
      <c r="L175" s="10">
        <v>0</v>
      </c>
      <c r="M175" s="10">
        <v>0</v>
      </c>
      <c r="N175" s="10">
        <v>0</v>
      </c>
      <c r="O175" s="10">
        <v>2</v>
      </c>
      <c r="P175" s="10">
        <v>1</v>
      </c>
      <c r="Q175" s="10">
        <v>0</v>
      </c>
      <c r="R175" s="5">
        <f t="shared" si="22"/>
        <v>0.70000000000000007</v>
      </c>
      <c r="S175" s="5">
        <f t="shared" si="23"/>
        <v>0</v>
      </c>
      <c r="T175" s="5">
        <f t="shared" si="24"/>
        <v>1</v>
      </c>
      <c r="U175" s="33">
        <f t="shared" si="17"/>
        <v>0</v>
      </c>
      <c r="V175" s="48">
        <f t="shared" si="18"/>
        <v>0</v>
      </c>
      <c r="W175" s="48">
        <f t="shared" si="19"/>
        <v>0</v>
      </c>
    </row>
    <row r="176" spans="1:23" ht="14.25" customHeight="1" x14ac:dyDescent="0.3">
      <c r="A176" s="1" t="s">
        <v>62</v>
      </c>
      <c r="B176">
        <v>14</v>
      </c>
      <c r="C176" s="1" t="s">
        <v>101</v>
      </c>
      <c r="D176" s="60">
        <v>10</v>
      </c>
      <c r="E176" s="56">
        <f t="shared" si="21"/>
        <v>1.004987562112089</v>
      </c>
      <c r="F176" s="10">
        <v>8</v>
      </c>
      <c r="G176" s="10">
        <v>9</v>
      </c>
      <c r="H176" s="10">
        <v>0</v>
      </c>
      <c r="I176" s="10">
        <v>0.1</v>
      </c>
      <c r="J176" s="10">
        <v>2</v>
      </c>
      <c r="K176" s="10">
        <v>2</v>
      </c>
      <c r="L176" s="10">
        <v>0</v>
      </c>
      <c r="M176" s="10">
        <v>0</v>
      </c>
      <c r="N176" s="10">
        <v>0</v>
      </c>
      <c r="O176" s="1">
        <v>0.1</v>
      </c>
      <c r="P176">
        <v>6</v>
      </c>
      <c r="Q176">
        <v>2</v>
      </c>
      <c r="R176" s="5">
        <f t="shared" si="22"/>
        <v>1.3666666666666665</v>
      </c>
      <c r="S176" s="5">
        <f t="shared" si="23"/>
        <v>0</v>
      </c>
      <c r="T176" s="5">
        <f t="shared" si="24"/>
        <v>2.6999999999999997</v>
      </c>
      <c r="U176" s="33">
        <f t="shared" si="17"/>
        <v>9.4377423910891475E-2</v>
      </c>
      <c r="V176" s="48">
        <f t="shared" si="18"/>
        <v>2.6456622112725308</v>
      </c>
      <c r="W176" s="48">
        <f t="shared" si="19"/>
        <v>0</v>
      </c>
    </row>
    <row r="177" spans="1:23" ht="14.25" customHeight="1" x14ac:dyDescent="0.3">
      <c r="A177" s="1" t="s">
        <v>62</v>
      </c>
      <c r="B177">
        <v>14</v>
      </c>
      <c r="C177" s="1" t="s">
        <v>762</v>
      </c>
      <c r="D177" s="60">
        <v>10</v>
      </c>
      <c r="E177" s="56">
        <f t="shared" si="21"/>
        <v>1.004987562112089</v>
      </c>
      <c r="F177" s="10">
        <v>1</v>
      </c>
      <c r="G177" s="10">
        <v>0</v>
      </c>
      <c r="H177" s="10">
        <v>0</v>
      </c>
      <c r="I177" s="10">
        <v>0.1</v>
      </c>
      <c r="J177" s="1">
        <v>0.1</v>
      </c>
      <c r="K177">
        <v>4</v>
      </c>
      <c r="L177">
        <v>0</v>
      </c>
      <c r="M177">
        <v>0</v>
      </c>
      <c r="N177">
        <v>0</v>
      </c>
      <c r="O177">
        <v>0.1</v>
      </c>
      <c r="P177">
        <v>0.1</v>
      </c>
      <c r="Q177">
        <v>4</v>
      </c>
      <c r="R177" s="5">
        <f t="shared" si="22"/>
        <v>1.4000000000000001</v>
      </c>
      <c r="S177" s="5">
        <f t="shared" si="23"/>
        <v>0</v>
      </c>
      <c r="T177" s="5">
        <f t="shared" si="24"/>
        <v>1.4000000000000001</v>
      </c>
      <c r="U177" s="33">
        <f t="shared" si="17"/>
        <v>1.1797177988861434E-2</v>
      </c>
      <c r="V177" s="48">
        <f t="shared" si="18"/>
        <v>0</v>
      </c>
      <c r="W177" s="48">
        <f t="shared" si="19"/>
        <v>0</v>
      </c>
    </row>
    <row r="178" spans="1:23" ht="14.25" customHeight="1" x14ac:dyDescent="0.3">
      <c r="A178" s="1" t="s">
        <v>62</v>
      </c>
      <c r="B178">
        <v>15</v>
      </c>
      <c r="C178" s="1" t="s">
        <v>760</v>
      </c>
      <c r="D178" s="60">
        <v>10</v>
      </c>
      <c r="E178" s="56">
        <f t="shared" si="21"/>
        <v>1.004987562112089</v>
      </c>
      <c r="F178" s="10">
        <v>0</v>
      </c>
      <c r="G178" s="10">
        <v>1</v>
      </c>
      <c r="H178" s="10">
        <v>2</v>
      </c>
      <c r="I178" s="10">
        <v>3</v>
      </c>
      <c r="J178" s="10">
        <v>0</v>
      </c>
      <c r="K178" s="10">
        <v>2</v>
      </c>
      <c r="L178" s="10">
        <v>0</v>
      </c>
      <c r="M178" s="10">
        <v>0</v>
      </c>
      <c r="N178" s="10">
        <v>0</v>
      </c>
      <c r="O178" s="10">
        <v>3</v>
      </c>
      <c r="P178" s="10">
        <v>100</v>
      </c>
      <c r="Q178" s="10">
        <v>2</v>
      </c>
      <c r="R178" s="5">
        <f t="shared" si="22"/>
        <v>1.6666666666666667</v>
      </c>
      <c r="S178" s="5">
        <f t="shared" si="23"/>
        <v>0</v>
      </c>
      <c r="T178" s="5">
        <f t="shared" si="24"/>
        <v>35</v>
      </c>
      <c r="U178" s="33">
        <f t="shared" si="17"/>
        <v>0</v>
      </c>
      <c r="V178" s="48">
        <f t="shared" si="18"/>
        <v>0.29396246791917013</v>
      </c>
      <c r="W178" s="48">
        <f t="shared" si="19"/>
        <v>2.3126910949090469</v>
      </c>
    </row>
    <row r="179" spans="1:23" ht="14.25" customHeight="1" x14ac:dyDescent="0.3">
      <c r="A179" s="1" t="s">
        <v>62</v>
      </c>
      <c r="B179">
        <v>15</v>
      </c>
      <c r="C179" s="1" t="s">
        <v>761</v>
      </c>
      <c r="D179" s="60">
        <v>10</v>
      </c>
      <c r="E179" s="56">
        <f t="shared" si="21"/>
        <v>1.004987562112089</v>
      </c>
      <c r="F179" s="10">
        <v>13</v>
      </c>
      <c r="G179" s="10">
        <v>2</v>
      </c>
      <c r="H179" s="10">
        <v>1</v>
      </c>
      <c r="I179" s="10">
        <v>2</v>
      </c>
      <c r="J179" s="10">
        <v>3</v>
      </c>
      <c r="K179" s="10">
        <v>3</v>
      </c>
      <c r="L179" s="10">
        <v>0</v>
      </c>
      <c r="M179" s="10">
        <v>0</v>
      </c>
      <c r="N179" s="10">
        <v>0</v>
      </c>
      <c r="O179" s="10">
        <v>128</v>
      </c>
      <c r="P179" s="10">
        <v>3</v>
      </c>
      <c r="Q179" s="10">
        <v>3</v>
      </c>
      <c r="R179" s="5">
        <f t="shared" si="22"/>
        <v>2.6666666666666665</v>
      </c>
      <c r="S179" s="5">
        <f t="shared" si="23"/>
        <v>0</v>
      </c>
      <c r="T179" s="5">
        <f t="shared" si="24"/>
        <v>44.666666666666664</v>
      </c>
      <c r="U179" s="33">
        <f t="shared" si="17"/>
        <v>0.15336331385519861</v>
      </c>
      <c r="V179" s="48">
        <f t="shared" si="18"/>
        <v>0.58792493583834027</v>
      </c>
      <c r="W179" s="48">
        <f t="shared" si="19"/>
        <v>1.1563455474545234</v>
      </c>
    </row>
    <row r="180" spans="1:23" ht="14.25" customHeight="1" x14ac:dyDescent="0.3">
      <c r="A180" s="1" t="s">
        <v>62</v>
      </c>
      <c r="B180">
        <v>15</v>
      </c>
      <c r="C180" s="1" t="s">
        <v>101</v>
      </c>
      <c r="D180" s="60">
        <v>10</v>
      </c>
      <c r="E180" s="56">
        <f t="shared" si="21"/>
        <v>1.004987562112089</v>
      </c>
      <c r="F180" s="10">
        <v>5</v>
      </c>
      <c r="G180" s="10">
        <v>0</v>
      </c>
      <c r="H180" s="10">
        <v>0</v>
      </c>
      <c r="I180" s="10">
        <v>2</v>
      </c>
      <c r="J180" s="10">
        <v>1</v>
      </c>
      <c r="K180" s="10">
        <v>4</v>
      </c>
      <c r="L180" s="10">
        <v>0</v>
      </c>
      <c r="M180" s="10">
        <v>0</v>
      </c>
      <c r="N180" s="10">
        <v>0</v>
      </c>
      <c r="O180" s="10">
        <v>2</v>
      </c>
      <c r="P180" s="10">
        <v>2</v>
      </c>
      <c r="Q180" s="10">
        <v>4</v>
      </c>
      <c r="R180" s="5">
        <f t="shared" si="22"/>
        <v>2.3333333333333335</v>
      </c>
      <c r="S180" s="5">
        <f t="shared" si="23"/>
        <v>0</v>
      </c>
      <c r="T180" s="5">
        <f t="shared" si="24"/>
        <v>2.6666666666666665</v>
      </c>
      <c r="U180" s="33">
        <f t="shared" si="17"/>
        <v>5.8985889944307174E-2</v>
      </c>
      <c r="V180" s="48">
        <f t="shared" si="18"/>
        <v>0</v>
      </c>
      <c r="W180" s="48">
        <f t="shared" si="19"/>
        <v>0</v>
      </c>
    </row>
    <row r="181" spans="1:23" ht="14.25" customHeight="1" x14ac:dyDescent="0.3">
      <c r="A181" s="1" t="s">
        <v>62</v>
      </c>
      <c r="B181">
        <v>15</v>
      </c>
      <c r="C181" s="1" t="s">
        <v>762</v>
      </c>
      <c r="D181" s="60">
        <v>10</v>
      </c>
      <c r="E181" s="56">
        <f t="shared" si="21"/>
        <v>1.004987562112089</v>
      </c>
      <c r="F181" s="10">
        <v>6</v>
      </c>
      <c r="G181" s="10">
        <v>0</v>
      </c>
      <c r="H181" s="10">
        <v>0</v>
      </c>
      <c r="I181" s="10">
        <v>5</v>
      </c>
      <c r="J181" s="10">
        <v>2</v>
      </c>
      <c r="K181" s="10">
        <v>1</v>
      </c>
      <c r="L181" s="10">
        <v>0</v>
      </c>
      <c r="M181" s="10">
        <v>0</v>
      </c>
      <c r="N181" s="10">
        <v>0</v>
      </c>
      <c r="O181" s="10">
        <v>5</v>
      </c>
      <c r="P181" s="10">
        <v>5</v>
      </c>
      <c r="Q181" s="10">
        <v>1</v>
      </c>
      <c r="R181" s="5">
        <f t="shared" si="22"/>
        <v>2.6666666666666665</v>
      </c>
      <c r="S181" s="5">
        <f t="shared" si="23"/>
        <v>0</v>
      </c>
      <c r="T181" s="5">
        <f t="shared" si="24"/>
        <v>3.6666666666666665</v>
      </c>
      <c r="U181" s="33">
        <f t="shared" si="17"/>
        <v>7.0783067933168617E-2</v>
      </c>
      <c r="V181" s="48">
        <f t="shared" si="18"/>
        <v>0</v>
      </c>
      <c r="W181" s="48">
        <f t="shared" si="19"/>
        <v>0</v>
      </c>
    </row>
    <row r="182" spans="1:23" ht="14.25" customHeight="1" x14ac:dyDescent="0.3">
      <c r="A182" s="1" t="s">
        <v>62</v>
      </c>
      <c r="B182">
        <v>16</v>
      </c>
      <c r="C182" s="1" t="s">
        <v>760</v>
      </c>
      <c r="D182" s="60">
        <v>19</v>
      </c>
      <c r="E182" s="56">
        <f t="shared" si="21"/>
        <v>1.0178899744078433</v>
      </c>
      <c r="F182" s="10">
        <v>2</v>
      </c>
      <c r="G182" s="10">
        <v>2</v>
      </c>
      <c r="H182" s="10">
        <v>0</v>
      </c>
      <c r="I182" s="10">
        <v>3</v>
      </c>
      <c r="J182" s="10">
        <v>6</v>
      </c>
      <c r="K182" s="10">
        <v>4</v>
      </c>
      <c r="L182" s="10">
        <v>0</v>
      </c>
      <c r="M182" s="10">
        <v>0</v>
      </c>
      <c r="N182" s="10">
        <v>0</v>
      </c>
      <c r="O182" s="10">
        <v>3</v>
      </c>
      <c r="P182" s="10">
        <v>6</v>
      </c>
      <c r="Q182" s="10">
        <v>5</v>
      </c>
      <c r="R182" s="5">
        <f t="shared" si="22"/>
        <v>4.333333333333333</v>
      </c>
      <c r="S182" s="5">
        <f t="shared" si="23"/>
        <v>0</v>
      </c>
      <c r="T182" s="5">
        <f t="shared" si="24"/>
        <v>4.666666666666667</v>
      </c>
      <c r="U182" s="33">
        <f t="shared" si="17"/>
        <v>2.3897269287453386E-2</v>
      </c>
      <c r="V182" s="48">
        <f t="shared" si="18"/>
        <v>0.59547293962178927</v>
      </c>
      <c r="W182" s="48">
        <f t="shared" si="19"/>
        <v>0</v>
      </c>
    </row>
    <row r="183" spans="1:23" ht="14.25" customHeight="1" x14ac:dyDescent="0.3">
      <c r="A183" s="1" t="s">
        <v>62</v>
      </c>
      <c r="B183">
        <v>16</v>
      </c>
      <c r="C183" s="1" t="s">
        <v>761</v>
      </c>
      <c r="D183" s="60">
        <v>19</v>
      </c>
      <c r="E183" s="56">
        <f t="shared" si="21"/>
        <v>1.0178899744078433</v>
      </c>
      <c r="F183" s="10">
        <v>1</v>
      </c>
      <c r="G183" s="10">
        <v>0</v>
      </c>
      <c r="H183" s="10">
        <v>0</v>
      </c>
      <c r="I183" s="10">
        <v>4</v>
      </c>
      <c r="J183" s="10">
        <v>2</v>
      </c>
      <c r="K183" s="10">
        <v>8</v>
      </c>
      <c r="L183" s="10">
        <v>0</v>
      </c>
      <c r="M183" s="10">
        <v>0</v>
      </c>
      <c r="N183" s="10">
        <v>0</v>
      </c>
      <c r="O183" s="10">
        <v>4</v>
      </c>
      <c r="P183" s="10">
        <v>2</v>
      </c>
      <c r="Q183" s="10">
        <v>8</v>
      </c>
      <c r="R183" s="5">
        <f t="shared" si="22"/>
        <v>4.666666666666667</v>
      </c>
      <c r="S183" s="5">
        <f t="shared" si="23"/>
        <v>0</v>
      </c>
      <c r="T183" s="5">
        <f t="shared" si="24"/>
        <v>4.666666666666667</v>
      </c>
      <c r="U183" s="33">
        <f t="shared" si="17"/>
        <v>1.1948634643726693E-2</v>
      </c>
      <c r="V183" s="48">
        <f t="shared" si="18"/>
        <v>0</v>
      </c>
      <c r="W183" s="48">
        <f t="shared" si="19"/>
        <v>0</v>
      </c>
    </row>
    <row r="184" spans="1:23" ht="14.25" customHeight="1" x14ac:dyDescent="0.3">
      <c r="A184" s="1" t="s">
        <v>62</v>
      </c>
      <c r="B184">
        <v>16</v>
      </c>
      <c r="C184" s="1" t="s">
        <v>101</v>
      </c>
      <c r="D184" s="60">
        <v>19</v>
      </c>
      <c r="E184" s="56">
        <f t="shared" si="21"/>
        <v>1.0178899744078433</v>
      </c>
      <c r="F184" s="10">
        <v>3</v>
      </c>
      <c r="G184" s="10">
        <v>2</v>
      </c>
      <c r="H184" s="10">
        <v>0</v>
      </c>
      <c r="I184" s="10">
        <v>3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6</v>
      </c>
      <c r="P184" s="10">
        <v>1</v>
      </c>
      <c r="Q184" s="10">
        <v>0</v>
      </c>
      <c r="R184" s="5">
        <f t="shared" si="22"/>
        <v>1.3333333333333333</v>
      </c>
      <c r="S184" s="5">
        <f t="shared" si="23"/>
        <v>0</v>
      </c>
      <c r="T184" s="5">
        <f t="shared" si="24"/>
        <v>2.3333333333333335</v>
      </c>
      <c r="U184" s="33">
        <f t="shared" si="17"/>
        <v>3.5845903931180083E-2</v>
      </c>
      <c r="V184" s="48">
        <f t="shared" si="18"/>
        <v>0.59547293962178927</v>
      </c>
      <c r="W184" s="48">
        <f t="shared" si="19"/>
        <v>0</v>
      </c>
    </row>
    <row r="185" spans="1:23" ht="14.25" customHeight="1" x14ac:dyDescent="0.3">
      <c r="A185" s="1" t="s">
        <v>62</v>
      </c>
      <c r="B185">
        <v>16</v>
      </c>
      <c r="C185" s="1" t="s">
        <v>762</v>
      </c>
      <c r="D185" s="60">
        <v>19</v>
      </c>
      <c r="E185" s="56">
        <f t="shared" si="21"/>
        <v>1.0178899744078433</v>
      </c>
      <c r="F185" s="10">
        <v>3</v>
      </c>
      <c r="G185" s="10">
        <v>1</v>
      </c>
      <c r="H185" s="10">
        <v>4</v>
      </c>
      <c r="I185" s="10">
        <v>3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10</v>
      </c>
      <c r="P185" s="10">
        <v>7</v>
      </c>
      <c r="Q185" s="10">
        <v>0</v>
      </c>
      <c r="R185" s="5">
        <f t="shared" si="22"/>
        <v>1.3333333333333333</v>
      </c>
      <c r="S185" s="5">
        <f t="shared" si="23"/>
        <v>0</v>
      </c>
      <c r="T185" s="5">
        <f t="shared" si="24"/>
        <v>5.666666666666667</v>
      </c>
      <c r="U185" s="33">
        <f t="shared" si="17"/>
        <v>3.5845903931180083E-2</v>
      </c>
      <c r="V185" s="48">
        <f t="shared" si="18"/>
        <v>0.29773646981089463</v>
      </c>
      <c r="W185" s="48">
        <f t="shared" si="19"/>
        <v>4.6847646043755953</v>
      </c>
    </row>
    <row r="186" spans="1:23" ht="14.25" customHeight="1" x14ac:dyDescent="0.3">
      <c r="A186" s="1" t="s">
        <v>62</v>
      </c>
      <c r="B186">
        <v>17</v>
      </c>
      <c r="C186" s="1" t="s">
        <v>760</v>
      </c>
      <c r="D186" s="60">
        <v>16</v>
      </c>
      <c r="E186" s="56">
        <f t="shared" si="21"/>
        <v>1.0127191120937731</v>
      </c>
      <c r="F186" s="10">
        <v>1</v>
      </c>
      <c r="G186" s="10">
        <v>1</v>
      </c>
      <c r="H186" s="10">
        <v>0</v>
      </c>
      <c r="I186" s="10">
        <v>2</v>
      </c>
      <c r="J186" s="10">
        <v>5</v>
      </c>
      <c r="K186" s="10">
        <v>1</v>
      </c>
      <c r="L186" s="10">
        <v>0</v>
      </c>
      <c r="M186" s="10">
        <v>0</v>
      </c>
      <c r="N186" s="10">
        <v>0</v>
      </c>
      <c r="O186" s="10">
        <v>2</v>
      </c>
      <c r="P186" s="10">
        <v>5</v>
      </c>
      <c r="Q186" s="10">
        <v>7</v>
      </c>
      <c r="R186" s="5">
        <f t="shared" si="22"/>
        <v>2.6666666666666665</v>
      </c>
      <c r="S186" s="5">
        <f t="shared" si="23"/>
        <v>0</v>
      </c>
      <c r="T186" s="5">
        <f t="shared" si="24"/>
        <v>4.666666666666667</v>
      </c>
      <c r="U186" s="33">
        <f t="shared" si="17"/>
        <v>1.1887935799905401E-2</v>
      </c>
      <c r="V186" s="48">
        <f t="shared" si="18"/>
        <v>0.29622397403042966</v>
      </c>
      <c r="W186" s="48">
        <f t="shared" si="19"/>
        <v>0</v>
      </c>
    </row>
    <row r="187" spans="1:23" ht="14.25" customHeight="1" x14ac:dyDescent="0.3">
      <c r="A187" s="1" t="s">
        <v>62</v>
      </c>
      <c r="B187">
        <v>17</v>
      </c>
      <c r="C187" s="1" t="s">
        <v>761</v>
      </c>
      <c r="D187" s="60">
        <v>16</v>
      </c>
      <c r="E187" s="56">
        <f t="shared" si="21"/>
        <v>1.0127191120937731</v>
      </c>
      <c r="F187" s="10">
        <v>14</v>
      </c>
      <c r="G187" s="10">
        <v>2</v>
      </c>
      <c r="H187" s="10">
        <v>0</v>
      </c>
      <c r="I187" s="10">
        <v>3</v>
      </c>
      <c r="J187" s="10">
        <v>1</v>
      </c>
      <c r="K187" s="10">
        <v>3</v>
      </c>
      <c r="L187" s="10">
        <v>0</v>
      </c>
      <c r="M187" s="10">
        <v>0</v>
      </c>
      <c r="N187" s="10">
        <v>0</v>
      </c>
      <c r="O187" s="10">
        <v>3</v>
      </c>
      <c r="P187" s="10">
        <v>3</v>
      </c>
      <c r="Q187" s="10">
        <v>5</v>
      </c>
      <c r="R187" s="5">
        <f t="shared" si="22"/>
        <v>2.3333333333333335</v>
      </c>
      <c r="S187" s="5">
        <f t="shared" si="23"/>
        <v>0</v>
      </c>
      <c r="T187" s="5">
        <f t="shared" si="24"/>
        <v>3.6666666666666665</v>
      </c>
      <c r="U187" s="33">
        <f t="shared" si="17"/>
        <v>0.1664311011986756</v>
      </c>
      <c r="V187" s="48">
        <f t="shared" si="18"/>
        <v>0.59244794806085932</v>
      </c>
      <c r="W187" s="48">
        <f t="shared" si="19"/>
        <v>0</v>
      </c>
    </row>
    <row r="188" spans="1:23" ht="14.25" customHeight="1" x14ac:dyDescent="0.3">
      <c r="A188" s="1" t="s">
        <v>62</v>
      </c>
      <c r="B188">
        <v>17</v>
      </c>
      <c r="C188" s="1" t="s">
        <v>101</v>
      </c>
      <c r="D188" s="60">
        <v>16</v>
      </c>
      <c r="E188" s="56">
        <f t="shared" si="21"/>
        <v>1.0127191120937731</v>
      </c>
      <c r="F188" s="10">
        <v>8</v>
      </c>
      <c r="G188" s="10">
        <v>5</v>
      </c>
      <c r="H188" s="10">
        <v>0</v>
      </c>
      <c r="I188" s="10">
        <v>1</v>
      </c>
      <c r="J188" s="10">
        <v>3</v>
      </c>
      <c r="K188" s="10">
        <v>1</v>
      </c>
      <c r="L188" s="10">
        <v>0</v>
      </c>
      <c r="M188" s="10">
        <v>0</v>
      </c>
      <c r="N188" s="10">
        <v>0</v>
      </c>
      <c r="O188" s="10">
        <v>1</v>
      </c>
      <c r="P188" s="10">
        <v>4</v>
      </c>
      <c r="Q188" s="10">
        <v>1</v>
      </c>
      <c r="R188" s="5">
        <f t="shared" si="22"/>
        <v>1.6666666666666667</v>
      </c>
      <c r="S188" s="5">
        <f t="shared" si="23"/>
        <v>0</v>
      </c>
      <c r="T188" s="5">
        <f t="shared" si="24"/>
        <v>2</v>
      </c>
      <c r="U188" s="33">
        <f t="shared" si="17"/>
        <v>9.5103486399243209E-2</v>
      </c>
      <c r="V188" s="48">
        <f t="shared" si="18"/>
        <v>1.4811198701521484</v>
      </c>
      <c r="W188" s="48">
        <f t="shared" si="19"/>
        <v>0</v>
      </c>
    </row>
    <row r="189" spans="1:23" ht="14.25" customHeight="1" x14ac:dyDescent="0.3">
      <c r="A189" s="1" t="s">
        <v>62</v>
      </c>
      <c r="B189">
        <v>17</v>
      </c>
      <c r="C189" s="1" t="s">
        <v>762</v>
      </c>
      <c r="D189" s="60">
        <v>16</v>
      </c>
      <c r="E189" s="56">
        <f t="shared" si="21"/>
        <v>1.0127191120937731</v>
      </c>
      <c r="F189" s="10">
        <v>3</v>
      </c>
      <c r="G189" s="10">
        <v>0</v>
      </c>
      <c r="H189" s="10">
        <v>0</v>
      </c>
      <c r="I189" s="10">
        <v>1</v>
      </c>
      <c r="J189" s="10">
        <v>3</v>
      </c>
      <c r="K189" s="10">
        <v>1</v>
      </c>
      <c r="L189" s="10">
        <v>0</v>
      </c>
      <c r="M189" s="10">
        <v>0</v>
      </c>
      <c r="N189" s="10">
        <v>0</v>
      </c>
      <c r="O189" s="10">
        <v>1</v>
      </c>
      <c r="P189" s="10">
        <v>3</v>
      </c>
      <c r="Q189" s="10">
        <v>1</v>
      </c>
      <c r="R189" s="5">
        <f t="shared" si="22"/>
        <v>1.6666666666666667</v>
      </c>
      <c r="S189" s="5">
        <f t="shared" si="23"/>
        <v>0</v>
      </c>
      <c r="T189" s="5">
        <f t="shared" si="24"/>
        <v>1.6666666666666667</v>
      </c>
      <c r="U189" s="33">
        <f t="shared" si="17"/>
        <v>3.566380739971621E-2</v>
      </c>
      <c r="V189" s="48">
        <f t="shared" si="18"/>
        <v>0</v>
      </c>
      <c r="W189" s="48">
        <f t="shared" si="19"/>
        <v>0</v>
      </c>
    </row>
    <row r="190" spans="1:23" ht="14.25" customHeight="1" x14ac:dyDescent="0.3">
      <c r="A190" s="1" t="s">
        <v>62</v>
      </c>
      <c r="B190">
        <v>18</v>
      </c>
      <c r="C190" s="1" t="s">
        <v>760</v>
      </c>
      <c r="D190" s="60">
        <v>10</v>
      </c>
      <c r="E190" s="56">
        <f t="shared" si="21"/>
        <v>1.004987562112089</v>
      </c>
      <c r="F190" s="10">
        <v>3</v>
      </c>
      <c r="G190" s="10">
        <v>2</v>
      </c>
      <c r="H190" s="10">
        <v>1</v>
      </c>
      <c r="I190" s="10">
        <v>3</v>
      </c>
      <c r="J190" s="10">
        <v>1</v>
      </c>
      <c r="K190" s="10">
        <v>2</v>
      </c>
      <c r="L190" s="10">
        <v>0</v>
      </c>
      <c r="M190" s="10">
        <v>0</v>
      </c>
      <c r="N190" s="10">
        <v>0</v>
      </c>
      <c r="O190" s="10">
        <v>16</v>
      </c>
      <c r="P190" s="10">
        <v>6</v>
      </c>
      <c r="Q190" s="10">
        <v>4</v>
      </c>
      <c r="R190" s="5">
        <f t="shared" si="22"/>
        <v>2</v>
      </c>
      <c r="S190" s="5">
        <f t="shared" si="23"/>
        <v>0</v>
      </c>
      <c r="T190" s="5">
        <f t="shared" si="24"/>
        <v>8.6666666666666661</v>
      </c>
      <c r="U190" s="33">
        <f t="shared" si="17"/>
        <v>3.5391533966584308E-2</v>
      </c>
      <c r="V190" s="48">
        <f t="shared" si="18"/>
        <v>0.58792493583834027</v>
      </c>
      <c r="W190" s="48">
        <f t="shared" si="19"/>
        <v>1.1563455474545234</v>
      </c>
    </row>
    <row r="191" spans="1:23" ht="14.25" customHeight="1" x14ac:dyDescent="0.3">
      <c r="A191" s="1" t="s">
        <v>62</v>
      </c>
      <c r="B191">
        <v>18</v>
      </c>
      <c r="C191" s="1" t="s">
        <v>761</v>
      </c>
      <c r="D191" s="60">
        <v>10</v>
      </c>
      <c r="E191" s="56">
        <f t="shared" si="21"/>
        <v>1.004987562112089</v>
      </c>
      <c r="F191" s="10">
        <v>6</v>
      </c>
      <c r="G191" s="10">
        <v>0</v>
      </c>
      <c r="H191" s="10">
        <v>0</v>
      </c>
      <c r="I191" s="10">
        <v>3</v>
      </c>
      <c r="J191" s="10">
        <v>2</v>
      </c>
      <c r="K191" s="10">
        <v>0.1</v>
      </c>
      <c r="L191" s="10">
        <v>0</v>
      </c>
      <c r="M191" s="10">
        <v>0</v>
      </c>
      <c r="N191" s="10">
        <v>0</v>
      </c>
      <c r="O191" s="10">
        <v>7</v>
      </c>
      <c r="P191" s="10">
        <v>2</v>
      </c>
      <c r="Q191" s="10">
        <v>0.1</v>
      </c>
      <c r="R191" s="5">
        <f t="shared" si="22"/>
        <v>1.7</v>
      </c>
      <c r="S191" s="5">
        <f t="shared" si="23"/>
        <v>0</v>
      </c>
      <c r="T191" s="5">
        <f t="shared" si="24"/>
        <v>3.0333333333333332</v>
      </c>
      <c r="U191" s="33">
        <f t="shared" si="17"/>
        <v>7.0783067933168617E-2</v>
      </c>
      <c r="V191" s="48">
        <f t="shared" si="18"/>
        <v>0</v>
      </c>
      <c r="W191" s="48">
        <f t="shared" si="19"/>
        <v>0</v>
      </c>
    </row>
    <row r="192" spans="1:23" ht="14.25" customHeight="1" x14ac:dyDescent="0.3">
      <c r="A192" s="1" t="s">
        <v>62</v>
      </c>
      <c r="B192">
        <v>18</v>
      </c>
      <c r="C192" s="1" t="s">
        <v>101</v>
      </c>
      <c r="D192" s="60">
        <v>10</v>
      </c>
      <c r="E192" s="56">
        <f t="shared" si="21"/>
        <v>1.004987562112089</v>
      </c>
      <c r="F192" s="10">
        <v>1</v>
      </c>
      <c r="G192" s="10">
        <v>2</v>
      </c>
      <c r="H192" s="10">
        <v>0</v>
      </c>
      <c r="I192" s="10">
        <v>0.1</v>
      </c>
      <c r="J192" s="10">
        <v>1</v>
      </c>
      <c r="K192" s="1">
        <v>0.1</v>
      </c>
      <c r="L192">
        <v>0</v>
      </c>
      <c r="M192">
        <v>0</v>
      </c>
      <c r="N192">
        <v>0</v>
      </c>
      <c r="O192">
        <v>0.1</v>
      </c>
      <c r="P192">
        <v>1</v>
      </c>
      <c r="Q192">
        <v>0.1</v>
      </c>
      <c r="R192" s="5">
        <f t="shared" si="22"/>
        <v>0.40000000000000008</v>
      </c>
      <c r="S192" s="5">
        <f t="shared" si="23"/>
        <v>0</v>
      </c>
      <c r="T192" s="5">
        <f t="shared" si="24"/>
        <v>0.40000000000000008</v>
      </c>
      <c r="U192" s="33">
        <f t="shared" si="17"/>
        <v>1.1797177988861434E-2</v>
      </c>
      <c r="V192" s="48">
        <f t="shared" si="18"/>
        <v>0.58792493583834027</v>
      </c>
      <c r="W192" s="48">
        <f t="shared" si="19"/>
        <v>0</v>
      </c>
    </row>
    <row r="193" spans="1:23" ht="14.25" customHeight="1" x14ac:dyDescent="0.3">
      <c r="A193" s="1" t="s">
        <v>62</v>
      </c>
      <c r="B193">
        <v>18</v>
      </c>
      <c r="C193" s="1" t="s">
        <v>762</v>
      </c>
      <c r="D193" s="60">
        <v>10</v>
      </c>
      <c r="E193" s="56">
        <f t="shared" si="21"/>
        <v>1.004987562112089</v>
      </c>
      <c r="F193" s="10">
        <v>0</v>
      </c>
      <c r="G193" s="10">
        <v>0</v>
      </c>
      <c r="H193" s="10">
        <v>0</v>
      </c>
      <c r="I193" s="10">
        <v>0.1</v>
      </c>
      <c r="J193" s="10">
        <v>0.1</v>
      </c>
      <c r="K193" s="10">
        <v>2</v>
      </c>
      <c r="L193" s="10">
        <v>0</v>
      </c>
      <c r="M193" s="10">
        <v>0</v>
      </c>
      <c r="N193" s="10">
        <v>0</v>
      </c>
      <c r="O193" s="10">
        <v>0.1</v>
      </c>
      <c r="P193" s="10">
        <v>0.1</v>
      </c>
      <c r="Q193" s="10">
        <v>82</v>
      </c>
      <c r="R193" s="5">
        <f t="shared" si="22"/>
        <v>0.73333333333333339</v>
      </c>
      <c r="S193" s="5">
        <f t="shared" si="23"/>
        <v>0</v>
      </c>
      <c r="T193" s="5">
        <f t="shared" si="24"/>
        <v>27.400000000000002</v>
      </c>
      <c r="U193" s="33">
        <f t="shared" si="17"/>
        <v>0</v>
      </c>
      <c r="V193" s="48">
        <f t="shared" si="18"/>
        <v>0</v>
      </c>
      <c r="W193" s="48">
        <f t="shared" si="19"/>
        <v>0</v>
      </c>
    </row>
    <row r="194" spans="1:23" ht="14.25" customHeight="1" x14ac:dyDescent="0.3">
      <c r="A194" s="1" t="s">
        <v>62</v>
      </c>
      <c r="B194">
        <v>19</v>
      </c>
      <c r="C194" s="1" t="s">
        <v>760</v>
      </c>
      <c r="D194" s="60">
        <v>10</v>
      </c>
      <c r="E194" s="56">
        <f t="shared" si="21"/>
        <v>1.004987562112089</v>
      </c>
      <c r="F194" s="10">
        <v>2</v>
      </c>
      <c r="G194" s="10">
        <v>0</v>
      </c>
      <c r="H194" s="10">
        <v>0</v>
      </c>
      <c r="I194" s="10">
        <v>3</v>
      </c>
      <c r="J194" s="10">
        <v>2</v>
      </c>
      <c r="K194" s="10">
        <v>6</v>
      </c>
      <c r="L194" s="10">
        <v>0</v>
      </c>
      <c r="M194" s="10">
        <v>0</v>
      </c>
      <c r="N194" s="10">
        <v>0</v>
      </c>
      <c r="O194" s="10">
        <v>3</v>
      </c>
      <c r="P194" s="10">
        <v>2</v>
      </c>
      <c r="Q194" s="10">
        <v>6</v>
      </c>
      <c r="R194" s="5">
        <f t="shared" si="22"/>
        <v>3.6666666666666665</v>
      </c>
      <c r="S194" s="5">
        <f t="shared" si="23"/>
        <v>0</v>
      </c>
      <c r="T194" s="5">
        <f t="shared" si="24"/>
        <v>3.6666666666666665</v>
      </c>
      <c r="U194" s="33">
        <f t="shared" si="17"/>
        <v>2.3594355977722869E-2</v>
      </c>
      <c r="V194" s="48">
        <f t="shared" si="18"/>
        <v>0</v>
      </c>
      <c r="W194" s="48">
        <f t="shared" si="19"/>
        <v>0</v>
      </c>
    </row>
    <row r="195" spans="1:23" ht="14.25" customHeight="1" x14ac:dyDescent="0.3">
      <c r="A195" s="1" t="s">
        <v>62</v>
      </c>
      <c r="B195">
        <v>19</v>
      </c>
      <c r="C195" s="1" t="s">
        <v>761</v>
      </c>
      <c r="D195" s="60">
        <v>10</v>
      </c>
      <c r="E195" s="56">
        <f t="shared" si="21"/>
        <v>1.004987562112089</v>
      </c>
      <c r="F195" s="10">
        <v>5</v>
      </c>
      <c r="G195" s="10">
        <v>1</v>
      </c>
      <c r="H195" s="10">
        <v>0</v>
      </c>
      <c r="I195" s="10">
        <v>5</v>
      </c>
      <c r="J195" s="10">
        <v>3</v>
      </c>
      <c r="K195" s="10">
        <v>4</v>
      </c>
      <c r="L195" s="10">
        <v>0</v>
      </c>
      <c r="M195" s="10">
        <v>0</v>
      </c>
      <c r="N195" s="10">
        <v>0</v>
      </c>
      <c r="O195" s="10">
        <v>5</v>
      </c>
      <c r="P195" s="10">
        <v>3</v>
      </c>
      <c r="Q195" s="10">
        <v>4</v>
      </c>
      <c r="R195" s="5">
        <f t="shared" si="22"/>
        <v>4</v>
      </c>
      <c r="S195" s="5">
        <f t="shared" si="23"/>
        <v>0</v>
      </c>
      <c r="T195" s="5">
        <f t="shared" si="24"/>
        <v>4</v>
      </c>
      <c r="U195" s="33">
        <f t="shared" si="17"/>
        <v>5.8985889944307174E-2</v>
      </c>
      <c r="V195" s="48">
        <f t="shared" si="18"/>
        <v>0.29396246791917013</v>
      </c>
      <c r="W195" s="48">
        <f t="shared" si="19"/>
        <v>0</v>
      </c>
    </row>
    <row r="196" spans="1:23" ht="14.25" customHeight="1" x14ac:dyDescent="0.3">
      <c r="A196" s="1" t="s">
        <v>62</v>
      </c>
      <c r="B196">
        <v>19</v>
      </c>
      <c r="C196" s="1" t="s">
        <v>101</v>
      </c>
      <c r="D196" s="60">
        <v>10</v>
      </c>
      <c r="E196" s="56">
        <f t="shared" si="21"/>
        <v>1.004987562112089</v>
      </c>
      <c r="F196" s="10">
        <v>1</v>
      </c>
      <c r="G196" s="10">
        <v>1</v>
      </c>
      <c r="H196" s="10">
        <v>0</v>
      </c>
      <c r="I196" s="10">
        <v>4</v>
      </c>
      <c r="J196" s="10">
        <v>8</v>
      </c>
      <c r="K196" s="10">
        <v>3</v>
      </c>
      <c r="L196" s="10">
        <v>0</v>
      </c>
      <c r="M196" s="10">
        <v>0</v>
      </c>
      <c r="N196" s="10">
        <v>0</v>
      </c>
      <c r="O196" s="10">
        <v>4</v>
      </c>
      <c r="P196" s="10">
        <v>8</v>
      </c>
      <c r="Q196" s="10">
        <v>3</v>
      </c>
      <c r="R196" s="5">
        <f t="shared" si="22"/>
        <v>5</v>
      </c>
      <c r="S196" s="5">
        <f t="shared" si="23"/>
        <v>0</v>
      </c>
      <c r="T196" s="5">
        <f t="shared" si="24"/>
        <v>5</v>
      </c>
      <c r="U196" s="33">
        <f t="shared" si="17"/>
        <v>1.1797177988861434E-2</v>
      </c>
      <c r="V196" s="48">
        <f t="shared" si="18"/>
        <v>0.29396246791917013</v>
      </c>
      <c r="W196" s="48">
        <f t="shared" si="19"/>
        <v>0</v>
      </c>
    </row>
    <row r="197" spans="1:23" ht="14.25" customHeight="1" x14ac:dyDescent="0.3">
      <c r="A197" s="1" t="s">
        <v>62</v>
      </c>
      <c r="B197">
        <v>19</v>
      </c>
      <c r="C197" s="1" t="s">
        <v>762</v>
      </c>
      <c r="D197" s="60">
        <v>10</v>
      </c>
      <c r="E197" s="56">
        <f t="shared" si="21"/>
        <v>1.004987562112089</v>
      </c>
      <c r="F197" s="10">
        <v>5</v>
      </c>
      <c r="G197" s="10">
        <v>0</v>
      </c>
      <c r="H197" s="10">
        <v>0</v>
      </c>
      <c r="I197" s="10">
        <v>0.1</v>
      </c>
      <c r="J197" s="10">
        <v>0.1</v>
      </c>
      <c r="K197" s="10">
        <v>0</v>
      </c>
      <c r="L197" s="10">
        <v>0</v>
      </c>
      <c r="M197" s="10">
        <v>0</v>
      </c>
      <c r="N197" s="10">
        <v>0</v>
      </c>
      <c r="O197" s="10">
        <v>0.1</v>
      </c>
      <c r="P197" s="10">
        <v>0.1</v>
      </c>
      <c r="Q197" s="10">
        <v>0</v>
      </c>
      <c r="R197" s="5">
        <f t="shared" si="22"/>
        <v>6.6666666666666666E-2</v>
      </c>
      <c r="S197" s="5">
        <f t="shared" si="23"/>
        <v>0</v>
      </c>
      <c r="T197" s="5">
        <f t="shared" si="24"/>
        <v>6.6666666666666666E-2</v>
      </c>
      <c r="U197" s="33">
        <f t="shared" si="17"/>
        <v>5.8985889944307174E-2</v>
      </c>
      <c r="V197" s="48">
        <f t="shared" si="18"/>
        <v>0</v>
      </c>
      <c r="W197" s="48">
        <f t="shared" si="19"/>
        <v>0</v>
      </c>
    </row>
    <row r="198" spans="1:23" ht="14.25" customHeight="1" x14ac:dyDescent="0.3">
      <c r="A198" s="1" t="s">
        <v>62</v>
      </c>
      <c r="B198">
        <v>20</v>
      </c>
      <c r="C198" s="1" t="s">
        <v>760</v>
      </c>
      <c r="D198" s="60">
        <v>10</v>
      </c>
      <c r="E198" s="56">
        <f t="shared" si="21"/>
        <v>1.004987562112089</v>
      </c>
      <c r="F198" s="10">
        <v>0</v>
      </c>
      <c r="G198" s="10">
        <v>0</v>
      </c>
      <c r="H198" s="10">
        <v>1</v>
      </c>
      <c r="I198" s="10">
        <v>1</v>
      </c>
      <c r="J198" s="10">
        <v>3</v>
      </c>
      <c r="K198" s="10">
        <v>1</v>
      </c>
      <c r="L198" s="10">
        <v>0</v>
      </c>
      <c r="M198" s="10">
        <v>0</v>
      </c>
      <c r="N198" s="10">
        <v>0</v>
      </c>
      <c r="O198" s="10">
        <v>1</v>
      </c>
      <c r="P198" s="10">
        <v>3</v>
      </c>
      <c r="Q198" s="10">
        <v>1</v>
      </c>
      <c r="R198" s="5">
        <f t="shared" si="22"/>
        <v>1.6666666666666667</v>
      </c>
      <c r="S198" s="5">
        <f t="shared" si="23"/>
        <v>0</v>
      </c>
      <c r="T198" s="5">
        <f t="shared" si="24"/>
        <v>1.6666666666666667</v>
      </c>
      <c r="U198" s="33">
        <f t="shared" si="17"/>
        <v>0</v>
      </c>
      <c r="V198" s="48">
        <f t="shared" si="18"/>
        <v>0</v>
      </c>
      <c r="W198" s="48">
        <f t="shared" si="19"/>
        <v>1.1563455474545234</v>
      </c>
    </row>
    <row r="199" spans="1:23" ht="14.25" customHeight="1" x14ac:dyDescent="0.3">
      <c r="A199" s="1" t="s">
        <v>62</v>
      </c>
      <c r="B199">
        <v>20</v>
      </c>
      <c r="C199" s="1" t="s">
        <v>761</v>
      </c>
      <c r="D199" s="60">
        <v>10</v>
      </c>
      <c r="E199" s="56">
        <f t="shared" si="21"/>
        <v>1.004987562112089</v>
      </c>
      <c r="F199" s="10">
        <v>1</v>
      </c>
      <c r="G199" s="10">
        <v>0</v>
      </c>
      <c r="H199" s="10">
        <v>0</v>
      </c>
      <c r="I199" s="10">
        <v>0.1</v>
      </c>
      <c r="J199" s="10">
        <v>0.1</v>
      </c>
      <c r="K199" s="10">
        <v>2</v>
      </c>
      <c r="L199" s="10">
        <v>0</v>
      </c>
      <c r="M199" s="10">
        <v>0</v>
      </c>
      <c r="N199" s="10">
        <v>0</v>
      </c>
      <c r="O199" s="10">
        <v>0.1</v>
      </c>
      <c r="P199" s="10">
        <v>0.1</v>
      </c>
      <c r="Q199" s="10">
        <v>2</v>
      </c>
      <c r="R199" s="5">
        <f t="shared" si="22"/>
        <v>0.73333333333333339</v>
      </c>
      <c r="S199" s="5">
        <f t="shared" si="23"/>
        <v>0</v>
      </c>
      <c r="T199" s="5">
        <f t="shared" si="24"/>
        <v>0.73333333333333339</v>
      </c>
      <c r="U199" s="33">
        <f t="shared" si="17"/>
        <v>1.1797177988861434E-2</v>
      </c>
      <c r="V199" s="48">
        <f t="shared" si="18"/>
        <v>0</v>
      </c>
      <c r="W199" s="48">
        <f t="shared" si="19"/>
        <v>0</v>
      </c>
    </row>
    <row r="200" spans="1:23" ht="14.25" customHeight="1" x14ac:dyDescent="0.3">
      <c r="A200" s="1" t="s">
        <v>62</v>
      </c>
      <c r="B200">
        <v>20</v>
      </c>
      <c r="C200" s="1" t="s">
        <v>101</v>
      </c>
      <c r="D200" s="60">
        <v>10</v>
      </c>
      <c r="E200" s="56">
        <f t="shared" si="21"/>
        <v>1.004987562112089</v>
      </c>
      <c r="F200" s="10">
        <v>1</v>
      </c>
      <c r="G200" s="10">
        <v>0</v>
      </c>
      <c r="H200" s="10">
        <v>0</v>
      </c>
      <c r="I200" s="10">
        <v>1</v>
      </c>
      <c r="J200" s="10">
        <v>1</v>
      </c>
      <c r="K200" s="10">
        <v>2</v>
      </c>
      <c r="L200" s="10">
        <v>0</v>
      </c>
      <c r="M200" s="10">
        <v>0</v>
      </c>
      <c r="N200" s="10">
        <v>0</v>
      </c>
      <c r="O200" s="10">
        <v>1</v>
      </c>
      <c r="P200" s="10">
        <v>1</v>
      </c>
      <c r="Q200" s="10">
        <v>2</v>
      </c>
      <c r="R200" s="5">
        <f t="shared" si="22"/>
        <v>1.3333333333333333</v>
      </c>
      <c r="S200" s="5">
        <f t="shared" si="23"/>
        <v>0</v>
      </c>
      <c r="T200" s="5">
        <f t="shared" si="24"/>
        <v>1.3333333333333333</v>
      </c>
      <c r="U200" s="33">
        <f t="shared" si="17"/>
        <v>1.1797177988861434E-2</v>
      </c>
      <c r="V200" s="48">
        <f t="shared" si="18"/>
        <v>0</v>
      </c>
      <c r="W200" s="48">
        <f t="shared" si="19"/>
        <v>0</v>
      </c>
    </row>
    <row r="201" spans="1:23" ht="14.25" customHeight="1" x14ac:dyDescent="0.3">
      <c r="A201" s="1" t="s">
        <v>62</v>
      </c>
      <c r="B201">
        <v>20</v>
      </c>
      <c r="C201" s="1" t="s">
        <v>762</v>
      </c>
      <c r="D201" s="60">
        <v>10</v>
      </c>
      <c r="E201" s="56">
        <f t="shared" si="21"/>
        <v>1.004987562112089</v>
      </c>
      <c r="F201" s="10">
        <v>0</v>
      </c>
      <c r="G201" s="10">
        <v>0</v>
      </c>
      <c r="H201" s="10">
        <v>0</v>
      </c>
      <c r="I201" s="10">
        <v>3</v>
      </c>
      <c r="J201" s="10">
        <v>2</v>
      </c>
      <c r="K201" s="10">
        <v>2</v>
      </c>
      <c r="L201" s="10">
        <v>0</v>
      </c>
      <c r="M201" s="10">
        <v>0</v>
      </c>
      <c r="N201" s="10">
        <v>0</v>
      </c>
      <c r="O201" s="10">
        <v>3</v>
      </c>
      <c r="P201" s="10">
        <v>2</v>
      </c>
      <c r="Q201" s="10">
        <v>2</v>
      </c>
      <c r="R201" s="5">
        <f t="shared" si="22"/>
        <v>2.3333333333333335</v>
      </c>
      <c r="S201" s="5">
        <f t="shared" si="23"/>
        <v>0</v>
      </c>
      <c r="T201" s="5">
        <f t="shared" si="24"/>
        <v>2.3333333333333335</v>
      </c>
      <c r="U201" s="33">
        <f t="shared" si="17"/>
        <v>0</v>
      </c>
      <c r="V201" s="48">
        <f t="shared" si="18"/>
        <v>0</v>
      </c>
      <c r="W201" s="48">
        <f t="shared" si="19"/>
        <v>0</v>
      </c>
    </row>
    <row r="202" spans="1:23" ht="14.25" customHeight="1" x14ac:dyDescent="0.3">
      <c r="A202" s="1" t="s">
        <v>62</v>
      </c>
      <c r="B202">
        <v>21</v>
      </c>
      <c r="C202" s="1" t="s">
        <v>760</v>
      </c>
      <c r="D202" s="60">
        <v>10</v>
      </c>
      <c r="E202" s="56">
        <f t="shared" si="21"/>
        <v>1.004987562112089</v>
      </c>
      <c r="F202" s="10">
        <v>4</v>
      </c>
      <c r="G202" s="10">
        <v>16</v>
      </c>
      <c r="H202" s="10">
        <v>1</v>
      </c>
      <c r="I202" s="10">
        <v>1</v>
      </c>
      <c r="J202" s="10">
        <v>2</v>
      </c>
      <c r="K202" s="10">
        <v>6</v>
      </c>
      <c r="L202" s="10">
        <v>0</v>
      </c>
      <c r="M202" s="10">
        <v>0</v>
      </c>
      <c r="N202" s="10">
        <v>0</v>
      </c>
      <c r="O202" s="10">
        <v>1</v>
      </c>
      <c r="P202" s="10">
        <v>8</v>
      </c>
      <c r="Q202" s="10">
        <v>8.5</v>
      </c>
      <c r="R202" s="5">
        <f t="shared" si="22"/>
        <v>3</v>
      </c>
      <c r="S202" s="5">
        <f t="shared" si="23"/>
        <v>0</v>
      </c>
      <c r="T202" s="5">
        <f t="shared" si="24"/>
        <v>5.833333333333333</v>
      </c>
      <c r="U202" s="33">
        <f t="shared" si="17"/>
        <v>4.7188711955445738E-2</v>
      </c>
      <c r="V202" s="48">
        <f t="shared" si="18"/>
        <v>4.7033994867067221</v>
      </c>
      <c r="W202" s="48">
        <f t="shared" si="19"/>
        <v>1.1563455474545234</v>
      </c>
    </row>
    <row r="203" spans="1:23" ht="14.25" customHeight="1" x14ac:dyDescent="0.3">
      <c r="A203" s="1" t="s">
        <v>62</v>
      </c>
      <c r="B203">
        <v>21</v>
      </c>
      <c r="C203" s="1" t="s">
        <v>761</v>
      </c>
      <c r="D203" s="60">
        <v>10</v>
      </c>
      <c r="E203" s="56">
        <f t="shared" si="21"/>
        <v>1.004987562112089</v>
      </c>
      <c r="F203" s="10">
        <v>3</v>
      </c>
      <c r="G203" s="10">
        <v>1</v>
      </c>
      <c r="H203" s="10">
        <v>1</v>
      </c>
      <c r="I203" s="10">
        <v>3</v>
      </c>
      <c r="J203" s="10">
        <v>2</v>
      </c>
      <c r="K203" s="10">
        <v>2</v>
      </c>
      <c r="L203" s="10">
        <v>0</v>
      </c>
      <c r="M203" s="10">
        <v>0</v>
      </c>
      <c r="N203" s="10">
        <v>0</v>
      </c>
      <c r="O203" s="10">
        <v>3</v>
      </c>
      <c r="P203" s="10">
        <v>2</v>
      </c>
      <c r="Q203" s="10">
        <v>2</v>
      </c>
      <c r="R203" s="5">
        <f t="shared" si="22"/>
        <v>2.3333333333333335</v>
      </c>
      <c r="S203" s="5">
        <f t="shared" si="23"/>
        <v>0</v>
      </c>
      <c r="T203" s="5">
        <f t="shared" si="24"/>
        <v>2.3333333333333335</v>
      </c>
      <c r="U203" s="33">
        <f t="shared" si="17"/>
        <v>3.5391533966584308E-2</v>
      </c>
      <c r="V203" s="48">
        <f t="shared" si="18"/>
        <v>0.29396246791917013</v>
      </c>
      <c r="W203" s="48">
        <f t="shared" si="19"/>
        <v>1.1563455474545234</v>
      </c>
    </row>
    <row r="204" spans="1:23" ht="14.25" customHeight="1" x14ac:dyDescent="0.3">
      <c r="A204" s="1" t="s">
        <v>62</v>
      </c>
      <c r="B204">
        <v>21</v>
      </c>
      <c r="C204" s="1" t="s">
        <v>101</v>
      </c>
      <c r="D204" s="60">
        <v>10</v>
      </c>
      <c r="E204" s="56">
        <f t="shared" si="21"/>
        <v>1.004987562112089</v>
      </c>
      <c r="F204" s="10">
        <v>16</v>
      </c>
      <c r="G204" s="10">
        <v>1</v>
      </c>
      <c r="H204" s="10">
        <v>0</v>
      </c>
      <c r="I204" s="10">
        <v>2</v>
      </c>
      <c r="J204" s="10">
        <v>2.5</v>
      </c>
      <c r="K204" s="10">
        <v>2</v>
      </c>
      <c r="L204" s="10">
        <v>0</v>
      </c>
      <c r="M204" s="10">
        <v>0</v>
      </c>
      <c r="N204" s="10">
        <v>0</v>
      </c>
      <c r="O204" s="10">
        <v>3</v>
      </c>
      <c r="P204" s="10">
        <v>2.5</v>
      </c>
      <c r="Q204" s="10">
        <v>3</v>
      </c>
      <c r="R204" s="5">
        <f t="shared" si="22"/>
        <v>2.1666666666666665</v>
      </c>
      <c r="S204" s="5">
        <f t="shared" si="23"/>
        <v>0</v>
      </c>
      <c r="T204" s="5">
        <f t="shared" si="24"/>
        <v>2.8333333333333335</v>
      </c>
      <c r="U204" s="33">
        <f t="shared" si="17"/>
        <v>0.18875484782178295</v>
      </c>
      <c r="V204" s="48">
        <f t="shared" si="18"/>
        <v>0.29396246791917013</v>
      </c>
      <c r="W204" s="48">
        <f t="shared" si="19"/>
        <v>0</v>
      </c>
    </row>
    <row r="205" spans="1:23" ht="14.25" customHeight="1" x14ac:dyDescent="0.3">
      <c r="A205" s="1" t="s">
        <v>62</v>
      </c>
      <c r="B205">
        <v>21</v>
      </c>
      <c r="C205" s="1" t="s">
        <v>762</v>
      </c>
      <c r="D205" s="60">
        <v>10</v>
      </c>
      <c r="E205" s="56">
        <f t="shared" si="21"/>
        <v>1.004987562112089</v>
      </c>
      <c r="F205" s="10">
        <v>17</v>
      </c>
      <c r="G205" s="10">
        <v>1</v>
      </c>
      <c r="H205" s="10">
        <v>1</v>
      </c>
      <c r="I205" s="10">
        <v>5</v>
      </c>
      <c r="J205" s="10">
        <v>1</v>
      </c>
      <c r="K205" s="10">
        <v>5</v>
      </c>
      <c r="L205" s="10">
        <v>0</v>
      </c>
      <c r="M205" s="10">
        <v>0</v>
      </c>
      <c r="N205" s="10">
        <v>3</v>
      </c>
      <c r="O205" s="10">
        <v>5</v>
      </c>
      <c r="P205" s="10">
        <v>1</v>
      </c>
      <c r="Q205" s="10">
        <v>7</v>
      </c>
      <c r="R205" s="5">
        <f t="shared" si="22"/>
        <v>3.6666666666666665</v>
      </c>
      <c r="S205" s="5">
        <f t="shared" si="23"/>
        <v>1</v>
      </c>
      <c r="T205" s="5">
        <f t="shared" si="24"/>
        <v>4.333333333333333</v>
      </c>
      <c r="U205" s="33">
        <f t="shared" si="17"/>
        <v>0.20055202581064441</v>
      </c>
      <c r="V205" s="48">
        <f t="shared" si="18"/>
        <v>0.29396246791917013</v>
      </c>
      <c r="W205" s="48">
        <f t="shared" si="19"/>
        <v>1.1563455474545234</v>
      </c>
    </row>
    <row r="206" spans="1:23" ht="14.25" customHeight="1" x14ac:dyDescent="0.3">
      <c r="A206" s="1" t="s">
        <v>62</v>
      </c>
      <c r="B206">
        <v>22</v>
      </c>
      <c r="C206" t="s">
        <v>760</v>
      </c>
      <c r="D206" s="60">
        <v>10</v>
      </c>
      <c r="E206" s="56">
        <f t="shared" si="21"/>
        <v>1.004987562112089</v>
      </c>
      <c r="F206" s="10">
        <v>2</v>
      </c>
      <c r="G206" s="10">
        <v>0</v>
      </c>
      <c r="H206" s="10">
        <v>2</v>
      </c>
      <c r="I206" s="10">
        <v>0.1</v>
      </c>
      <c r="J206" s="10">
        <v>1</v>
      </c>
      <c r="K206" s="10">
        <v>0.1</v>
      </c>
      <c r="L206" s="10">
        <v>0</v>
      </c>
      <c r="M206" s="10">
        <v>0</v>
      </c>
      <c r="N206" s="10">
        <v>0</v>
      </c>
      <c r="O206" s="10">
        <v>1</v>
      </c>
      <c r="P206" s="10">
        <v>1</v>
      </c>
      <c r="Q206" s="10">
        <v>0.1</v>
      </c>
      <c r="R206" s="5">
        <f t="shared" si="22"/>
        <v>0.40000000000000008</v>
      </c>
      <c r="S206" s="5">
        <f t="shared" si="23"/>
        <v>0</v>
      </c>
      <c r="T206" s="5">
        <f t="shared" si="24"/>
        <v>0.70000000000000007</v>
      </c>
      <c r="U206" s="33">
        <f t="shared" si="17"/>
        <v>2.3594355977722869E-2</v>
      </c>
      <c r="V206" s="48">
        <f t="shared" si="18"/>
        <v>0</v>
      </c>
      <c r="W206" s="48">
        <f t="shared" si="19"/>
        <v>2.3126910949090469</v>
      </c>
    </row>
    <row r="207" spans="1:23" ht="14.25" customHeight="1" x14ac:dyDescent="0.3">
      <c r="A207" s="1" t="s">
        <v>62</v>
      </c>
      <c r="B207">
        <v>22</v>
      </c>
      <c r="C207" t="s">
        <v>761</v>
      </c>
      <c r="D207" s="60">
        <v>10</v>
      </c>
      <c r="E207" s="56">
        <f t="shared" si="21"/>
        <v>1.004987562112089</v>
      </c>
      <c r="F207" s="10">
        <v>6</v>
      </c>
      <c r="G207" s="10">
        <v>2</v>
      </c>
      <c r="H207" s="10">
        <v>0</v>
      </c>
      <c r="I207" s="10">
        <v>0.1</v>
      </c>
      <c r="J207" s="10">
        <v>1</v>
      </c>
      <c r="K207" s="10">
        <v>2</v>
      </c>
      <c r="L207" s="10">
        <v>0</v>
      </c>
      <c r="M207" s="10">
        <v>0</v>
      </c>
      <c r="N207" s="10">
        <v>0</v>
      </c>
      <c r="O207" s="10">
        <v>2</v>
      </c>
      <c r="P207" s="10">
        <v>3</v>
      </c>
      <c r="Q207" s="10">
        <v>2</v>
      </c>
      <c r="R207" s="5">
        <f t="shared" si="22"/>
        <v>1.0333333333333334</v>
      </c>
      <c r="S207" s="5">
        <f t="shared" si="23"/>
        <v>0</v>
      </c>
      <c r="T207" s="5">
        <f t="shared" si="24"/>
        <v>2.3333333333333335</v>
      </c>
      <c r="U207" s="33">
        <f t="shared" si="17"/>
        <v>7.0783067933168617E-2</v>
      </c>
      <c r="V207" s="48">
        <f t="shared" si="18"/>
        <v>0.58792493583834027</v>
      </c>
      <c r="W207" s="48">
        <f t="shared" si="19"/>
        <v>0</v>
      </c>
    </row>
    <row r="208" spans="1:23" ht="14.25" customHeight="1" x14ac:dyDescent="0.3">
      <c r="A208" s="1" t="s">
        <v>62</v>
      </c>
      <c r="B208">
        <v>22</v>
      </c>
      <c r="C208" t="s">
        <v>101</v>
      </c>
      <c r="D208" s="60">
        <v>10</v>
      </c>
      <c r="E208" s="56">
        <f t="shared" si="21"/>
        <v>1.004987562112089</v>
      </c>
      <c r="F208" s="10">
        <v>2</v>
      </c>
      <c r="G208" s="10">
        <v>3</v>
      </c>
      <c r="H208" s="10">
        <v>0</v>
      </c>
      <c r="I208" s="10">
        <v>0.1</v>
      </c>
      <c r="J208" s="10">
        <v>0.1</v>
      </c>
      <c r="K208" s="10">
        <v>0</v>
      </c>
      <c r="L208" s="10">
        <v>0</v>
      </c>
      <c r="M208" s="10">
        <v>0</v>
      </c>
      <c r="N208" s="10">
        <v>0</v>
      </c>
      <c r="O208" s="10">
        <v>1</v>
      </c>
      <c r="P208" s="10">
        <v>0.1</v>
      </c>
      <c r="Q208" s="10">
        <v>0</v>
      </c>
      <c r="R208" s="5">
        <f t="shared" si="22"/>
        <v>6.6666666666666666E-2</v>
      </c>
      <c r="S208" s="5">
        <f t="shared" si="23"/>
        <v>0</v>
      </c>
      <c r="T208" s="5">
        <f t="shared" si="24"/>
        <v>0.3666666666666667</v>
      </c>
      <c r="U208" s="33">
        <f t="shared" si="17"/>
        <v>2.3594355977722869E-2</v>
      </c>
      <c r="V208" s="48">
        <f t="shared" si="18"/>
        <v>0.88188740375751062</v>
      </c>
      <c r="W208" s="48">
        <f t="shared" si="19"/>
        <v>0</v>
      </c>
    </row>
    <row r="209" spans="1:23" ht="14.25" customHeight="1" x14ac:dyDescent="0.3">
      <c r="A209" s="1" t="s">
        <v>62</v>
      </c>
      <c r="B209">
        <v>22</v>
      </c>
      <c r="C209" t="s">
        <v>762</v>
      </c>
      <c r="D209" s="60">
        <v>10</v>
      </c>
      <c r="E209" s="56">
        <f t="shared" si="21"/>
        <v>1.004987562112089</v>
      </c>
      <c r="F209" s="10">
        <v>2</v>
      </c>
      <c r="G209" s="10">
        <v>0</v>
      </c>
      <c r="H209" s="10">
        <v>0</v>
      </c>
      <c r="I209" s="10">
        <v>0</v>
      </c>
      <c r="J209" s="10">
        <v>0.1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0.1</v>
      </c>
      <c r="Q209" s="10">
        <v>1</v>
      </c>
      <c r="R209" s="5">
        <f t="shared" si="22"/>
        <v>0.3666666666666667</v>
      </c>
      <c r="S209" s="5">
        <f t="shared" si="23"/>
        <v>0</v>
      </c>
      <c r="T209" s="5">
        <f t="shared" si="24"/>
        <v>0.3666666666666667</v>
      </c>
      <c r="U209" s="33">
        <f t="shared" si="17"/>
        <v>2.3594355977722869E-2</v>
      </c>
      <c r="V209" s="48">
        <f t="shared" si="18"/>
        <v>0</v>
      </c>
      <c r="W209" s="48">
        <f t="shared" si="19"/>
        <v>0</v>
      </c>
    </row>
    <row r="210" spans="1:23" ht="14.25" customHeight="1" x14ac:dyDescent="0.3">
      <c r="A210" s="1" t="s">
        <v>68</v>
      </c>
      <c r="B210" s="1">
        <v>1</v>
      </c>
      <c r="C210" s="1" t="s">
        <v>760</v>
      </c>
      <c r="D210" s="50">
        <v>10</v>
      </c>
      <c r="E210" s="56">
        <f t="shared" si="21"/>
        <v>1.004987562112089</v>
      </c>
      <c r="F210" s="10">
        <v>12</v>
      </c>
      <c r="G210" s="10">
        <v>4</v>
      </c>
      <c r="H210" s="10">
        <v>3</v>
      </c>
      <c r="I210" s="1">
        <v>0.1</v>
      </c>
      <c r="J210" s="1">
        <v>45</v>
      </c>
      <c r="K210" s="1">
        <v>0.1</v>
      </c>
      <c r="L210" s="1">
        <v>0</v>
      </c>
      <c r="M210" s="1">
        <v>0</v>
      </c>
      <c r="N210" s="1">
        <v>0</v>
      </c>
      <c r="O210" s="1">
        <v>0.1</v>
      </c>
      <c r="P210" s="1">
        <v>45</v>
      </c>
      <c r="Q210" s="1">
        <v>0.1</v>
      </c>
      <c r="R210" s="5">
        <f t="shared" si="22"/>
        <v>15.066666666666668</v>
      </c>
      <c r="S210" s="5">
        <f t="shared" si="23"/>
        <v>0</v>
      </c>
      <c r="T210" s="5">
        <f t="shared" si="24"/>
        <v>15.066666666666668</v>
      </c>
      <c r="U210" s="33">
        <f t="shared" si="17"/>
        <v>0.14156613586633723</v>
      </c>
      <c r="V210" s="48">
        <f t="shared" si="18"/>
        <v>1.1758498716766805</v>
      </c>
      <c r="W210" s="48">
        <f t="shared" si="19"/>
        <v>3.4690366423635703</v>
      </c>
    </row>
    <row r="211" spans="1:23" ht="14.25" customHeight="1" x14ac:dyDescent="0.3">
      <c r="A211" s="1" t="s">
        <v>68</v>
      </c>
      <c r="B211" s="1">
        <v>1</v>
      </c>
      <c r="C211" s="1" t="s">
        <v>761</v>
      </c>
      <c r="D211" s="50">
        <v>10</v>
      </c>
      <c r="E211" s="56">
        <f t="shared" si="21"/>
        <v>1.004987562112089</v>
      </c>
      <c r="F211" s="10">
        <v>23</v>
      </c>
      <c r="G211" s="10">
        <v>2</v>
      </c>
      <c r="H211" s="10">
        <v>0</v>
      </c>
      <c r="I211" s="1">
        <v>0.1</v>
      </c>
      <c r="J211" s="1">
        <v>3</v>
      </c>
      <c r="K211" s="1">
        <v>2</v>
      </c>
      <c r="L211" s="1">
        <v>0</v>
      </c>
      <c r="M211" s="1">
        <v>0</v>
      </c>
      <c r="N211" s="1">
        <v>0</v>
      </c>
      <c r="O211" s="1">
        <v>0.1</v>
      </c>
      <c r="P211" s="1">
        <v>3</v>
      </c>
      <c r="Q211" s="1">
        <v>4</v>
      </c>
      <c r="R211" s="5">
        <f t="shared" si="22"/>
        <v>1.7</v>
      </c>
      <c r="S211" s="5">
        <f t="shared" si="23"/>
        <v>0</v>
      </c>
      <c r="T211" s="5">
        <f t="shared" si="24"/>
        <v>2.3666666666666667</v>
      </c>
      <c r="U211" s="33">
        <f t="shared" si="17"/>
        <v>0.27133509374381298</v>
      </c>
      <c r="V211" s="48">
        <f t="shared" si="18"/>
        <v>0.58792493583834027</v>
      </c>
      <c r="W211" s="48">
        <f t="shared" si="19"/>
        <v>0</v>
      </c>
    </row>
    <row r="212" spans="1:23" ht="14.25" customHeight="1" x14ac:dyDescent="0.3">
      <c r="A212" s="1" t="s">
        <v>68</v>
      </c>
      <c r="B212" s="1">
        <v>1</v>
      </c>
      <c r="C212" s="1" t="s">
        <v>101</v>
      </c>
      <c r="D212" s="50">
        <v>10</v>
      </c>
      <c r="E212" s="56">
        <f t="shared" si="21"/>
        <v>1.004987562112089</v>
      </c>
      <c r="F212" s="10">
        <v>1</v>
      </c>
      <c r="G212" s="10">
        <v>5</v>
      </c>
      <c r="H212" s="10">
        <v>1</v>
      </c>
      <c r="I212" s="1">
        <v>9</v>
      </c>
      <c r="J212" s="1">
        <v>4</v>
      </c>
      <c r="K212" s="1">
        <v>2</v>
      </c>
      <c r="L212" s="1">
        <v>0</v>
      </c>
      <c r="M212" s="1">
        <v>0</v>
      </c>
      <c r="N212" s="1">
        <v>0</v>
      </c>
      <c r="O212" s="1">
        <v>9</v>
      </c>
      <c r="P212" s="1">
        <v>4</v>
      </c>
      <c r="Q212" s="1">
        <v>2</v>
      </c>
      <c r="R212" s="5">
        <f t="shared" si="22"/>
        <v>5</v>
      </c>
      <c r="S212" s="5">
        <f t="shared" si="23"/>
        <v>0</v>
      </c>
      <c r="T212" s="5">
        <f t="shared" si="24"/>
        <v>5</v>
      </c>
      <c r="U212" s="33">
        <f t="shared" si="17"/>
        <v>1.1797177988861434E-2</v>
      </c>
      <c r="V212" s="48">
        <f t="shared" si="18"/>
        <v>1.4698123395958509</v>
      </c>
      <c r="W212" s="48">
        <f t="shared" si="19"/>
        <v>1.1563455474545234</v>
      </c>
    </row>
    <row r="213" spans="1:23" ht="14.25" customHeight="1" x14ac:dyDescent="0.3">
      <c r="A213" s="1" t="s">
        <v>68</v>
      </c>
      <c r="B213" s="1">
        <v>1</v>
      </c>
      <c r="C213" s="1" t="s">
        <v>762</v>
      </c>
      <c r="D213" s="50">
        <v>10</v>
      </c>
      <c r="E213" s="56">
        <f t="shared" si="21"/>
        <v>1.004987562112089</v>
      </c>
      <c r="F213" s="10">
        <v>31</v>
      </c>
      <c r="G213" s="10">
        <v>0</v>
      </c>
      <c r="H213" s="10">
        <v>1</v>
      </c>
      <c r="I213" s="1">
        <v>0.1</v>
      </c>
      <c r="J213" s="1">
        <v>0.1</v>
      </c>
      <c r="K213" s="1">
        <v>0.1</v>
      </c>
      <c r="L213" s="1">
        <v>0</v>
      </c>
      <c r="M213" s="1">
        <v>0</v>
      </c>
      <c r="N213" s="1">
        <v>0</v>
      </c>
      <c r="O213" s="1">
        <v>0.1</v>
      </c>
      <c r="P213" s="1">
        <v>0.1</v>
      </c>
      <c r="Q213" s="1">
        <v>0.1</v>
      </c>
      <c r="R213" s="5">
        <f t="shared" si="22"/>
        <v>0.10000000000000002</v>
      </c>
      <c r="S213" s="5">
        <f t="shared" si="23"/>
        <v>0</v>
      </c>
      <c r="T213" s="5">
        <f t="shared" si="24"/>
        <v>0.10000000000000002</v>
      </c>
      <c r="U213" s="33">
        <f t="shared" si="17"/>
        <v>0.36571251765470458</v>
      </c>
      <c r="V213" s="48">
        <f t="shared" si="18"/>
        <v>0</v>
      </c>
      <c r="W213" s="48">
        <f t="shared" si="19"/>
        <v>1.1563455474545234</v>
      </c>
    </row>
    <row r="214" spans="1:23" ht="14.25" customHeight="1" x14ac:dyDescent="0.3">
      <c r="A214" s="1" t="s">
        <v>68</v>
      </c>
      <c r="B214" s="1">
        <v>2</v>
      </c>
      <c r="C214" s="1" t="s">
        <v>760</v>
      </c>
      <c r="D214" s="50">
        <v>23</v>
      </c>
      <c r="E214" s="56">
        <f t="shared" si="21"/>
        <v>1.0261091559868276</v>
      </c>
      <c r="F214" s="10">
        <v>25</v>
      </c>
      <c r="G214" s="10">
        <v>0</v>
      </c>
      <c r="H214" s="10">
        <v>0</v>
      </c>
      <c r="I214" s="1">
        <v>1</v>
      </c>
      <c r="J214" s="1">
        <v>2</v>
      </c>
      <c r="K214" s="1">
        <v>2</v>
      </c>
      <c r="L214" s="1">
        <v>0</v>
      </c>
      <c r="M214" s="1">
        <v>0</v>
      </c>
      <c r="N214" s="1">
        <v>0</v>
      </c>
      <c r="O214" s="1">
        <v>1</v>
      </c>
      <c r="P214" s="1">
        <v>3</v>
      </c>
      <c r="Q214" s="1">
        <v>2</v>
      </c>
      <c r="R214" s="5">
        <f t="shared" si="22"/>
        <v>1.6666666666666667</v>
      </c>
      <c r="S214" s="5">
        <f t="shared" si="23"/>
        <v>0</v>
      </c>
      <c r="T214" s="5">
        <f t="shared" si="24"/>
        <v>2</v>
      </c>
      <c r="U214" s="33">
        <f t="shared" si="17"/>
        <v>0.30112791455191318</v>
      </c>
      <c r="V214" s="48">
        <f t="shared" si="18"/>
        <v>0</v>
      </c>
      <c r="W214" s="48">
        <f t="shared" si="19"/>
        <v>0</v>
      </c>
    </row>
    <row r="215" spans="1:23" ht="14.25" customHeight="1" x14ac:dyDescent="0.3">
      <c r="A215" s="1" t="s">
        <v>68</v>
      </c>
      <c r="B215" s="1">
        <v>2</v>
      </c>
      <c r="C215" s="1" t="s">
        <v>761</v>
      </c>
      <c r="D215" s="50">
        <v>23</v>
      </c>
      <c r="E215" s="56">
        <f t="shared" si="21"/>
        <v>1.0261091559868276</v>
      </c>
      <c r="F215" s="10">
        <v>7</v>
      </c>
      <c r="G215" s="10">
        <v>10</v>
      </c>
      <c r="H215" s="10">
        <v>1</v>
      </c>
      <c r="I215" s="1">
        <v>0.1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0.1</v>
      </c>
      <c r="P215" s="1">
        <v>0</v>
      </c>
      <c r="Q215" s="1">
        <v>1</v>
      </c>
      <c r="R215" s="5">
        <f t="shared" si="22"/>
        <v>0.3666666666666667</v>
      </c>
      <c r="S215" s="5">
        <f t="shared" si="23"/>
        <v>0</v>
      </c>
      <c r="T215" s="5">
        <f t="shared" si="24"/>
        <v>0.3666666666666667</v>
      </c>
      <c r="U215" s="33">
        <f t="shared" si="17"/>
        <v>8.4315816074535699E-2</v>
      </c>
      <c r="V215" s="48">
        <f t="shared" si="18"/>
        <v>3.0014060991403806</v>
      </c>
      <c r="W215" s="48">
        <f t="shared" si="19"/>
        <v>1.1806481975100798</v>
      </c>
    </row>
    <row r="216" spans="1:23" ht="14.25" customHeight="1" x14ac:dyDescent="0.3">
      <c r="A216" s="1" t="s">
        <v>68</v>
      </c>
      <c r="B216" s="1">
        <v>2</v>
      </c>
      <c r="C216" s="1" t="s">
        <v>101</v>
      </c>
      <c r="D216" s="50">
        <v>23</v>
      </c>
      <c r="E216" s="56">
        <f t="shared" si="21"/>
        <v>1.0261091559868276</v>
      </c>
      <c r="F216" s="10">
        <v>0</v>
      </c>
      <c r="G216" s="10">
        <v>0</v>
      </c>
      <c r="H216" s="10">
        <v>1</v>
      </c>
      <c r="I216" s="1">
        <v>2</v>
      </c>
      <c r="J216" s="1">
        <v>1</v>
      </c>
      <c r="K216" s="1">
        <v>0.1</v>
      </c>
      <c r="L216" s="1">
        <v>0</v>
      </c>
      <c r="M216" s="1">
        <v>0</v>
      </c>
      <c r="N216" s="1">
        <v>0</v>
      </c>
      <c r="O216" s="1">
        <v>2</v>
      </c>
      <c r="P216" s="1">
        <v>1</v>
      </c>
      <c r="Q216" s="1">
        <v>0.1</v>
      </c>
      <c r="R216" s="5">
        <f t="shared" si="22"/>
        <v>1.0333333333333334</v>
      </c>
      <c r="S216" s="5">
        <f t="shared" si="23"/>
        <v>0</v>
      </c>
      <c r="T216" s="5">
        <f t="shared" si="24"/>
        <v>1.0333333333333334</v>
      </c>
      <c r="U216" s="33">
        <f t="shared" si="17"/>
        <v>0</v>
      </c>
      <c r="V216" s="48">
        <f t="shared" si="18"/>
        <v>0</v>
      </c>
      <c r="W216" s="48">
        <f t="shared" si="19"/>
        <v>1.1806481975100798</v>
      </c>
    </row>
    <row r="217" spans="1:23" ht="14.25" customHeight="1" x14ac:dyDescent="0.3">
      <c r="A217" s="1" t="s">
        <v>68</v>
      </c>
      <c r="B217" s="1">
        <v>2</v>
      </c>
      <c r="C217" s="1" t="s">
        <v>762</v>
      </c>
      <c r="D217" s="50">
        <v>23</v>
      </c>
      <c r="E217" s="56">
        <f t="shared" si="21"/>
        <v>1.0261091559868276</v>
      </c>
      <c r="F217" s="10">
        <v>4</v>
      </c>
      <c r="G217" s="10">
        <v>7</v>
      </c>
      <c r="H217" s="10">
        <v>5</v>
      </c>
      <c r="I217" s="1">
        <v>1</v>
      </c>
      <c r="J217" s="1">
        <v>2</v>
      </c>
      <c r="K217" s="1">
        <v>0.1</v>
      </c>
      <c r="L217" s="1">
        <v>0</v>
      </c>
      <c r="M217" s="1">
        <v>0</v>
      </c>
      <c r="N217" s="1">
        <v>0</v>
      </c>
      <c r="O217" s="1">
        <v>2</v>
      </c>
      <c r="P217" s="1">
        <v>11</v>
      </c>
      <c r="Q217" s="1">
        <v>0.1</v>
      </c>
      <c r="R217" s="5">
        <f t="shared" si="22"/>
        <v>1.0333333333333334</v>
      </c>
      <c r="S217" s="5">
        <f t="shared" si="23"/>
        <v>0</v>
      </c>
      <c r="T217" s="5">
        <f t="shared" si="24"/>
        <v>4.3666666666666663</v>
      </c>
      <c r="U217" s="33">
        <f t="shared" si="17"/>
        <v>4.818046632830611E-2</v>
      </c>
      <c r="V217" s="48">
        <f t="shared" si="18"/>
        <v>2.1009842693982659</v>
      </c>
      <c r="W217" s="48">
        <f t="shared" si="19"/>
        <v>5.9032409875503991</v>
      </c>
    </row>
    <row r="218" spans="1:23" ht="14.25" customHeight="1" x14ac:dyDescent="0.3">
      <c r="A218" s="1" t="s">
        <v>68</v>
      </c>
      <c r="B218" s="1">
        <v>3</v>
      </c>
      <c r="C218" s="1" t="s">
        <v>760</v>
      </c>
      <c r="D218" s="50">
        <v>9</v>
      </c>
      <c r="E218" s="56">
        <f t="shared" si="21"/>
        <v>1.004041831797859</v>
      </c>
      <c r="F218" s="10">
        <v>6</v>
      </c>
      <c r="G218" s="10">
        <v>10</v>
      </c>
      <c r="H218" s="10">
        <v>6</v>
      </c>
      <c r="I218" s="1">
        <v>1</v>
      </c>
      <c r="J218" s="1">
        <v>5</v>
      </c>
      <c r="K218" s="1">
        <v>0.1</v>
      </c>
      <c r="L218" s="1">
        <v>0</v>
      </c>
      <c r="M218" s="1">
        <v>0</v>
      </c>
      <c r="N218" s="1">
        <v>0</v>
      </c>
      <c r="O218" s="1">
        <v>15</v>
      </c>
      <c r="P218" s="1">
        <v>7</v>
      </c>
      <c r="Q218" s="1">
        <v>10</v>
      </c>
      <c r="R218" s="5">
        <f t="shared" si="22"/>
        <v>2.0333333333333332</v>
      </c>
      <c r="S218" s="5">
        <f t="shared" si="23"/>
        <v>0</v>
      </c>
      <c r="T218" s="5">
        <f t="shared" si="24"/>
        <v>10.666666666666666</v>
      </c>
      <c r="U218" s="33">
        <f t="shared" si="17"/>
        <v>7.0716458458979795E-2</v>
      </c>
      <c r="V218" s="48">
        <f t="shared" si="18"/>
        <v>2.9368583840887776</v>
      </c>
      <c r="W218" s="48">
        <f t="shared" si="19"/>
        <v>6.9315443022052818</v>
      </c>
    </row>
    <row r="219" spans="1:23" ht="14.25" customHeight="1" x14ac:dyDescent="0.3">
      <c r="A219" s="1" t="s">
        <v>68</v>
      </c>
      <c r="B219" s="1">
        <v>3</v>
      </c>
      <c r="C219" s="1" t="s">
        <v>761</v>
      </c>
      <c r="D219" s="50">
        <v>9</v>
      </c>
      <c r="E219" s="56">
        <f t="shared" si="21"/>
        <v>1.004041831797859</v>
      </c>
      <c r="F219" s="10">
        <v>46</v>
      </c>
      <c r="G219" s="10">
        <v>0</v>
      </c>
      <c r="H219" s="10">
        <v>0</v>
      </c>
      <c r="I219" s="1">
        <v>0.1</v>
      </c>
      <c r="J219" s="1">
        <v>1</v>
      </c>
      <c r="K219" s="1">
        <v>0.1</v>
      </c>
      <c r="L219" s="1">
        <v>0</v>
      </c>
      <c r="M219" s="1">
        <v>0</v>
      </c>
      <c r="N219" s="1">
        <v>0</v>
      </c>
      <c r="O219" s="1">
        <v>2</v>
      </c>
      <c r="P219" s="1">
        <v>1</v>
      </c>
      <c r="Q219" s="1">
        <v>10</v>
      </c>
      <c r="R219" s="5">
        <f t="shared" si="22"/>
        <v>0.40000000000000008</v>
      </c>
      <c r="S219" s="5">
        <f t="shared" si="23"/>
        <v>0</v>
      </c>
      <c r="T219" s="5">
        <f t="shared" si="24"/>
        <v>4.333333333333333</v>
      </c>
      <c r="U219" s="33">
        <f t="shared" si="17"/>
        <v>0.54215951485217828</v>
      </c>
      <c r="V219" s="48">
        <f t="shared" si="18"/>
        <v>0</v>
      </c>
      <c r="W219" s="48">
        <f t="shared" si="19"/>
        <v>0</v>
      </c>
    </row>
    <row r="220" spans="1:23" ht="14.25" customHeight="1" x14ac:dyDescent="0.3">
      <c r="A220" s="1" t="s">
        <v>68</v>
      </c>
      <c r="B220" s="1">
        <v>3</v>
      </c>
      <c r="C220" s="1" t="s">
        <v>101</v>
      </c>
      <c r="D220" s="50">
        <v>9</v>
      </c>
      <c r="E220" s="56">
        <f t="shared" si="21"/>
        <v>1.004041831797859</v>
      </c>
      <c r="F220" s="10">
        <v>48</v>
      </c>
      <c r="G220" s="10">
        <v>2</v>
      </c>
      <c r="H220" s="10">
        <v>1</v>
      </c>
      <c r="I220" s="1">
        <v>0.1</v>
      </c>
      <c r="J220" s="1">
        <v>1</v>
      </c>
      <c r="K220" s="1">
        <v>0.1</v>
      </c>
      <c r="L220" s="1">
        <v>0</v>
      </c>
      <c r="M220" s="1">
        <v>0</v>
      </c>
      <c r="N220" s="1">
        <v>0</v>
      </c>
      <c r="O220" s="1">
        <v>0.1</v>
      </c>
      <c r="P220" s="1">
        <v>1</v>
      </c>
      <c r="Q220" s="1">
        <v>0.1</v>
      </c>
      <c r="R220" s="5">
        <f t="shared" si="22"/>
        <v>0.40000000000000008</v>
      </c>
      <c r="S220" s="5">
        <f t="shared" si="23"/>
        <v>0</v>
      </c>
      <c r="T220" s="5">
        <f t="shared" si="24"/>
        <v>0.40000000000000008</v>
      </c>
      <c r="U220" s="33">
        <f t="shared" si="17"/>
        <v>0.56573166767183836</v>
      </c>
      <c r="V220" s="48">
        <f t="shared" si="18"/>
        <v>0.58737167681775548</v>
      </c>
      <c r="W220" s="48">
        <f t="shared" si="19"/>
        <v>1.1552573837008804</v>
      </c>
    </row>
    <row r="221" spans="1:23" ht="14.25" customHeight="1" x14ac:dyDescent="0.3">
      <c r="A221" s="1" t="s">
        <v>68</v>
      </c>
      <c r="B221" s="1">
        <v>3</v>
      </c>
      <c r="C221" s="1" t="s">
        <v>762</v>
      </c>
      <c r="D221" s="50">
        <v>9</v>
      </c>
      <c r="E221" s="56">
        <f t="shared" si="21"/>
        <v>1.004041831797859</v>
      </c>
      <c r="F221" s="10">
        <v>36</v>
      </c>
      <c r="G221" s="10">
        <v>11</v>
      </c>
      <c r="H221" s="10">
        <v>0</v>
      </c>
      <c r="I221" s="1">
        <v>0.1</v>
      </c>
      <c r="J221" s="1">
        <v>1</v>
      </c>
      <c r="K221" s="1">
        <v>0.1</v>
      </c>
      <c r="L221" s="1">
        <v>0</v>
      </c>
      <c r="M221" s="1">
        <v>0</v>
      </c>
      <c r="N221" s="1">
        <v>0</v>
      </c>
      <c r="O221" s="1">
        <v>1</v>
      </c>
      <c r="P221" s="1">
        <v>3</v>
      </c>
      <c r="Q221" s="1">
        <v>5</v>
      </c>
      <c r="R221" s="5">
        <f t="shared" si="22"/>
        <v>0.40000000000000008</v>
      </c>
      <c r="S221" s="5">
        <f t="shared" si="23"/>
        <v>0</v>
      </c>
      <c r="T221" s="5">
        <f t="shared" si="24"/>
        <v>3</v>
      </c>
      <c r="U221" s="33">
        <f t="shared" si="17"/>
        <v>0.42429875075387863</v>
      </c>
      <c r="V221" s="48">
        <f t="shared" si="18"/>
        <v>3.2305442224976559</v>
      </c>
      <c r="W221" s="48">
        <f t="shared" si="19"/>
        <v>0</v>
      </c>
    </row>
    <row r="222" spans="1:23" ht="14.25" customHeight="1" x14ac:dyDescent="0.3">
      <c r="A222" s="1" t="s">
        <v>68</v>
      </c>
      <c r="B222" s="1">
        <v>4</v>
      </c>
      <c r="C222" s="1" t="s">
        <v>760</v>
      </c>
      <c r="D222" s="50">
        <v>23</v>
      </c>
      <c r="E222" s="56">
        <f t="shared" si="21"/>
        <v>1.0261091559868276</v>
      </c>
      <c r="F222" s="10">
        <v>17</v>
      </c>
      <c r="G222" s="10">
        <v>4</v>
      </c>
      <c r="H222" s="10">
        <v>0</v>
      </c>
      <c r="I222" s="1">
        <v>1</v>
      </c>
      <c r="J222" s="1">
        <v>12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12</v>
      </c>
      <c r="Q222" s="1">
        <v>1</v>
      </c>
      <c r="R222" s="5">
        <f t="shared" si="22"/>
        <v>4.666666666666667</v>
      </c>
      <c r="S222" s="5">
        <f t="shared" si="23"/>
        <v>0</v>
      </c>
      <c r="T222" s="5">
        <f t="shared" si="24"/>
        <v>4.666666666666667</v>
      </c>
      <c r="U222" s="33">
        <f t="shared" si="17"/>
        <v>0.20476698189530096</v>
      </c>
      <c r="V222" s="48">
        <f t="shared" si="18"/>
        <v>1.2005624396561521</v>
      </c>
      <c r="W222" s="48">
        <f t="shared" si="19"/>
        <v>0</v>
      </c>
    </row>
    <row r="223" spans="1:23" ht="14.25" customHeight="1" x14ac:dyDescent="0.3">
      <c r="A223" s="1" t="s">
        <v>68</v>
      </c>
      <c r="B223" s="1">
        <v>4</v>
      </c>
      <c r="C223" s="1" t="s">
        <v>761</v>
      </c>
      <c r="D223" s="50">
        <v>23</v>
      </c>
      <c r="E223" s="56">
        <f t="shared" si="21"/>
        <v>1.0261091559868276</v>
      </c>
      <c r="F223" s="10">
        <v>2</v>
      </c>
      <c r="G223" s="10">
        <v>0</v>
      </c>
      <c r="H223" s="10">
        <v>0</v>
      </c>
      <c r="I223" s="1">
        <v>0.1</v>
      </c>
      <c r="J223" s="1">
        <v>0.1</v>
      </c>
      <c r="K223" s="1">
        <v>1</v>
      </c>
      <c r="L223" s="1">
        <v>0</v>
      </c>
      <c r="M223" s="1">
        <v>0</v>
      </c>
      <c r="N223" s="1">
        <v>0</v>
      </c>
      <c r="O223" s="1">
        <v>4</v>
      </c>
      <c r="P223" s="1">
        <v>0.1</v>
      </c>
      <c r="Q223" s="1">
        <v>9</v>
      </c>
      <c r="R223" s="5">
        <f t="shared" si="22"/>
        <v>0.39999999999999997</v>
      </c>
      <c r="S223" s="5">
        <f t="shared" si="23"/>
        <v>0</v>
      </c>
      <c r="T223" s="5">
        <f t="shared" si="24"/>
        <v>4.3666666666666663</v>
      </c>
      <c r="U223" s="33">
        <f t="shared" si="17"/>
        <v>2.4090233164153055E-2</v>
      </c>
      <c r="V223" s="48">
        <f t="shared" si="18"/>
        <v>0</v>
      </c>
      <c r="W223" s="48">
        <f t="shared" si="19"/>
        <v>0</v>
      </c>
    </row>
    <row r="224" spans="1:23" ht="14.25" customHeight="1" x14ac:dyDescent="0.3">
      <c r="A224" s="1" t="s">
        <v>68</v>
      </c>
      <c r="B224" s="1">
        <v>4</v>
      </c>
      <c r="C224" s="1" t="s">
        <v>101</v>
      </c>
      <c r="D224" s="50">
        <v>23</v>
      </c>
      <c r="E224" s="56">
        <f t="shared" si="21"/>
        <v>1.0261091559868276</v>
      </c>
      <c r="F224" s="10">
        <v>30</v>
      </c>
      <c r="G224" s="10">
        <v>10</v>
      </c>
      <c r="H224" s="10">
        <v>1</v>
      </c>
      <c r="I224" s="1">
        <v>0.1</v>
      </c>
      <c r="J224" s="1">
        <v>0.1</v>
      </c>
      <c r="K224" s="1">
        <v>1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5</v>
      </c>
      <c r="R224" s="5">
        <f t="shared" si="22"/>
        <v>0.39999999999999997</v>
      </c>
      <c r="S224" s="5">
        <f t="shared" si="23"/>
        <v>0</v>
      </c>
      <c r="T224" s="5">
        <f t="shared" si="24"/>
        <v>2.3333333333333335</v>
      </c>
      <c r="U224" s="33">
        <f t="shared" si="17"/>
        <v>0.36135349746229584</v>
      </c>
      <c r="V224" s="48">
        <f t="shared" si="18"/>
        <v>3.0014060991403806</v>
      </c>
      <c r="W224" s="48">
        <f t="shared" si="19"/>
        <v>1.1806481975100798</v>
      </c>
    </row>
    <row r="225" spans="1:23" ht="14.25" customHeight="1" x14ac:dyDescent="0.3">
      <c r="A225" s="1" t="s">
        <v>68</v>
      </c>
      <c r="B225" s="1">
        <v>4</v>
      </c>
      <c r="C225" s="1" t="s">
        <v>762</v>
      </c>
      <c r="D225" s="50">
        <v>23</v>
      </c>
      <c r="E225" s="56">
        <f t="shared" si="21"/>
        <v>1.0261091559868276</v>
      </c>
      <c r="F225" s="10">
        <v>7</v>
      </c>
      <c r="G225" s="10">
        <v>0</v>
      </c>
      <c r="H225" s="10">
        <v>1</v>
      </c>
      <c r="I225" s="1">
        <v>1</v>
      </c>
      <c r="J225" s="1">
        <v>1</v>
      </c>
      <c r="K225" s="1">
        <v>0.1</v>
      </c>
      <c r="L225" s="1">
        <v>0</v>
      </c>
      <c r="M225" s="1">
        <v>0</v>
      </c>
      <c r="N225" s="1">
        <v>0</v>
      </c>
      <c r="O225" s="1">
        <v>1</v>
      </c>
      <c r="P225" s="1">
        <v>1</v>
      </c>
      <c r="Q225" s="1">
        <v>0.1</v>
      </c>
      <c r="R225" s="5">
        <f t="shared" si="22"/>
        <v>0.70000000000000007</v>
      </c>
      <c r="S225" s="5">
        <f t="shared" si="23"/>
        <v>0</v>
      </c>
      <c r="T225" s="5">
        <f t="shared" si="24"/>
        <v>0.70000000000000007</v>
      </c>
      <c r="U225" s="33">
        <f t="shared" si="17"/>
        <v>8.4315816074535699E-2</v>
      </c>
      <c r="V225" s="48">
        <f t="shared" si="18"/>
        <v>0</v>
      </c>
      <c r="W225" s="48">
        <f t="shared" si="19"/>
        <v>1.1806481975100798</v>
      </c>
    </row>
    <row r="226" spans="1:23" ht="14.25" customHeight="1" x14ac:dyDescent="0.3">
      <c r="A226" s="1" t="s">
        <v>68</v>
      </c>
      <c r="B226" s="1">
        <v>5</v>
      </c>
      <c r="C226" s="1" t="s">
        <v>760</v>
      </c>
      <c r="D226" s="50">
        <v>25</v>
      </c>
      <c r="E226" s="56">
        <f t="shared" si="21"/>
        <v>1.0307764064044151</v>
      </c>
      <c r="F226" s="10">
        <v>9</v>
      </c>
      <c r="G226" s="10">
        <v>1</v>
      </c>
      <c r="H226" s="10">
        <v>0</v>
      </c>
      <c r="I226" s="1">
        <v>1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5</v>
      </c>
      <c r="P226" s="1">
        <v>1</v>
      </c>
      <c r="Q226" s="1">
        <v>0.1</v>
      </c>
      <c r="R226" s="5">
        <f t="shared" si="22"/>
        <v>0.40000000000000008</v>
      </c>
      <c r="S226" s="5">
        <f t="shared" si="23"/>
        <v>0</v>
      </c>
      <c r="T226" s="5">
        <f t="shared" si="24"/>
        <v>2.0333333333333332</v>
      </c>
      <c r="U226" s="33">
        <f t="shared" si="17"/>
        <v>0.10889913340583243</v>
      </c>
      <c r="V226" s="48">
        <f t="shared" si="18"/>
        <v>0.30150579740776917</v>
      </c>
      <c r="W226" s="48">
        <f t="shared" si="19"/>
        <v>0</v>
      </c>
    </row>
    <row r="227" spans="1:23" ht="14.25" customHeight="1" x14ac:dyDescent="0.3">
      <c r="A227" s="1" t="s">
        <v>68</v>
      </c>
      <c r="B227" s="1">
        <v>5</v>
      </c>
      <c r="C227" s="1" t="s">
        <v>761</v>
      </c>
      <c r="D227" s="50">
        <v>25</v>
      </c>
      <c r="E227" s="56">
        <f t="shared" si="21"/>
        <v>1.0307764064044151</v>
      </c>
      <c r="F227" s="10">
        <v>35</v>
      </c>
      <c r="G227" s="10">
        <v>13</v>
      </c>
      <c r="H227" s="10">
        <v>2</v>
      </c>
      <c r="I227" s="1">
        <v>0.1</v>
      </c>
      <c r="J227" s="1">
        <v>0.1</v>
      </c>
      <c r="K227" s="1">
        <v>0.1</v>
      </c>
      <c r="L227" s="1">
        <v>0</v>
      </c>
      <c r="M227" s="1">
        <v>0</v>
      </c>
      <c r="N227" s="1">
        <v>0</v>
      </c>
      <c r="O227" s="1">
        <v>0.1</v>
      </c>
      <c r="P227" s="1">
        <v>1</v>
      </c>
      <c r="Q227" s="1">
        <v>0.1</v>
      </c>
      <c r="R227" s="5">
        <f t="shared" si="22"/>
        <v>0.10000000000000002</v>
      </c>
      <c r="S227" s="5">
        <f t="shared" si="23"/>
        <v>0</v>
      </c>
      <c r="T227" s="5">
        <f t="shared" si="24"/>
        <v>0.40000000000000008</v>
      </c>
      <c r="U227" s="33">
        <f t="shared" si="17"/>
        <v>0.42349662991157061</v>
      </c>
      <c r="V227" s="48">
        <f t="shared" si="18"/>
        <v>3.9195753663009989</v>
      </c>
      <c r="W227" s="48">
        <f t="shared" si="19"/>
        <v>2.3720367353839555</v>
      </c>
    </row>
    <row r="228" spans="1:23" ht="14.25" customHeight="1" x14ac:dyDescent="0.3">
      <c r="A228" s="1" t="s">
        <v>68</v>
      </c>
      <c r="B228" s="1">
        <v>5</v>
      </c>
      <c r="C228" s="1" t="s">
        <v>101</v>
      </c>
      <c r="D228" s="50">
        <v>25</v>
      </c>
      <c r="E228" s="56">
        <f t="shared" si="21"/>
        <v>1.0307764064044151</v>
      </c>
      <c r="F228" s="10">
        <v>15</v>
      </c>
      <c r="G228" s="10">
        <v>0</v>
      </c>
      <c r="H228" s="10">
        <v>0</v>
      </c>
      <c r="I228" s="1">
        <v>1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1</v>
      </c>
      <c r="P228" s="1">
        <v>0.1</v>
      </c>
      <c r="Q228" s="1">
        <v>0.1</v>
      </c>
      <c r="R228" s="5">
        <f t="shared" si="22"/>
        <v>0.40000000000000008</v>
      </c>
      <c r="S228" s="5">
        <f t="shared" si="23"/>
        <v>0</v>
      </c>
      <c r="T228" s="5">
        <f t="shared" si="24"/>
        <v>0.40000000000000008</v>
      </c>
      <c r="U228" s="33">
        <f t="shared" si="17"/>
        <v>0.18149855567638742</v>
      </c>
      <c r="V228" s="48">
        <f t="shared" si="18"/>
        <v>0</v>
      </c>
      <c r="W228" s="48">
        <f t="shared" si="19"/>
        <v>0</v>
      </c>
    </row>
    <row r="229" spans="1:23" ht="14.25" customHeight="1" x14ac:dyDescent="0.3">
      <c r="A229" s="1" t="s">
        <v>68</v>
      </c>
      <c r="B229" s="1">
        <v>5</v>
      </c>
      <c r="C229" s="1" t="s">
        <v>762</v>
      </c>
      <c r="D229" s="50">
        <v>25</v>
      </c>
      <c r="E229" s="56">
        <f t="shared" si="21"/>
        <v>1.0307764064044151</v>
      </c>
      <c r="F229" s="10">
        <v>27</v>
      </c>
      <c r="G229" s="10">
        <v>6</v>
      </c>
      <c r="H229" s="10">
        <v>2</v>
      </c>
      <c r="I229" s="1">
        <v>0.1</v>
      </c>
      <c r="J229" s="1">
        <v>3</v>
      </c>
      <c r="K229" s="1">
        <v>1</v>
      </c>
      <c r="L229" s="1">
        <v>0</v>
      </c>
      <c r="M229" s="1">
        <v>0</v>
      </c>
      <c r="N229" s="1">
        <v>0</v>
      </c>
      <c r="O229" s="1">
        <v>0.1</v>
      </c>
      <c r="P229" s="1">
        <v>3</v>
      </c>
      <c r="Q229" s="1">
        <v>4</v>
      </c>
      <c r="R229" s="5">
        <f t="shared" si="22"/>
        <v>1.3666666666666665</v>
      </c>
      <c r="S229" s="5">
        <f t="shared" si="23"/>
        <v>0</v>
      </c>
      <c r="T229" s="5">
        <f t="shared" si="24"/>
        <v>2.3666666666666667</v>
      </c>
      <c r="U229" s="33">
        <f t="shared" si="17"/>
        <v>0.32669740021749732</v>
      </c>
      <c r="V229" s="48">
        <f t="shared" si="18"/>
        <v>1.8090347844466157</v>
      </c>
      <c r="W229" s="48">
        <f t="shared" si="19"/>
        <v>2.3720367353839555</v>
      </c>
    </row>
    <row r="230" spans="1:23" ht="14.25" customHeight="1" x14ac:dyDescent="0.3">
      <c r="A230" s="1" t="s">
        <v>68</v>
      </c>
      <c r="B230" s="1">
        <v>6</v>
      </c>
      <c r="C230" s="1" t="s">
        <v>760</v>
      </c>
      <c r="D230" s="50">
        <v>28</v>
      </c>
      <c r="E230" s="56">
        <f t="shared" si="21"/>
        <v>1.0384603988597736</v>
      </c>
      <c r="F230" s="10">
        <v>9</v>
      </c>
      <c r="G230" s="10">
        <v>1</v>
      </c>
      <c r="H230" s="10">
        <v>0</v>
      </c>
      <c r="I230" s="1">
        <v>1</v>
      </c>
      <c r="J230" s="1">
        <v>0.1</v>
      </c>
      <c r="K230" s="1">
        <v>0.1</v>
      </c>
      <c r="L230" s="1">
        <v>0</v>
      </c>
      <c r="M230" s="1">
        <v>0</v>
      </c>
      <c r="N230" s="1">
        <v>0</v>
      </c>
      <c r="O230" s="1">
        <v>1</v>
      </c>
      <c r="P230" s="1">
        <v>0.1</v>
      </c>
      <c r="Q230" s="1">
        <v>0.1</v>
      </c>
      <c r="R230" s="5">
        <f t="shared" si="22"/>
        <v>0.40000000000000008</v>
      </c>
      <c r="S230" s="5">
        <f t="shared" si="23"/>
        <v>0</v>
      </c>
      <c r="T230" s="5">
        <f t="shared" si="24"/>
        <v>0.40000000000000008</v>
      </c>
      <c r="U230" s="33">
        <f t="shared" si="17"/>
        <v>0.109710929363022</v>
      </c>
      <c r="V230" s="48">
        <f t="shared" si="18"/>
        <v>0.30375339277193703</v>
      </c>
      <c r="W230" s="48">
        <f t="shared" si="19"/>
        <v>0</v>
      </c>
    </row>
    <row r="231" spans="1:23" ht="14.25" customHeight="1" x14ac:dyDescent="0.3">
      <c r="A231" s="1" t="s">
        <v>68</v>
      </c>
      <c r="B231" s="1">
        <v>6</v>
      </c>
      <c r="C231" s="1" t="s">
        <v>761</v>
      </c>
      <c r="D231" s="50">
        <v>28</v>
      </c>
      <c r="E231" s="56">
        <f t="shared" si="21"/>
        <v>1.0384603988597736</v>
      </c>
      <c r="F231" s="10">
        <v>8</v>
      </c>
      <c r="G231" s="10">
        <v>0</v>
      </c>
      <c r="H231" s="10">
        <v>0</v>
      </c>
      <c r="I231" s="1">
        <v>1</v>
      </c>
      <c r="J231" s="1">
        <v>0.1</v>
      </c>
      <c r="K231" s="1">
        <v>0</v>
      </c>
      <c r="L231" s="1">
        <v>0</v>
      </c>
      <c r="M231" s="1">
        <v>0</v>
      </c>
      <c r="N231" s="1">
        <v>0</v>
      </c>
      <c r="O231" s="1">
        <v>4</v>
      </c>
      <c r="P231" s="1">
        <v>0.1</v>
      </c>
      <c r="Q231" s="1">
        <v>0</v>
      </c>
      <c r="R231" s="5">
        <f t="shared" si="22"/>
        <v>0.3666666666666667</v>
      </c>
      <c r="S231" s="5">
        <f t="shared" si="23"/>
        <v>0</v>
      </c>
      <c r="T231" s="5">
        <f t="shared" si="24"/>
        <v>1.3666666666666665</v>
      </c>
      <c r="U231" s="33">
        <f t="shared" si="17"/>
        <v>9.7520826100463989E-2</v>
      </c>
      <c r="V231" s="48">
        <f t="shared" si="18"/>
        <v>0</v>
      </c>
      <c r="W231" s="48">
        <f t="shared" si="19"/>
        <v>0</v>
      </c>
    </row>
    <row r="232" spans="1:23" ht="14.25" customHeight="1" x14ac:dyDescent="0.3">
      <c r="A232" s="1" t="s">
        <v>68</v>
      </c>
      <c r="B232" s="1">
        <v>6</v>
      </c>
      <c r="C232" s="1" t="s">
        <v>101</v>
      </c>
      <c r="D232" s="50">
        <v>28</v>
      </c>
      <c r="E232" s="56">
        <f t="shared" si="21"/>
        <v>1.0384603988597736</v>
      </c>
      <c r="F232" s="10">
        <v>5</v>
      </c>
      <c r="G232" s="10">
        <v>0</v>
      </c>
      <c r="H232" s="10">
        <v>0</v>
      </c>
      <c r="I232" s="1">
        <v>1</v>
      </c>
      <c r="J232" s="1">
        <v>0.1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0.1</v>
      </c>
      <c r="Q232" s="1">
        <v>2</v>
      </c>
      <c r="R232" s="5">
        <f t="shared" si="22"/>
        <v>0.3666666666666667</v>
      </c>
      <c r="S232" s="5">
        <f t="shared" si="23"/>
        <v>0</v>
      </c>
      <c r="T232" s="5">
        <f t="shared" si="24"/>
        <v>1.0333333333333334</v>
      </c>
      <c r="U232" s="33">
        <f t="shared" si="17"/>
        <v>6.0950516312790012E-2</v>
      </c>
      <c r="V232" s="48">
        <f t="shared" si="18"/>
        <v>0</v>
      </c>
      <c r="W232" s="48">
        <f t="shared" si="19"/>
        <v>0</v>
      </c>
    </row>
    <row r="233" spans="1:23" ht="14.25" customHeight="1" x14ac:dyDescent="0.3">
      <c r="A233" s="1" t="s">
        <v>68</v>
      </c>
      <c r="B233" s="1">
        <v>6</v>
      </c>
      <c r="C233" s="1" t="s">
        <v>762</v>
      </c>
      <c r="D233" s="50">
        <v>28</v>
      </c>
      <c r="E233" s="56">
        <f t="shared" si="21"/>
        <v>1.0384603988597736</v>
      </c>
      <c r="F233" s="10">
        <v>8</v>
      </c>
      <c r="G233" s="10">
        <v>0</v>
      </c>
      <c r="H233" s="10">
        <v>0</v>
      </c>
      <c r="I233" s="1">
        <v>2</v>
      </c>
      <c r="J233" s="1">
        <v>1</v>
      </c>
      <c r="K233" s="1">
        <v>1</v>
      </c>
      <c r="L233" s="1">
        <v>0</v>
      </c>
      <c r="M233" s="1">
        <v>0</v>
      </c>
      <c r="N233" s="1">
        <v>0</v>
      </c>
      <c r="O233" s="1">
        <v>11</v>
      </c>
      <c r="P233" s="1">
        <v>1</v>
      </c>
      <c r="Q233" s="1">
        <v>1</v>
      </c>
      <c r="R233" s="5">
        <f t="shared" si="22"/>
        <v>1.3333333333333333</v>
      </c>
      <c r="S233" s="5">
        <f t="shared" si="23"/>
        <v>0</v>
      </c>
      <c r="T233" s="5">
        <f t="shared" si="24"/>
        <v>4.333333333333333</v>
      </c>
      <c r="U233" s="33">
        <f t="shared" si="17"/>
        <v>9.7520826100463989E-2</v>
      </c>
      <c r="V233" s="48">
        <f t="shared" si="18"/>
        <v>0</v>
      </c>
      <c r="W233" s="48">
        <f t="shared" si="19"/>
        <v>0</v>
      </c>
    </row>
    <row r="234" spans="1:23" ht="14.25" customHeight="1" x14ac:dyDescent="0.3">
      <c r="A234" s="1" t="s">
        <v>68</v>
      </c>
      <c r="B234" s="1">
        <v>7</v>
      </c>
      <c r="C234" s="1" t="s">
        <v>760</v>
      </c>
      <c r="D234" s="50">
        <v>28</v>
      </c>
      <c r="E234" s="56">
        <f t="shared" si="21"/>
        <v>1.0384603988597736</v>
      </c>
      <c r="F234" s="10">
        <v>9</v>
      </c>
      <c r="G234" s="10">
        <v>7</v>
      </c>
      <c r="H234" s="10">
        <v>0</v>
      </c>
      <c r="I234" s="1">
        <v>7</v>
      </c>
      <c r="J234" s="1">
        <v>0.1</v>
      </c>
      <c r="K234" s="1">
        <v>1</v>
      </c>
      <c r="L234" s="1">
        <v>0</v>
      </c>
      <c r="M234" s="1">
        <v>0</v>
      </c>
      <c r="N234" s="1">
        <v>0</v>
      </c>
      <c r="O234" s="1">
        <v>7</v>
      </c>
      <c r="P234" s="1">
        <v>0.1</v>
      </c>
      <c r="Q234" s="1">
        <v>1</v>
      </c>
      <c r="R234" s="5">
        <f t="shared" si="22"/>
        <v>2.6999999999999997</v>
      </c>
      <c r="S234" s="5">
        <f t="shared" si="23"/>
        <v>0</v>
      </c>
      <c r="T234" s="5">
        <f t="shared" si="24"/>
        <v>2.6999999999999997</v>
      </c>
      <c r="U234" s="33">
        <f t="shared" si="17"/>
        <v>0.109710929363022</v>
      </c>
      <c r="V234" s="48">
        <f t="shared" si="18"/>
        <v>2.1262737494035591</v>
      </c>
      <c r="W234" s="48">
        <f t="shared" si="19"/>
        <v>0</v>
      </c>
    </row>
    <row r="235" spans="1:23" ht="14.25" customHeight="1" x14ac:dyDescent="0.3">
      <c r="A235" s="1" t="s">
        <v>68</v>
      </c>
      <c r="B235" s="1">
        <v>7</v>
      </c>
      <c r="C235" s="1" t="s">
        <v>761</v>
      </c>
      <c r="D235" s="50">
        <v>28</v>
      </c>
      <c r="E235" s="56">
        <f t="shared" si="21"/>
        <v>1.0384603988597736</v>
      </c>
      <c r="F235" s="10">
        <v>31</v>
      </c>
      <c r="G235" s="10">
        <v>3</v>
      </c>
      <c r="H235" s="10">
        <v>0</v>
      </c>
      <c r="I235" s="1">
        <v>4</v>
      </c>
      <c r="J235" s="1">
        <v>0.1</v>
      </c>
      <c r="K235" s="1">
        <v>4</v>
      </c>
      <c r="L235" s="1">
        <v>0</v>
      </c>
      <c r="M235" s="1">
        <v>0</v>
      </c>
      <c r="N235" s="1">
        <v>0</v>
      </c>
      <c r="O235" s="1">
        <v>4</v>
      </c>
      <c r="P235" s="1">
        <v>0.1</v>
      </c>
      <c r="Q235" s="1">
        <v>5</v>
      </c>
      <c r="R235" s="5">
        <f t="shared" si="22"/>
        <v>2.6999999999999997</v>
      </c>
      <c r="S235" s="5">
        <f t="shared" si="23"/>
        <v>0</v>
      </c>
      <c r="T235" s="5">
        <f t="shared" si="24"/>
        <v>3.0333333333333332</v>
      </c>
      <c r="U235" s="33">
        <f t="shared" si="17"/>
        <v>0.37789320113929808</v>
      </c>
      <c r="V235" s="48">
        <f t="shared" si="18"/>
        <v>0.9112601783158113</v>
      </c>
      <c r="W235" s="48">
        <f t="shared" si="19"/>
        <v>0</v>
      </c>
    </row>
    <row r="236" spans="1:23" ht="14.25" customHeight="1" x14ac:dyDescent="0.3">
      <c r="A236" s="1" t="s">
        <v>68</v>
      </c>
      <c r="B236" s="1">
        <v>7</v>
      </c>
      <c r="C236" s="1" t="s">
        <v>101</v>
      </c>
      <c r="D236" s="50">
        <v>28</v>
      </c>
      <c r="E236" s="56">
        <f t="shared" si="21"/>
        <v>1.0384603988597736</v>
      </c>
      <c r="F236" s="10">
        <v>51</v>
      </c>
      <c r="G236" s="10">
        <v>20</v>
      </c>
      <c r="H236" s="10">
        <v>7</v>
      </c>
      <c r="I236" s="1">
        <v>1</v>
      </c>
      <c r="J236" s="1">
        <v>1</v>
      </c>
      <c r="K236" s="1">
        <v>3</v>
      </c>
      <c r="L236" s="1">
        <v>0</v>
      </c>
      <c r="M236" s="1">
        <v>0</v>
      </c>
      <c r="N236" s="1">
        <v>0</v>
      </c>
      <c r="O236" s="1">
        <v>5</v>
      </c>
      <c r="P236" s="1">
        <v>1</v>
      </c>
      <c r="Q236" s="1">
        <v>3</v>
      </c>
      <c r="R236" s="5">
        <f t="shared" si="22"/>
        <v>1.6666666666666667</v>
      </c>
      <c r="S236" s="5">
        <f t="shared" si="23"/>
        <v>0</v>
      </c>
      <c r="T236" s="5">
        <f t="shared" si="24"/>
        <v>3</v>
      </c>
      <c r="U236" s="33">
        <f t="shared" si="17"/>
        <v>0.62169526639045802</v>
      </c>
      <c r="V236" s="48">
        <f t="shared" si="18"/>
        <v>6.0750678554387418</v>
      </c>
      <c r="W236" s="48">
        <f t="shared" si="19"/>
        <v>8.3640173529510022</v>
      </c>
    </row>
    <row r="237" spans="1:23" ht="14.25" customHeight="1" x14ac:dyDescent="0.3">
      <c r="A237" s="1" t="s">
        <v>68</v>
      </c>
      <c r="B237" s="1">
        <v>7</v>
      </c>
      <c r="C237" s="1" t="s">
        <v>762</v>
      </c>
      <c r="D237" s="50">
        <v>28</v>
      </c>
      <c r="E237" s="56">
        <f t="shared" si="21"/>
        <v>1.0384603988597736</v>
      </c>
      <c r="F237" s="10">
        <v>102</v>
      </c>
      <c r="G237" s="10">
        <v>18</v>
      </c>
      <c r="H237" s="10">
        <v>0</v>
      </c>
      <c r="I237" s="1">
        <v>0.1</v>
      </c>
      <c r="J237" s="1">
        <v>0.1</v>
      </c>
      <c r="K237" s="1">
        <v>0.1</v>
      </c>
      <c r="L237" s="1">
        <v>0</v>
      </c>
      <c r="M237" s="1">
        <v>0</v>
      </c>
      <c r="N237" s="1">
        <v>0</v>
      </c>
      <c r="O237" s="1">
        <v>4</v>
      </c>
      <c r="P237" s="1">
        <v>0.1</v>
      </c>
      <c r="Q237" s="1">
        <v>1</v>
      </c>
      <c r="R237" s="5">
        <f t="shared" si="22"/>
        <v>0.10000000000000002</v>
      </c>
      <c r="S237" s="5">
        <f t="shared" si="23"/>
        <v>0</v>
      </c>
      <c r="T237" s="5">
        <f t="shared" si="24"/>
        <v>1.7</v>
      </c>
      <c r="U237" s="33">
        <f t="shared" si="17"/>
        <v>1.243390532780916</v>
      </c>
      <c r="V237" s="48">
        <f t="shared" si="18"/>
        <v>5.4675610698948658</v>
      </c>
      <c r="W237" s="48">
        <f t="shared" si="19"/>
        <v>0</v>
      </c>
    </row>
    <row r="238" spans="1:23" ht="14.25" customHeight="1" x14ac:dyDescent="0.3">
      <c r="A238" s="1" t="s">
        <v>68</v>
      </c>
      <c r="B238" s="1">
        <v>8</v>
      </c>
      <c r="C238" s="1" t="s">
        <v>760</v>
      </c>
      <c r="D238" s="50">
        <v>18</v>
      </c>
      <c r="E238" s="56">
        <f t="shared" si="21"/>
        <v>1.016070863670443</v>
      </c>
      <c r="F238" s="10">
        <v>11</v>
      </c>
      <c r="G238" s="10">
        <v>5</v>
      </c>
      <c r="H238" s="10">
        <v>0</v>
      </c>
      <c r="I238" s="1">
        <v>2</v>
      </c>
      <c r="J238" s="1">
        <v>2</v>
      </c>
      <c r="K238" s="1">
        <v>1</v>
      </c>
      <c r="L238" s="1">
        <v>0</v>
      </c>
      <c r="M238" s="1">
        <v>0</v>
      </c>
      <c r="N238" s="1">
        <v>0</v>
      </c>
      <c r="O238" s="1">
        <v>2</v>
      </c>
      <c r="P238" s="1">
        <v>2</v>
      </c>
      <c r="Q238" s="1">
        <v>1</v>
      </c>
      <c r="R238" s="5">
        <f t="shared" si="22"/>
        <v>1.6666666666666667</v>
      </c>
      <c r="S238" s="5">
        <f t="shared" si="23"/>
        <v>0</v>
      </c>
      <c r="T238" s="5">
        <f t="shared" si="24"/>
        <v>1.6666666666666667</v>
      </c>
      <c r="U238" s="33">
        <f t="shared" si="17"/>
        <v>0.13120008851758713</v>
      </c>
      <c r="V238" s="48">
        <f t="shared" si="18"/>
        <v>1.486021866965219</v>
      </c>
      <c r="W238" s="48">
        <f t="shared" si="19"/>
        <v>0</v>
      </c>
    </row>
    <row r="239" spans="1:23" ht="14.25" customHeight="1" x14ac:dyDescent="0.3">
      <c r="A239" s="1" t="s">
        <v>68</v>
      </c>
      <c r="B239" s="1">
        <v>8</v>
      </c>
      <c r="C239" s="1" t="s">
        <v>761</v>
      </c>
      <c r="D239" s="50">
        <v>18</v>
      </c>
      <c r="E239" s="56">
        <f t="shared" si="21"/>
        <v>1.016070863670443</v>
      </c>
      <c r="F239" s="10">
        <v>5</v>
      </c>
      <c r="G239" s="10">
        <v>2</v>
      </c>
      <c r="H239" s="10">
        <v>0</v>
      </c>
      <c r="I239" s="1">
        <v>0.1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140</v>
      </c>
      <c r="P239" s="1">
        <v>5</v>
      </c>
      <c r="Q239" s="1">
        <v>2</v>
      </c>
      <c r="R239" s="5">
        <f t="shared" si="22"/>
        <v>1.0333333333333334</v>
      </c>
      <c r="S239" s="5">
        <f t="shared" si="23"/>
        <v>0</v>
      </c>
      <c r="T239" s="5">
        <f t="shared" si="24"/>
        <v>49</v>
      </c>
      <c r="U239" s="33">
        <f t="shared" si="17"/>
        <v>5.9636403871630515E-2</v>
      </c>
      <c r="V239" s="48">
        <f t="shared" si="18"/>
        <v>0.59440874678608757</v>
      </c>
      <c r="W239" s="48">
        <f t="shared" si="19"/>
        <v>0</v>
      </c>
    </row>
    <row r="240" spans="1:23" ht="14.25" customHeight="1" x14ac:dyDescent="0.3">
      <c r="A240" s="1" t="s">
        <v>68</v>
      </c>
      <c r="B240" s="1">
        <v>8</v>
      </c>
      <c r="C240" s="1" t="s">
        <v>101</v>
      </c>
      <c r="D240" s="50">
        <v>18</v>
      </c>
      <c r="E240" s="56">
        <f t="shared" si="21"/>
        <v>1.016070863670443</v>
      </c>
      <c r="F240" s="10">
        <v>1</v>
      </c>
      <c r="G240" s="10">
        <v>0</v>
      </c>
      <c r="H240" s="10">
        <v>0</v>
      </c>
      <c r="I240" s="1">
        <v>2</v>
      </c>
      <c r="J240" s="1">
        <v>2</v>
      </c>
      <c r="K240" s="1">
        <v>1</v>
      </c>
      <c r="L240" s="1">
        <v>0</v>
      </c>
      <c r="M240" s="1">
        <v>2</v>
      </c>
      <c r="N240" s="1">
        <v>0</v>
      </c>
      <c r="O240" s="1">
        <v>2</v>
      </c>
      <c r="P240" s="1">
        <v>10</v>
      </c>
      <c r="Q240" s="1">
        <v>1</v>
      </c>
      <c r="R240" s="5">
        <f t="shared" si="22"/>
        <v>1.6666666666666667</v>
      </c>
      <c r="S240" s="5">
        <f t="shared" si="23"/>
        <v>0.66666666666666663</v>
      </c>
      <c r="T240" s="5">
        <f t="shared" si="24"/>
        <v>4.333333333333333</v>
      </c>
      <c r="U240" s="33">
        <f t="shared" si="17"/>
        <v>1.1927280774326102E-2</v>
      </c>
      <c r="V240" s="48">
        <f t="shared" si="18"/>
        <v>0</v>
      </c>
      <c r="W240" s="48">
        <f t="shared" si="19"/>
        <v>0</v>
      </c>
    </row>
    <row r="241" spans="1:23" ht="14.25" customHeight="1" x14ac:dyDescent="0.3">
      <c r="A241" s="1" t="s">
        <v>68</v>
      </c>
      <c r="B241" s="1">
        <v>8</v>
      </c>
      <c r="C241" s="1" t="s">
        <v>762</v>
      </c>
      <c r="D241" s="50">
        <v>18</v>
      </c>
      <c r="E241" s="56">
        <f t="shared" si="21"/>
        <v>1.016070863670443</v>
      </c>
      <c r="F241" s="10">
        <v>11</v>
      </c>
      <c r="G241" s="10">
        <v>1</v>
      </c>
      <c r="H241" s="10">
        <v>0</v>
      </c>
      <c r="I241" s="1">
        <v>3</v>
      </c>
      <c r="J241" s="1">
        <v>0.1</v>
      </c>
      <c r="K241" s="1">
        <v>2</v>
      </c>
      <c r="L241" s="1">
        <v>0</v>
      </c>
      <c r="M241" s="1">
        <v>0</v>
      </c>
      <c r="N241" s="1">
        <v>0</v>
      </c>
      <c r="O241" s="1">
        <v>4</v>
      </c>
      <c r="P241" s="1">
        <v>1</v>
      </c>
      <c r="Q241" s="1">
        <v>14</v>
      </c>
      <c r="R241" s="5">
        <f t="shared" si="22"/>
        <v>1.7</v>
      </c>
      <c r="S241" s="5">
        <f t="shared" si="23"/>
        <v>0</v>
      </c>
      <c r="T241" s="5">
        <f t="shared" si="24"/>
        <v>6.333333333333333</v>
      </c>
      <c r="U241" s="33">
        <f t="shared" si="17"/>
        <v>0.13120008851758713</v>
      </c>
      <c r="V241" s="48">
        <f t="shared" si="18"/>
        <v>0.29720437339304379</v>
      </c>
      <c r="W241" s="48">
        <f t="shared" si="19"/>
        <v>0</v>
      </c>
    </row>
    <row r="242" spans="1:23" ht="14.25" customHeight="1" x14ac:dyDescent="0.3">
      <c r="A242" s="1" t="s">
        <v>68</v>
      </c>
      <c r="B242" s="1">
        <v>9</v>
      </c>
      <c r="C242" s="1" t="s">
        <v>760</v>
      </c>
      <c r="D242" s="50">
        <v>21</v>
      </c>
      <c r="E242" s="56">
        <f t="shared" si="21"/>
        <v>1.0218121158021176</v>
      </c>
      <c r="F242" s="10">
        <v>14</v>
      </c>
      <c r="G242" s="10">
        <v>7</v>
      </c>
      <c r="H242" s="10">
        <v>0</v>
      </c>
      <c r="I242" s="1">
        <v>0.1</v>
      </c>
      <c r="J242" s="1">
        <v>0.1</v>
      </c>
      <c r="K242" s="1">
        <v>0.1</v>
      </c>
      <c r="L242" s="1">
        <v>0</v>
      </c>
      <c r="M242" s="1">
        <v>0</v>
      </c>
      <c r="N242" s="1">
        <v>0</v>
      </c>
      <c r="O242" s="1">
        <v>0.1</v>
      </c>
      <c r="P242" s="1">
        <v>6.5</v>
      </c>
      <c r="Q242" s="1">
        <v>0.1</v>
      </c>
      <c r="R242" s="5">
        <f t="shared" si="22"/>
        <v>0.10000000000000002</v>
      </c>
      <c r="S242" s="5">
        <f t="shared" si="23"/>
        <v>0</v>
      </c>
      <c r="T242" s="5">
        <f t="shared" si="24"/>
        <v>2.2333333333333329</v>
      </c>
      <c r="U242" s="33">
        <f t="shared" ref="U242:U305" si="25">(11.64*F242*0.0122*0.48*1.13*E242)/6.56168</f>
        <v>0.16792545299110359</v>
      </c>
      <c r="V242" s="48">
        <f t="shared" ref="V242:V305" si="26">(11.64*G242*0.304*0.48*1.13*E242)/6.56168</f>
        <v>2.0921859716924383</v>
      </c>
      <c r="W242" s="48">
        <f t="shared" ref="W242:W305" si="27">(11.64*H242*2.87*0.4*1.13*E242)/13.1234</f>
        <v>0</v>
      </c>
    </row>
    <row r="243" spans="1:23" ht="14.25" customHeight="1" x14ac:dyDescent="0.3">
      <c r="A243" s="1" t="s">
        <v>68</v>
      </c>
      <c r="B243" s="1">
        <v>9</v>
      </c>
      <c r="C243" s="1" t="s">
        <v>761</v>
      </c>
      <c r="D243" s="50">
        <v>21</v>
      </c>
      <c r="E243" s="56">
        <f t="shared" si="21"/>
        <v>1.0218121158021176</v>
      </c>
      <c r="F243" s="10">
        <v>2</v>
      </c>
      <c r="G243" s="10">
        <v>0</v>
      </c>
      <c r="H243" s="10">
        <v>0</v>
      </c>
      <c r="I243" s="1">
        <v>0.1</v>
      </c>
      <c r="J243" s="1">
        <v>0</v>
      </c>
      <c r="K243" s="1">
        <v>0.1</v>
      </c>
      <c r="L243" s="1">
        <v>0</v>
      </c>
      <c r="M243" s="1">
        <v>0</v>
      </c>
      <c r="N243" s="1">
        <v>0</v>
      </c>
      <c r="O243" s="1">
        <v>1</v>
      </c>
      <c r="P243" s="1">
        <v>3</v>
      </c>
      <c r="Q243" s="1">
        <v>0.1</v>
      </c>
      <c r="R243" s="5">
        <f t="shared" si="22"/>
        <v>6.6666666666666666E-2</v>
      </c>
      <c r="S243" s="5">
        <f t="shared" si="23"/>
        <v>0</v>
      </c>
      <c r="T243" s="5">
        <f t="shared" si="24"/>
        <v>1.3666666666666665</v>
      </c>
      <c r="U243" s="33">
        <f t="shared" si="25"/>
        <v>2.3989350427300517E-2</v>
      </c>
      <c r="V243" s="48">
        <f t="shared" si="26"/>
        <v>0</v>
      </c>
      <c r="W243" s="48">
        <f t="shared" si="27"/>
        <v>0</v>
      </c>
    </row>
    <row r="244" spans="1:23" ht="14.25" customHeight="1" x14ac:dyDescent="0.3">
      <c r="A244" s="1" t="s">
        <v>68</v>
      </c>
      <c r="B244" s="1">
        <v>9</v>
      </c>
      <c r="C244" s="1" t="s">
        <v>101</v>
      </c>
      <c r="D244" s="50">
        <v>21</v>
      </c>
      <c r="E244" s="56">
        <f t="shared" si="21"/>
        <v>1.0218121158021176</v>
      </c>
      <c r="F244" s="10">
        <v>0</v>
      </c>
      <c r="G244" s="10">
        <v>0</v>
      </c>
      <c r="H244" s="10">
        <v>0</v>
      </c>
      <c r="I244" s="1">
        <v>0.1</v>
      </c>
      <c r="J244" s="1">
        <v>0.1</v>
      </c>
      <c r="K244" s="1">
        <v>0</v>
      </c>
      <c r="L244" s="1">
        <v>0</v>
      </c>
      <c r="M244" s="1">
        <v>0</v>
      </c>
      <c r="N244" s="1">
        <v>0</v>
      </c>
      <c r="O244" s="1">
        <v>4.5</v>
      </c>
      <c r="P244" s="1">
        <v>0.1</v>
      </c>
      <c r="Q244" s="1">
        <v>0</v>
      </c>
      <c r="R244" s="5">
        <f t="shared" si="22"/>
        <v>6.6666666666666666E-2</v>
      </c>
      <c r="S244" s="5">
        <f t="shared" si="23"/>
        <v>0</v>
      </c>
      <c r="T244" s="5">
        <f t="shared" si="24"/>
        <v>1.5333333333333332</v>
      </c>
      <c r="U244" s="33">
        <f t="shared" si="25"/>
        <v>0</v>
      </c>
      <c r="V244" s="48">
        <f t="shared" si="26"/>
        <v>0</v>
      </c>
      <c r="W244" s="48">
        <f t="shared" si="27"/>
        <v>0</v>
      </c>
    </row>
    <row r="245" spans="1:23" ht="14.25" customHeight="1" x14ac:dyDescent="0.3">
      <c r="A245" s="1" t="s">
        <v>68</v>
      </c>
      <c r="B245" s="1">
        <v>9</v>
      </c>
      <c r="C245" s="1" t="s">
        <v>762</v>
      </c>
      <c r="D245" s="50">
        <v>21</v>
      </c>
      <c r="E245" s="56">
        <f t="shared" si="21"/>
        <v>1.0218121158021176</v>
      </c>
      <c r="F245" s="10">
        <v>12</v>
      </c>
      <c r="G245" s="10">
        <v>1</v>
      </c>
      <c r="H245" s="10">
        <v>0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</v>
      </c>
      <c r="P245" s="1">
        <v>30</v>
      </c>
      <c r="Q245" s="1">
        <v>2</v>
      </c>
      <c r="R245" s="5">
        <f t="shared" si="22"/>
        <v>1.3333333333333333</v>
      </c>
      <c r="S245" s="5">
        <f t="shared" si="23"/>
        <v>0</v>
      </c>
      <c r="T245" s="5">
        <f t="shared" si="24"/>
        <v>11</v>
      </c>
      <c r="U245" s="33">
        <f t="shared" si="25"/>
        <v>0.14393610256380313</v>
      </c>
      <c r="V245" s="48">
        <f t="shared" si="26"/>
        <v>0.2988837102417769</v>
      </c>
      <c r="W245" s="48">
        <f t="shared" si="27"/>
        <v>0</v>
      </c>
    </row>
    <row r="246" spans="1:23" ht="14.25" customHeight="1" x14ac:dyDescent="0.3">
      <c r="A246" s="1" t="s">
        <v>68</v>
      </c>
      <c r="B246" s="1">
        <v>10</v>
      </c>
      <c r="C246" s="1" t="s">
        <v>760</v>
      </c>
      <c r="D246" s="50">
        <v>26</v>
      </c>
      <c r="E246" s="56">
        <f t="shared" si="21"/>
        <v>1.0332473082471592</v>
      </c>
      <c r="F246" s="10">
        <v>20</v>
      </c>
      <c r="G246" s="10">
        <v>2</v>
      </c>
      <c r="H246" s="10">
        <v>0</v>
      </c>
      <c r="I246" s="1">
        <v>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6</v>
      </c>
      <c r="P246" s="1">
        <v>1</v>
      </c>
      <c r="Q246" s="1">
        <v>1</v>
      </c>
      <c r="R246" s="5">
        <f t="shared" si="22"/>
        <v>1.0666666666666667</v>
      </c>
      <c r="S246" s="5">
        <f t="shared" si="23"/>
        <v>0</v>
      </c>
      <c r="T246" s="5">
        <f t="shared" si="24"/>
        <v>2.6666666666666665</v>
      </c>
      <c r="U246" s="33">
        <f t="shared" si="25"/>
        <v>0.2425781743265833</v>
      </c>
      <c r="V246" s="48">
        <f t="shared" si="26"/>
        <v>0.6044570901252565</v>
      </c>
      <c r="W246" s="48">
        <f t="shared" si="27"/>
        <v>0</v>
      </c>
    </row>
    <row r="247" spans="1:23" ht="14.25" customHeight="1" x14ac:dyDescent="0.3">
      <c r="A247" s="1" t="s">
        <v>68</v>
      </c>
      <c r="B247" s="1">
        <v>10</v>
      </c>
      <c r="C247" s="1" t="s">
        <v>761</v>
      </c>
      <c r="D247" s="50">
        <v>26</v>
      </c>
      <c r="E247" s="56">
        <f t="shared" si="21"/>
        <v>1.0332473082471592</v>
      </c>
      <c r="F247" s="10">
        <v>27</v>
      </c>
      <c r="G247" s="10">
        <v>9</v>
      </c>
      <c r="H247" s="10">
        <v>1</v>
      </c>
      <c r="I247" s="1">
        <v>0.1</v>
      </c>
      <c r="J247" s="1">
        <v>0.1</v>
      </c>
      <c r="K247" s="1">
        <v>0.1</v>
      </c>
      <c r="L247" s="1">
        <v>0</v>
      </c>
      <c r="M247" s="1">
        <v>0</v>
      </c>
      <c r="N247" s="1">
        <v>0</v>
      </c>
      <c r="O247" s="1">
        <v>1</v>
      </c>
      <c r="P247" s="1">
        <v>2</v>
      </c>
      <c r="Q247" s="1">
        <v>0.1</v>
      </c>
      <c r="R247" s="5">
        <f t="shared" si="22"/>
        <v>0.10000000000000002</v>
      </c>
      <c r="S247" s="5">
        <f t="shared" si="23"/>
        <v>0</v>
      </c>
      <c r="T247" s="5">
        <f t="shared" si="24"/>
        <v>1.0333333333333334</v>
      </c>
      <c r="U247" s="33">
        <f t="shared" si="25"/>
        <v>0.32748053534088739</v>
      </c>
      <c r="V247" s="48">
        <f t="shared" si="26"/>
        <v>2.7200569055636543</v>
      </c>
      <c r="W247" s="48">
        <f t="shared" si="27"/>
        <v>1.1888614042147876</v>
      </c>
    </row>
    <row r="248" spans="1:23" ht="14.25" customHeight="1" x14ac:dyDescent="0.3">
      <c r="A248" s="1" t="s">
        <v>68</v>
      </c>
      <c r="B248" s="1">
        <v>10</v>
      </c>
      <c r="C248" s="1" t="s">
        <v>101</v>
      </c>
      <c r="D248" s="50">
        <v>26</v>
      </c>
      <c r="E248" s="56">
        <f t="shared" si="21"/>
        <v>1.0332473082471592</v>
      </c>
      <c r="F248" s="10">
        <v>10</v>
      </c>
      <c r="G248" s="10">
        <v>14</v>
      </c>
      <c r="H248" s="10">
        <v>2</v>
      </c>
      <c r="I248" s="1">
        <v>0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5">
        <f t="shared" si="22"/>
        <v>3.3333333333333333E-2</v>
      </c>
      <c r="S248" s="5">
        <f t="shared" si="23"/>
        <v>0</v>
      </c>
      <c r="T248" s="5">
        <f t="shared" si="24"/>
        <v>0.33333333333333331</v>
      </c>
      <c r="U248" s="33">
        <f t="shared" si="25"/>
        <v>0.12128908716329165</v>
      </c>
      <c r="V248" s="48">
        <f t="shared" si="26"/>
        <v>4.2311996308767963</v>
      </c>
      <c r="W248" s="48">
        <f t="shared" si="27"/>
        <v>2.3777228084295752</v>
      </c>
    </row>
    <row r="249" spans="1:23" ht="14.25" customHeight="1" x14ac:dyDescent="0.3">
      <c r="A249" s="1" t="s">
        <v>68</v>
      </c>
      <c r="B249" s="1">
        <v>10</v>
      </c>
      <c r="C249" s="1" t="s">
        <v>762</v>
      </c>
      <c r="D249" s="50">
        <v>26</v>
      </c>
      <c r="E249" s="56">
        <f t="shared" si="21"/>
        <v>1.0332473082471592</v>
      </c>
      <c r="F249" s="10">
        <v>59</v>
      </c>
      <c r="G249" s="10">
        <v>13</v>
      </c>
      <c r="H249" s="10">
        <v>4</v>
      </c>
      <c r="I249" s="1">
        <v>1</v>
      </c>
      <c r="J249" s="1">
        <v>0.1</v>
      </c>
      <c r="K249" s="1">
        <v>0.1</v>
      </c>
      <c r="L249" s="1">
        <v>0</v>
      </c>
      <c r="M249" s="1">
        <v>0</v>
      </c>
      <c r="N249" s="1">
        <v>0</v>
      </c>
      <c r="O249" s="1">
        <v>1</v>
      </c>
      <c r="P249" s="1">
        <v>105</v>
      </c>
      <c r="Q249" s="1">
        <v>1</v>
      </c>
      <c r="R249" s="5">
        <f t="shared" si="22"/>
        <v>0.40000000000000008</v>
      </c>
      <c r="S249" s="5">
        <f t="shared" si="23"/>
        <v>0</v>
      </c>
      <c r="T249" s="5">
        <f t="shared" si="24"/>
        <v>35.666666666666664</v>
      </c>
      <c r="U249" s="33">
        <f t="shared" si="25"/>
        <v>0.71560561426342051</v>
      </c>
      <c r="V249" s="48">
        <f t="shared" si="26"/>
        <v>3.9289710858141671</v>
      </c>
      <c r="W249" s="48">
        <f t="shared" si="27"/>
        <v>4.7554456168591503</v>
      </c>
    </row>
    <row r="250" spans="1:23" ht="14.25" customHeight="1" x14ac:dyDescent="0.3">
      <c r="A250" s="1" t="s">
        <v>68</v>
      </c>
      <c r="B250" s="1">
        <v>11</v>
      </c>
      <c r="C250" s="1" t="s">
        <v>760</v>
      </c>
      <c r="D250" s="50">
        <v>12</v>
      </c>
      <c r="E250" s="56">
        <f t="shared" si="21"/>
        <v>1.0071742649611337</v>
      </c>
      <c r="F250" s="10">
        <v>4</v>
      </c>
      <c r="G250" s="10">
        <v>0</v>
      </c>
      <c r="H250" s="10">
        <v>0</v>
      </c>
      <c r="I250" s="1">
        <v>1</v>
      </c>
      <c r="J250" s="1">
        <v>2</v>
      </c>
      <c r="K250" s="1">
        <v>1</v>
      </c>
      <c r="L250" s="1">
        <v>0</v>
      </c>
      <c r="M250" s="1">
        <v>0</v>
      </c>
      <c r="N250" s="1">
        <v>0</v>
      </c>
      <c r="O250" s="1">
        <v>1</v>
      </c>
      <c r="P250" s="1">
        <v>2</v>
      </c>
      <c r="Q250" s="1">
        <v>1</v>
      </c>
      <c r="R250" s="5">
        <f t="shared" si="22"/>
        <v>1.3333333333333333</v>
      </c>
      <c r="S250" s="5">
        <f t="shared" si="23"/>
        <v>0</v>
      </c>
      <c r="T250" s="5">
        <f t="shared" si="24"/>
        <v>1.3333333333333333</v>
      </c>
      <c r="U250" s="33">
        <f t="shared" si="25"/>
        <v>4.7291387545438976E-2</v>
      </c>
      <c r="V250" s="48">
        <f t="shared" si="26"/>
        <v>0</v>
      </c>
      <c r="W250" s="48">
        <f t="shared" si="27"/>
        <v>0</v>
      </c>
    </row>
    <row r="251" spans="1:23" ht="14.25" customHeight="1" x14ac:dyDescent="0.3">
      <c r="A251" s="1" t="s">
        <v>68</v>
      </c>
      <c r="B251" s="1">
        <v>11</v>
      </c>
      <c r="C251" s="1" t="s">
        <v>761</v>
      </c>
      <c r="D251" s="50">
        <v>12</v>
      </c>
      <c r="E251" s="56">
        <f t="shared" si="21"/>
        <v>1.0071742649611337</v>
      </c>
      <c r="F251" s="10">
        <v>43</v>
      </c>
      <c r="G251" s="10">
        <v>2</v>
      </c>
      <c r="H251" s="10">
        <v>1</v>
      </c>
      <c r="I251" s="1">
        <v>0.1</v>
      </c>
      <c r="J251" s="1">
        <v>1</v>
      </c>
      <c r="K251" s="1">
        <v>1</v>
      </c>
      <c r="L251" s="1">
        <v>0</v>
      </c>
      <c r="M251" s="1">
        <v>0</v>
      </c>
      <c r="N251" s="1">
        <v>0</v>
      </c>
      <c r="O251" s="1">
        <v>0.1</v>
      </c>
      <c r="P251" s="1">
        <v>1</v>
      </c>
      <c r="Q251" s="1">
        <v>1</v>
      </c>
      <c r="R251" s="5">
        <f t="shared" si="22"/>
        <v>0.70000000000000007</v>
      </c>
      <c r="S251" s="5">
        <f t="shared" si="23"/>
        <v>0</v>
      </c>
      <c r="T251" s="5">
        <f t="shared" si="24"/>
        <v>0.70000000000000007</v>
      </c>
      <c r="U251" s="33">
        <f t="shared" si="25"/>
        <v>0.50838241611346902</v>
      </c>
      <c r="V251" s="48">
        <f t="shared" si="26"/>
        <v>0.58920417269727243</v>
      </c>
      <c r="W251" s="48">
        <f t="shared" si="27"/>
        <v>1.1588615826756807</v>
      </c>
    </row>
    <row r="252" spans="1:23" ht="14.25" customHeight="1" x14ac:dyDescent="0.3">
      <c r="A252" s="1" t="s">
        <v>68</v>
      </c>
      <c r="B252" s="1">
        <v>11</v>
      </c>
      <c r="C252" s="1" t="s">
        <v>101</v>
      </c>
      <c r="D252" s="50">
        <v>12</v>
      </c>
      <c r="E252" s="56">
        <f t="shared" si="21"/>
        <v>1.0071742649611337</v>
      </c>
      <c r="F252" s="10">
        <v>3</v>
      </c>
      <c r="G252" s="10">
        <v>0</v>
      </c>
      <c r="H252" s="10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2</v>
      </c>
      <c r="R252" s="5">
        <f t="shared" si="22"/>
        <v>1.3333333333333333</v>
      </c>
      <c r="S252" s="5">
        <f t="shared" si="23"/>
        <v>0</v>
      </c>
      <c r="T252" s="5">
        <f t="shared" si="24"/>
        <v>1.3333333333333333</v>
      </c>
      <c r="U252" s="33">
        <f t="shared" si="25"/>
        <v>3.5468540659079235E-2</v>
      </c>
      <c r="V252" s="48">
        <f t="shared" si="26"/>
        <v>0</v>
      </c>
      <c r="W252" s="48">
        <f t="shared" si="27"/>
        <v>0</v>
      </c>
    </row>
    <row r="253" spans="1:23" ht="14.25" customHeight="1" x14ac:dyDescent="0.3">
      <c r="A253" s="1" t="s">
        <v>68</v>
      </c>
      <c r="B253" s="1">
        <v>11</v>
      </c>
      <c r="C253" s="1" t="s">
        <v>762</v>
      </c>
      <c r="D253" s="50">
        <v>12</v>
      </c>
      <c r="E253" s="56">
        <f t="shared" si="21"/>
        <v>1.0071742649611337</v>
      </c>
      <c r="F253" s="10">
        <v>8</v>
      </c>
      <c r="G253" s="10">
        <v>0</v>
      </c>
      <c r="H253" s="10">
        <v>1</v>
      </c>
      <c r="I253" s="1">
        <v>0.1</v>
      </c>
      <c r="J253" s="1">
        <v>0.1</v>
      </c>
      <c r="K253" s="1">
        <v>2</v>
      </c>
      <c r="L253" s="1">
        <v>0</v>
      </c>
      <c r="M253" s="1">
        <v>0</v>
      </c>
      <c r="N253" s="1">
        <v>0</v>
      </c>
      <c r="O253" s="1">
        <v>0.1</v>
      </c>
      <c r="P253" s="1">
        <v>1</v>
      </c>
      <c r="Q253" s="1">
        <v>4</v>
      </c>
      <c r="R253" s="5">
        <f t="shared" si="22"/>
        <v>0.73333333333333339</v>
      </c>
      <c r="S253" s="5">
        <f t="shared" si="23"/>
        <v>0</v>
      </c>
      <c r="T253" s="5">
        <f t="shared" si="24"/>
        <v>1.7</v>
      </c>
      <c r="U253" s="33">
        <f t="shared" si="25"/>
        <v>9.4582775090877952E-2</v>
      </c>
      <c r="V253" s="48">
        <f t="shared" si="26"/>
        <v>0</v>
      </c>
      <c r="W253" s="48">
        <f t="shared" si="27"/>
        <v>1.1588615826756807</v>
      </c>
    </row>
    <row r="254" spans="1:23" ht="14.25" customHeight="1" x14ac:dyDescent="0.3">
      <c r="A254" s="1" t="s">
        <v>68</v>
      </c>
      <c r="B254" s="1">
        <v>12</v>
      </c>
      <c r="C254" s="1" t="s">
        <v>760</v>
      </c>
      <c r="D254" s="50">
        <v>13</v>
      </c>
      <c r="E254" s="56">
        <f t="shared" si="21"/>
        <v>1.0084145972763385</v>
      </c>
      <c r="F254" s="10">
        <v>25</v>
      </c>
      <c r="G254" s="10">
        <v>5</v>
      </c>
      <c r="H254" s="10">
        <v>0</v>
      </c>
      <c r="I254" s="1">
        <v>2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4</v>
      </c>
      <c r="P254" s="1">
        <v>0</v>
      </c>
      <c r="Q254" s="1">
        <v>3</v>
      </c>
      <c r="R254" s="5">
        <f t="shared" si="22"/>
        <v>1</v>
      </c>
      <c r="S254" s="5">
        <f t="shared" si="23"/>
        <v>0</v>
      </c>
      <c r="T254" s="5">
        <f t="shared" si="24"/>
        <v>2.3333333333333335</v>
      </c>
      <c r="U254" s="33">
        <f t="shared" si="25"/>
        <v>0.29593516723812313</v>
      </c>
      <c r="V254" s="48">
        <f t="shared" si="26"/>
        <v>1.4748244400063841</v>
      </c>
      <c r="W254" s="48">
        <f t="shared" si="27"/>
        <v>0</v>
      </c>
    </row>
    <row r="255" spans="1:23" ht="14.25" customHeight="1" x14ac:dyDescent="0.3">
      <c r="A255" s="1" t="s">
        <v>68</v>
      </c>
      <c r="B255" s="1">
        <v>12</v>
      </c>
      <c r="C255" s="1" t="s">
        <v>761</v>
      </c>
      <c r="D255" s="50">
        <v>13</v>
      </c>
      <c r="E255" s="56">
        <f t="shared" si="21"/>
        <v>1.0084145972763385</v>
      </c>
      <c r="F255" s="10">
        <v>5</v>
      </c>
      <c r="G255" s="10">
        <v>0</v>
      </c>
      <c r="H255" s="10">
        <v>1</v>
      </c>
      <c r="I255" s="1">
        <v>2</v>
      </c>
      <c r="J255" s="1">
        <v>3</v>
      </c>
      <c r="K255" s="1">
        <v>2</v>
      </c>
      <c r="L255" s="1">
        <v>0</v>
      </c>
      <c r="M255" s="1">
        <v>0</v>
      </c>
      <c r="N255" s="1">
        <v>0</v>
      </c>
      <c r="O255" s="1">
        <v>2</v>
      </c>
      <c r="P255" s="1">
        <v>3</v>
      </c>
      <c r="Q255" s="1">
        <v>5</v>
      </c>
      <c r="R255" s="5">
        <f t="shared" si="22"/>
        <v>2.3333333333333335</v>
      </c>
      <c r="S255" s="5">
        <f t="shared" si="23"/>
        <v>0</v>
      </c>
      <c r="T255" s="5">
        <f t="shared" si="24"/>
        <v>3.3333333333333335</v>
      </c>
      <c r="U255" s="33">
        <f t="shared" si="25"/>
        <v>5.9187033447624639E-2</v>
      </c>
      <c r="V255" s="48">
        <f t="shared" si="26"/>
        <v>0</v>
      </c>
      <c r="W255" s="48">
        <f t="shared" si="27"/>
        <v>1.1602887175021426</v>
      </c>
    </row>
    <row r="256" spans="1:23" ht="14.25" customHeight="1" x14ac:dyDescent="0.3">
      <c r="A256" s="1" t="s">
        <v>68</v>
      </c>
      <c r="B256" s="1">
        <v>12</v>
      </c>
      <c r="C256" s="1" t="s">
        <v>101</v>
      </c>
      <c r="D256" s="50">
        <v>13</v>
      </c>
      <c r="E256" s="56">
        <f t="shared" si="21"/>
        <v>1.0084145972763385</v>
      </c>
      <c r="F256" s="10">
        <v>3</v>
      </c>
      <c r="G256" s="10">
        <v>0</v>
      </c>
      <c r="H256" s="10">
        <v>0</v>
      </c>
      <c r="I256" s="1">
        <v>1</v>
      </c>
      <c r="J256" s="1">
        <v>0.1</v>
      </c>
      <c r="K256" s="1">
        <v>1</v>
      </c>
      <c r="L256" s="1">
        <v>0</v>
      </c>
      <c r="M256" s="1">
        <v>0</v>
      </c>
      <c r="N256" s="1">
        <v>0</v>
      </c>
      <c r="O256" s="1">
        <v>1</v>
      </c>
      <c r="P256" s="1">
        <v>0.1</v>
      </c>
      <c r="Q256" s="1">
        <v>1</v>
      </c>
      <c r="R256" s="5">
        <f t="shared" si="22"/>
        <v>0.70000000000000007</v>
      </c>
      <c r="S256" s="5">
        <f t="shared" si="23"/>
        <v>0</v>
      </c>
      <c r="T256" s="5">
        <f t="shared" si="24"/>
        <v>0.70000000000000007</v>
      </c>
      <c r="U256" s="33">
        <f t="shared" si="25"/>
        <v>3.5512220068574782E-2</v>
      </c>
      <c r="V256" s="48">
        <f t="shared" si="26"/>
        <v>0</v>
      </c>
      <c r="W256" s="48">
        <f t="shared" si="27"/>
        <v>0</v>
      </c>
    </row>
    <row r="257" spans="1:23" ht="14.25" customHeight="1" x14ac:dyDescent="0.3">
      <c r="A257" s="1" t="s">
        <v>68</v>
      </c>
      <c r="B257" s="1">
        <v>12</v>
      </c>
      <c r="C257" s="1" t="s">
        <v>762</v>
      </c>
      <c r="D257" s="50">
        <v>13</v>
      </c>
      <c r="E257" s="56">
        <f t="shared" si="21"/>
        <v>1.0084145972763385</v>
      </c>
      <c r="F257" s="10">
        <v>4</v>
      </c>
      <c r="G257" s="10">
        <v>0</v>
      </c>
      <c r="H257" s="10">
        <v>0</v>
      </c>
      <c r="I257" s="1">
        <v>0.1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0.1</v>
      </c>
      <c r="P257" s="1">
        <v>0</v>
      </c>
      <c r="Q257" s="1">
        <v>1</v>
      </c>
      <c r="R257" s="5">
        <f t="shared" si="22"/>
        <v>0.3666666666666667</v>
      </c>
      <c r="S257" s="5">
        <f t="shared" si="23"/>
        <v>0</v>
      </c>
      <c r="T257" s="5">
        <f t="shared" si="24"/>
        <v>0.3666666666666667</v>
      </c>
      <c r="U257" s="33">
        <f t="shared" si="25"/>
        <v>4.73496267580997E-2</v>
      </c>
      <c r="V257" s="48">
        <f t="shared" si="26"/>
        <v>0</v>
      </c>
      <c r="W257" s="48">
        <f t="shared" si="27"/>
        <v>0</v>
      </c>
    </row>
    <row r="258" spans="1:23" ht="14.25" customHeight="1" x14ac:dyDescent="0.3">
      <c r="A258" s="1" t="s">
        <v>68</v>
      </c>
      <c r="B258" s="1">
        <v>13</v>
      </c>
      <c r="C258" s="1" t="s">
        <v>760</v>
      </c>
      <c r="D258" s="50">
        <v>22</v>
      </c>
      <c r="E258" s="56">
        <f t="shared" si="21"/>
        <v>1.0239140588936164</v>
      </c>
      <c r="F258" s="10">
        <v>1</v>
      </c>
      <c r="G258" s="10">
        <v>0</v>
      </c>
      <c r="H258" s="10">
        <v>0</v>
      </c>
      <c r="I258" s="1">
        <v>2.5</v>
      </c>
      <c r="J258" s="1">
        <v>0.1</v>
      </c>
      <c r="K258" s="1">
        <v>0.1</v>
      </c>
      <c r="L258" s="1">
        <v>0</v>
      </c>
      <c r="M258" s="1">
        <v>0</v>
      </c>
      <c r="N258" s="1">
        <v>0</v>
      </c>
      <c r="O258" s="1">
        <v>2.5</v>
      </c>
      <c r="P258" s="1">
        <v>0.1</v>
      </c>
      <c r="Q258" s="1">
        <v>0.1</v>
      </c>
      <c r="R258" s="5">
        <f t="shared" si="22"/>
        <v>0.9</v>
      </c>
      <c r="S258" s="5">
        <f t="shared" si="23"/>
        <v>0</v>
      </c>
      <c r="T258" s="5">
        <f t="shared" si="24"/>
        <v>0.9</v>
      </c>
      <c r="U258" s="33">
        <f t="shared" si="25"/>
        <v>1.201934914764478E-2</v>
      </c>
      <c r="V258" s="48">
        <f t="shared" si="26"/>
        <v>0</v>
      </c>
      <c r="W258" s="48">
        <f t="shared" si="27"/>
        <v>0</v>
      </c>
    </row>
    <row r="259" spans="1:23" ht="14.25" customHeight="1" x14ac:dyDescent="0.3">
      <c r="A259" s="1" t="s">
        <v>68</v>
      </c>
      <c r="B259" s="1">
        <v>13</v>
      </c>
      <c r="C259" s="1" t="s">
        <v>761</v>
      </c>
      <c r="D259" s="50">
        <v>22</v>
      </c>
      <c r="E259" s="56">
        <f t="shared" si="21"/>
        <v>1.0239140588936164</v>
      </c>
      <c r="F259" s="10">
        <v>0</v>
      </c>
      <c r="G259" s="10">
        <v>0</v>
      </c>
      <c r="H259" s="10">
        <v>0</v>
      </c>
      <c r="I259" s="1">
        <v>2.5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2.5</v>
      </c>
      <c r="P259" s="1">
        <v>1</v>
      </c>
      <c r="Q259" s="1">
        <v>2</v>
      </c>
      <c r="R259" s="5">
        <f t="shared" si="22"/>
        <v>1.8333333333333333</v>
      </c>
      <c r="S259" s="5">
        <f t="shared" si="23"/>
        <v>0</v>
      </c>
      <c r="T259" s="5">
        <f t="shared" si="24"/>
        <v>1.8333333333333333</v>
      </c>
      <c r="U259" s="33">
        <f t="shared" si="25"/>
        <v>0</v>
      </c>
      <c r="V259" s="48">
        <f t="shared" si="26"/>
        <v>0</v>
      </c>
      <c r="W259" s="48">
        <f t="shared" si="27"/>
        <v>0</v>
      </c>
    </row>
    <row r="260" spans="1:23" ht="14.25" customHeight="1" x14ac:dyDescent="0.3">
      <c r="A260" s="1" t="s">
        <v>68</v>
      </c>
      <c r="B260" s="1">
        <v>13</v>
      </c>
      <c r="C260" s="1" t="s">
        <v>101</v>
      </c>
      <c r="D260" s="50">
        <v>22</v>
      </c>
      <c r="E260" s="56">
        <f t="shared" si="21"/>
        <v>1.0239140588936164</v>
      </c>
      <c r="F260" s="10">
        <v>8</v>
      </c>
      <c r="G260" s="10">
        <v>4</v>
      </c>
      <c r="H260" s="10">
        <v>3</v>
      </c>
      <c r="I260" s="1">
        <v>4</v>
      </c>
      <c r="J260" s="1">
        <v>1</v>
      </c>
      <c r="K260" s="1">
        <v>2.5</v>
      </c>
      <c r="L260" s="1">
        <v>0</v>
      </c>
      <c r="M260" s="1">
        <v>0</v>
      </c>
      <c r="N260" s="1">
        <v>0</v>
      </c>
      <c r="O260" s="1">
        <v>4</v>
      </c>
      <c r="P260" s="1">
        <v>2</v>
      </c>
      <c r="Q260" s="1">
        <v>16</v>
      </c>
      <c r="R260" s="5">
        <f t="shared" si="22"/>
        <v>2.5</v>
      </c>
      <c r="S260" s="5">
        <f t="shared" si="23"/>
        <v>0</v>
      </c>
      <c r="T260" s="5">
        <f t="shared" si="24"/>
        <v>7.333333333333333</v>
      </c>
      <c r="U260" s="33">
        <f t="shared" si="25"/>
        <v>9.6154793181158243E-2</v>
      </c>
      <c r="V260" s="48">
        <f t="shared" si="26"/>
        <v>1.1979941445521354</v>
      </c>
      <c r="W260" s="48">
        <f t="shared" si="27"/>
        <v>3.5343675114428961</v>
      </c>
    </row>
    <row r="261" spans="1:23" ht="14.25" customHeight="1" x14ac:dyDescent="0.3">
      <c r="A261" s="1" t="s">
        <v>68</v>
      </c>
      <c r="B261" s="1">
        <v>13</v>
      </c>
      <c r="C261" s="1" t="s">
        <v>762</v>
      </c>
      <c r="D261" s="50">
        <v>22</v>
      </c>
      <c r="E261" s="56">
        <f t="shared" si="21"/>
        <v>1.0239140588936164</v>
      </c>
      <c r="F261" s="10">
        <v>8</v>
      </c>
      <c r="G261" s="10">
        <v>5</v>
      </c>
      <c r="H261" s="10">
        <v>0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3</v>
      </c>
      <c r="P261" s="1">
        <v>1.5</v>
      </c>
      <c r="Q261" s="1">
        <v>2</v>
      </c>
      <c r="R261" s="5">
        <f t="shared" si="22"/>
        <v>1</v>
      </c>
      <c r="S261" s="5">
        <f t="shared" si="23"/>
        <v>0</v>
      </c>
      <c r="T261" s="5">
        <f t="shared" si="24"/>
        <v>2.1666666666666665</v>
      </c>
      <c r="U261" s="33">
        <f t="shared" si="25"/>
        <v>9.6154793181158243E-2</v>
      </c>
      <c r="V261" s="48">
        <f t="shared" si="26"/>
        <v>1.4974926806901694</v>
      </c>
      <c r="W261" s="48">
        <f t="shared" si="27"/>
        <v>0</v>
      </c>
    </row>
    <row r="262" spans="1:23" ht="14.25" customHeight="1" x14ac:dyDescent="0.3">
      <c r="A262" s="1" t="s">
        <v>68</v>
      </c>
      <c r="B262" s="1">
        <v>14</v>
      </c>
      <c r="C262" s="1" t="s">
        <v>760</v>
      </c>
      <c r="D262" s="50">
        <v>8</v>
      </c>
      <c r="E262" s="56">
        <f t="shared" ref="E262:E325" si="28">SQRT(1+((D262/100)^2))</f>
        <v>1.0031948963187562</v>
      </c>
      <c r="F262" s="10">
        <v>29</v>
      </c>
      <c r="G262" s="10">
        <v>0</v>
      </c>
      <c r="H262" s="10">
        <v>0</v>
      </c>
      <c r="I262" s="1">
        <v>1</v>
      </c>
      <c r="J262" s="1">
        <v>5</v>
      </c>
      <c r="K262" s="1">
        <v>5</v>
      </c>
      <c r="L262" s="1">
        <v>0</v>
      </c>
      <c r="M262" s="1">
        <v>0</v>
      </c>
      <c r="N262" s="1">
        <v>0</v>
      </c>
      <c r="O262" s="1">
        <v>1</v>
      </c>
      <c r="P262" s="1">
        <v>6</v>
      </c>
      <c r="Q262" s="1">
        <v>5</v>
      </c>
      <c r="R262" s="5">
        <f t="shared" si="22"/>
        <v>3.6666666666666665</v>
      </c>
      <c r="S262" s="5">
        <f t="shared" si="23"/>
        <v>0</v>
      </c>
      <c r="T262" s="5">
        <f t="shared" si="24"/>
        <v>4</v>
      </c>
      <c r="U262" s="33">
        <f t="shared" si="25"/>
        <v>0.34150790186000701</v>
      </c>
      <c r="V262" s="48">
        <f t="shared" si="26"/>
        <v>0</v>
      </c>
      <c r="W262" s="48">
        <f t="shared" si="27"/>
        <v>0</v>
      </c>
    </row>
    <row r="263" spans="1:23" ht="14.25" customHeight="1" x14ac:dyDescent="0.3">
      <c r="A263" s="1" t="s">
        <v>68</v>
      </c>
      <c r="B263" s="1">
        <v>14</v>
      </c>
      <c r="C263" s="1" t="s">
        <v>761</v>
      </c>
      <c r="D263" s="50">
        <v>8</v>
      </c>
      <c r="E263" s="56">
        <f t="shared" si="28"/>
        <v>1.0031948963187562</v>
      </c>
      <c r="F263" s="10">
        <v>27</v>
      </c>
      <c r="G263" s="10">
        <v>0</v>
      </c>
      <c r="H263" s="10">
        <v>0</v>
      </c>
      <c r="I263" s="1">
        <v>3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3</v>
      </c>
      <c r="P263" s="1">
        <v>1</v>
      </c>
      <c r="Q263" s="1">
        <v>1</v>
      </c>
      <c r="R263" s="5">
        <f t="shared" ref="R263:R326" si="29">AVERAGE(I263:K263)</f>
        <v>1.6666666666666667</v>
      </c>
      <c r="S263" s="5">
        <f t="shared" ref="S263:S326" si="30">AVERAGE(L263:N263)</f>
        <v>0</v>
      </c>
      <c r="T263" s="5">
        <f t="shared" ref="T263:T326" si="31">AVERAGE(O263:Q263)</f>
        <v>1.6666666666666667</v>
      </c>
      <c r="U263" s="33">
        <f t="shared" si="25"/>
        <v>0.31795563276621347</v>
      </c>
      <c r="V263" s="48">
        <f t="shared" si="26"/>
        <v>0</v>
      </c>
      <c r="W263" s="48">
        <f t="shared" si="27"/>
        <v>0</v>
      </c>
    </row>
    <row r="264" spans="1:23" ht="14.25" customHeight="1" x14ac:dyDescent="0.3">
      <c r="A264" s="1" t="s">
        <v>68</v>
      </c>
      <c r="B264" s="1">
        <v>14</v>
      </c>
      <c r="C264" s="1" t="s">
        <v>101</v>
      </c>
      <c r="D264" s="50">
        <v>8</v>
      </c>
      <c r="E264" s="56">
        <f t="shared" si="28"/>
        <v>1.0031948963187562</v>
      </c>
      <c r="F264" s="10">
        <v>6</v>
      </c>
      <c r="G264" s="10">
        <v>0</v>
      </c>
      <c r="H264" s="10">
        <v>0</v>
      </c>
      <c r="I264" s="1">
        <v>2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5</v>
      </c>
      <c r="P264" s="1">
        <v>1</v>
      </c>
      <c r="Q264" s="1">
        <v>1</v>
      </c>
      <c r="R264" s="5">
        <f t="shared" si="29"/>
        <v>1.3333333333333333</v>
      </c>
      <c r="S264" s="5">
        <f t="shared" si="30"/>
        <v>0</v>
      </c>
      <c r="T264" s="5">
        <f t="shared" si="31"/>
        <v>2.3333333333333335</v>
      </c>
      <c r="U264" s="33">
        <f t="shared" si="25"/>
        <v>7.0656807281380782E-2</v>
      </c>
      <c r="V264" s="48">
        <f t="shared" si="26"/>
        <v>0</v>
      </c>
      <c r="W264" s="48">
        <f t="shared" si="27"/>
        <v>0</v>
      </c>
    </row>
    <row r="265" spans="1:23" ht="14.25" customHeight="1" x14ac:dyDescent="0.3">
      <c r="A265" s="1" t="s">
        <v>68</v>
      </c>
      <c r="B265" s="1">
        <v>14</v>
      </c>
      <c r="C265" s="1" t="s">
        <v>762</v>
      </c>
      <c r="D265" s="50">
        <v>8</v>
      </c>
      <c r="E265" s="56">
        <f t="shared" si="28"/>
        <v>1.0031948963187562</v>
      </c>
      <c r="F265" s="10">
        <v>82</v>
      </c>
      <c r="G265" s="10">
        <v>21</v>
      </c>
      <c r="H265" s="10">
        <v>3</v>
      </c>
      <c r="I265" s="1">
        <v>5</v>
      </c>
      <c r="J265" s="1">
        <v>2</v>
      </c>
      <c r="K265" s="1">
        <v>3</v>
      </c>
      <c r="L265" s="1">
        <v>0</v>
      </c>
      <c r="M265" s="1">
        <v>0</v>
      </c>
      <c r="N265" s="1">
        <v>0</v>
      </c>
      <c r="O265" s="1">
        <v>5</v>
      </c>
      <c r="P265" s="1">
        <v>6</v>
      </c>
      <c r="Q265" s="1">
        <v>10</v>
      </c>
      <c r="R265" s="5">
        <f t="shared" si="29"/>
        <v>3.3333333333333335</v>
      </c>
      <c r="S265" s="5">
        <f t="shared" si="30"/>
        <v>0</v>
      </c>
      <c r="T265" s="5">
        <f t="shared" si="31"/>
        <v>7</v>
      </c>
      <c r="U265" s="33">
        <f t="shared" si="25"/>
        <v>0.96564303284553732</v>
      </c>
      <c r="V265" s="48">
        <f t="shared" si="26"/>
        <v>6.1622002415892734</v>
      </c>
      <c r="W265" s="48">
        <f t="shared" si="27"/>
        <v>3.4628486818762654</v>
      </c>
    </row>
    <row r="266" spans="1:23" ht="14.25" customHeight="1" x14ac:dyDescent="0.3">
      <c r="A266" s="1" t="s">
        <v>68</v>
      </c>
      <c r="B266" s="1">
        <v>15</v>
      </c>
      <c r="C266" s="1" t="s">
        <v>760</v>
      </c>
      <c r="D266" s="50">
        <v>20</v>
      </c>
      <c r="E266" s="56">
        <f t="shared" si="28"/>
        <v>1.019803902718557</v>
      </c>
      <c r="F266" s="10">
        <v>16</v>
      </c>
      <c r="G266" s="10">
        <v>3</v>
      </c>
      <c r="H266" s="10">
        <v>0</v>
      </c>
      <c r="I266" s="1">
        <v>3</v>
      </c>
      <c r="J266" s="1">
        <v>0.1</v>
      </c>
      <c r="K266" s="1">
        <v>4</v>
      </c>
      <c r="L266" s="1">
        <v>0</v>
      </c>
      <c r="M266" s="1">
        <v>0</v>
      </c>
      <c r="N266" s="1">
        <v>0</v>
      </c>
      <c r="O266" s="1">
        <v>3</v>
      </c>
      <c r="P266" s="1">
        <v>0.1</v>
      </c>
      <c r="Q266" s="1">
        <v>4</v>
      </c>
      <c r="R266" s="5">
        <f t="shared" si="29"/>
        <v>2.3666666666666667</v>
      </c>
      <c r="S266" s="5">
        <f t="shared" si="30"/>
        <v>0</v>
      </c>
      <c r="T266" s="5">
        <f t="shared" si="31"/>
        <v>2.3666666666666667</v>
      </c>
      <c r="U266" s="33">
        <f t="shared" si="25"/>
        <v>0.19153762466587854</v>
      </c>
      <c r="V266" s="48">
        <f t="shared" si="26"/>
        <v>0.8948889021274653</v>
      </c>
      <c r="W266" s="48">
        <f t="shared" si="27"/>
        <v>0</v>
      </c>
    </row>
    <row r="267" spans="1:23" ht="14.25" customHeight="1" x14ac:dyDescent="0.3">
      <c r="A267" s="1" t="s">
        <v>68</v>
      </c>
      <c r="B267" s="1">
        <v>15</v>
      </c>
      <c r="C267" s="1" t="s">
        <v>761</v>
      </c>
      <c r="D267" s="50">
        <v>20</v>
      </c>
      <c r="E267" s="56">
        <f t="shared" si="28"/>
        <v>1.019803902718557</v>
      </c>
      <c r="F267" s="10">
        <v>6</v>
      </c>
      <c r="G267" s="10">
        <v>1</v>
      </c>
      <c r="H267" s="10">
        <v>1</v>
      </c>
      <c r="I267" s="1">
        <v>1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2</v>
      </c>
      <c r="P267" s="1">
        <v>1</v>
      </c>
      <c r="Q267" s="1">
        <v>1</v>
      </c>
      <c r="R267" s="5">
        <f t="shared" si="29"/>
        <v>1</v>
      </c>
      <c r="S267" s="5">
        <f t="shared" si="30"/>
        <v>0</v>
      </c>
      <c r="T267" s="5">
        <f t="shared" si="31"/>
        <v>1.3333333333333333</v>
      </c>
      <c r="U267" s="33">
        <f t="shared" si="25"/>
        <v>7.1826609249704451E-2</v>
      </c>
      <c r="V267" s="48">
        <f t="shared" si="26"/>
        <v>0.29829630070915503</v>
      </c>
      <c r="W267" s="48">
        <f t="shared" si="27"/>
        <v>1.1733933300697159</v>
      </c>
    </row>
    <row r="268" spans="1:23" ht="14.25" customHeight="1" x14ac:dyDescent="0.3">
      <c r="A268" s="1" t="s">
        <v>68</v>
      </c>
      <c r="B268" s="1">
        <v>15</v>
      </c>
      <c r="C268" s="1" t="s">
        <v>101</v>
      </c>
      <c r="D268" s="50">
        <v>20</v>
      </c>
      <c r="E268" s="56">
        <f t="shared" si="28"/>
        <v>1.019803902718557</v>
      </c>
      <c r="F268" s="10">
        <v>7</v>
      </c>
      <c r="G268" s="10">
        <v>0</v>
      </c>
      <c r="H268" s="10">
        <v>0</v>
      </c>
      <c r="I268" s="1">
        <v>1</v>
      </c>
      <c r="J268" s="1">
        <v>1</v>
      </c>
      <c r="K268" s="1">
        <v>1</v>
      </c>
      <c r="L268" s="1">
        <v>0</v>
      </c>
      <c r="M268" s="1">
        <v>0</v>
      </c>
      <c r="N268" s="1">
        <v>0</v>
      </c>
      <c r="O268" s="1">
        <v>1</v>
      </c>
      <c r="P268" s="1">
        <v>2</v>
      </c>
      <c r="Q268" s="1">
        <v>1</v>
      </c>
      <c r="R268" s="5">
        <f t="shared" si="29"/>
        <v>1</v>
      </c>
      <c r="S268" s="5">
        <f t="shared" si="30"/>
        <v>0</v>
      </c>
      <c r="T268" s="5">
        <f t="shared" si="31"/>
        <v>1.3333333333333333</v>
      </c>
      <c r="U268" s="33">
        <f t="shared" si="25"/>
        <v>8.3797710791321867E-2</v>
      </c>
      <c r="V268" s="48">
        <f t="shared" si="26"/>
        <v>0</v>
      </c>
      <c r="W268" s="48">
        <f t="shared" si="27"/>
        <v>0</v>
      </c>
    </row>
    <row r="269" spans="1:23" ht="14.25" customHeight="1" x14ac:dyDescent="0.3">
      <c r="A269" s="1" t="s">
        <v>68</v>
      </c>
      <c r="B269" s="1">
        <v>15</v>
      </c>
      <c r="C269" s="1" t="s">
        <v>762</v>
      </c>
      <c r="D269" s="50">
        <v>20</v>
      </c>
      <c r="E269" s="56">
        <f t="shared" si="28"/>
        <v>1.019803902718557</v>
      </c>
      <c r="F269" s="10">
        <v>5</v>
      </c>
      <c r="G269" s="10">
        <v>0</v>
      </c>
      <c r="H269" s="10">
        <v>0</v>
      </c>
      <c r="I269" s="1">
        <v>4</v>
      </c>
      <c r="J269" s="1">
        <v>2</v>
      </c>
      <c r="K269" s="1">
        <v>0.1</v>
      </c>
      <c r="L269" s="1">
        <v>0</v>
      </c>
      <c r="M269" s="1">
        <v>0</v>
      </c>
      <c r="N269" s="1">
        <v>0</v>
      </c>
      <c r="O269" s="1">
        <v>4</v>
      </c>
      <c r="P269" s="1">
        <v>2</v>
      </c>
      <c r="Q269" s="1">
        <v>2</v>
      </c>
      <c r="R269" s="5">
        <f t="shared" si="29"/>
        <v>2.0333333333333332</v>
      </c>
      <c r="S269" s="5">
        <f t="shared" si="30"/>
        <v>0</v>
      </c>
      <c r="T269" s="5">
        <f t="shared" si="31"/>
        <v>2.6666666666666665</v>
      </c>
      <c r="U269" s="33">
        <f t="shared" si="25"/>
        <v>5.9855507708087043E-2</v>
      </c>
      <c r="V269" s="48">
        <f t="shared" si="26"/>
        <v>0</v>
      </c>
      <c r="W269" s="48">
        <f t="shared" si="27"/>
        <v>0</v>
      </c>
    </row>
    <row r="270" spans="1:23" ht="14.25" customHeight="1" x14ac:dyDescent="0.3">
      <c r="A270" s="1" t="s">
        <v>68</v>
      </c>
      <c r="B270" s="1">
        <v>16</v>
      </c>
      <c r="C270" s="1" t="s">
        <v>760</v>
      </c>
      <c r="D270" s="50">
        <v>30</v>
      </c>
      <c r="E270" s="56">
        <f t="shared" si="28"/>
        <v>1.0440306508910551</v>
      </c>
      <c r="F270" s="10">
        <v>2</v>
      </c>
      <c r="G270" s="10">
        <v>1</v>
      </c>
      <c r="H270" s="10">
        <v>0</v>
      </c>
      <c r="I270" s="1">
        <v>1</v>
      </c>
      <c r="J270" s="1">
        <v>1</v>
      </c>
      <c r="K270" s="1">
        <v>4</v>
      </c>
      <c r="L270" s="1">
        <v>0</v>
      </c>
      <c r="M270" s="1">
        <v>0</v>
      </c>
      <c r="N270" s="1">
        <v>0</v>
      </c>
      <c r="O270" s="1">
        <v>4</v>
      </c>
      <c r="P270" s="1">
        <v>1</v>
      </c>
      <c r="Q270" s="1">
        <v>4</v>
      </c>
      <c r="R270" s="5">
        <f t="shared" si="29"/>
        <v>2</v>
      </c>
      <c r="S270" s="5">
        <f t="shared" si="30"/>
        <v>0</v>
      </c>
      <c r="T270" s="5">
        <f t="shared" si="31"/>
        <v>3</v>
      </c>
      <c r="U270" s="33">
        <f t="shared" si="25"/>
        <v>2.4510980789660609E-2</v>
      </c>
      <c r="V270" s="48">
        <f t="shared" si="26"/>
        <v>0.30538271147773871</v>
      </c>
      <c r="W270" s="48">
        <f t="shared" si="27"/>
        <v>0</v>
      </c>
    </row>
    <row r="271" spans="1:23" ht="14.25" customHeight="1" x14ac:dyDescent="0.3">
      <c r="A271" s="1" t="s">
        <v>68</v>
      </c>
      <c r="B271" s="1">
        <v>16</v>
      </c>
      <c r="C271" s="1" t="s">
        <v>761</v>
      </c>
      <c r="D271" s="50">
        <v>30</v>
      </c>
      <c r="E271" s="56">
        <f t="shared" si="28"/>
        <v>1.0440306508910551</v>
      </c>
      <c r="F271" s="10">
        <v>2</v>
      </c>
      <c r="G271" s="10">
        <v>0</v>
      </c>
      <c r="H271" s="10">
        <v>0</v>
      </c>
      <c r="I271" s="1">
        <v>0</v>
      </c>
      <c r="J271" s="1">
        <v>2</v>
      </c>
      <c r="K271" s="1">
        <v>0.1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>
        <v>2</v>
      </c>
      <c r="R271" s="5">
        <f t="shared" si="29"/>
        <v>0.70000000000000007</v>
      </c>
      <c r="S271" s="5">
        <f t="shared" si="30"/>
        <v>0</v>
      </c>
      <c r="T271" s="5">
        <f t="shared" si="31"/>
        <v>1.3333333333333333</v>
      </c>
      <c r="U271" s="33">
        <f t="shared" si="25"/>
        <v>2.4510980789660609E-2</v>
      </c>
      <c r="V271" s="48">
        <f t="shared" si="26"/>
        <v>0</v>
      </c>
      <c r="W271" s="48">
        <f t="shared" si="27"/>
        <v>0</v>
      </c>
    </row>
    <row r="272" spans="1:23" ht="14.25" customHeight="1" x14ac:dyDescent="0.3">
      <c r="A272" s="1" t="s">
        <v>68</v>
      </c>
      <c r="B272" s="1">
        <v>16</v>
      </c>
      <c r="C272" s="1" t="s">
        <v>101</v>
      </c>
      <c r="D272" s="50">
        <v>30</v>
      </c>
      <c r="E272" s="56">
        <f t="shared" si="28"/>
        <v>1.0440306508910551</v>
      </c>
      <c r="F272" s="10">
        <v>9</v>
      </c>
      <c r="G272" s="10">
        <v>5</v>
      </c>
      <c r="H272" s="10">
        <v>2</v>
      </c>
      <c r="I272" s="1">
        <v>1</v>
      </c>
      <c r="J272" s="1">
        <v>0.1</v>
      </c>
      <c r="K272" s="1">
        <v>2</v>
      </c>
      <c r="L272" s="1">
        <v>0</v>
      </c>
      <c r="M272" s="1">
        <v>0</v>
      </c>
      <c r="N272" s="1">
        <v>0</v>
      </c>
      <c r="O272" s="1">
        <v>3</v>
      </c>
      <c r="P272" s="1">
        <v>0.1</v>
      </c>
      <c r="Q272" s="1">
        <v>9</v>
      </c>
      <c r="R272" s="5">
        <f t="shared" si="29"/>
        <v>1.0333333333333334</v>
      </c>
      <c r="S272" s="5">
        <f t="shared" si="30"/>
        <v>0</v>
      </c>
      <c r="T272" s="5">
        <f t="shared" si="31"/>
        <v>4.0333333333333332</v>
      </c>
      <c r="U272" s="33">
        <f t="shared" si="25"/>
        <v>0.11029941355347275</v>
      </c>
      <c r="V272" s="48">
        <f t="shared" si="26"/>
        <v>1.5269135573886938</v>
      </c>
      <c r="W272" s="48">
        <f t="shared" si="27"/>
        <v>2.4025375837024949</v>
      </c>
    </row>
    <row r="273" spans="1:23" ht="14.25" customHeight="1" x14ac:dyDescent="0.3">
      <c r="A273" s="1" t="s">
        <v>68</v>
      </c>
      <c r="B273" s="1">
        <v>16</v>
      </c>
      <c r="C273" s="1" t="s">
        <v>762</v>
      </c>
      <c r="D273" s="50">
        <v>30</v>
      </c>
      <c r="E273" s="56">
        <f t="shared" si="28"/>
        <v>1.0440306508910551</v>
      </c>
      <c r="F273" s="10">
        <v>5</v>
      </c>
      <c r="G273" s="10">
        <v>12</v>
      </c>
      <c r="H273" s="10">
        <v>4</v>
      </c>
      <c r="I273" s="1">
        <v>5</v>
      </c>
      <c r="J273" s="1">
        <v>1</v>
      </c>
      <c r="K273" s="1">
        <v>0.1</v>
      </c>
      <c r="L273" s="1">
        <v>0</v>
      </c>
      <c r="M273" s="1">
        <v>0</v>
      </c>
      <c r="N273" s="1">
        <v>0</v>
      </c>
      <c r="O273" s="1">
        <v>5</v>
      </c>
      <c r="P273" s="1">
        <v>1</v>
      </c>
      <c r="Q273" s="1">
        <v>14</v>
      </c>
      <c r="R273" s="5">
        <f t="shared" si="29"/>
        <v>2.0333333333333332</v>
      </c>
      <c r="S273" s="5">
        <f t="shared" si="30"/>
        <v>0</v>
      </c>
      <c r="T273" s="5">
        <f t="shared" si="31"/>
        <v>6.666666666666667</v>
      </c>
      <c r="U273" s="33">
        <f t="shared" si="25"/>
        <v>6.1277451974151534E-2</v>
      </c>
      <c r="V273" s="48">
        <f t="shared" si="26"/>
        <v>3.6645925377328656</v>
      </c>
      <c r="W273" s="48">
        <f t="shared" si="27"/>
        <v>4.8050751674049899</v>
      </c>
    </row>
    <row r="274" spans="1:23" ht="14.25" customHeight="1" x14ac:dyDescent="0.3">
      <c r="A274" s="1" t="s">
        <v>68</v>
      </c>
      <c r="B274" s="1">
        <v>17</v>
      </c>
      <c r="C274" s="1" t="s">
        <v>760</v>
      </c>
      <c r="D274" s="50">
        <v>29</v>
      </c>
      <c r="E274" s="56">
        <f t="shared" si="28"/>
        <v>1.0412012293500235</v>
      </c>
      <c r="F274" s="10">
        <v>35</v>
      </c>
      <c r="G274" s="10">
        <v>5</v>
      </c>
      <c r="H274" s="10">
        <v>0</v>
      </c>
      <c r="I274" s="1">
        <v>0.1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0.1</v>
      </c>
      <c r="P274" s="1">
        <v>0</v>
      </c>
      <c r="Q274" s="1">
        <v>0</v>
      </c>
      <c r="R274" s="5">
        <f t="shared" si="29"/>
        <v>3.3333333333333333E-2</v>
      </c>
      <c r="S274" s="5">
        <f t="shared" si="30"/>
        <v>0</v>
      </c>
      <c r="T274" s="5">
        <f t="shared" si="31"/>
        <v>3.3333333333333333E-2</v>
      </c>
      <c r="U274" s="33">
        <f t="shared" si="25"/>
        <v>0.42777969009558287</v>
      </c>
      <c r="V274" s="48">
        <f t="shared" si="26"/>
        <v>1.5227754776236202</v>
      </c>
      <c r="W274" s="48">
        <f t="shared" si="27"/>
        <v>0</v>
      </c>
    </row>
    <row r="275" spans="1:23" ht="14.25" customHeight="1" x14ac:dyDescent="0.3">
      <c r="A275" s="1" t="s">
        <v>68</v>
      </c>
      <c r="B275" s="1">
        <v>17</v>
      </c>
      <c r="C275" s="1" t="s">
        <v>761</v>
      </c>
      <c r="D275" s="50">
        <v>29</v>
      </c>
      <c r="E275" s="56">
        <f t="shared" si="28"/>
        <v>1.0412012293500235</v>
      </c>
      <c r="F275" s="10">
        <v>1</v>
      </c>
      <c r="G275" s="10">
        <v>0</v>
      </c>
      <c r="H275" s="10">
        <v>0</v>
      </c>
      <c r="I275" s="1">
        <v>4</v>
      </c>
      <c r="J275" s="1">
        <v>2</v>
      </c>
      <c r="K275" s="1">
        <v>1</v>
      </c>
      <c r="L275" s="1">
        <v>0</v>
      </c>
      <c r="M275" s="1">
        <v>0</v>
      </c>
      <c r="N275" s="1">
        <v>0</v>
      </c>
      <c r="O275" s="1">
        <v>13</v>
      </c>
      <c r="P275" s="1">
        <v>2</v>
      </c>
      <c r="Q275" s="1">
        <v>1</v>
      </c>
      <c r="R275" s="5">
        <f t="shared" si="29"/>
        <v>2.3333333333333335</v>
      </c>
      <c r="S275" s="5">
        <f t="shared" si="30"/>
        <v>0</v>
      </c>
      <c r="T275" s="5">
        <f t="shared" si="31"/>
        <v>5.333333333333333</v>
      </c>
      <c r="U275" s="33">
        <f t="shared" si="25"/>
        <v>1.2222276859873794E-2</v>
      </c>
      <c r="V275" s="48">
        <f t="shared" si="26"/>
        <v>0</v>
      </c>
      <c r="W275" s="48">
        <f t="shared" si="27"/>
        <v>0</v>
      </c>
    </row>
    <row r="276" spans="1:23" ht="14.25" customHeight="1" x14ac:dyDescent="0.3">
      <c r="A276" s="1" t="s">
        <v>68</v>
      </c>
      <c r="B276" s="1">
        <v>17</v>
      </c>
      <c r="C276" s="1" t="s">
        <v>101</v>
      </c>
      <c r="D276" s="50">
        <v>29</v>
      </c>
      <c r="E276" s="56">
        <f t="shared" si="28"/>
        <v>1.0412012293500235</v>
      </c>
      <c r="F276" s="10">
        <v>8</v>
      </c>
      <c r="G276" s="10">
        <v>0</v>
      </c>
      <c r="H276" s="10">
        <v>0</v>
      </c>
      <c r="I276" s="1">
        <v>0.1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0.1</v>
      </c>
      <c r="P276" s="1">
        <v>0</v>
      </c>
      <c r="Q276" s="1">
        <v>4</v>
      </c>
      <c r="R276" s="5">
        <f t="shared" si="29"/>
        <v>0.3666666666666667</v>
      </c>
      <c r="S276" s="5">
        <f t="shared" si="30"/>
        <v>0</v>
      </c>
      <c r="T276" s="5">
        <f t="shared" si="31"/>
        <v>1.3666666666666665</v>
      </c>
      <c r="U276" s="33">
        <f t="shared" si="25"/>
        <v>9.7778214878990355E-2</v>
      </c>
      <c r="V276" s="48">
        <f t="shared" si="26"/>
        <v>0</v>
      </c>
      <c r="W276" s="48">
        <f t="shared" si="27"/>
        <v>0</v>
      </c>
    </row>
    <row r="277" spans="1:23" ht="14.25" customHeight="1" x14ac:dyDescent="0.3">
      <c r="A277" s="1" t="s">
        <v>68</v>
      </c>
      <c r="B277" s="1">
        <v>17</v>
      </c>
      <c r="C277" s="1" t="s">
        <v>762</v>
      </c>
      <c r="D277" s="50">
        <v>29</v>
      </c>
      <c r="E277" s="56">
        <f t="shared" si="28"/>
        <v>1.0412012293500235</v>
      </c>
      <c r="F277" s="10">
        <v>6</v>
      </c>
      <c r="G277" s="10">
        <v>0</v>
      </c>
      <c r="H277" s="10">
        <v>0</v>
      </c>
      <c r="I277" s="1">
        <v>0</v>
      </c>
      <c r="J277" s="1">
        <v>5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7</v>
      </c>
      <c r="Q277" s="1">
        <v>0</v>
      </c>
      <c r="R277" s="5">
        <f t="shared" si="29"/>
        <v>1.6666666666666667</v>
      </c>
      <c r="S277" s="5">
        <f t="shared" si="30"/>
        <v>0</v>
      </c>
      <c r="T277" s="5">
        <f t="shared" si="31"/>
        <v>2.3333333333333335</v>
      </c>
      <c r="U277" s="33">
        <f t="shared" si="25"/>
        <v>7.333366115924278E-2</v>
      </c>
      <c r="V277" s="48">
        <f t="shared" si="26"/>
        <v>0</v>
      </c>
      <c r="W277" s="48">
        <f t="shared" si="27"/>
        <v>0</v>
      </c>
    </row>
    <row r="278" spans="1:23" ht="14.25" customHeight="1" x14ac:dyDescent="0.3">
      <c r="A278" s="1" t="s">
        <v>70</v>
      </c>
      <c r="B278" s="1">
        <v>12</v>
      </c>
      <c r="C278" s="1" t="s">
        <v>760</v>
      </c>
      <c r="D278" s="50">
        <v>17</v>
      </c>
      <c r="E278" s="56">
        <f t="shared" si="28"/>
        <v>1.014347080638575</v>
      </c>
      <c r="F278" s="10">
        <v>1</v>
      </c>
      <c r="G278" s="10">
        <v>0</v>
      </c>
      <c r="H278" s="10">
        <v>1</v>
      </c>
      <c r="I278" s="1">
        <v>1</v>
      </c>
      <c r="J278" s="1">
        <v>2</v>
      </c>
      <c r="K278" s="1">
        <v>1</v>
      </c>
      <c r="L278" s="1">
        <v>0</v>
      </c>
      <c r="M278" s="1">
        <v>0</v>
      </c>
      <c r="N278" s="1">
        <v>0</v>
      </c>
      <c r="O278" s="1">
        <v>1</v>
      </c>
      <c r="P278" s="1">
        <v>2</v>
      </c>
      <c r="Q278" s="1">
        <v>1</v>
      </c>
      <c r="R278" s="5">
        <f t="shared" si="29"/>
        <v>1.3333333333333333</v>
      </c>
      <c r="S278" s="5">
        <f t="shared" si="30"/>
        <v>0</v>
      </c>
      <c r="T278" s="5">
        <f t="shared" si="31"/>
        <v>1.3333333333333333</v>
      </c>
      <c r="U278" s="33">
        <f t="shared" si="25"/>
        <v>1.190704592166943E-2</v>
      </c>
      <c r="V278" s="48">
        <f t="shared" si="26"/>
        <v>0</v>
      </c>
      <c r="W278" s="48">
        <f t="shared" si="27"/>
        <v>1.1671146733446738</v>
      </c>
    </row>
    <row r="279" spans="1:23" ht="14.25" customHeight="1" x14ac:dyDescent="0.3">
      <c r="A279" s="1" t="s">
        <v>70</v>
      </c>
      <c r="B279" s="1">
        <v>12</v>
      </c>
      <c r="C279" s="1" t="s">
        <v>761</v>
      </c>
      <c r="D279" s="50">
        <v>17</v>
      </c>
      <c r="E279" s="56">
        <f t="shared" si="28"/>
        <v>1.014347080638575</v>
      </c>
      <c r="F279" s="10">
        <v>0</v>
      </c>
      <c r="G279" s="10">
        <v>1</v>
      </c>
      <c r="H279" s="10">
        <v>2</v>
      </c>
      <c r="I279" s="1">
        <v>1</v>
      </c>
      <c r="J279" s="1">
        <v>1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>
        <v>1</v>
      </c>
      <c r="Q279" s="1">
        <v>1</v>
      </c>
      <c r="R279" s="5">
        <f t="shared" si="29"/>
        <v>1</v>
      </c>
      <c r="S279" s="5">
        <f t="shared" si="30"/>
        <v>0</v>
      </c>
      <c r="T279" s="5">
        <f t="shared" si="31"/>
        <v>1</v>
      </c>
      <c r="U279" s="33">
        <f t="shared" si="25"/>
        <v>0</v>
      </c>
      <c r="V279" s="48">
        <f t="shared" si="26"/>
        <v>0.29670016067110705</v>
      </c>
      <c r="W279" s="48">
        <f t="shared" si="27"/>
        <v>2.3342293466893476</v>
      </c>
    </row>
    <row r="280" spans="1:23" ht="14.25" customHeight="1" x14ac:dyDescent="0.3">
      <c r="A280" s="1" t="s">
        <v>70</v>
      </c>
      <c r="B280" s="1">
        <v>12</v>
      </c>
      <c r="C280" s="1" t="s">
        <v>101</v>
      </c>
      <c r="D280" s="50">
        <v>17</v>
      </c>
      <c r="E280" s="56">
        <f t="shared" si="28"/>
        <v>1.014347080638575</v>
      </c>
      <c r="F280" s="10">
        <v>1</v>
      </c>
      <c r="G280" s="10">
        <v>10</v>
      </c>
      <c r="H280" s="10">
        <v>1</v>
      </c>
      <c r="I280" s="1">
        <v>1</v>
      </c>
      <c r="J280" s="1">
        <v>1</v>
      </c>
      <c r="K280" s="1">
        <v>0.1</v>
      </c>
      <c r="L280" s="1">
        <v>0</v>
      </c>
      <c r="M280" s="1">
        <v>0</v>
      </c>
      <c r="N280" s="1">
        <v>0</v>
      </c>
      <c r="O280" s="1">
        <v>1</v>
      </c>
      <c r="P280" s="1">
        <v>1</v>
      </c>
      <c r="Q280" s="1">
        <v>0.1</v>
      </c>
      <c r="R280" s="5">
        <f t="shared" si="29"/>
        <v>0.70000000000000007</v>
      </c>
      <c r="S280" s="5">
        <f t="shared" si="30"/>
        <v>0</v>
      </c>
      <c r="T280" s="5">
        <f t="shared" si="31"/>
        <v>0.70000000000000007</v>
      </c>
      <c r="U280" s="33">
        <f t="shared" si="25"/>
        <v>1.190704592166943E-2</v>
      </c>
      <c r="V280" s="48">
        <f t="shared" si="26"/>
        <v>2.9670016067110709</v>
      </c>
      <c r="W280" s="48">
        <f t="shared" si="27"/>
        <v>1.1671146733446738</v>
      </c>
    </row>
    <row r="281" spans="1:23" ht="14.25" customHeight="1" x14ac:dyDescent="0.3">
      <c r="A281" s="1" t="s">
        <v>70</v>
      </c>
      <c r="B281" s="1">
        <v>12</v>
      </c>
      <c r="C281" s="1" t="s">
        <v>762</v>
      </c>
      <c r="D281" s="50">
        <v>17</v>
      </c>
      <c r="E281" s="56">
        <f t="shared" si="28"/>
        <v>1.014347080638575</v>
      </c>
      <c r="F281" s="10">
        <v>0</v>
      </c>
      <c r="G281" s="10">
        <v>0</v>
      </c>
      <c r="H281" s="10">
        <v>0</v>
      </c>
      <c r="I281" s="1">
        <v>1</v>
      </c>
      <c r="J281" s="1">
        <v>0.1</v>
      </c>
      <c r="K281" s="1">
        <v>0.1</v>
      </c>
      <c r="L281" s="1">
        <v>0</v>
      </c>
      <c r="M281" s="1">
        <v>0</v>
      </c>
      <c r="N281" s="1">
        <v>0</v>
      </c>
      <c r="O281" s="1">
        <v>1</v>
      </c>
      <c r="P281" s="1">
        <v>0.1</v>
      </c>
      <c r="Q281" s="1">
        <v>0.1</v>
      </c>
      <c r="R281" s="5">
        <f t="shared" si="29"/>
        <v>0.40000000000000008</v>
      </c>
      <c r="S281" s="5">
        <f t="shared" si="30"/>
        <v>0</v>
      </c>
      <c r="T281" s="5">
        <f t="shared" si="31"/>
        <v>0.40000000000000008</v>
      </c>
      <c r="U281" s="33">
        <f t="shared" si="25"/>
        <v>0</v>
      </c>
      <c r="V281" s="48">
        <f t="shared" si="26"/>
        <v>0</v>
      </c>
      <c r="W281" s="48">
        <f t="shared" si="27"/>
        <v>0</v>
      </c>
    </row>
    <row r="282" spans="1:23" ht="14.25" customHeight="1" x14ac:dyDescent="0.3">
      <c r="A282" s="1" t="s">
        <v>70</v>
      </c>
      <c r="B282" s="1">
        <v>13</v>
      </c>
      <c r="C282" s="1" t="s">
        <v>760</v>
      </c>
      <c r="D282" s="50">
        <v>12</v>
      </c>
      <c r="E282" s="56">
        <f t="shared" si="28"/>
        <v>1.0071742649611337</v>
      </c>
      <c r="F282" s="10">
        <v>3</v>
      </c>
      <c r="G282" s="10">
        <v>2</v>
      </c>
      <c r="H282" s="10">
        <v>0</v>
      </c>
      <c r="I282" s="1">
        <v>0.3</v>
      </c>
      <c r="J282" s="19">
        <v>80</v>
      </c>
      <c r="K282" s="1">
        <v>23</v>
      </c>
      <c r="L282" s="1">
        <v>0</v>
      </c>
      <c r="M282" s="1">
        <v>0</v>
      </c>
      <c r="N282" s="1">
        <v>0</v>
      </c>
      <c r="O282" s="1">
        <v>0.3</v>
      </c>
      <c r="P282" s="1">
        <v>20</v>
      </c>
      <c r="Q282" s="1">
        <v>2.2999999999999998</v>
      </c>
      <c r="R282" s="5">
        <f t="shared" si="29"/>
        <v>34.43333333333333</v>
      </c>
      <c r="S282" s="5">
        <f t="shared" si="30"/>
        <v>0</v>
      </c>
      <c r="T282" s="5">
        <f t="shared" si="31"/>
        <v>7.5333333333333341</v>
      </c>
      <c r="U282" s="33">
        <f t="shared" si="25"/>
        <v>3.5468540659079235E-2</v>
      </c>
      <c r="V282" s="48">
        <f t="shared" si="26"/>
        <v>0.58920417269727243</v>
      </c>
      <c r="W282" s="48">
        <f t="shared" si="27"/>
        <v>0</v>
      </c>
    </row>
    <row r="283" spans="1:23" ht="14.25" customHeight="1" x14ac:dyDescent="0.3">
      <c r="A283" s="1" t="s">
        <v>70</v>
      </c>
      <c r="B283" s="1">
        <v>13</v>
      </c>
      <c r="C283" s="1" t="s">
        <v>761</v>
      </c>
      <c r="D283" s="50">
        <v>12</v>
      </c>
      <c r="E283" s="56">
        <f t="shared" si="28"/>
        <v>1.0071742649611337</v>
      </c>
      <c r="F283" s="10">
        <v>14</v>
      </c>
      <c r="G283" s="10">
        <v>2</v>
      </c>
      <c r="H283" s="10">
        <v>0</v>
      </c>
      <c r="I283" s="1">
        <v>1</v>
      </c>
      <c r="J283" s="1">
        <v>2.8</v>
      </c>
      <c r="K283" s="1">
        <v>2</v>
      </c>
      <c r="L283" s="1">
        <v>0</v>
      </c>
      <c r="M283" s="1">
        <v>0</v>
      </c>
      <c r="N283" s="1">
        <v>0</v>
      </c>
      <c r="O283" s="1">
        <v>10</v>
      </c>
      <c r="P283" s="1">
        <v>2.8</v>
      </c>
      <c r="Q283" s="1">
        <v>0.2</v>
      </c>
      <c r="R283" s="5">
        <f t="shared" si="29"/>
        <v>1.9333333333333333</v>
      </c>
      <c r="S283" s="5">
        <f t="shared" si="30"/>
        <v>0</v>
      </c>
      <c r="T283" s="5">
        <f t="shared" si="31"/>
        <v>4.333333333333333</v>
      </c>
      <c r="U283" s="33">
        <f t="shared" si="25"/>
        <v>0.16551985640903641</v>
      </c>
      <c r="V283" s="48">
        <f t="shared" si="26"/>
        <v>0.58920417269727243</v>
      </c>
      <c r="W283" s="48">
        <f t="shared" si="27"/>
        <v>0</v>
      </c>
    </row>
    <row r="284" spans="1:23" ht="14.25" customHeight="1" x14ac:dyDescent="0.3">
      <c r="A284" s="1" t="s">
        <v>70</v>
      </c>
      <c r="B284" s="1">
        <v>13</v>
      </c>
      <c r="C284" s="1" t="s">
        <v>101</v>
      </c>
      <c r="D284" s="50">
        <v>12</v>
      </c>
      <c r="E284" s="56">
        <f t="shared" si="28"/>
        <v>1.0071742649611337</v>
      </c>
      <c r="F284" s="10">
        <v>12</v>
      </c>
      <c r="G284" s="10">
        <v>1</v>
      </c>
      <c r="H284" s="10">
        <v>2</v>
      </c>
      <c r="I284" s="1">
        <v>5.5</v>
      </c>
      <c r="J284" s="1">
        <v>1.5</v>
      </c>
      <c r="K284" s="1">
        <v>2</v>
      </c>
      <c r="L284" s="1">
        <v>0</v>
      </c>
      <c r="M284" s="1">
        <v>0</v>
      </c>
      <c r="N284" s="1">
        <v>0</v>
      </c>
      <c r="O284" s="1">
        <v>5.5</v>
      </c>
      <c r="P284" s="1">
        <v>1.5</v>
      </c>
      <c r="Q284" s="1">
        <v>0.2</v>
      </c>
      <c r="R284" s="5">
        <f t="shared" si="29"/>
        <v>3</v>
      </c>
      <c r="S284" s="5">
        <f t="shared" si="30"/>
        <v>0</v>
      </c>
      <c r="T284" s="5">
        <f t="shared" si="31"/>
        <v>2.4</v>
      </c>
      <c r="U284" s="33">
        <f t="shared" si="25"/>
        <v>0.14187416263631694</v>
      </c>
      <c r="V284" s="48">
        <f t="shared" si="26"/>
        <v>0.29460208634863622</v>
      </c>
      <c r="W284" s="48">
        <f t="shared" si="27"/>
        <v>2.3177231653513615</v>
      </c>
    </row>
    <row r="285" spans="1:23" ht="14.25" customHeight="1" x14ac:dyDescent="0.3">
      <c r="A285" s="1" t="s">
        <v>70</v>
      </c>
      <c r="B285" s="1">
        <v>13</v>
      </c>
      <c r="C285" s="1" t="s">
        <v>762</v>
      </c>
      <c r="D285" s="50">
        <v>12</v>
      </c>
      <c r="E285" s="56">
        <f t="shared" si="28"/>
        <v>1.0071742649611337</v>
      </c>
      <c r="F285" s="10">
        <v>4</v>
      </c>
      <c r="G285" s="10">
        <v>2</v>
      </c>
      <c r="H285" s="10">
        <v>0</v>
      </c>
      <c r="I285" s="1">
        <v>2.5</v>
      </c>
      <c r="J285" s="1">
        <v>1.1000000000000001</v>
      </c>
      <c r="K285" s="1">
        <v>15</v>
      </c>
      <c r="L285" s="1">
        <v>0</v>
      </c>
      <c r="M285" s="1">
        <v>0</v>
      </c>
      <c r="N285" s="1">
        <v>0</v>
      </c>
      <c r="O285" s="1">
        <v>2.5</v>
      </c>
      <c r="P285" s="1">
        <v>2.5</v>
      </c>
      <c r="Q285" s="1">
        <v>4.5</v>
      </c>
      <c r="R285" s="5">
        <f t="shared" si="29"/>
        <v>6.2</v>
      </c>
      <c r="S285" s="5">
        <f t="shared" si="30"/>
        <v>0</v>
      </c>
      <c r="T285" s="5">
        <f t="shared" si="31"/>
        <v>3.1666666666666665</v>
      </c>
      <c r="U285" s="33">
        <f t="shared" si="25"/>
        <v>4.7291387545438976E-2</v>
      </c>
      <c r="V285" s="48">
        <f t="shared" si="26"/>
        <v>0.58920417269727243</v>
      </c>
      <c r="W285" s="48">
        <f t="shared" si="27"/>
        <v>0</v>
      </c>
    </row>
    <row r="286" spans="1:23" ht="14.25" customHeight="1" x14ac:dyDescent="0.3">
      <c r="A286" s="1" t="s">
        <v>70</v>
      </c>
      <c r="B286" s="1">
        <v>16</v>
      </c>
      <c r="C286" s="1" t="s">
        <v>760</v>
      </c>
      <c r="D286" s="50">
        <v>19</v>
      </c>
      <c r="E286" s="56">
        <f t="shared" si="28"/>
        <v>1.0178899744078433</v>
      </c>
      <c r="F286" s="10">
        <v>10</v>
      </c>
      <c r="G286" s="10">
        <v>2</v>
      </c>
      <c r="H286" s="10">
        <v>0</v>
      </c>
      <c r="I286" s="1">
        <v>2</v>
      </c>
      <c r="J286" s="1">
        <v>15</v>
      </c>
      <c r="K286" s="1">
        <v>1</v>
      </c>
      <c r="L286" s="1">
        <v>0</v>
      </c>
      <c r="M286" s="1">
        <v>0</v>
      </c>
      <c r="N286" s="1">
        <v>0</v>
      </c>
      <c r="O286" s="1">
        <v>5</v>
      </c>
      <c r="P286" s="1">
        <v>15</v>
      </c>
      <c r="Q286" s="1">
        <v>1</v>
      </c>
      <c r="R286" s="5">
        <f t="shared" si="29"/>
        <v>6</v>
      </c>
      <c r="S286" s="5">
        <f t="shared" si="30"/>
        <v>0</v>
      </c>
      <c r="T286" s="5">
        <f t="shared" si="31"/>
        <v>7</v>
      </c>
      <c r="U286" s="33">
        <f t="shared" si="25"/>
        <v>0.11948634643726694</v>
      </c>
      <c r="V286" s="48">
        <f t="shared" si="26"/>
        <v>0.59547293962178927</v>
      </c>
      <c r="W286" s="48">
        <f t="shared" si="27"/>
        <v>0</v>
      </c>
    </row>
    <row r="287" spans="1:23" ht="14.25" customHeight="1" x14ac:dyDescent="0.3">
      <c r="A287" s="1" t="s">
        <v>70</v>
      </c>
      <c r="B287" s="1">
        <v>16</v>
      </c>
      <c r="C287" s="1" t="s">
        <v>761</v>
      </c>
      <c r="D287" s="50">
        <v>19</v>
      </c>
      <c r="E287" s="56">
        <f t="shared" si="28"/>
        <v>1.0178899744078433</v>
      </c>
      <c r="F287" s="10">
        <v>0</v>
      </c>
      <c r="G287" s="10">
        <v>0</v>
      </c>
      <c r="H287" s="10">
        <v>0</v>
      </c>
      <c r="I287" s="1">
        <v>3</v>
      </c>
      <c r="J287" s="1">
        <v>1</v>
      </c>
      <c r="K287" s="1">
        <v>0.5</v>
      </c>
      <c r="L287" s="1">
        <v>0</v>
      </c>
      <c r="M287" s="1">
        <v>0</v>
      </c>
      <c r="N287" s="1">
        <v>0</v>
      </c>
      <c r="O287" s="1">
        <v>3</v>
      </c>
      <c r="P287" s="1">
        <v>1</v>
      </c>
      <c r="Q287" s="1">
        <v>1</v>
      </c>
      <c r="R287" s="5">
        <f t="shared" si="29"/>
        <v>1.5</v>
      </c>
      <c r="S287" s="5">
        <f t="shared" si="30"/>
        <v>0</v>
      </c>
      <c r="T287" s="5">
        <f t="shared" si="31"/>
        <v>1.6666666666666667</v>
      </c>
      <c r="U287" s="33">
        <f t="shared" si="25"/>
        <v>0</v>
      </c>
      <c r="V287" s="48">
        <f t="shared" si="26"/>
        <v>0</v>
      </c>
      <c r="W287" s="48">
        <f t="shared" si="27"/>
        <v>0</v>
      </c>
    </row>
    <row r="288" spans="1:23" ht="14.25" customHeight="1" x14ac:dyDescent="0.3">
      <c r="A288" s="1" t="s">
        <v>70</v>
      </c>
      <c r="B288" s="1">
        <v>16</v>
      </c>
      <c r="C288" s="1" t="s">
        <v>101</v>
      </c>
      <c r="D288" s="50">
        <v>19</v>
      </c>
      <c r="E288" s="56">
        <f t="shared" si="28"/>
        <v>1.0178899744078433</v>
      </c>
      <c r="F288" s="10">
        <v>4</v>
      </c>
      <c r="G288" s="10">
        <v>0</v>
      </c>
      <c r="H288" s="10">
        <v>0</v>
      </c>
      <c r="I288" s="1">
        <v>1</v>
      </c>
      <c r="J288" s="1">
        <v>0.1</v>
      </c>
      <c r="K288" s="1">
        <v>0.1</v>
      </c>
      <c r="L288" s="1">
        <v>0</v>
      </c>
      <c r="M288" s="1">
        <v>0</v>
      </c>
      <c r="N288" s="1">
        <v>0</v>
      </c>
      <c r="O288" s="1">
        <v>1.5</v>
      </c>
      <c r="P288" s="1">
        <v>0.1</v>
      </c>
      <c r="Q288" s="1">
        <v>0.1</v>
      </c>
      <c r="R288" s="5">
        <f t="shared" si="29"/>
        <v>0.40000000000000008</v>
      </c>
      <c r="S288" s="5">
        <f t="shared" si="30"/>
        <v>0</v>
      </c>
      <c r="T288" s="5">
        <f t="shared" si="31"/>
        <v>0.56666666666666676</v>
      </c>
      <c r="U288" s="33">
        <f t="shared" si="25"/>
        <v>4.7794538574906772E-2</v>
      </c>
      <c r="V288" s="48">
        <f t="shared" si="26"/>
        <v>0</v>
      </c>
      <c r="W288" s="48">
        <f t="shared" si="27"/>
        <v>0</v>
      </c>
    </row>
    <row r="289" spans="1:24" ht="14.25" customHeight="1" x14ac:dyDescent="0.3">
      <c r="A289" s="1" t="s">
        <v>70</v>
      </c>
      <c r="B289" s="1">
        <v>16</v>
      </c>
      <c r="C289" s="1" t="s">
        <v>762</v>
      </c>
      <c r="D289" s="50">
        <v>19</v>
      </c>
      <c r="E289" s="56">
        <f t="shared" si="28"/>
        <v>1.0178899744078433</v>
      </c>
      <c r="F289" s="10">
        <v>4</v>
      </c>
      <c r="G289" s="10">
        <v>0</v>
      </c>
      <c r="H289" s="10">
        <v>0</v>
      </c>
      <c r="I289" s="1">
        <v>0.1</v>
      </c>
      <c r="J289" s="1">
        <v>0.5</v>
      </c>
      <c r="K289" s="1">
        <v>0.5</v>
      </c>
      <c r="L289" s="1">
        <v>0</v>
      </c>
      <c r="M289" s="1">
        <v>0</v>
      </c>
      <c r="N289" s="1">
        <v>0</v>
      </c>
      <c r="O289" s="1">
        <v>1</v>
      </c>
      <c r="P289" s="1">
        <v>0.5</v>
      </c>
      <c r="Q289" s="1">
        <v>6</v>
      </c>
      <c r="R289" s="5">
        <f t="shared" si="29"/>
        <v>0.3666666666666667</v>
      </c>
      <c r="S289" s="5">
        <f t="shared" si="30"/>
        <v>0</v>
      </c>
      <c r="T289" s="5">
        <f t="shared" si="31"/>
        <v>2.5</v>
      </c>
      <c r="U289" s="33">
        <f t="shared" si="25"/>
        <v>4.7794538574906772E-2</v>
      </c>
      <c r="V289" s="48">
        <f t="shared" si="26"/>
        <v>0</v>
      </c>
      <c r="W289" s="48">
        <f t="shared" si="27"/>
        <v>0</v>
      </c>
      <c r="X289" s="11"/>
    </row>
    <row r="290" spans="1:24" ht="14.25" customHeight="1" x14ac:dyDescent="0.3">
      <c r="A290" s="1" t="s">
        <v>70</v>
      </c>
      <c r="B290" s="1">
        <v>17</v>
      </c>
      <c r="C290" s="1" t="s">
        <v>760</v>
      </c>
      <c r="D290" s="50">
        <v>25</v>
      </c>
      <c r="E290" s="56">
        <f t="shared" si="28"/>
        <v>1.0307764064044151</v>
      </c>
      <c r="F290" s="10">
        <v>2</v>
      </c>
      <c r="G290" s="10">
        <v>1</v>
      </c>
      <c r="H290" s="10">
        <v>0</v>
      </c>
      <c r="I290" s="1">
        <v>3</v>
      </c>
      <c r="J290" s="1">
        <v>4</v>
      </c>
      <c r="K290" s="1">
        <v>4</v>
      </c>
      <c r="L290" s="1">
        <v>0</v>
      </c>
      <c r="M290" s="1">
        <v>0</v>
      </c>
      <c r="N290" s="1">
        <v>0</v>
      </c>
      <c r="O290" s="1">
        <v>60</v>
      </c>
      <c r="P290" s="1">
        <v>65</v>
      </c>
      <c r="Q290" s="1">
        <v>4</v>
      </c>
      <c r="R290" s="5">
        <f t="shared" si="29"/>
        <v>3.6666666666666665</v>
      </c>
      <c r="S290" s="5">
        <f t="shared" si="30"/>
        <v>0</v>
      </c>
      <c r="T290" s="5">
        <f t="shared" si="31"/>
        <v>43</v>
      </c>
      <c r="U290" s="33">
        <f t="shared" si="25"/>
        <v>2.4199807423518318E-2</v>
      </c>
      <c r="V290" s="48">
        <f t="shared" si="26"/>
        <v>0.30150579740776917</v>
      </c>
      <c r="W290" s="48">
        <f t="shared" si="27"/>
        <v>0</v>
      </c>
    </row>
    <row r="291" spans="1:24" ht="14.25" customHeight="1" x14ac:dyDescent="0.3">
      <c r="A291" s="1" t="s">
        <v>70</v>
      </c>
      <c r="B291" s="1">
        <v>17</v>
      </c>
      <c r="C291" s="1" t="s">
        <v>761</v>
      </c>
      <c r="D291" s="50">
        <v>25</v>
      </c>
      <c r="E291" s="56">
        <f t="shared" si="28"/>
        <v>1.0307764064044151</v>
      </c>
      <c r="F291" s="10">
        <v>4</v>
      </c>
      <c r="G291" s="10">
        <v>0</v>
      </c>
      <c r="H291" s="10">
        <v>0</v>
      </c>
      <c r="I291" s="1">
        <v>5</v>
      </c>
      <c r="J291" s="1">
        <v>0.5</v>
      </c>
      <c r="K291" s="1">
        <v>1</v>
      </c>
      <c r="L291" s="1">
        <v>0</v>
      </c>
      <c r="M291" s="1">
        <v>0</v>
      </c>
      <c r="N291" s="1">
        <v>0</v>
      </c>
      <c r="O291" s="1">
        <v>5</v>
      </c>
      <c r="P291" s="1">
        <v>1</v>
      </c>
      <c r="Q291" s="1">
        <v>1</v>
      </c>
      <c r="R291" s="5">
        <f t="shared" si="29"/>
        <v>2.1666666666666665</v>
      </c>
      <c r="S291" s="5">
        <f t="shared" si="30"/>
        <v>0</v>
      </c>
      <c r="T291" s="5">
        <f t="shared" si="31"/>
        <v>2.3333333333333335</v>
      </c>
      <c r="U291" s="33">
        <f t="shared" si="25"/>
        <v>4.8399614847036636E-2</v>
      </c>
      <c r="V291" s="48">
        <f t="shared" si="26"/>
        <v>0</v>
      </c>
      <c r="W291" s="48">
        <f t="shared" si="27"/>
        <v>0</v>
      </c>
    </row>
    <row r="292" spans="1:24" ht="14.25" customHeight="1" x14ac:dyDescent="0.3">
      <c r="A292" s="1" t="s">
        <v>70</v>
      </c>
      <c r="B292" s="1">
        <v>17</v>
      </c>
      <c r="C292" s="1" t="s">
        <v>101</v>
      </c>
      <c r="D292" s="50">
        <v>25</v>
      </c>
      <c r="E292" s="56">
        <f t="shared" si="28"/>
        <v>1.0307764064044151</v>
      </c>
      <c r="F292" s="10">
        <v>1</v>
      </c>
      <c r="G292" s="10">
        <v>0</v>
      </c>
      <c r="H292" s="10">
        <v>0</v>
      </c>
      <c r="I292" s="1">
        <v>3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3</v>
      </c>
      <c r="P292" s="1">
        <v>6</v>
      </c>
      <c r="Q292" s="1">
        <v>0</v>
      </c>
      <c r="R292" s="5">
        <f t="shared" si="29"/>
        <v>2.3333333333333335</v>
      </c>
      <c r="S292" s="5">
        <f t="shared" si="30"/>
        <v>0</v>
      </c>
      <c r="T292" s="5">
        <f t="shared" si="31"/>
        <v>3</v>
      </c>
      <c r="U292" s="33">
        <f t="shared" si="25"/>
        <v>1.2099903711759159E-2</v>
      </c>
      <c r="V292" s="48">
        <f t="shared" si="26"/>
        <v>0</v>
      </c>
      <c r="W292" s="48">
        <f t="shared" si="27"/>
        <v>0</v>
      </c>
    </row>
    <row r="293" spans="1:24" ht="14.25" customHeight="1" x14ac:dyDescent="0.3">
      <c r="A293" s="1" t="s">
        <v>70</v>
      </c>
      <c r="B293" s="1">
        <v>17</v>
      </c>
      <c r="C293" s="1" t="s">
        <v>762</v>
      </c>
      <c r="D293" s="50">
        <v>25</v>
      </c>
      <c r="E293" s="56">
        <f t="shared" si="28"/>
        <v>1.0307764064044151</v>
      </c>
      <c r="F293" s="10">
        <v>22</v>
      </c>
      <c r="G293" s="10">
        <v>10</v>
      </c>
      <c r="H293" s="10">
        <v>3</v>
      </c>
      <c r="I293" s="1">
        <v>1</v>
      </c>
      <c r="J293" s="1">
        <v>5</v>
      </c>
      <c r="K293" s="1">
        <v>4</v>
      </c>
      <c r="L293" s="1">
        <v>0</v>
      </c>
      <c r="M293" s="1">
        <v>0</v>
      </c>
      <c r="N293" s="1">
        <v>0</v>
      </c>
      <c r="O293" s="1">
        <v>1</v>
      </c>
      <c r="P293" s="1">
        <v>5</v>
      </c>
      <c r="Q293" s="1">
        <v>4</v>
      </c>
      <c r="R293" s="5">
        <f t="shared" si="29"/>
        <v>3.3333333333333335</v>
      </c>
      <c r="S293" s="5">
        <f t="shared" si="30"/>
        <v>0</v>
      </c>
      <c r="T293" s="5">
        <f t="shared" si="31"/>
        <v>3.3333333333333335</v>
      </c>
      <c r="U293" s="33">
        <f t="shared" si="25"/>
        <v>0.26619788165870156</v>
      </c>
      <c r="V293" s="48">
        <f t="shared" si="26"/>
        <v>3.0150579740776924</v>
      </c>
      <c r="W293" s="48">
        <f t="shared" si="27"/>
        <v>3.5580551030759335</v>
      </c>
    </row>
    <row r="294" spans="1:24" ht="14.25" customHeight="1" x14ac:dyDescent="0.3">
      <c r="A294" s="1" t="s">
        <v>70</v>
      </c>
      <c r="B294" s="1">
        <v>18</v>
      </c>
      <c r="C294" s="1" t="s">
        <v>760</v>
      </c>
      <c r="D294" s="50">
        <v>33</v>
      </c>
      <c r="E294" s="56">
        <f t="shared" si="28"/>
        <v>1.0530432089900206</v>
      </c>
      <c r="F294" s="10">
        <v>2</v>
      </c>
      <c r="G294" s="10">
        <v>0</v>
      </c>
      <c r="H294" s="10">
        <v>0</v>
      </c>
      <c r="I294" s="1">
        <v>0.1</v>
      </c>
      <c r="J294" s="1">
        <v>0.1</v>
      </c>
      <c r="K294" s="1">
        <v>0</v>
      </c>
      <c r="L294" s="1">
        <v>0</v>
      </c>
      <c r="M294" s="1">
        <v>0</v>
      </c>
      <c r="N294" s="1">
        <v>0</v>
      </c>
      <c r="O294" s="1">
        <v>0.1</v>
      </c>
      <c r="P294" s="1">
        <v>0.1</v>
      </c>
      <c r="Q294" s="1">
        <v>0</v>
      </c>
      <c r="R294" s="5">
        <f t="shared" si="29"/>
        <v>6.6666666666666666E-2</v>
      </c>
      <c r="S294" s="5">
        <f t="shared" si="30"/>
        <v>0</v>
      </c>
      <c r="T294" s="5">
        <f t="shared" si="31"/>
        <v>6.6666666666666666E-2</v>
      </c>
      <c r="U294" s="33">
        <f t="shared" si="25"/>
        <v>2.4722570974528176E-2</v>
      </c>
      <c r="V294" s="48">
        <f t="shared" si="26"/>
        <v>0</v>
      </c>
      <c r="W294" s="48">
        <f t="shared" si="27"/>
        <v>0</v>
      </c>
    </row>
    <row r="295" spans="1:24" ht="14.25" customHeight="1" x14ac:dyDescent="0.3">
      <c r="A295" s="1" t="s">
        <v>70</v>
      </c>
      <c r="B295" s="1">
        <v>18</v>
      </c>
      <c r="C295" s="1" t="s">
        <v>761</v>
      </c>
      <c r="D295" s="50">
        <v>33</v>
      </c>
      <c r="E295" s="56">
        <f t="shared" si="28"/>
        <v>1.0530432089900206</v>
      </c>
      <c r="F295" s="10">
        <v>0</v>
      </c>
      <c r="G295" s="10"/>
      <c r="H295" s="10">
        <v>0</v>
      </c>
      <c r="I295" s="1">
        <v>0.1</v>
      </c>
      <c r="J295" s="1">
        <v>0.1</v>
      </c>
      <c r="K295" s="1">
        <v>0.1</v>
      </c>
      <c r="L295" s="1">
        <v>0</v>
      </c>
      <c r="M295" s="1">
        <v>0</v>
      </c>
      <c r="N295" s="1">
        <v>0</v>
      </c>
      <c r="O295" s="1">
        <v>0.1</v>
      </c>
      <c r="P295" s="1">
        <v>0.1</v>
      </c>
      <c r="Q295" s="1">
        <v>0.1</v>
      </c>
      <c r="R295" s="5">
        <f t="shared" si="29"/>
        <v>0.10000000000000002</v>
      </c>
      <c r="S295" s="5">
        <f t="shared" si="30"/>
        <v>0</v>
      </c>
      <c r="T295" s="5">
        <f t="shared" si="31"/>
        <v>0.10000000000000002</v>
      </c>
      <c r="U295" s="33">
        <f t="shared" si="25"/>
        <v>0</v>
      </c>
      <c r="V295" s="48">
        <f t="shared" si="26"/>
        <v>0</v>
      </c>
      <c r="W295" s="48">
        <f t="shared" si="27"/>
        <v>0</v>
      </c>
    </row>
    <row r="296" spans="1:24" ht="14.25" customHeight="1" x14ac:dyDescent="0.3">
      <c r="A296" s="1" t="s">
        <v>70</v>
      </c>
      <c r="B296" s="1">
        <v>18</v>
      </c>
      <c r="C296" s="1" t="s">
        <v>101</v>
      </c>
      <c r="D296" s="50">
        <v>33</v>
      </c>
      <c r="E296" s="56">
        <f t="shared" si="28"/>
        <v>1.0530432089900206</v>
      </c>
      <c r="F296" s="10">
        <v>0</v>
      </c>
      <c r="G296" s="10">
        <v>1</v>
      </c>
      <c r="H296" s="10">
        <v>0</v>
      </c>
      <c r="I296" s="1">
        <v>0.1</v>
      </c>
      <c r="J296" s="1">
        <v>0</v>
      </c>
      <c r="K296" s="1">
        <v>2.5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2.5</v>
      </c>
      <c r="R296" s="5">
        <f t="shared" si="29"/>
        <v>0.8666666666666667</v>
      </c>
      <c r="S296" s="5">
        <f t="shared" si="30"/>
        <v>0</v>
      </c>
      <c r="T296" s="5">
        <f t="shared" si="31"/>
        <v>0.83333333333333337</v>
      </c>
      <c r="U296" s="33">
        <f t="shared" si="25"/>
        <v>0</v>
      </c>
      <c r="V296" s="48">
        <f t="shared" si="26"/>
        <v>0.30801891705969525</v>
      </c>
      <c r="W296" s="48">
        <f t="shared" si="27"/>
        <v>0</v>
      </c>
    </row>
    <row r="297" spans="1:24" ht="14.25" customHeight="1" x14ac:dyDescent="0.3">
      <c r="A297" s="1" t="s">
        <v>70</v>
      </c>
      <c r="B297" s="1">
        <v>18</v>
      </c>
      <c r="C297" s="1" t="s">
        <v>762</v>
      </c>
      <c r="D297" s="50">
        <v>33</v>
      </c>
      <c r="E297" s="56">
        <f t="shared" si="28"/>
        <v>1.0530432089900206</v>
      </c>
      <c r="F297" s="10">
        <v>3</v>
      </c>
      <c r="G297" s="10">
        <v>3</v>
      </c>
      <c r="H297" s="10">
        <v>0</v>
      </c>
      <c r="I297" s="1">
        <v>0.1</v>
      </c>
      <c r="J297" s="1">
        <v>0.1</v>
      </c>
      <c r="K297" s="1">
        <v>0.1</v>
      </c>
      <c r="L297" s="1">
        <v>0</v>
      </c>
      <c r="M297" s="1">
        <v>0</v>
      </c>
      <c r="N297" s="1">
        <v>0</v>
      </c>
      <c r="O297" s="1">
        <v>0.1</v>
      </c>
      <c r="P297" s="1">
        <v>0.1</v>
      </c>
      <c r="Q297" s="1">
        <v>0.1</v>
      </c>
      <c r="R297" s="5">
        <f t="shared" si="29"/>
        <v>0.10000000000000002</v>
      </c>
      <c r="S297" s="5">
        <f t="shared" si="30"/>
        <v>0</v>
      </c>
      <c r="T297" s="5">
        <f t="shared" si="31"/>
        <v>0.10000000000000002</v>
      </c>
      <c r="U297" s="33">
        <f t="shared" si="25"/>
        <v>3.7083856461792269E-2</v>
      </c>
      <c r="V297" s="48">
        <f t="shared" si="26"/>
        <v>0.92405675117908603</v>
      </c>
      <c r="W297" s="48">
        <f t="shared" si="27"/>
        <v>0</v>
      </c>
    </row>
    <row r="298" spans="1:24" ht="14.25" customHeight="1" x14ac:dyDescent="0.3">
      <c r="A298" s="1" t="s">
        <v>70</v>
      </c>
      <c r="B298" s="1">
        <v>19</v>
      </c>
      <c r="C298" s="1" t="s">
        <v>760</v>
      </c>
      <c r="D298" s="50">
        <v>26</v>
      </c>
      <c r="E298" s="56">
        <f t="shared" si="28"/>
        <v>1.0332473082471592</v>
      </c>
      <c r="F298" s="10">
        <v>1</v>
      </c>
      <c r="G298" s="10">
        <v>1</v>
      </c>
      <c r="H298" s="10">
        <v>0</v>
      </c>
      <c r="I298" s="1">
        <v>0.5</v>
      </c>
      <c r="J298" s="1">
        <v>1</v>
      </c>
      <c r="K298" s="1">
        <v>1</v>
      </c>
      <c r="L298" s="1">
        <v>0</v>
      </c>
      <c r="M298" s="1">
        <v>0</v>
      </c>
      <c r="N298" s="1">
        <v>0</v>
      </c>
      <c r="O298" s="1">
        <v>0.5</v>
      </c>
      <c r="P298" s="1">
        <v>1</v>
      </c>
      <c r="Q298" s="1">
        <v>1.5</v>
      </c>
      <c r="R298" s="5">
        <f t="shared" si="29"/>
        <v>0.83333333333333337</v>
      </c>
      <c r="S298" s="5">
        <f t="shared" si="30"/>
        <v>0</v>
      </c>
      <c r="T298" s="5">
        <f t="shared" si="31"/>
        <v>1</v>
      </c>
      <c r="U298" s="33">
        <f t="shared" si="25"/>
        <v>1.2128908716329162E-2</v>
      </c>
      <c r="V298" s="48">
        <f t="shared" si="26"/>
        <v>0.30222854506262825</v>
      </c>
      <c r="W298" s="48">
        <f t="shared" si="27"/>
        <v>0</v>
      </c>
    </row>
    <row r="299" spans="1:24" ht="14.25" customHeight="1" x14ac:dyDescent="0.3">
      <c r="A299" s="1" t="s">
        <v>70</v>
      </c>
      <c r="B299" s="1">
        <v>19</v>
      </c>
      <c r="C299" s="1" t="s">
        <v>761</v>
      </c>
      <c r="D299" s="50">
        <v>26</v>
      </c>
      <c r="E299" s="56">
        <f t="shared" si="28"/>
        <v>1.0332473082471592</v>
      </c>
      <c r="F299" s="10">
        <v>5</v>
      </c>
      <c r="G299" s="10">
        <v>1</v>
      </c>
      <c r="H299" s="10">
        <v>0</v>
      </c>
      <c r="I299" s="1">
        <v>2</v>
      </c>
      <c r="J299" s="1">
        <v>1</v>
      </c>
      <c r="K299" s="1">
        <v>1</v>
      </c>
      <c r="L299" s="1">
        <v>0</v>
      </c>
      <c r="M299" s="1">
        <v>0</v>
      </c>
      <c r="N299" s="1">
        <v>0</v>
      </c>
      <c r="O299" s="1">
        <v>2</v>
      </c>
      <c r="P299" s="1">
        <v>1</v>
      </c>
      <c r="Q299" s="1">
        <v>3</v>
      </c>
      <c r="R299" s="5">
        <f t="shared" si="29"/>
        <v>1.3333333333333333</v>
      </c>
      <c r="S299" s="5">
        <f t="shared" si="30"/>
        <v>0</v>
      </c>
      <c r="T299" s="5">
        <f t="shared" si="31"/>
        <v>2</v>
      </c>
      <c r="U299" s="33">
        <f t="shared" si="25"/>
        <v>6.0644543581645824E-2</v>
      </c>
      <c r="V299" s="48">
        <f t="shared" si="26"/>
        <v>0.30222854506262825</v>
      </c>
      <c r="W299" s="48">
        <f t="shared" si="27"/>
        <v>0</v>
      </c>
    </row>
    <row r="300" spans="1:24" ht="14.25" customHeight="1" x14ac:dyDescent="0.3">
      <c r="A300" s="1" t="s">
        <v>70</v>
      </c>
      <c r="B300" s="1">
        <v>19</v>
      </c>
      <c r="C300" s="1" t="s">
        <v>101</v>
      </c>
      <c r="D300" s="50">
        <v>26</v>
      </c>
      <c r="E300" s="56">
        <f t="shared" si="28"/>
        <v>1.0332473082471592</v>
      </c>
      <c r="F300" s="10">
        <v>5</v>
      </c>
      <c r="G300" s="10">
        <v>1</v>
      </c>
      <c r="H300" s="10">
        <v>0</v>
      </c>
      <c r="I300" s="1">
        <v>1</v>
      </c>
      <c r="J300" s="1">
        <v>1.5</v>
      </c>
      <c r="K300" s="1">
        <v>1.5</v>
      </c>
      <c r="L300" s="1">
        <v>0</v>
      </c>
      <c r="M300" s="1">
        <v>0</v>
      </c>
      <c r="N300" s="1">
        <v>0</v>
      </c>
      <c r="O300" s="1">
        <v>4</v>
      </c>
      <c r="P300" s="1">
        <v>1.5</v>
      </c>
      <c r="Q300" s="1">
        <v>1.5</v>
      </c>
      <c r="R300" s="5">
        <f t="shared" si="29"/>
        <v>1.3333333333333333</v>
      </c>
      <c r="S300" s="5">
        <f t="shared" si="30"/>
        <v>0</v>
      </c>
      <c r="T300" s="5">
        <f t="shared" si="31"/>
        <v>2.3333333333333335</v>
      </c>
      <c r="U300" s="33">
        <f t="shared" si="25"/>
        <v>6.0644543581645824E-2</v>
      </c>
      <c r="V300" s="48">
        <f t="shared" si="26"/>
        <v>0.30222854506262825</v>
      </c>
      <c r="W300" s="48">
        <f t="shared" si="27"/>
        <v>0</v>
      </c>
    </row>
    <row r="301" spans="1:24" ht="14.25" customHeight="1" x14ac:dyDescent="0.3">
      <c r="A301" s="1" t="s">
        <v>70</v>
      </c>
      <c r="B301" s="1">
        <v>19</v>
      </c>
      <c r="C301" s="1" t="s">
        <v>762</v>
      </c>
      <c r="D301" s="50">
        <v>26</v>
      </c>
      <c r="E301" s="56">
        <f t="shared" si="28"/>
        <v>1.0332473082471592</v>
      </c>
      <c r="F301" s="10">
        <v>7</v>
      </c>
      <c r="G301" s="10">
        <v>2</v>
      </c>
      <c r="H301" s="10">
        <v>0</v>
      </c>
      <c r="I301" s="1">
        <v>0.5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>
        <v>1</v>
      </c>
      <c r="Q301" s="1">
        <v>1</v>
      </c>
      <c r="R301" s="5">
        <f t="shared" si="29"/>
        <v>0.83333333333333337</v>
      </c>
      <c r="S301" s="5">
        <f t="shared" si="30"/>
        <v>0</v>
      </c>
      <c r="T301" s="5">
        <f t="shared" si="31"/>
        <v>1</v>
      </c>
      <c r="U301" s="33">
        <f t="shared" si="25"/>
        <v>8.4902361014304151E-2</v>
      </c>
      <c r="V301" s="48">
        <f t="shared" si="26"/>
        <v>0.6044570901252565</v>
      </c>
      <c r="W301" s="48">
        <f t="shared" si="27"/>
        <v>0</v>
      </c>
    </row>
    <row r="302" spans="1:24" ht="14.25" customHeight="1" x14ac:dyDescent="0.3">
      <c r="A302" s="1" t="s">
        <v>70</v>
      </c>
      <c r="B302" s="1">
        <v>20</v>
      </c>
      <c r="C302" s="1" t="s">
        <v>760</v>
      </c>
      <c r="D302" s="50">
        <v>22</v>
      </c>
      <c r="E302" s="56">
        <f t="shared" si="28"/>
        <v>1.0239140588936164</v>
      </c>
      <c r="F302" s="10">
        <v>10</v>
      </c>
      <c r="G302" s="10">
        <v>5</v>
      </c>
      <c r="H302" s="10">
        <v>1</v>
      </c>
      <c r="I302" s="1">
        <v>0.1</v>
      </c>
      <c r="J302" s="1">
        <v>0.1</v>
      </c>
      <c r="K302" s="1">
        <v>0.1</v>
      </c>
      <c r="L302" s="1">
        <v>0</v>
      </c>
      <c r="M302" s="1">
        <v>0</v>
      </c>
      <c r="N302" s="1">
        <v>0</v>
      </c>
      <c r="O302" s="1">
        <v>0.1</v>
      </c>
      <c r="P302" s="1">
        <v>0.1</v>
      </c>
      <c r="Q302" s="1">
        <v>0.1</v>
      </c>
      <c r="R302" s="5">
        <f t="shared" si="29"/>
        <v>0.10000000000000002</v>
      </c>
      <c r="S302" s="5">
        <f t="shared" si="30"/>
        <v>0</v>
      </c>
      <c r="T302" s="5">
        <f t="shared" si="31"/>
        <v>0.10000000000000002</v>
      </c>
      <c r="U302" s="33">
        <f t="shared" si="25"/>
        <v>0.12019349147644781</v>
      </c>
      <c r="V302" s="48">
        <f t="shared" si="26"/>
        <v>1.4974926806901694</v>
      </c>
      <c r="W302" s="48">
        <f t="shared" si="27"/>
        <v>1.1781225038142986</v>
      </c>
    </row>
    <row r="303" spans="1:24" ht="14.25" customHeight="1" x14ac:dyDescent="0.3">
      <c r="A303" s="1" t="s">
        <v>70</v>
      </c>
      <c r="B303" s="1">
        <v>20</v>
      </c>
      <c r="C303" s="1" t="s">
        <v>761</v>
      </c>
      <c r="D303" s="50">
        <v>22</v>
      </c>
      <c r="E303" s="56">
        <f t="shared" si="28"/>
        <v>1.0239140588936164</v>
      </c>
      <c r="F303" s="10">
        <v>38</v>
      </c>
      <c r="G303" s="10">
        <v>3</v>
      </c>
      <c r="H303" s="10">
        <v>1</v>
      </c>
      <c r="I303" s="1">
        <v>1</v>
      </c>
      <c r="J303" s="1">
        <v>0.1</v>
      </c>
      <c r="K303" s="1">
        <v>0.1</v>
      </c>
      <c r="L303" s="1">
        <v>0</v>
      </c>
      <c r="M303" s="1">
        <v>0</v>
      </c>
      <c r="N303" s="1">
        <v>0</v>
      </c>
      <c r="O303" s="1">
        <v>6</v>
      </c>
      <c r="P303" s="1">
        <v>0.1</v>
      </c>
      <c r="Q303" s="1">
        <v>6</v>
      </c>
      <c r="R303" s="5">
        <f t="shared" si="29"/>
        <v>0.40000000000000008</v>
      </c>
      <c r="S303" s="5">
        <f t="shared" si="30"/>
        <v>0</v>
      </c>
      <c r="T303" s="5">
        <f t="shared" si="31"/>
        <v>4.0333333333333332</v>
      </c>
      <c r="U303" s="33">
        <f t="shared" si="25"/>
        <v>0.45673526761050171</v>
      </c>
      <c r="V303" s="48">
        <f t="shared" si="26"/>
        <v>0.8984956084141017</v>
      </c>
      <c r="W303" s="48">
        <f t="shared" si="27"/>
        <v>1.1781225038142986</v>
      </c>
    </row>
    <row r="304" spans="1:24" ht="14.25" customHeight="1" x14ac:dyDescent="0.3">
      <c r="A304" s="1" t="s">
        <v>70</v>
      </c>
      <c r="B304" s="1">
        <v>20</v>
      </c>
      <c r="C304" s="1" t="s">
        <v>101</v>
      </c>
      <c r="D304" s="50">
        <v>22</v>
      </c>
      <c r="E304" s="56">
        <f t="shared" si="28"/>
        <v>1.0239140588936164</v>
      </c>
      <c r="F304" s="10">
        <v>9</v>
      </c>
      <c r="G304" s="10">
        <v>2</v>
      </c>
      <c r="H304" s="10">
        <v>1</v>
      </c>
      <c r="I304" s="1">
        <v>0.1</v>
      </c>
      <c r="J304" s="1">
        <v>0.1</v>
      </c>
      <c r="K304" s="1">
        <v>0.1</v>
      </c>
      <c r="L304" s="1">
        <v>0</v>
      </c>
      <c r="M304" s="1">
        <v>0</v>
      </c>
      <c r="N304" s="1">
        <v>0</v>
      </c>
      <c r="O304" s="1">
        <v>5</v>
      </c>
      <c r="P304" s="1">
        <v>0.1</v>
      </c>
      <c r="Q304" s="1">
        <v>3</v>
      </c>
      <c r="R304" s="5">
        <f t="shared" si="29"/>
        <v>0.10000000000000002</v>
      </c>
      <c r="S304" s="5">
        <f t="shared" si="30"/>
        <v>0</v>
      </c>
      <c r="T304" s="5">
        <f t="shared" si="31"/>
        <v>2.6999999999999997</v>
      </c>
      <c r="U304" s="33">
        <f t="shared" si="25"/>
        <v>0.10817414232880301</v>
      </c>
      <c r="V304" s="48">
        <f t="shared" si="26"/>
        <v>0.59899707227606769</v>
      </c>
      <c r="W304" s="48">
        <f t="shared" si="27"/>
        <v>1.1781225038142986</v>
      </c>
    </row>
    <row r="305" spans="1:23" ht="14.25" customHeight="1" x14ac:dyDescent="0.3">
      <c r="A305" s="1" t="s">
        <v>70</v>
      </c>
      <c r="B305" s="1">
        <v>20</v>
      </c>
      <c r="C305" s="1" t="s">
        <v>762</v>
      </c>
      <c r="D305" s="50">
        <v>22</v>
      </c>
      <c r="E305" s="56">
        <f t="shared" si="28"/>
        <v>1.0239140588936164</v>
      </c>
      <c r="F305" s="10">
        <v>5</v>
      </c>
      <c r="G305" s="10">
        <v>2</v>
      </c>
      <c r="H305" s="10">
        <v>0</v>
      </c>
      <c r="I305" s="1">
        <v>0.1</v>
      </c>
      <c r="J305" s="1">
        <v>0.1</v>
      </c>
      <c r="K305" s="1">
        <v>0.1</v>
      </c>
      <c r="L305" s="1">
        <v>0</v>
      </c>
      <c r="M305" s="1">
        <v>0</v>
      </c>
      <c r="N305" s="1">
        <v>0</v>
      </c>
      <c r="O305" s="1">
        <v>3</v>
      </c>
      <c r="P305" s="1">
        <v>0.1</v>
      </c>
      <c r="Q305" s="1">
        <v>1</v>
      </c>
      <c r="R305" s="5">
        <f t="shared" si="29"/>
        <v>0.10000000000000002</v>
      </c>
      <c r="S305" s="5">
        <f t="shared" si="30"/>
        <v>0</v>
      </c>
      <c r="T305" s="5">
        <f t="shared" si="31"/>
        <v>1.3666666666666665</v>
      </c>
      <c r="U305" s="33">
        <f t="shared" si="25"/>
        <v>6.0096745738223906E-2</v>
      </c>
      <c r="V305" s="48">
        <f t="shared" si="26"/>
        <v>0.59899707227606769</v>
      </c>
      <c r="W305" s="48">
        <f t="shared" si="27"/>
        <v>0</v>
      </c>
    </row>
    <row r="306" spans="1:23" ht="14.25" customHeight="1" x14ac:dyDescent="0.3">
      <c r="A306" s="1" t="s">
        <v>70</v>
      </c>
      <c r="B306" s="1">
        <v>21</v>
      </c>
      <c r="C306" s="1" t="s">
        <v>760</v>
      </c>
      <c r="D306" s="50">
        <v>23</v>
      </c>
      <c r="E306" s="56">
        <f t="shared" si="28"/>
        <v>1.0261091559868276</v>
      </c>
      <c r="F306" s="10">
        <v>43</v>
      </c>
      <c r="G306" s="10">
        <v>11</v>
      </c>
      <c r="H306" s="10">
        <v>0</v>
      </c>
      <c r="I306" s="1">
        <v>0.1</v>
      </c>
      <c r="J306" s="1">
        <v>0.1</v>
      </c>
      <c r="K306" s="1">
        <v>0.1</v>
      </c>
      <c r="L306" s="1">
        <v>0</v>
      </c>
      <c r="M306" s="1">
        <v>0</v>
      </c>
      <c r="N306" s="1">
        <v>0</v>
      </c>
      <c r="O306" s="1">
        <v>1</v>
      </c>
      <c r="P306" s="1">
        <v>1</v>
      </c>
      <c r="Q306" s="1">
        <v>12</v>
      </c>
      <c r="R306" s="5">
        <f t="shared" si="29"/>
        <v>0.10000000000000002</v>
      </c>
      <c r="S306" s="5">
        <f t="shared" si="30"/>
        <v>0</v>
      </c>
      <c r="T306" s="5">
        <f t="shared" si="31"/>
        <v>4.666666666666667</v>
      </c>
      <c r="U306" s="33">
        <f t="shared" ref="U306:U369" si="32">(11.64*F306*0.0122*0.48*1.13*E306)/6.56168</f>
        <v>0.51794001302929071</v>
      </c>
      <c r="V306" s="48">
        <f t="shared" ref="V306:V369" si="33">(11.64*G306*0.304*0.48*1.13*E306)/6.56168</f>
        <v>3.3015467090544193</v>
      </c>
      <c r="W306" s="48">
        <f t="shared" ref="W306:W369" si="34">(11.64*H306*2.87*0.4*1.13*E306)/13.1234</f>
        <v>0</v>
      </c>
    </row>
    <row r="307" spans="1:23" ht="14.25" customHeight="1" x14ac:dyDescent="0.3">
      <c r="A307" s="1" t="s">
        <v>70</v>
      </c>
      <c r="B307" s="1">
        <v>21</v>
      </c>
      <c r="C307" s="1" t="s">
        <v>761</v>
      </c>
      <c r="D307" s="50">
        <v>23</v>
      </c>
      <c r="E307" s="56">
        <f t="shared" si="28"/>
        <v>1.0261091559868276</v>
      </c>
      <c r="F307" s="10">
        <v>15</v>
      </c>
      <c r="G307" s="10">
        <v>5</v>
      </c>
      <c r="H307" s="10">
        <v>0</v>
      </c>
      <c r="I307" s="1">
        <v>1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19</v>
      </c>
      <c r="P307" s="1">
        <v>1</v>
      </c>
      <c r="Q307" s="1">
        <v>2</v>
      </c>
      <c r="R307" s="5">
        <f t="shared" si="29"/>
        <v>1.3333333333333333</v>
      </c>
      <c r="S307" s="5">
        <f t="shared" si="30"/>
        <v>0</v>
      </c>
      <c r="T307" s="5">
        <f t="shared" si="31"/>
        <v>7.333333333333333</v>
      </c>
      <c r="U307" s="33">
        <f t="shared" si="32"/>
        <v>0.18067674873114792</v>
      </c>
      <c r="V307" s="48">
        <f t="shared" si="33"/>
        <v>1.5007030495701903</v>
      </c>
      <c r="W307" s="48">
        <f t="shared" si="34"/>
        <v>0</v>
      </c>
    </row>
    <row r="308" spans="1:23" ht="14.25" customHeight="1" x14ac:dyDescent="0.3">
      <c r="A308" s="1" t="s">
        <v>70</v>
      </c>
      <c r="B308" s="1">
        <v>21</v>
      </c>
      <c r="C308" s="1" t="s">
        <v>101</v>
      </c>
      <c r="D308" s="50">
        <v>23</v>
      </c>
      <c r="E308" s="56">
        <f t="shared" si="28"/>
        <v>1.0261091559868276</v>
      </c>
      <c r="F308" s="10">
        <v>0</v>
      </c>
      <c r="G308" s="10">
        <v>0</v>
      </c>
      <c r="H308" s="10">
        <v>0</v>
      </c>
      <c r="I308" s="1">
        <v>1</v>
      </c>
      <c r="J308" s="1">
        <v>1</v>
      </c>
      <c r="K308" s="1">
        <v>0.1</v>
      </c>
      <c r="L308" s="1">
        <v>0</v>
      </c>
      <c r="M308" s="1">
        <v>0</v>
      </c>
      <c r="N308" s="1">
        <v>0</v>
      </c>
      <c r="O308" s="1">
        <v>3</v>
      </c>
      <c r="P308" s="1">
        <v>10</v>
      </c>
      <c r="Q308" s="1">
        <v>0.1</v>
      </c>
      <c r="R308" s="5">
        <f t="shared" si="29"/>
        <v>0.70000000000000007</v>
      </c>
      <c r="S308" s="5">
        <f t="shared" si="30"/>
        <v>0</v>
      </c>
      <c r="T308" s="5">
        <f t="shared" si="31"/>
        <v>4.3666666666666663</v>
      </c>
      <c r="U308" s="33">
        <f t="shared" si="32"/>
        <v>0</v>
      </c>
      <c r="V308" s="48">
        <f t="shared" si="33"/>
        <v>0</v>
      </c>
      <c r="W308" s="48">
        <f t="shared" si="34"/>
        <v>0</v>
      </c>
    </row>
    <row r="309" spans="1:23" ht="14.25" customHeight="1" x14ac:dyDescent="0.3">
      <c r="A309" s="1" t="s">
        <v>70</v>
      </c>
      <c r="B309" s="1">
        <v>21</v>
      </c>
      <c r="C309" s="1" t="s">
        <v>762</v>
      </c>
      <c r="D309" s="50">
        <v>23</v>
      </c>
      <c r="E309" s="56">
        <f t="shared" si="28"/>
        <v>1.0261091559868276</v>
      </c>
      <c r="F309" s="10">
        <v>2</v>
      </c>
      <c r="G309" s="10">
        <v>0</v>
      </c>
      <c r="H309" s="10">
        <v>0</v>
      </c>
      <c r="I309" s="1">
        <v>1</v>
      </c>
      <c r="J309" s="1">
        <v>1</v>
      </c>
      <c r="K309" s="1">
        <v>0.1</v>
      </c>
      <c r="L309" s="1">
        <v>0</v>
      </c>
      <c r="M309" s="1">
        <v>0</v>
      </c>
      <c r="N309" s="1">
        <v>0</v>
      </c>
      <c r="O309" s="1">
        <v>3</v>
      </c>
      <c r="P309" s="1">
        <v>5</v>
      </c>
      <c r="Q309" s="1">
        <v>0.1</v>
      </c>
      <c r="R309" s="5">
        <f t="shared" si="29"/>
        <v>0.70000000000000007</v>
      </c>
      <c r="S309" s="5">
        <f t="shared" si="30"/>
        <v>0</v>
      </c>
      <c r="T309" s="5">
        <f t="shared" si="31"/>
        <v>2.6999999999999997</v>
      </c>
      <c r="U309" s="33">
        <f t="shared" si="32"/>
        <v>2.4090233164153055E-2</v>
      </c>
      <c r="V309" s="48">
        <f t="shared" si="33"/>
        <v>0</v>
      </c>
      <c r="W309" s="48">
        <f t="shared" si="34"/>
        <v>0</v>
      </c>
    </row>
    <row r="310" spans="1:23" ht="14.25" customHeight="1" x14ac:dyDescent="0.3">
      <c r="A310" s="1" t="s">
        <v>70</v>
      </c>
      <c r="B310" s="1">
        <v>22</v>
      </c>
      <c r="C310" s="1" t="s">
        <v>760</v>
      </c>
      <c r="D310" s="50">
        <v>19</v>
      </c>
      <c r="E310" s="56">
        <f t="shared" si="28"/>
        <v>1.0178899744078433</v>
      </c>
      <c r="F310" s="10">
        <v>21</v>
      </c>
      <c r="G310" s="10">
        <v>5</v>
      </c>
      <c r="H310" s="10">
        <v>1</v>
      </c>
      <c r="I310" s="1">
        <v>3</v>
      </c>
      <c r="J310" s="1">
        <v>2</v>
      </c>
      <c r="K310" s="17">
        <v>2</v>
      </c>
      <c r="L310" s="1">
        <v>0</v>
      </c>
      <c r="M310" s="1">
        <v>0</v>
      </c>
      <c r="N310" s="1">
        <v>0</v>
      </c>
      <c r="O310" s="1">
        <v>4</v>
      </c>
      <c r="P310" s="1">
        <v>43</v>
      </c>
      <c r="Q310" s="1">
        <v>3</v>
      </c>
      <c r="R310" s="5">
        <f t="shared" si="29"/>
        <v>2.3333333333333335</v>
      </c>
      <c r="S310" s="5">
        <f t="shared" si="30"/>
        <v>0</v>
      </c>
      <c r="T310" s="5">
        <f t="shared" si="31"/>
        <v>16.666666666666668</v>
      </c>
      <c r="U310" s="33">
        <f t="shared" si="32"/>
        <v>0.25092132751826052</v>
      </c>
      <c r="V310" s="48">
        <f t="shared" si="33"/>
        <v>1.4886823490544732</v>
      </c>
      <c r="W310" s="48">
        <f t="shared" si="34"/>
        <v>1.1711911510938988</v>
      </c>
    </row>
    <row r="311" spans="1:23" ht="14.25" customHeight="1" x14ac:dyDescent="0.3">
      <c r="A311" s="1" t="s">
        <v>70</v>
      </c>
      <c r="B311" s="1">
        <v>22</v>
      </c>
      <c r="C311" s="1" t="s">
        <v>761</v>
      </c>
      <c r="D311" s="50">
        <v>19</v>
      </c>
      <c r="E311" s="56">
        <f t="shared" si="28"/>
        <v>1.0178899744078433</v>
      </c>
      <c r="F311" s="10">
        <v>33</v>
      </c>
      <c r="G311" s="10">
        <v>6</v>
      </c>
      <c r="H311" s="10">
        <v>0</v>
      </c>
      <c r="I311" s="1">
        <v>0.1</v>
      </c>
      <c r="J311" s="1">
        <v>2</v>
      </c>
      <c r="K311" s="1">
        <v>1</v>
      </c>
      <c r="L311" s="1">
        <v>0</v>
      </c>
      <c r="M311" s="1">
        <v>0</v>
      </c>
      <c r="N311" s="1">
        <v>0</v>
      </c>
      <c r="O311" s="1">
        <v>14</v>
      </c>
      <c r="P311" s="1">
        <v>5</v>
      </c>
      <c r="Q311" s="1">
        <v>1</v>
      </c>
      <c r="R311" s="5">
        <f t="shared" si="29"/>
        <v>1.0333333333333334</v>
      </c>
      <c r="S311" s="5">
        <f t="shared" si="30"/>
        <v>0</v>
      </c>
      <c r="T311" s="5">
        <f t="shared" si="31"/>
        <v>6.666666666666667</v>
      </c>
      <c r="U311" s="33">
        <f t="shared" si="32"/>
        <v>0.39430494324298088</v>
      </c>
      <c r="V311" s="48">
        <f t="shared" si="33"/>
        <v>1.7864188188653682</v>
      </c>
      <c r="W311" s="48">
        <f t="shared" si="34"/>
        <v>0</v>
      </c>
    </row>
    <row r="312" spans="1:23" ht="14.25" customHeight="1" x14ac:dyDescent="0.3">
      <c r="A312" s="1" t="s">
        <v>70</v>
      </c>
      <c r="B312" s="1">
        <v>22</v>
      </c>
      <c r="C312" s="1" t="s">
        <v>101</v>
      </c>
      <c r="D312" s="50">
        <v>19</v>
      </c>
      <c r="E312" s="56">
        <f t="shared" si="28"/>
        <v>1.0178899744078433</v>
      </c>
      <c r="F312" s="10">
        <v>21</v>
      </c>
      <c r="G312" s="10">
        <v>3</v>
      </c>
      <c r="H312" s="10">
        <v>0</v>
      </c>
      <c r="I312" s="1">
        <v>0.1</v>
      </c>
      <c r="J312" s="1">
        <v>1</v>
      </c>
      <c r="K312" s="17">
        <v>1</v>
      </c>
      <c r="L312" s="1">
        <v>0</v>
      </c>
      <c r="M312" s="1">
        <v>0</v>
      </c>
      <c r="N312" s="1">
        <v>0</v>
      </c>
      <c r="O312" s="1">
        <v>1</v>
      </c>
      <c r="P312" s="17">
        <v>1</v>
      </c>
      <c r="Q312" s="1">
        <v>60</v>
      </c>
      <c r="R312" s="5">
        <f t="shared" si="29"/>
        <v>0.70000000000000007</v>
      </c>
      <c r="S312" s="5">
        <f t="shared" si="30"/>
        <v>0</v>
      </c>
      <c r="T312" s="5">
        <f t="shared" si="31"/>
        <v>20.666666666666668</v>
      </c>
      <c r="U312" s="33">
        <f t="shared" si="32"/>
        <v>0.25092132751826052</v>
      </c>
      <c r="V312" s="48">
        <f t="shared" si="33"/>
        <v>0.89320940943268412</v>
      </c>
      <c r="W312" s="48">
        <f t="shared" si="34"/>
        <v>0</v>
      </c>
    </row>
    <row r="313" spans="1:23" ht="14.25" customHeight="1" x14ac:dyDescent="0.3">
      <c r="A313" s="1" t="s">
        <v>70</v>
      </c>
      <c r="B313" s="1">
        <v>22</v>
      </c>
      <c r="C313" s="1" t="s">
        <v>762</v>
      </c>
      <c r="D313" s="50">
        <v>19</v>
      </c>
      <c r="E313" s="56">
        <f t="shared" si="28"/>
        <v>1.0178899744078433</v>
      </c>
      <c r="F313" s="10">
        <v>5</v>
      </c>
      <c r="G313" s="10">
        <v>1</v>
      </c>
      <c r="H313" s="10">
        <v>0</v>
      </c>
      <c r="I313" s="1">
        <v>2</v>
      </c>
      <c r="J313" s="1">
        <v>2</v>
      </c>
      <c r="K313" s="1">
        <v>0.1</v>
      </c>
      <c r="L313" s="1">
        <v>0</v>
      </c>
      <c r="M313" s="1">
        <v>0</v>
      </c>
      <c r="N313" s="1">
        <v>0</v>
      </c>
      <c r="O313" s="1">
        <v>4</v>
      </c>
      <c r="P313" s="1">
        <v>3</v>
      </c>
      <c r="Q313" s="1">
        <v>0.1</v>
      </c>
      <c r="R313" s="5">
        <f t="shared" si="29"/>
        <v>1.3666666666666665</v>
      </c>
      <c r="S313" s="5">
        <f t="shared" si="30"/>
        <v>0</v>
      </c>
      <c r="T313" s="5">
        <f t="shared" si="31"/>
        <v>2.3666666666666667</v>
      </c>
      <c r="U313" s="33">
        <f t="shared" si="32"/>
        <v>5.9743173218633469E-2</v>
      </c>
      <c r="V313" s="48">
        <f t="shared" si="33"/>
        <v>0.29773646981089463</v>
      </c>
      <c r="W313" s="48">
        <f t="shared" si="34"/>
        <v>0</v>
      </c>
    </row>
    <row r="314" spans="1:23" ht="14.25" customHeight="1" x14ac:dyDescent="0.3">
      <c r="A314" s="1" t="s">
        <v>70</v>
      </c>
      <c r="B314" s="1">
        <v>23</v>
      </c>
      <c r="C314" s="1" t="s">
        <v>760</v>
      </c>
      <c r="D314" s="50">
        <v>8</v>
      </c>
      <c r="E314" s="56">
        <f t="shared" si="28"/>
        <v>1.0031948963187562</v>
      </c>
      <c r="F314" s="10">
        <v>4</v>
      </c>
      <c r="G314" s="10">
        <v>1</v>
      </c>
      <c r="H314" s="10">
        <v>1</v>
      </c>
      <c r="I314" s="1">
        <v>8</v>
      </c>
      <c r="J314" s="1">
        <v>1</v>
      </c>
      <c r="K314" s="19">
        <v>3</v>
      </c>
      <c r="L314" s="1">
        <v>0</v>
      </c>
      <c r="M314" s="1">
        <v>0</v>
      </c>
      <c r="N314" s="1">
        <v>0</v>
      </c>
      <c r="O314" s="1">
        <v>8</v>
      </c>
      <c r="P314" s="1">
        <v>1</v>
      </c>
      <c r="Q314" s="1">
        <v>3</v>
      </c>
      <c r="R314" s="5">
        <f t="shared" si="29"/>
        <v>4</v>
      </c>
      <c r="S314" s="5">
        <f t="shared" si="30"/>
        <v>0</v>
      </c>
      <c r="T314" s="5">
        <f t="shared" si="31"/>
        <v>4</v>
      </c>
      <c r="U314" s="33">
        <f t="shared" si="32"/>
        <v>4.7104538187587183E-2</v>
      </c>
      <c r="V314" s="48">
        <f t="shared" si="33"/>
        <v>0.29343810674234633</v>
      </c>
      <c r="W314" s="48">
        <f t="shared" si="34"/>
        <v>1.1542828939587551</v>
      </c>
    </row>
    <row r="315" spans="1:23" ht="14.25" customHeight="1" x14ac:dyDescent="0.3">
      <c r="A315" s="1" t="s">
        <v>70</v>
      </c>
      <c r="B315" s="1">
        <v>23</v>
      </c>
      <c r="C315" s="1" t="s">
        <v>761</v>
      </c>
      <c r="D315" s="50">
        <v>8</v>
      </c>
      <c r="E315" s="56">
        <f t="shared" si="28"/>
        <v>1.0031948963187562</v>
      </c>
      <c r="F315" s="10">
        <v>6</v>
      </c>
      <c r="G315" s="10">
        <v>5</v>
      </c>
      <c r="H315" s="10">
        <v>0</v>
      </c>
      <c r="I315" s="1">
        <v>2</v>
      </c>
      <c r="J315" s="1">
        <v>2</v>
      </c>
      <c r="K315" s="1">
        <v>0.1</v>
      </c>
      <c r="L315" s="1">
        <v>0</v>
      </c>
      <c r="M315" s="1">
        <v>0</v>
      </c>
      <c r="N315" s="1">
        <v>0</v>
      </c>
      <c r="O315" s="1">
        <v>2</v>
      </c>
      <c r="P315" s="1">
        <v>2</v>
      </c>
      <c r="Q315" s="1">
        <v>0.1</v>
      </c>
      <c r="R315" s="5">
        <f t="shared" si="29"/>
        <v>1.3666666666666665</v>
      </c>
      <c r="S315" s="5">
        <f t="shared" si="30"/>
        <v>0</v>
      </c>
      <c r="T315" s="5">
        <f t="shared" si="31"/>
        <v>1.3666666666666665</v>
      </c>
      <c r="U315" s="33">
        <f t="shared" si="32"/>
        <v>7.0656807281380782E-2</v>
      </c>
      <c r="V315" s="48">
        <f t="shared" si="33"/>
        <v>1.4671905337117319</v>
      </c>
      <c r="W315" s="48">
        <f t="shared" si="34"/>
        <v>0</v>
      </c>
    </row>
    <row r="316" spans="1:23" ht="14.25" customHeight="1" x14ac:dyDescent="0.3">
      <c r="A316" s="1" t="s">
        <v>70</v>
      </c>
      <c r="B316" s="1">
        <v>23</v>
      </c>
      <c r="C316" s="1" t="s">
        <v>101</v>
      </c>
      <c r="D316" s="50">
        <v>8</v>
      </c>
      <c r="E316" s="56">
        <f t="shared" si="28"/>
        <v>1.0031948963187562</v>
      </c>
      <c r="F316" s="10">
        <v>21</v>
      </c>
      <c r="G316" s="10">
        <v>12</v>
      </c>
      <c r="H316" s="10">
        <v>2</v>
      </c>
      <c r="I316" s="1">
        <v>4</v>
      </c>
      <c r="J316" s="1">
        <v>5</v>
      </c>
      <c r="K316" s="19">
        <v>3</v>
      </c>
      <c r="L316" s="1">
        <v>0</v>
      </c>
      <c r="M316" s="1">
        <v>0</v>
      </c>
      <c r="N316" s="1">
        <v>2</v>
      </c>
      <c r="O316" s="1">
        <v>4</v>
      </c>
      <c r="P316" s="19">
        <v>0</v>
      </c>
      <c r="Q316" s="1">
        <v>4</v>
      </c>
      <c r="R316" s="5">
        <f t="shared" si="29"/>
        <v>4</v>
      </c>
      <c r="S316" s="5">
        <f t="shared" si="30"/>
        <v>0.66666666666666663</v>
      </c>
      <c r="T316" s="5">
        <f t="shared" si="31"/>
        <v>2.6666666666666665</v>
      </c>
      <c r="U316" s="33">
        <f t="shared" si="32"/>
        <v>0.24729882548483267</v>
      </c>
      <c r="V316" s="48">
        <f t="shared" si="33"/>
        <v>3.521257280908157</v>
      </c>
      <c r="W316" s="48">
        <f t="shared" si="34"/>
        <v>2.3085657879175101</v>
      </c>
    </row>
    <row r="317" spans="1:23" ht="14.25" customHeight="1" x14ac:dyDescent="0.3">
      <c r="A317" s="1" t="s">
        <v>70</v>
      </c>
      <c r="B317" s="1">
        <v>23</v>
      </c>
      <c r="C317" s="1" t="s">
        <v>762</v>
      </c>
      <c r="D317" s="50">
        <v>8</v>
      </c>
      <c r="E317" s="56">
        <f t="shared" si="28"/>
        <v>1.0031948963187562</v>
      </c>
      <c r="F317" s="10">
        <v>0</v>
      </c>
      <c r="G317" s="10">
        <v>2</v>
      </c>
      <c r="H317" s="10">
        <v>0</v>
      </c>
      <c r="I317" s="1">
        <v>4</v>
      </c>
      <c r="J317" s="1">
        <v>1</v>
      </c>
      <c r="K317" s="1">
        <v>4</v>
      </c>
      <c r="L317" s="1">
        <v>0</v>
      </c>
      <c r="M317" s="1">
        <v>0</v>
      </c>
      <c r="N317" s="1">
        <v>0</v>
      </c>
      <c r="O317" s="1">
        <v>11</v>
      </c>
      <c r="P317" s="1">
        <v>1</v>
      </c>
      <c r="Q317" s="1">
        <v>6</v>
      </c>
      <c r="R317" s="5">
        <f t="shared" si="29"/>
        <v>3</v>
      </c>
      <c r="S317" s="5">
        <f t="shared" si="30"/>
        <v>0</v>
      </c>
      <c r="T317" s="5">
        <f t="shared" si="31"/>
        <v>6</v>
      </c>
      <c r="U317" s="33">
        <f t="shared" si="32"/>
        <v>0</v>
      </c>
      <c r="V317" s="48">
        <f t="shared" si="33"/>
        <v>0.58687621348469265</v>
      </c>
      <c r="W317" s="48">
        <f t="shared" si="34"/>
        <v>0</v>
      </c>
    </row>
    <row r="318" spans="1:23" ht="14.25" customHeight="1" x14ac:dyDescent="0.3">
      <c r="A318" s="1" t="s">
        <v>70</v>
      </c>
      <c r="B318" s="1">
        <v>24</v>
      </c>
      <c r="C318" s="1" t="s">
        <v>760</v>
      </c>
      <c r="D318" s="50">
        <v>16</v>
      </c>
      <c r="E318" s="56">
        <f t="shared" si="28"/>
        <v>1.0127191120937731</v>
      </c>
      <c r="F318" s="10">
        <v>2</v>
      </c>
      <c r="G318" s="10">
        <v>0</v>
      </c>
      <c r="H318" s="10">
        <v>0</v>
      </c>
      <c r="I318" s="1">
        <v>0</v>
      </c>
      <c r="J318" s="1">
        <v>0.1</v>
      </c>
      <c r="K318" s="1">
        <v>2</v>
      </c>
      <c r="L318" s="1">
        <v>0</v>
      </c>
      <c r="M318" s="1">
        <v>0</v>
      </c>
      <c r="N318" s="1">
        <v>0</v>
      </c>
      <c r="O318" s="1">
        <v>0</v>
      </c>
      <c r="P318" s="1">
        <v>0.1</v>
      </c>
      <c r="Q318" s="1">
        <v>2</v>
      </c>
      <c r="R318" s="5">
        <f t="shared" si="29"/>
        <v>0.70000000000000007</v>
      </c>
      <c r="S318" s="5">
        <f t="shared" si="30"/>
        <v>0</v>
      </c>
      <c r="T318" s="5">
        <f t="shared" si="31"/>
        <v>0.70000000000000007</v>
      </c>
      <c r="U318" s="33">
        <f t="shared" si="32"/>
        <v>2.3775871599810802E-2</v>
      </c>
      <c r="V318" s="48">
        <f t="shared" si="33"/>
        <v>0</v>
      </c>
      <c r="W318" s="48">
        <f t="shared" si="34"/>
        <v>0</v>
      </c>
    </row>
    <row r="319" spans="1:23" ht="14.25" customHeight="1" x14ac:dyDescent="0.3">
      <c r="A319" s="1" t="s">
        <v>70</v>
      </c>
      <c r="B319" s="1">
        <v>24</v>
      </c>
      <c r="C319" s="1" t="s">
        <v>761</v>
      </c>
      <c r="D319" s="50">
        <v>16</v>
      </c>
      <c r="E319" s="56">
        <f t="shared" si="28"/>
        <v>1.0127191120937731</v>
      </c>
      <c r="F319" s="10">
        <v>1</v>
      </c>
      <c r="G319" s="10">
        <v>1</v>
      </c>
      <c r="H319" s="10">
        <v>2</v>
      </c>
      <c r="I319" s="1">
        <v>1</v>
      </c>
      <c r="J319" s="1">
        <v>1</v>
      </c>
      <c r="K319" s="1">
        <v>1</v>
      </c>
      <c r="L319" s="1">
        <v>0</v>
      </c>
      <c r="M319" s="1">
        <v>0</v>
      </c>
      <c r="N319" s="1">
        <v>0</v>
      </c>
      <c r="O319" s="1">
        <v>1</v>
      </c>
      <c r="P319" s="1">
        <v>5</v>
      </c>
      <c r="Q319" s="1">
        <v>1</v>
      </c>
      <c r="R319" s="5">
        <f t="shared" si="29"/>
        <v>1</v>
      </c>
      <c r="S319" s="5">
        <f t="shared" si="30"/>
        <v>0</v>
      </c>
      <c r="T319" s="5">
        <f t="shared" si="31"/>
        <v>2.3333333333333335</v>
      </c>
      <c r="U319" s="33">
        <f t="shared" si="32"/>
        <v>1.1887935799905401E-2</v>
      </c>
      <c r="V319" s="48">
        <f t="shared" si="33"/>
        <v>0.29622397403042966</v>
      </c>
      <c r="W319" s="48">
        <f t="shared" si="34"/>
        <v>2.3304830432540662</v>
      </c>
    </row>
    <row r="320" spans="1:23" ht="14.25" customHeight="1" x14ac:dyDescent="0.3">
      <c r="A320" s="1" t="s">
        <v>70</v>
      </c>
      <c r="B320" s="1">
        <v>24</v>
      </c>
      <c r="C320" s="1" t="s">
        <v>101</v>
      </c>
      <c r="D320" s="50">
        <v>16</v>
      </c>
      <c r="E320" s="56">
        <f t="shared" si="28"/>
        <v>1.0127191120937731</v>
      </c>
      <c r="F320" s="10">
        <v>6</v>
      </c>
      <c r="G320" s="10">
        <v>0</v>
      </c>
      <c r="H320" s="10">
        <v>1</v>
      </c>
      <c r="I320" s="1">
        <v>1</v>
      </c>
      <c r="J320" s="1">
        <v>2</v>
      </c>
      <c r="K320" s="1">
        <v>1</v>
      </c>
      <c r="L320" s="1">
        <v>0</v>
      </c>
      <c r="M320" s="1">
        <v>0</v>
      </c>
      <c r="N320" s="1">
        <v>0</v>
      </c>
      <c r="O320" s="1">
        <v>1</v>
      </c>
      <c r="P320" s="1">
        <v>2</v>
      </c>
      <c r="Q320" s="1">
        <v>1</v>
      </c>
      <c r="R320" s="5">
        <f t="shared" si="29"/>
        <v>1.3333333333333333</v>
      </c>
      <c r="S320" s="5">
        <f t="shared" si="30"/>
        <v>0</v>
      </c>
      <c r="T320" s="5">
        <f t="shared" si="31"/>
        <v>1.3333333333333333</v>
      </c>
      <c r="U320" s="33">
        <f t="shared" si="32"/>
        <v>7.1327614799432421E-2</v>
      </c>
      <c r="V320" s="48">
        <f t="shared" si="33"/>
        <v>0</v>
      </c>
      <c r="W320" s="48">
        <f t="shared" si="34"/>
        <v>1.1652415216270331</v>
      </c>
    </row>
    <row r="321" spans="1:23" ht="14.25" customHeight="1" x14ac:dyDescent="0.3">
      <c r="A321" s="1" t="s">
        <v>70</v>
      </c>
      <c r="B321" s="1">
        <v>24</v>
      </c>
      <c r="C321" s="1" t="s">
        <v>762</v>
      </c>
      <c r="D321" s="50">
        <v>16</v>
      </c>
      <c r="E321" s="56">
        <f t="shared" si="28"/>
        <v>1.0127191120937731</v>
      </c>
      <c r="F321" s="10">
        <v>0</v>
      </c>
      <c r="G321" s="10">
        <v>0</v>
      </c>
      <c r="H321" s="10">
        <v>2</v>
      </c>
      <c r="I321" s="1">
        <v>0.1</v>
      </c>
      <c r="J321" s="1">
        <v>0.1</v>
      </c>
      <c r="K321" s="1">
        <v>1</v>
      </c>
      <c r="L321" s="1">
        <v>0</v>
      </c>
      <c r="M321" s="1">
        <v>0</v>
      </c>
      <c r="N321" s="1">
        <v>0</v>
      </c>
      <c r="O321" s="1">
        <v>0.1</v>
      </c>
      <c r="P321" s="1">
        <v>0.1</v>
      </c>
      <c r="Q321" s="1">
        <v>1</v>
      </c>
      <c r="R321" s="5">
        <f t="shared" si="29"/>
        <v>0.39999999999999997</v>
      </c>
      <c r="S321" s="5">
        <f t="shared" si="30"/>
        <v>0</v>
      </c>
      <c r="T321" s="5">
        <f t="shared" si="31"/>
        <v>0.39999999999999997</v>
      </c>
      <c r="U321" s="33">
        <f t="shared" si="32"/>
        <v>0</v>
      </c>
      <c r="V321" s="48">
        <f t="shared" si="33"/>
        <v>0</v>
      </c>
      <c r="W321" s="48">
        <f t="shared" si="34"/>
        <v>2.3304830432540662</v>
      </c>
    </row>
    <row r="322" spans="1:23" ht="14.25" customHeight="1" x14ac:dyDescent="0.3">
      <c r="A322" s="1" t="s">
        <v>70</v>
      </c>
      <c r="B322" s="1">
        <v>25</v>
      </c>
      <c r="C322" s="1" t="s">
        <v>760</v>
      </c>
      <c r="D322" s="50">
        <v>13</v>
      </c>
      <c r="E322" s="56">
        <f t="shared" si="28"/>
        <v>1.0084145972763385</v>
      </c>
      <c r="F322" s="10">
        <v>9</v>
      </c>
      <c r="G322" s="10">
        <v>2</v>
      </c>
      <c r="H322" s="10">
        <v>1</v>
      </c>
      <c r="I322" s="1">
        <v>5</v>
      </c>
      <c r="J322" s="1">
        <v>1</v>
      </c>
      <c r="K322" s="1">
        <v>1</v>
      </c>
      <c r="L322" s="1">
        <v>0</v>
      </c>
      <c r="M322" s="1">
        <v>0</v>
      </c>
      <c r="N322" s="1">
        <v>0</v>
      </c>
      <c r="O322" s="1">
        <v>5</v>
      </c>
      <c r="P322" s="1">
        <v>2</v>
      </c>
      <c r="Q322" s="1">
        <v>1</v>
      </c>
      <c r="R322" s="5">
        <f t="shared" si="29"/>
        <v>2.3333333333333335</v>
      </c>
      <c r="S322" s="5">
        <f t="shared" si="30"/>
        <v>0</v>
      </c>
      <c r="T322" s="5">
        <f t="shared" si="31"/>
        <v>2.6666666666666665</v>
      </c>
      <c r="U322" s="33">
        <f t="shared" si="32"/>
        <v>0.10653666020572432</v>
      </c>
      <c r="V322" s="48">
        <f t="shared" si="33"/>
        <v>0.58992977600255359</v>
      </c>
      <c r="W322" s="48">
        <f t="shared" si="34"/>
        <v>1.1602887175021426</v>
      </c>
    </row>
    <row r="323" spans="1:23" ht="14.25" customHeight="1" x14ac:dyDescent="0.3">
      <c r="A323" s="1" t="s">
        <v>70</v>
      </c>
      <c r="B323" s="1">
        <v>25</v>
      </c>
      <c r="C323" s="1" t="s">
        <v>761</v>
      </c>
      <c r="D323" s="50">
        <v>13</v>
      </c>
      <c r="E323" s="56">
        <f t="shared" si="28"/>
        <v>1.0084145972763385</v>
      </c>
      <c r="F323" s="10">
        <v>17</v>
      </c>
      <c r="G323" s="10">
        <v>6</v>
      </c>
      <c r="H323" s="10">
        <v>2</v>
      </c>
      <c r="I323" s="1">
        <v>2</v>
      </c>
      <c r="J323" s="1">
        <v>3</v>
      </c>
      <c r="K323" s="1">
        <v>0.1</v>
      </c>
      <c r="L323" s="1">
        <v>0</v>
      </c>
      <c r="M323" s="1">
        <v>0</v>
      </c>
      <c r="N323" s="1">
        <v>0</v>
      </c>
      <c r="O323" s="1">
        <v>4</v>
      </c>
      <c r="P323" s="1">
        <v>5</v>
      </c>
      <c r="Q323" s="1">
        <v>2</v>
      </c>
      <c r="R323" s="5">
        <f t="shared" si="29"/>
        <v>1.7</v>
      </c>
      <c r="S323" s="5">
        <f t="shared" si="30"/>
        <v>0</v>
      </c>
      <c r="T323" s="5">
        <f t="shared" si="31"/>
        <v>3.6666666666666665</v>
      </c>
      <c r="U323" s="33">
        <f t="shared" si="32"/>
        <v>0.20123591372192376</v>
      </c>
      <c r="V323" s="48">
        <f t="shared" si="33"/>
        <v>1.7697893280076613</v>
      </c>
      <c r="W323" s="48">
        <f t="shared" si="34"/>
        <v>2.3205774350042851</v>
      </c>
    </row>
    <row r="324" spans="1:23" ht="14.25" customHeight="1" x14ac:dyDescent="0.3">
      <c r="A324" s="1" t="s">
        <v>70</v>
      </c>
      <c r="B324" s="1">
        <v>25</v>
      </c>
      <c r="C324" s="1" t="s">
        <v>101</v>
      </c>
      <c r="D324" s="50">
        <v>13</v>
      </c>
      <c r="E324" s="56">
        <f t="shared" si="28"/>
        <v>1.0084145972763385</v>
      </c>
      <c r="F324" s="10">
        <v>4</v>
      </c>
      <c r="G324" s="10">
        <v>3</v>
      </c>
      <c r="H324" s="10">
        <v>1</v>
      </c>
      <c r="I324" s="1">
        <v>3</v>
      </c>
      <c r="J324" s="1">
        <v>2</v>
      </c>
      <c r="K324" s="1">
        <v>4</v>
      </c>
      <c r="L324" s="1">
        <v>0</v>
      </c>
      <c r="M324" s="1">
        <v>0</v>
      </c>
      <c r="N324" s="1">
        <v>0</v>
      </c>
      <c r="O324" s="1">
        <v>3</v>
      </c>
      <c r="P324" s="1">
        <v>7</v>
      </c>
      <c r="Q324" s="1">
        <v>4</v>
      </c>
      <c r="R324" s="5">
        <f t="shared" si="29"/>
        <v>3</v>
      </c>
      <c r="S324" s="5">
        <f t="shared" si="30"/>
        <v>0</v>
      </c>
      <c r="T324" s="5">
        <f t="shared" si="31"/>
        <v>4.666666666666667</v>
      </c>
      <c r="U324" s="33">
        <f t="shared" si="32"/>
        <v>4.73496267580997E-2</v>
      </c>
      <c r="V324" s="48">
        <f t="shared" si="33"/>
        <v>0.88489466400383066</v>
      </c>
      <c r="W324" s="48">
        <f t="shared" si="34"/>
        <v>1.1602887175021426</v>
      </c>
    </row>
    <row r="325" spans="1:23" ht="14.25" customHeight="1" x14ac:dyDescent="0.3">
      <c r="A325" s="1" t="s">
        <v>70</v>
      </c>
      <c r="B325" s="1">
        <v>25</v>
      </c>
      <c r="C325" s="1" t="s">
        <v>762</v>
      </c>
      <c r="D325" s="50">
        <v>13</v>
      </c>
      <c r="E325" s="56">
        <f t="shared" si="28"/>
        <v>1.0084145972763385</v>
      </c>
      <c r="F325" s="10">
        <v>9</v>
      </c>
      <c r="G325" s="10">
        <v>2</v>
      </c>
      <c r="H325" s="10">
        <v>1</v>
      </c>
      <c r="I325" s="1">
        <v>5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  <c r="O325" s="1">
        <v>5</v>
      </c>
      <c r="P325" s="1">
        <v>2</v>
      </c>
      <c r="Q325" s="1">
        <v>1</v>
      </c>
      <c r="R325" s="5">
        <f t="shared" si="29"/>
        <v>2.3333333333333335</v>
      </c>
      <c r="S325" s="5">
        <f t="shared" si="30"/>
        <v>0</v>
      </c>
      <c r="T325" s="5">
        <f t="shared" si="31"/>
        <v>2.6666666666666665</v>
      </c>
      <c r="U325" s="33">
        <f t="shared" si="32"/>
        <v>0.10653666020572432</v>
      </c>
      <c r="V325" s="48">
        <f t="shared" si="33"/>
        <v>0.58992977600255359</v>
      </c>
      <c r="W325" s="48">
        <f t="shared" si="34"/>
        <v>1.1602887175021426</v>
      </c>
    </row>
    <row r="326" spans="1:23" ht="14.25" customHeight="1" x14ac:dyDescent="0.3">
      <c r="A326" s="1" t="s">
        <v>70</v>
      </c>
      <c r="B326" s="1">
        <v>26</v>
      </c>
      <c r="C326" s="1" t="s">
        <v>760</v>
      </c>
      <c r="D326" s="50">
        <v>20</v>
      </c>
      <c r="E326" s="56">
        <f t="shared" ref="E326:E389" si="35">SQRT(1+((D326/100)^2))</f>
        <v>1.019803902718557</v>
      </c>
      <c r="F326" s="10">
        <v>3</v>
      </c>
      <c r="G326" s="10">
        <v>2</v>
      </c>
      <c r="H326" s="10">
        <v>0</v>
      </c>
      <c r="I326" s="1">
        <v>0.5</v>
      </c>
      <c r="J326" s="17">
        <v>0</v>
      </c>
      <c r="K326" s="1">
        <v>0.5</v>
      </c>
      <c r="L326" s="1">
        <v>0</v>
      </c>
      <c r="M326" s="1">
        <v>0</v>
      </c>
      <c r="N326" s="1">
        <v>0</v>
      </c>
      <c r="O326" s="1">
        <v>0.5</v>
      </c>
      <c r="P326" s="1">
        <v>0</v>
      </c>
      <c r="Q326" s="1">
        <v>0.5</v>
      </c>
      <c r="R326" s="5">
        <f t="shared" si="29"/>
        <v>0.33333333333333331</v>
      </c>
      <c r="S326" s="5">
        <f t="shared" si="30"/>
        <v>0</v>
      </c>
      <c r="T326" s="5">
        <f t="shared" si="31"/>
        <v>0.33333333333333331</v>
      </c>
      <c r="U326" s="33">
        <f t="shared" si="32"/>
        <v>3.5913304624852226E-2</v>
      </c>
      <c r="V326" s="48">
        <f t="shared" si="33"/>
        <v>0.59659260141831005</v>
      </c>
      <c r="W326" s="48">
        <f t="shared" si="34"/>
        <v>0</v>
      </c>
    </row>
    <row r="327" spans="1:23" ht="14.25" customHeight="1" x14ac:dyDescent="0.3">
      <c r="A327" s="1" t="s">
        <v>70</v>
      </c>
      <c r="B327" s="1">
        <v>26</v>
      </c>
      <c r="C327" s="1" t="s">
        <v>761</v>
      </c>
      <c r="D327" s="50">
        <v>20</v>
      </c>
      <c r="E327" s="56">
        <f t="shared" si="35"/>
        <v>1.019803902718557</v>
      </c>
      <c r="F327" s="10">
        <v>1</v>
      </c>
      <c r="G327" s="10">
        <v>0</v>
      </c>
      <c r="H327" s="10">
        <v>0</v>
      </c>
      <c r="I327" s="1">
        <v>2.5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2.5</v>
      </c>
      <c r="P327" s="1">
        <v>0</v>
      </c>
      <c r="Q327" s="1">
        <v>0</v>
      </c>
      <c r="R327" s="5">
        <f t="shared" ref="R327:R390" si="36">AVERAGE(I327:K327)</f>
        <v>0.83333333333333337</v>
      </c>
      <c r="S327" s="5">
        <f t="shared" ref="S327:S390" si="37">AVERAGE(L327:N327)</f>
        <v>0</v>
      </c>
      <c r="T327" s="5">
        <f t="shared" ref="T327:T390" si="38">AVERAGE(O327:Q327)</f>
        <v>0.83333333333333337</v>
      </c>
      <c r="U327" s="33">
        <f t="shared" si="32"/>
        <v>1.1971101541617409E-2</v>
      </c>
      <c r="V327" s="48">
        <f t="shared" si="33"/>
        <v>0</v>
      </c>
      <c r="W327" s="48">
        <f t="shared" si="34"/>
        <v>0</v>
      </c>
    </row>
    <row r="328" spans="1:23" ht="14.25" customHeight="1" x14ac:dyDescent="0.3">
      <c r="A328" s="1" t="s">
        <v>70</v>
      </c>
      <c r="B328" s="1">
        <v>26</v>
      </c>
      <c r="C328" s="1" t="s">
        <v>101</v>
      </c>
      <c r="D328" s="50">
        <v>20</v>
      </c>
      <c r="E328" s="56">
        <f t="shared" si="35"/>
        <v>1.019803902718557</v>
      </c>
      <c r="F328" s="10">
        <v>4</v>
      </c>
      <c r="G328" s="10">
        <v>2</v>
      </c>
      <c r="H328" s="10">
        <v>0</v>
      </c>
      <c r="I328" s="1">
        <v>0</v>
      </c>
      <c r="J328" s="1">
        <v>1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10</v>
      </c>
      <c r="Q328" s="1">
        <v>0</v>
      </c>
      <c r="R328" s="5">
        <f t="shared" si="36"/>
        <v>0.33333333333333331</v>
      </c>
      <c r="S328" s="5">
        <f t="shared" si="37"/>
        <v>0</v>
      </c>
      <c r="T328" s="5">
        <f t="shared" si="38"/>
        <v>3.3333333333333335</v>
      </c>
      <c r="U328" s="33">
        <f t="shared" si="32"/>
        <v>4.7884406166469634E-2</v>
      </c>
      <c r="V328" s="48">
        <f t="shared" si="33"/>
        <v>0.59659260141831005</v>
      </c>
      <c r="W328" s="48">
        <f t="shared" si="34"/>
        <v>0</v>
      </c>
    </row>
    <row r="329" spans="1:23" ht="14.25" customHeight="1" x14ac:dyDescent="0.3">
      <c r="A329" s="1" t="s">
        <v>70</v>
      </c>
      <c r="B329" s="1">
        <v>26</v>
      </c>
      <c r="C329" s="1" t="s">
        <v>762</v>
      </c>
      <c r="D329" s="50">
        <v>20</v>
      </c>
      <c r="E329" s="56">
        <f t="shared" si="35"/>
        <v>1.019803902718557</v>
      </c>
      <c r="F329" s="10">
        <v>2</v>
      </c>
      <c r="G329" s="10">
        <v>2</v>
      </c>
      <c r="H329" s="10">
        <v>1</v>
      </c>
      <c r="I329" s="1">
        <v>0</v>
      </c>
      <c r="J329" s="1">
        <v>2.5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2.5</v>
      </c>
      <c r="Q329" s="1">
        <v>0</v>
      </c>
      <c r="R329" s="5">
        <f t="shared" si="36"/>
        <v>0.83333333333333337</v>
      </c>
      <c r="S329" s="5">
        <f t="shared" si="37"/>
        <v>0</v>
      </c>
      <c r="T329" s="5">
        <f t="shared" si="38"/>
        <v>0.83333333333333337</v>
      </c>
      <c r="U329" s="33">
        <f t="shared" si="32"/>
        <v>2.3942203083234817E-2</v>
      </c>
      <c r="V329" s="48">
        <f t="shared" si="33"/>
        <v>0.59659260141831005</v>
      </c>
      <c r="W329" s="48">
        <f t="shared" si="34"/>
        <v>1.1733933300697159</v>
      </c>
    </row>
    <row r="330" spans="1:23" ht="14.25" customHeight="1" x14ac:dyDescent="0.3">
      <c r="A330" s="1" t="s">
        <v>73</v>
      </c>
      <c r="B330" s="1">
        <v>1</v>
      </c>
      <c r="C330" s="1" t="s">
        <v>760</v>
      </c>
      <c r="D330" s="50">
        <v>19</v>
      </c>
      <c r="E330" s="56">
        <f t="shared" si="35"/>
        <v>1.0178899744078433</v>
      </c>
      <c r="F330" s="10">
        <v>11</v>
      </c>
      <c r="G330" s="10">
        <v>2</v>
      </c>
      <c r="H330" s="10">
        <v>0</v>
      </c>
      <c r="I330" s="1">
        <v>1</v>
      </c>
      <c r="J330" s="1">
        <v>0.1</v>
      </c>
      <c r="K330" s="1">
        <v>2</v>
      </c>
      <c r="L330" s="1">
        <v>0</v>
      </c>
      <c r="M330" s="1">
        <v>0</v>
      </c>
      <c r="N330" s="1">
        <v>0</v>
      </c>
      <c r="O330" s="1">
        <v>7</v>
      </c>
      <c r="P330" s="1">
        <v>0.1</v>
      </c>
      <c r="Q330" s="1">
        <v>2</v>
      </c>
      <c r="R330" s="5">
        <f t="shared" si="36"/>
        <v>1.0333333333333334</v>
      </c>
      <c r="S330" s="5">
        <f t="shared" si="37"/>
        <v>0</v>
      </c>
      <c r="T330" s="5">
        <f t="shared" si="38"/>
        <v>3.0333333333333332</v>
      </c>
      <c r="U330" s="33">
        <f t="shared" si="32"/>
        <v>0.13143498108099363</v>
      </c>
      <c r="V330" s="48">
        <f t="shared" si="33"/>
        <v>0.59547293962178927</v>
      </c>
      <c r="W330" s="48">
        <f t="shared" si="34"/>
        <v>0</v>
      </c>
    </row>
    <row r="331" spans="1:23" ht="14.25" customHeight="1" x14ac:dyDescent="0.3">
      <c r="A331" s="1" t="s">
        <v>73</v>
      </c>
      <c r="B331" s="1">
        <v>1</v>
      </c>
      <c r="C331" s="1" t="s">
        <v>761</v>
      </c>
      <c r="D331" s="50">
        <v>19</v>
      </c>
      <c r="E331" s="56">
        <f t="shared" si="35"/>
        <v>1.0178899744078433</v>
      </c>
      <c r="F331" s="10">
        <v>16</v>
      </c>
      <c r="G331" s="10">
        <v>1</v>
      </c>
      <c r="H331" s="10">
        <v>0</v>
      </c>
      <c r="I331" s="1">
        <v>0.1</v>
      </c>
      <c r="J331" s="1">
        <v>0.1</v>
      </c>
      <c r="K331" s="1">
        <v>2</v>
      </c>
      <c r="L331" s="1">
        <v>0</v>
      </c>
      <c r="M331" s="1">
        <v>0</v>
      </c>
      <c r="N331" s="1">
        <v>0</v>
      </c>
      <c r="O331" s="1">
        <v>0.1</v>
      </c>
      <c r="P331" s="1">
        <v>0.1</v>
      </c>
      <c r="Q331" s="1">
        <v>2</v>
      </c>
      <c r="R331" s="5">
        <f t="shared" si="36"/>
        <v>0.73333333333333339</v>
      </c>
      <c r="S331" s="5">
        <f t="shared" si="37"/>
        <v>0</v>
      </c>
      <c r="T331" s="5">
        <f t="shared" si="38"/>
        <v>0.73333333333333339</v>
      </c>
      <c r="U331" s="33">
        <f t="shared" si="32"/>
        <v>0.19117815429962709</v>
      </c>
      <c r="V331" s="48">
        <f t="shared" si="33"/>
        <v>0.29773646981089463</v>
      </c>
      <c r="W331" s="48">
        <f t="shared" si="34"/>
        <v>0</v>
      </c>
    </row>
    <row r="332" spans="1:23" ht="14.25" customHeight="1" x14ac:dyDescent="0.3">
      <c r="A332" s="1" t="s">
        <v>73</v>
      </c>
      <c r="B332" s="1">
        <v>1</v>
      </c>
      <c r="C332" s="1" t="s">
        <v>101</v>
      </c>
      <c r="D332" s="50">
        <v>19</v>
      </c>
      <c r="E332" s="56">
        <f t="shared" si="35"/>
        <v>1.0178899744078433</v>
      </c>
      <c r="F332" s="10">
        <v>26</v>
      </c>
      <c r="G332" s="10">
        <v>11</v>
      </c>
      <c r="H332" s="10">
        <v>1</v>
      </c>
      <c r="I332" s="1">
        <v>1</v>
      </c>
      <c r="J332" s="1">
        <v>1</v>
      </c>
      <c r="K332" s="1">
        <v>1</v>
      </c>
      <c r="L332" s="19">
        <v>0.1</v>
      </c>
      <c r="M332" s="1">
        <v>0</v>
      </c>
      <c r="N332" s="1">
        <v>0</v>
      </c>
      <c r="O332" s="1">
        <v>2</v>
      </c>
      <c r="P332" s="1">
        <v>5</v>
      </c>
      <c r="Q332" s="1">
        <v>18</v>
      </c>
      <c r="R332" s="5">
        <f t="shared" si="36"/>
        <v>1</v>
      </c>
      <c r="S332" s="5">
        <f t="shared" si="37"/>
        <v>3.3333333333333333E-2</v>
      </c>
      <c r="T332" s="5">
        <f t="shared" si="38"/>
        <v>8.3333333333333339</v>
      </c>
      <c r="U332" s="33">
        <f t="shared" si="32"/>
        <v>0.310664500736894</v>
      </c>
      <c r="V332" s="48">
        <f t="shared" si="33"/>
        <v>3.2751011679198418</v>
      </c>
      <c r="W332" s="48">
        <f t="shared" si="34"/>
        <v>1.1711911510938988</v>
      </c>
    </row>
    <row r="333" spans="1:23" ht="14.25" customHeight="1" x14ac:dyDescent="0.3">
      <c r="A333" s="1" t="s">
        <v>73</v>
      </c>
      <c r="B333" s="1">
        <v>1</v>
      </c>
      <c r="C333" s="1" t="s">
        <v>762</v>
      </c>
      <c r="D333" s="50">
        <v>19</v>
      </c>
      <c r="E333" s="56">
        <f t="shared" si="35"/>
        <v>1.0178899744078433</v>
      </c>
      <c r="F333" s="10">
        <v>15</v>
      </c>
      <c r="G333" s="10">
        <v>4</v>
      </c>
      <c r="H333" s="10">
        <v>0</v>
      </c>
      <c r="I333" s="1">
        <v>1</v>
      </c>
      <c r="J333" s="1">
        <v>5</v>
      </c>
      <c r="K333" s="1">
        <v>1</v>
      </c>
      <c r="L333" s="1">
        <v>0</v>
      </c>
      <c r="M333" s="1">
        <v>0</v>
      </c>
      <c r="N333" s="1">
        <v>0</v>
      </c>
      <c r="O333" s="1">
        <v>20</v>
      </c>
      <c r="P333" s="1">
        <v>5</v>
      </c>
      <c r="Q333" s="1">
        <v>5</v>
      </c>
      <c r="R333" s="5">
        <f t="shared" si="36"/>
        <v>2.3333333333333335</v>
      </c>
      <c r="S333" s="5">
        <f t="shared" si="37"/>
        <v>0</v>
      </c>
      <c r="T333" s="5">
        <f t="shared" si="38"/>
        <v>10</v>
      </c>
      <c r="U333" s="33">
        <f t="shared" si="32"/>
        <v>0.17922951965590042</v>
      </c>
      <c r="V333" s="48">
        <f t="shared" si="33"/>
        <v>1.1909458792435785</v>
      </c>
      <c r="W333" s="48">
        <f t="shared" si="34"/>
        <v>0</v>
      </c>
    </row>
    <row r="334" spans="1:23" ht="14.25" customHeight="1" x14ac:dyDescent="0.3">
      <c r="A334" s="1" t="s">
        <v>73</v>
      </c>
      <c r="B334" s="1">
        <v>2</v>
      </c>
      <c r="C334" s="1" t="s">
        <v>760</v>
      </c>
      <c r="D334" s="50">
        <v>20</v>
      </c>
      <c r="E334" s="56">
        <f t="shared" si="35"/>
        <v>1.019803902718557</v>
      </c>
      <c r="F334" s="10">
        <v>25</v>
      </c>
      <c r="G334" s="10">
        <v>6</v>
      </c>
      <c r="H334" s="10">
        <v>0</v>
      </c>
      <c r="I334" s="1">
        <v>0.1</v>
      </c>
      <c r="J334" s="1">
        <v>0.1</v>
      </c>
      <c r="K334" s="1">
        <v>0.1</v>
      </c>
      <c r="L334" s="1">
        <v>0</v>
      </c>
      <c r="M334" s="1">
        <v>0</v>
      </c>
      <c r="N334" s="1">
        <v>0</v>
      </c>
      <c r="O334" s="1">
        <v>2</v>
      </c>
      <c r="P334" s="1">
        <v>2</v>
      </c>
      <c r="Q334" s="1">
        <v>3</v>
      </c>
      <c r="R334" s="5">
        <f t="shared" si="36"/>
        <v>0.10000000000000002</v>
      </c>
      <c r="S334" s="5">
        <f t="shared" si="37"/>
        <v>0</v>
      </c>
      <c r="T334" s="5">
        <f t="shared" si="38"/>
        <v>2.3333333333333335</v>
      </c>
      <c r="U334" s="33">
        <f t="shared" si="32"/>
        <v>0.29927753854043521</v>
      </c>
      <c r="V334" s="48">
        <f t="shared" si="33"/>
        <v>1.7897778042549306</v>
      </c>
      <c r="W334" s="48">
        <f t="shared" si="34"/>
        <v>0</v>
      </c>
    </row>
    <row r="335" spans="1:23" ht="14.25" customHeight="1" x14ac:dyDescent="0.3">
      <c r="A335" s="1" t="s">
        <v>73</v>
      </c>
      <c r="B335" s="1">
        <v>2</v>
      </c>
      <c r="C335" s="1" t="s">
        <v>761</v>
      </c>
      <c r="D335" s="50">
        <v>20</v>
      </c>
      <c r="E335" s="56">
        <f t="shared" si="35"/>
        <v>1.019803902718557</v>
      </c>
      <c r="F335" s="10">
        <v>32</v>
      </c>
      <c r="G335" s="10">
        <v>12</v>
      </c>
      <c r="H335" s="10">
        <v>2</v>
      </c>
      <c r="I335" s="1">
        <v>1</v>
      </c>
      <c r="J335" s="1">
        <v>0.1</v>
      </c>
      <c r="K335" s="1">
        <v>0.1</v>
      </c>
      <c r="L335" s="1">
        <v>0</v>
      </c>
      <c r="M335" s="1">
        <v>0</v>
      </c>
      <c r="N335" s="1">
        <v>0</v>
      </c>
      <c r="O335" s="1">
        <v>1</v>
      </c>
      <c r="P335" s="1">
        <v>3</v>
      </c>
      <c r="Q335" s="1">
        <v>0.1</v>
      </c>
      <c r="R335" s="5">
        <f t="shared" si="36"/>
        <v>0.40000000000000008</v>
      </c>
      <c r="S335" s="5">
        <f t="shared" si="37"/>
        <v>0</v>
      </c>
      <c r="T335" s="5">
        <f t="shared" si="38"/>
        <v>1.3666666666666665</v>
      </c>
      <c r="U335" s="33">
        <f t="shared" si="32"/>
        <v>0.38307524933175707</v>
      </c>
      <c r="V335" s="48">
        <f t="shared" si="33"/>
        <v>3.5795556085098612</v>
      </c>
      <c r="W335" s="48">
        <f t="shared" si="34"/>
        <v>2.3467866601394318</v>
      </c>
    </row>
    <row r="336" spans="1:23" ht="14.25" customHeight="1" x14ac:dyDescent="0.3">
      <c r="A336" s="1" t="s">
        <v>73</v>
      </c>
      <c r="B336" s="1">
        <v>2</v>
      </c>
      <c r="C336" s="1" t="s">
        <v>101</v>
      </c>
      <c r="D336" s="50">
        <v>20</v>
      </c>
      <c r="E336" s="56">
        <f t="shared" si="35"/>
        <v>1.019803902718557</v>
      </c>
      <c r="F336" s="10">
        <v>23</v>
      </c>
      <c r="G336" s="10">
        <v>4</v>
      </c>
      <c r="H336" s="10">
        <v>1</v>
      </c>
      <c r="I336" s="1">
        <v>1</v>
      </c>
      <c r="J336" s="1">
        <v>0</v>
      </c>
      <c r="K336" s="1">
        <v>0.1</v>
      </c>
      <c r="L336" s="1">
        <v>0</v>
      </c>
      <c r="M336" s="1">
        <v>0</v>
      </c>
      <c r="N336" s="1">
        <v>0</v>
      </c>
      <c r="O336" s="1">
        <v>4</v>
      </c>
      <c r="P336" s="1">
        <v>75</v>
      </c>
      <c r="Q336" s="1">
        <v>0.1</v>
      </c>
      <c r="R336" s="5">
        <f t="shared" si="36"/>
        <v>0.3666666666666667</v>
      </c>
      <c r="S336" s="5">
        <f t="shared" si="37"/>
        <v>0</v>
      </c>
      <c r="T336" s="5">
        <f t="shared" si="38"/>
        <v>26.366666666666664</v>
      </c>
      <c r="U336" s="33">
        <f t="shared" si="32"/>
        <v>0.2753353354572004</v>
      </c>
      <c r="V336" s="48">
        <f t="shared" si="33"/>
        <v>1.1931852028366201</v>
      </c>
      <c r="W336" s="48">
        <f t="shared" si="34"/>
        <v>1.1733933300697159</v>
      </c>
    </row>
    <row r="337" spans="1:23" ht="14.25" customHeight="1" x14ac:dyDescent="0.3">
      <c r="A337" s="1" t="s">
        <v>73</v>
      </c>
      <c r="B337" s="1">
        <v>2</v>
      </c>
      <c r="C337" s="1" t="s">
        <v>762</v>
      </c>
      <c r="D337" s="50">
        <v>20</v>
      </c>
      <c r="E337" s="56">
        <f t="shared" si="35"/>
        <v>1.019803902718557</v>
      </c>
      <c r="F337" s="10">
        <v>23</v>
      </c>
      <c r="G337" s="10">
        <v>28</v>
      </c>
      <c r="H337" s="10">
        <v>1</v>
      </c>
      <c r="I337" s="1">
        <v>0.1</v>
      </c>
      <c r="J337" s="1">
        <v>1</v>
      </c>
      <c r="K337" s="1">
        <v>1</v>
      </c>
      <c r="L337" s="1">
        <v>0</v>
      </c>
      <c r="M337" s="1">
        <v>0</v>
      </c>
      <c r="N337" s="1">
        <v>0</v>
      </c>
      <c r="O337" s="1">
        <v>4</v>
      </c>
      <c r="P337" s="1">
        <v>5</v>
      </c>
      <c r="Q337" s="1">
        <v>1</v>
      </c>
      <c r="R337" s="5">
        <f t="shared" si="36"/>
        <v>0.70000000000000007</v>
      </c>
      <c r="S337" s="5">
        <f t="shared" si="37"/>
        <v>0</v>
      </c>
      <c r="T337" s="5">
        <f t="shared" si="38"/>
        <v>3.3333333333333335</v>
      </c>
      <c r="U337" s="33">
        <f t="shared" si="32"/>
        <v>0.2753353354572004</v>
      </c>
      <c r="V337" s="48">
        <f t="shared" si="33"/>
        <v>8.3522964198563407</v>
      </c>
      <c r="W337" s="48">
        <f t="shared" si="34"/>
        <v>1.1733933300697159</v>
      </c>
    </row>
    <row r="338" spans="1:23" ht="14.25" customHeight="1" x14ac:dyDescent="0.3">
      <c r="A338" s="1" t="s">
        <v>73</v>
      </c>
      <c r="B338" s="1">
        <v>3</v>
      </c>
      <c r="C338" s="1" t="s">
        <v>760</v>
      </c>
      <c r="D338" s="1">
        <v>14</v>
      </c>
      <c r="E338" s="56">
        <f t="shared" si="35"/>
        <v>1.0097524449091471</v>
      </c>
      <c r="F338" s="10">
        <v>8</v>
      </c>
      <c r="G338" s="10">
        <v>3</v>
      </c>
      <c r="H338" s="10">
        <v>0</v>
      </c>
      <c r="I338" s="1">
        <v>5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6</v>
      </c>
      <c r="P338" s="1">
        <v>1</v>
      </c>
      <c r="Q338" s="1">
        <v>2</v>
      </c>
      <c r="R338" s="5">
        <f t="shared" si="36"/>
        <v>2.6666666666666665</v>
      </c>
      <c r="S338" s="5">
        <f t="shared" si="37"/>
        <v>0</v>
      </c>
      <c r="T338" s="5">
        <f t="shared" si="38"/>
        <v>3</v>
      </c>
      <c r="U338" s="33">
        <f t="shared" si="32"/>
        <v>9.4824889512036409E-2</v>
      </c>
      <c r="V338" s="48">
        <f t="shared" si="33"/>
        <v>0.88606863970263539</v>
      </c>
      <c r="W338" s="48">
        <f t="shared" si="34"/>
        <v>0</v>
      </c>
    </row>
    <row r="339" spans="1:23" ht="14.25" customHeight="1" x14ac:dyDescent="0.3">
      <c r="A339" s="1" t="s">
        <v>73</v>
      </c>
      <c r="B339" s="1">
        <v>3</v>
      </c>
      <c r="C339" s="1" t="s">
        <v>761</v>
      </c>
      <c r="D339" s="1">
        <v>14</v>
      </c>
      <c r="E339" s="56">
        <f t="shared" si="35"/>
        <v>1.0097524449091471</v>
      </c>
      <c r="F339" s="10">
        <v>6</v>
      </c>
      <c r="G339" s="10">
        <v>0</v>
      </c>
      <c r="H339" s="10">
        <v>0</v>
      </c>
      <c r="I339" s="1">
        <v>1</v>
      </c>
      <c r="J339" s="1">
        <v>3</v>
      </c>
      <c r="K339" s="1">
        <v>3</v>
      </c>
      <c r="L339" s="1">
        <v>0</v>
      </c>
      <c r="M339" s="1">
        <v>0</v>
      </c>
      <c r="N339" s="1">
        <v>0</v>
      </c>
      <c r="O339" s="1">
        <v>1</v>
      </c>
      <c r="P339" s="1">
        <v>3</v>
      </c>
      <c r="Q339" s="1">
        <v>3</v>
      </c>
      <c r="R339" s="5">
        <f t="shared" si="36"/>
        <v>2.3333333333333335</v>
      </c>
      <c r="S339" s="5">
        <f t="shared" si="37"/>
        <v>0</v>
      </c>
      <c r="T339" s="5">
        <f t="shared" si="38"/>
        <v>2.3333333333333335</v>
      </c>
      <c r="U339" s="33">
        <f t="shared" si="32"/>
        <v>7.1118667134027314E-2</v>
      </c>
      <c r="V339" s="48">
        <f t="shared" si="33"/>
        <v>0</v>
      </c>
      <c r="W339" s="48">
        <f t="shared" si="34"/>
        <v>0</v>
      </c>
    </row>
    <row r="340" spans="1:23" ht="14.25" customHeight="1" x14ac:dyDescent="0.3">
      <c r="A340" s="1" t="s">
        <v>73</v>
      </c>
      <c r="B340" s="1">
        <v>3</v>
      </c>
      <c r="C340" s="1" t="s">
        <v>101</v>
      </c>
      <c r="D340" s="1">
        <v>14</v>
      </c>
      <c r="E340" s="56">
        <f t="shared" si="35"/>
        <v>1.0097524449091471</v>
      </c>
      <c r="F340" s="10">
        <v>17</v>
      </c>
      <c r="G340" s="10">
        <v>3</v>
      </c>
      <c r="H340" s="10">
        <v>1</v>
      </c>
      <c r="I340" s="1">
        <v>2</v>
      </c>
      <c r="J340" s="1">
        <v>6</v>
      </c>
      <c r="K340" s="1">
        <v>0</v>
      </c>
      <c r="L340" s="1">
        <v>0</v>
      </c>
      <c r="M340" s="1">
        <v>0</v>
      </c>
      <c r="N340" s="1">
        <v>0</v>
      </c>
      <c r="O340" s="1">
        <v>2</v>
      </c>
      <c r="P340" s="1">
        <v>6</v>
      </c>
      <c r="Q340" s="1">
        <v>1</v>
      </c>
      <c r="R340" s="5">
        <f t="shared" si="36"/>
        <v>2.6666666666666665</v>
      </c>
      <c r="S340" s="5">
        <f t="shared" si="37"/>
        <v>0</v>
      </c>
      <c r="T340" s="5">
        <f t="shared" si="38"/>
        <v>3</v>
      </c>
      <c r="U340" s="33">
        <f t="shared" si="32"/>
        <v>0.20150289021307738</v>
      </c>
      <c r="V340" s="48">
        <f t="shared" si="33"/>
        <v>0.88606863970263539</v>
      </c>
      <c r="W340" s="48">
        <f t="shared" si="34"/>
        <v>1.1618280541185277</v>
      </c>
    </row>
    <row r="341" spans="1:23" ht="14.25" customHeight="1" x14ac:dyDescent="0.3">
      <c r="A341" s="1" t="s">
        <v>73</v>
      </c>
      <c r="B341" s="1">
        <v>3</v>
      </c>
      <c r="C341" s="1" t="s">
        <v>762</v>
      </c>
      <c r="D341">
        <v>14</v>
      </c>
      <c r="E341" s="56">
        <f t="shared" si="35"/>
        <v>1.0097524449091471</v>
      </c>
      <c r="F341" s="10">
        <v>13</v>
      </c>
      <c r="G341" s="10">
        <v>4</v>
      </c>
      <c r="H341" s="10">
        <v>1</v>
      </c>
      <c r="I341" s="1">
        <v>4</v>
      </c>
      <c r="J341" s="1">
        <v>6</v>
      </c>
      <c r="K341" s="1">
        <v>6</v>
      </c>
      <c r="L341" s="1">
        <v>0</v>
      </c>
      <c r="M341" s="1">
        <v>0</v>
      </c>
      <c r="N341" s="1">
        <v>0</v>
      </c>
      <c r="O341" s="1">
        <v>4</v>
      </c>
      <c r="P341" s="1">
        <v>6</v>
      </c>
      <c r="Q341" s="1">
        <v>6</v>
      </c>
      <c r="R341" s="5">
        <f t="shared" si="36"/>
        <v>5.333333333333333</v>
      </c>
      <c r="S341" s="5">
        <f t="shared" si="37"/>
        <v>0</v>
      </c>
      <c r="T341" s="5">
        <f t="shared" si="38"/>
        <v>5.333333333333333</v>
      </c>
      <c r="U341" s="33">
        <f t="shared" si="32"/>
        <v>0.15409044545705916</v>
      </c>
      <c r="V341" s="48">
        <f t="shared" si="33"/>
        <v>1.181424852936847</v>
      </c>
      <c r="W341" s="48">
        <f t="shared" si="34"/>
        <v>1.1618280541185277</v>
      </c>
    </row>
    <row r="342" spans="1:23" ht="14.25" customHeight="1" x14ac:dyDescent="0.3">
      <c r="A342" s="1" t="s">
        <v>73</v>
      </c>
      <c r="B342" s="1">
        <v>4</v>
      </c>
      <c r="C342" s="1" t="s">
        <v>760</v>
      </c>
      <c r="D342">
        <v>9</v>
      </c>
      <c r="E342" s="56">
        <f t="shared" si="35"/>
        <v>1.004041831797859</v>
      </c>
      <c r="F342" s="10">
        <v>53</v>
      </c>
      <c r="G342" s="10">
        <v>18</v>
      </c>
      <c r="H342" s="10">
        <v>5</v>
      </c>
      <c r="I342" s="1">
        <v>5</v>
      </c>
      <c r="J342" s="1">
        <v>0.1</v>
      </c>
      <c r="K342" s="1">
        <v>0.1</v>
      </c>
      <c r="L342" s="1">
        <v>0</v>
      </c>
      <c r="M342" s="1">
        <v>0</v>
      </c>
      <c r="N342" s="1">
        <v>0</v>
      </c>
      <c r="O342" s="1">
        <v>8</v>
      </c>
      <c r="P342" s="1">
        <v>0.1</v>
      </c>
      <c r="Q342" s="1">
        <v>0.1</v>
      </c>
      <c r="R342" s="5">
        <f t="shared" si="36"/>
        <v>1.7333333333333332</v>
      </c>
      <c r="S342" s="5">
        <f t="shared" si="37"/>
        <v>0</v>
      </c>
      <c r="T342" s="5">
        <f t="shared" si="38"/>
        <v>2.7333333333333329</v>
      </c>
      <c r="U342" s="33">
        <f t="shared" si="32"/>
        <v>0.62466204972098804</v>
      </c>
      <c r="V342" s="48">
        <f t="shared" si="33"/>
        <v>5.2863450913597987</v>
      </c>
      <c r="W342" s="48">
        <f t="shared" si="34"/>
        <v>5.7762869185044012</v>
      </c>
    </row>
    <row r="343" spans="1:23" ht="14.25" customHeight="1" x14ac:dyDescent="0.3">
      <c r="A343" s="1" t="s">
        <v>73</v>
      </c>
      <c r="B343" s="1">
        <v>4</v>
      </c>
      <c r="C343" s="1" t="s">
        <v>761</v>
      </c>
      <c r="D343">
        <v>9</v>
      </c>
      <c r="E343" s="56">
        <f t="shared" si="35"/>
        <v>1.004041831797859</v>
      </c>
      <c r="F343" s="10">
        <v>7</v>
      </c>
      <c r="G343" s="10">
        <v>5</v>
      </c>
      <c r="H343" s="10">
        <v>0</v>
      </c>
      <c r="I343" s="1">
        <v>1</v>
      </c>
      <c r="J343" s="1">
        <v>0.1</v>
      </c>
      <c r="K343" s="1">
        <v>1</v>
      </c>
      <c r="L343" s="1">
        <v>0</v>
      </c>
      <c r="M343" s="1">
        <v>0</v>
      </c>
      <c r="N343" s="1">
        <v>0</v>
      </c>
      <c r="O343" s="1">
        <v>4</v>
      </c>
      <c r="P343" s="1">
        <v>3</v>
      </c>
      <c r="Q343" s="1">
        <v>2</v>
      </c>
      <c r="R343" s="5">
        <f t="shared" si="36"/>
        <v>0.70000000000000007</v>
      </c>
      <c r="S343" s="5">
        <f t="shared" si="37"/>
        <v>0</v>
      </c>
      <c r="T343" s="5">
        <f t="shared" si="38"/>
        <v>3</v>
      </c>
      <c r="U343" s="33">
        <f t="shared" si="32"/>
        <v>8.2502534868809735E-2</v>
      </c>
      <c r="V343" s="48">
        <f t="shared" si="33"/>
        <v>1.4684291920443888</v>
      </c>
      <c r="W343" s="48">
        <f t="shared" si="34"/>
        <v>0</v>
      </c>
    </row>
    <row r="344" spans="1:23" ht="14.25" customHeight="1" x14ac:dyDescent="0.3">
      <c r="A344" s="1" t="s">
        <v>73</v>
      </c>
      <c r="B344" s="1">
        <v>4</v>
      </c>
      <c r="C344" s="1" t="s">
        <v>101</v>
      </c>
      <c r="D344">
        <v>9</v>
      </c>
      <c r="E344" s="56">
        <f t="shared" si="35"/>
        <v>1.004041831797859</v>
      </c>
      <c r="F344" s="10">
        <v>36</v>
      </c>
      <c r="G344" s="10">
        <v>11</v>
      </c>
      <c r="H344" s="10">
        <v>1</v>
      </c>
      <c r="I344" s="1">
        <v>0.1</v>
      </c>
      <c r="J344" s="1">
        <v>0.1</v>
      </c>
      <c r="K344" s="1">
        <v>1</v>
      </c>
      <c r="L344" s="1">
        <v>0</v>
      </c>
      <c r="M344" s="1">
        <v>0</v>
      </c>
      <c r="N344" s="1">
        <v>0</v>
      </c>
      <c r="O344" s="1">
        <v>75</v>
      </c>
      <c r="P344" s="1">
        <v>95</v>
      </c>
      <c r="Q344" s="1">
        <v>8</v>
      </c>
      <c r="R344" s="5">
        <f t="shared" si="36"/>
        <v>0.39999999999999997</v>
      </c>
      <c r="S344" s="5">
        <f t="shared" si="37"/>
        <v>0</v>
      </c>
      <c r="T344" s="5">
        <f t="shared" si="38"/>
        <v>59.333333333333336</v>
      </c>
      <c r="U344" s="33">
        <f t="shared" si="32"/>
        <v>0.42429875075387863</v>
      </c>
      <c r="V344" s="48">
        <f t="shared" si="33"/>
        <v>3.2305442224976559</v>
      </c>
      <c r="W344" s="48">
        <f t="shared" si="34"/>
        <v>1.1552573837008804</v>
      </c>
    </row>
    <row r="345" spans="1:23" ht="14.25" customHeight="1" x14ac:dyDescent="0.3">
      <c r="A345" s="1" t="s">
        <v>73</v>
      </c>
      <c r="B345" s="1">
        <v>4</v>
      </c>
      <c r="C345" s="1" t="s">
        <v>762</v>
      </c>
      <c r="D345">
        <v>9</v>
      </c>
      <c r="E345" s="56">
        <f t="shared" si="35"/>
        <v>1.004041831797859</v>
      </c>
      <c r="F345" s="10">
        <v>30</v>
      </c>
      <c r="G345" s="10">
        <v>12</v>
      </c>
      <c r="H345" s="10">
        <v>6</v>
      </c>
      <c r="I345" s="1">
        <v>0.1</v>
      </c>
      <c r="J345" s="1">
        <v>0.1</v>
      </c>
      <c r="K345" s="1">
        <v>2</v>
      </c>
      <c r="L345" s="1">
        <v>0</v>
      </c>
      <c r="M345" s="1">
        <v>0</v>
      </c>
      <c r="N345" s="1">
        <v>0</v>
      </c>
      <c r="O345" s="1">
        <v>60</v>
      </c>
      <c r="P345" s="1">
        <v>155</v>
      </c>
      <c r="Q345" s="1">
        <v>5</v>
      </c>
      <c r="R345" s="5">
        <f t="shared" si="36"/>
        <v>0.73333333333333339</v>
      </c>
      <c r="S345" s="5">
        <f t="shared" si="37"/>
        <v>0</v>
      </c>
      <c r="T345" s="5">
        <f t="shared" si="38"/>
        <v>73.333333333333329</v>
      </c>
      <c r="U345" s="33">
        <f t="shared" si="32"/>
        <v>0.35358229229489896</v>
      </c>
      <c r="V345" s="48">
        <f t="shared" si="33"/>
        <v>3.5242300609065338</v>
      </c>
      <c r="W345" s="48">
        <f t="shared" si="34"/>
        <v>6.9315443022052818</v>
      </c>
    </row>
    <row r="346" spans="1:23" ht="14.25" customHeight="1" x14ac:dyDescent="0.3">
      <c r="A346" s="1" t="s">
        <v>73</v>
      </c>
      <c r="B346" s="1">
        <v>5</v>
      </c>
      <c r="C346" s="1" t="s">
        <v>760</v>
      </c>
      <c r="D346" s="50">
        <v>25</v>
      </c>
      <c r="E346" s="56">
        <f t="shared" si="35"/>
        <v>1.0307764064044151</v>
      </c>
      <c r="F346" s="10">
        <v>4</v>
      </c>
      <c r="G346" s="10">
        <v>1</v>
      </c>
      <c r="H346" s="10">
        <v>0</v>
      </c>
      <c r="I346" s="1">
        <v>0</v>
      </c>
      <c r="J346" s="1">
        <v>1</v>
      </c>
      <c r="K346" s="1">
        <v>4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4</v>
      </c>
      <c r="R346" s="5">
        <f t="shared" si="36"/>
        <v>1.6666666666666667</v>
      </c>
      <c r="S346" s="5">
        <f t="shared" si="37"/>
        <v>0</v>
      </c>
      <c r="T346" s="5">
        <f t="shared" si="38"/>
        <v>1.6666666666666667</v>
      </c>
      <c r="U346" s="33">
        <f t="shared" si="32"/>
        <v>4.8399614847036636E-2</v>
      </c>
      <c r="V346" s="48">
        <f t="shared" si="33"/>
        <v>0.30150579740776917</v>
      </c>
      <c r="W346" s="48">
        <f t="shared" si="34"/>
        <v>0</v>
      </c>
    </row>
    <row r="347" spans="1:23" ht="14.25" customHeight="1" x14ac:dyDescent="0.3">
      <c r="A347" s="1" t="s">
        <v>73</v>
      </c>
      <c r="B347" s="1">
        <v>5</v>
      </c>
      <c r="C347" s="1" t="s">
        <v>761</v>
      </c>
      <c r="D347" s="50">
        <v>25</v>
      </c>
      <c r="E347" s="56">
        <f t="shared" si="35"/>
        <v>1.0307764064044151</v>
      </c>
      <c r="F347" s="10">
        <v>14</v>
      </c>
      <c r="G347" s="10">
        <v>1</v>
      </c>
      <c r="H347" s="10">
        <v>0</v>
      </c>
      <c r="I347" s="1">
        <v>0</v>
      </c>
      <c r="J347" s="1">
        <v>0.1</v>
      </c>
      <c r="K347" s="1">
        <v>4</v>
      </c>
      <c r="L347" s="1">
        <v>0</v>
      </c>
      <c r="M347" s="1">
        <v>0</v>
      </c>
      <c r="N347" s="1">
        <v>0</v>
      </c>
      <c r="O347" s="1">
        <v>0</v>
      </c>
      <c r="P347" s="1">
        <v>0.1</v>
      </c>
      <c r="Q347" s="1">
        <v>4</v>
      </c>
      <c r="R347" s="5">
        <f t="shared" si="36"/>
        <v>1.3666666666666665</v>
      </c>
      <c r="S347" s="5">
        <f t="shared" si="37"/>
        <v>0</v>
      </c>
      <c r="T347" s="5">
        <f t="shared" si="38"/>
        <v>1.3666666666666665</v>
      </c>
      <c r="U347" s="33">
        <f t="shared" si="32"/>
        <v>0.16939865196462825</v>
      </c>
      <c r="V347" s="48">
        <f t="shared" si="33"/>
        <v>0.30150579740776917</v>
      </c>
      <c r="W347" s="48">
        <f t="shared" si="34"/>
        <v>0</v>
      </c>
    </row>
    <row r="348" spans="1:23" ht="14.25" customHeight="1" x14ac:dyDescent="0.3">
      <c r="A348" s="1" t="s">
        <v>73</v>
      </c>
      <c r="B348" s="1">
        <v>5</v>
      </c>
      <c r="C348" s="1" t="s">
        <v>101</v>
      </c>
      <c r="D348" s="50">
        <v>25</v>
      </c>
      <c r="E348" s="56">
        <f t="shared" si="35"/>
        <v>1.0307764064044151</v>
      </c>
      <c r="F348" s="10">
        <v>7</v>
      </c>
      <c r="G348" s="10">
        <v>0</v>
      </c>
      <c r="H348" s="10">
        <v>1</v>
      </c>
      <c r="I348" s="1">
        <v>0</v>
      </c>
      <c r="J348" s="1">
        <v>2</v>
      </c>
      <c r="K348" s="1">
        <v>2</v>
      </c>
      <c r="L348" s="1">
        <v>0</v>
      </c>
      <c r="M348" s="1">
        <v>0</v>
      </c>
      <c r="N348" s="1">
        <v>0</v>
      </c>
      <c r="O348" s="1">
        <v>0</v>
      </c>
      <c r="P348" s="1">
        <v>2</v>
      </c>
      <c r="Q348" s="1">
        <v>2</v>
      </c>
      <c r="R348" s="5">
        <f t="shared" si="36"/>
        <v>1.3333333333333333</v>
      </c>
      <c r="S348" s="5">
        <f t="shared" si="37"/>
        <v>0</v>
      </c>
      <c r="T348" s="5">
        <f t="shared" si="38"/>
        <v>1.3333333333333333</v>
      </c>
      <c r="U348" s="33">
        <f t="shared" si="32"/>
        <v>8.4699325982314125E-2</v>
      </c>
      <c r="V348" s="48">
        <f t="shared" si="33"/>
        <v>0</v>
      </c>
      <c r="W348" s="48">
        <f t="shared" si="34"/>
        <v>1.1860183676919778</v>
      </c>
    </row>
    <row r="349" spans="1:23" ht="14.25" customHeight="1" x14ac:dyDescent="0.3">
      <c r="A349" s="1" t="s">
        <v>73</v>
      </c>
      <c r="B349" s="1">
        <v>5</v>
      </c>
      <c r="C349" s="1" t="s">
        <v>762</v>
      </c>
      <c r="D349" s="50">
        <v>25</v>
      </c>
      <c r="E349" s="56">
        <f t="shared" si="35"/>
        <v>1.0307764064044151</v>
      </c>
      <c r="F349" s="10">
        <v>10</v>
      </c>
      <c r="G349" s="10">
        <v>1</v>
      </c>
      <c r="H349" s="10">
        <v>0</v>
      </c>
      <c r="I349" s="1">
        <v>2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2</v>
      </c>
      <c r="P349" s="1">
        <v>1</v>
      </c>
      <c r="Q349" s="1">
        <v>2</v>
      </c>
      <c r="R349" s="5">
        <f t="shared" si="36"/>
        <v>1.6666666666666667</v>
      </c>
      <c r="S349" s="5">
        <f t="shared" si="37"/>
        <v>0</v>
      </c>
      <c r="T349" s="5">
        <f t="shared" si="38"/>
        <v>1.6666666666666667</v>
      </c>
      <c r="U349" s="33">
        <f t="shared" si="32"/>
        <v>0.12099903711759161</v>
      </c>
      <c r="V349" s="48">
        <f t="shared" si="33"/>
        <v>0.30150579740776917</v>
      </c>
      <c r="W349" s="48">
        <f t="shared" si="34"/>
        <v>0</v>
      </c>
    </row>
    <row r="350" spans="1:23" ht="14.25" customHeight="1" x14ac:dyDescent="0.3">
      <c r="A350" s="1" t="s">
        <v>73</v>
      </c>
      <c r="B350" s="1">
        <v>6</v>
      </c>
      <c r="C350" s="1" t="s">
        <v>760</v>
      </c>
      <c r="D350" s="50">
        <v>20</v>
      </c>
      <c r="E350" s="56">
        <f t="shared" si="35"/>
        <v>1.019803902718557</v>
      </c>
      <c r="F350" s="10">
        <v>1</v>
      </c>
      <c r="G350" s="10">
        <v>0</v>
      </c>
      <c r="H350" s="10">
        <v>0</v>
      </c>
      <c r="I350" s="1">
        <v>4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4</v>
      </c>
      <c r="P350" s="1">
        <v>1</v>
      </c>
      <c r="Q350" s="1">
        <v>1</v>
      </c>
      <c r="R350" s="5">
        <f t="shared" si="36"/>
        <v>1.6666666666666667</v>
      </c>
      <c r="S350" s="5">
        <f t="shared" si="37"/>
        <v>0</v>
      </c>
      <c r="T350" s="5">
        <f t="shared" si="38"/>
        <v>2</v>
      </c>
      <c r="U350" s="33">
        <f t="shared" si="32"/>
        <v>1.1971101541617409E-2</v>
      </c>
      <c r="V350" s="48">
        <f t="shared" si="33"/>
        <v>0</v>
      </c>
      <c r="W350" s="48">
        <f t="shared" si="34"/>
        <v>0</v>
      </c>
    </row>
    <row r="351" spans="1:23" ht="14.25" customHeight="1" x14ac:dyDescent="0.3">
      <c r="A351" s="1" t="s">
        <v>73</v>
      </c>
      <c r="B351" s="1">
        <v>6</v>
      </c>
      <c r="C351" s="1" t="s">
        <v>761</v>
      </c>
      <c r="D351" s="50">
        <v>20</v>
      </c>
      <c r="E351" s="56">
        <f t="shared" si="35"/>
        <v>1.019803902718557</v>
      </c>
      <c r="F351" s="10">
        <v>1</v>
      </c>
      <c r="G351" s="10">
        <v>0</v>
      </c>
      <c r="H351" s="10">
        <v>0</v>
      </c>
      <c r="I351" s="1">
        <v>15</v>
      </c>
      <c r="J351" s="1">
        <v>0.1</v>
      </c>
      <c r="K351" s="1">
        <v>0.1</v>
      </c>
      <c r="L351" s="1">
        <v>0</v>
      </c>
      <c r="M351" s="1">
        <v>0</v>
      </c>
      <c r="N351" s="1">
        <v>0</v>
      </c>
      <c r="O351" s="1">
        <v>15</v>
      </c>
      <c r="P351" s="1">
        <v>0.1</v>
      </c>
      <c r="Q351" s="1">
        <v>0.1</v>
      </c>
      <c r="R351" s="5">
        <f t="shared" si="36"/>
        <v>5.0666666666666664</v>
      </c>
      <c r="S351" s="5">
        <f t="shared" si="37"/>
        <v>0</v>
      </c>
      <c r="T351" s="5">
        <f t="shared" si="38"/>
        <v>5.0666666666666664</v>
      </c>
      <c r="U351" s="33">
        <f t="shared" si="32"/>
        <v>1.1971101541617409E-2</v>
      </c>
      <c r="V351" s="48">
        <f t="shared" si="33"/>
        <v>0</v>
      </c>
      <c r="W351" s="48">
        <f t="shared" si="34"/>
        <v>0</v>
      </c>
    </row>
    <row r="352" spans="1:23" ht="14.25" customHeight="1" x14ac:dyDescent="0.3">
      <c r="A352" s="1" t="s">
        <v>73</v>
      </c>
      <c r="B352" s="1">
        <v>6</v>
      </c>
      <c r="C352" s="1" t="s">
        <v>101</v>
      </c>
      <c r="D352" s="50">
        <v>20</v>
      </c>
      <c r="E352" s="56">
        <f t="shared" si="35"/>
        <v>1.019803902718557</v>
      </c>
      <c r="F352" s="10">
        <v>13</v>
      </c>
      <c r="G352" s="10">
        <v>9</v>
      </c>
      <c r="H352" s="10">
        <v>0</v>
      </c>
      <c r="I352" s="1">
        <v>6</v>
      </c>
      <c r="J352" s="1">
        <v>0.1</v>
      </c>
      <c r="K352" s="1">
        <v>0.1</v>
      </c>
      <c r="L352" s="1">
        <v>0</v>
      </c>
      <c r="M352" s="1">
        <v>0</v>
      </c>
      <c r="N352" s="1">
        <v>0</v>
      </c>
      <c r="O352" s="1">
        <v>6</v>
      </c>
      <c r="P352" s="1">
        <v>0.1</v>
      </c>
      <c r="Q352" s="1">
        <v>0.1</v>
      </c>
      <c r="R352" s="5">
        <f t="shared" si="36"/>
        <v>2.0666666666666664</v>
      </c>
      <c r="S352" s="5">
        <f t="shared" si="37"/>
        <v>0</v>
      </c>
      <c r="T352" s="5">
        <f t="shared" si="38"/>
        <v>2.0666666666666664</v>
      </c>
      <c r="U352" s="33">
        <f t="shared" si="32"/>
        <v>0.15562432004102628</v>
      </c>
      <c r="V352" s="48">
        <f t="shared" si="33"/>
        <v>2.6846667063823952</v>
      </c>
      <c r="W352" s="48">
        <f t="shared" si="34"/>
        <v>0</v>
      </c>
    </row>
    <row r="353" spans="1:23" ht="14.25" customHeight="1" x14ac:dyDescent="0.3">
      <c r="A353" s="1" t="s">
        <v>73</v>
      </c>
      <c r="B353" s="1">
        <v>6</v>
      </c>
      <c r="C353" s="1" t="s">
        <v>762</v>
      </c>
      <c r="D353" s="50">
        <v>20</v>
      </c>
      <c r="E353" s="56">
        <f t="shared" si="35"/>
        <v>1.019803902718557</v>
      </c>
      <c r="F353" s="10">
        <v>2</v>
      </c>
      <c r="G353" s="10">
        <v>4</v>
      </c>
      <c r="H353" s="10">
        <v>0</v>
      </c>
      <c r="I353" s="1">
        <v>0.1</v>
      </c>
      <c r="J353" s="1">
        <v>0.1</v>
      </c>
      <c r="K353" s="1">
        <v>1</v>
      </c>
      <c r="L353" s="1">
        <v>0</v>
      </c>
      <c r="M353" s="1">
        <v>0</v>
      </c>
      <c r="N353" s="1">
        <v>0</v>
      </c>
      <c r="O353" s="1">
        <v>0.1</v>
      </c>
      <c r="P353" s="1">
        <v>0.1</v>
      </c>
      <c r="Q353" s="1">
        <v>1</v>
      </c>
      <c r="R353" s="5">
        <f t="shared" si="36"/>
        <v>0.39999999999999997</v>
      </c>
      <c r="S353" s="5">
        <f t="shared" si="37"/>
        <v>0</v>
      </c>
      <c r="T353" s="5">
        <f t="shared" si="38"/>
        <v>0.39999999999999997</v>
      </c>
      <c r="U353" s="33">
        <f t="shared" si="32"/>
        <v>2.3942203083234817E-2</v>
      </c>
      <c r="V353" s="48">
        <f t="shared" si="33"/>
        <v>1.1931852028366201</v>
      </c>
      <c r="W353" s="48">
        <f t="shared" si="34"/>
        <v>0</v>
      </c>
    </row>
    <row r="354" spans="1:23" ht="14.25" customHeight="1" x14ac:dyDescent="0.3">
      <c r="A354" s="1" t="s">
        <v>73</v>
      </c>
      <c r="B354" s="1">
        <v>7</v>
      </c>
      <c r="C354" s="1" t="s">
        <v>760</v>
      </c>
      <c r="D354" s="50">
        <v>8</v>
      </c>
      <c r="E354" s="56">
        <f t="shared" si="35"/>
        <v>1.0031948963187562</v>
      </c>
      <c r="F354" s="10">
        <v>8</v>
      </c>
      <c r="G354" s="10">
        <v>1</v>
      </c>
      <c r="H354" s="10">
        <v>0</v>
      </c>
      <c r="I354" s="1">
        <v>1</v>
      </c>
      <c r="J354" s="1">
        <v>0.1</v>
      </c>
      <c r="K354" s="1">
        <v>2</v>
      </c>
      <c r="L354" s="1">
        <v>0</v>
      </c>
      <c r="M354" s="1">
        <v>0</v>
      </c>
      <c r="N354" s="1">
        <v>0</v>
      </c>
      <c r="O354" s="1">
        <v>1</v>
      </c>
      <c r="P354" s="1">
        <v>0.1</v>
      </c>
      <c r="Q354" s="1">
        <v>2</v>
      </c>
      <c r="R354" s="5">
        <f t="shared" si="36"/>
        <v>1.0333333333333334</v>
      </c>
      <c r="S354" s="5">
        <f t="shared" si="37"/>
        <v>0</v>
      </c>
      <c r="T354" s="5">
        <f t="shared" si="38"/>
        <v>1.0333333333333334</v>
      </c>
      <c r="U354" s="33">
        <f t="shared" si="32"/>
        <v>9.4209076375174367E-2</v>
      </c>
      <c r="V354" s="48">
        <f t="shared" si="33"/>
        <v>0.29343810674234633</v>
      </c>
      <c r="W354" s="48">
        <f t="shared" si="34"/>
        <v>0</v>
      </c>
    </row>
    <row r="355" spans="1:23" ht="14.25" customHeight="1" x14ac:dyDescent="0.3">
      <c r="A355" s="1" t="s">
        <v>73</v>
      </c>
      <c r="B355" s="1">
        <v>7</v>
      </c>
      <c r="C355" s="1" t="s">
        <v>761</v>
      </c>
      <c r="D355" s="50">
        <v>8</v>
      </c>
      <c r="E355" s="56">
        <f t="shared" si="35"/>
        <v>1.0031948963187562</v>
      </c>
      <c r="F355" s="10">
        <v>14</v>
      </c>
      <c r="G355" s="10">
        <v>5</v>
      </c>
      <c r="H355" s="10">
        <v>1</v>
      </c>
      <c r="I355" s="1">
        <v>2</v>
      </c>
      <c r="J355" s="1">
        <v>0.1</v>
      </c>
      <c r="K355" s="1">
        <v>0.1</v>
      </c>
      <c r="L355" s="1">
        <v>0</v>
      </c>
      <c r="M355" s="1">
        <v>0</v>
      </c>
      <c r="N355" s="1">
        <v>0</v>
      </c>
      <c r="O355" s="1">
        <v>2</v>
      </c>
      <c r="P355" s="1">
        <v>0.1</v>
      </c>
      <c r="Q355" s="1">
        <v>3</v>
      </c>
      <c r="R355" s="5">
        <f t="shared" si="36"/>
        <v>0.73333333333333339</v>
      </c>
      <c r="S355" s="5">
        <f t="shared" si="37"/>
        <v>0</v>
      </c>
      <c r="T355" s="5">
        <f t="shared" si="38"/>
        <v>1.7</v>
      </c>
      <c r="U355" s="33">
        <f t="shared" si="32"/>
        <v>0.16486588365655513</v>
      </c>
      <c r="V355" s="48">
        <f t="shared" si="33"/>
        <v>1.4671905337117319</v>
      </c>
      <c r="W355" s="48">
        <f t="shared" si="34"/>
        <v>1.1542828939587551</v>
      </c>
    </row>
    <row r="356" spans="1:23" ht="14.25" customHeight="1" x14ac:dyDescent="0.3">
      <c r="A356" s="1" t="s">
        <v>73</v>
      </c>
      <c r="B356" s="1">
        <v>7</v>
      </c>
      <c r="C356" s="1" t="s">
        <v>101</v>
      </c>
      <c r="D356" s="50">
        <v>8</v>
      </c>
      <c r="E356" s="56">
        <f t="shared" si="35"/>
        <v>1.0031948963187562</v>
      </c>
      <c r="F356" s="10">
        <v>5</v>
      </c>
      <c r="G356" s="10">
        <v>1</v>
      </c>
      <c r="H356" s="10">
        <v>0</v>
      </c>
      <c r="I356" s="1">
        <v>1</v>
      </c>
      <c r="J356" s="1">
        <v>0.1</v>
      </c>
      <c r="K356" s="1">
        <v>1</v>
      </c>
      <c r="L356" s="1">
        <v>0</v>
      </c>
      <c r="M356" s="1">
        <v>0</v>
      </c>
      <c r="N356" s="1">
        <v>0</v>
      </c>
      <c r="O356" s="1">
        <v>1</v>
      </c>
      <c r="P356" s="1">
        <v>0.1</v>
      </c>
      <c r="Q356" s="1">
        <v>1</v>
      </c>
      <c r="R356" s="5">
        <f t="shared" si="36"/>
        <v>0.70000000000000007</v>
      </c>
      <c r="S356" s="5">
        <f t="shared" si="37"/>
        <v>0</v>
      </c>
      <c r="T356" s="5">
        <f t="shared" si="38"/>
        <v>0.70000000000000007</v>
      </c>
      <c r="U356" s="33">
        <f t="shared" si="32"/>
        <v>5.8880672734483983E-2</v>
      </c>
      <c r="V356" s="48">
        <f t="shared" si="33"/>
        <v>0.29343810674234633</v>
      </c>
      <c r="W356" s="48">
        <f t="shared" si="34"/>
        <v>0</v>
      </c>
    </row>
    <row r="357" spans="1:23" ht="14.25" customHeight="1" x14ac:dyDescent="0.3">
      <c r="A357" s="1" t="s">
        <v>73</v>
      </c>
      <c r="B357" s="1">
        <v>7</v>
      </c>
      <c r="C357" s="1" t="s">
        <v>762</v>
      </c>
      <c r="D357" s="50">
        <v>8</v>
      </c>
      <c r="E357" s="56">
        <f t="shared" si="35"/>
        <v>1.0031948963187562</v>
      </c>
      <c r="F357" s="10">
        <v>3</v>
      </c>
      <c r="G357" s="10">
        <v>0</v>
      </c>
      <c r="H357" s="10">
        <v>0</v>
      </c>
      <c r="I357" s="1">
        <v>0.1</v>
      </c>
      <c r="J357" s="1">
        <v>0.1</v>
      </c>
      <c r="K357" s="1">
        <v>1</v>
      </c>
      <c r="L357" s="1">
        <v>0</v>
      </c>
      <c r="M357" s="1">
        <v>0</v>
      </c>
      <c r="N357" s="1">
        <v>0</v>
      </c>
      <c r="O357" s="1">
        <v>0.1</v>
      </c>
      <c r="P357" s="1">
        <v>2</v>
      </c>
      <c r="Q357" s="1">
        <v>1</v>
      </c>
      <c r="R357" s="5">
        <f t="shared" si="36"/>
        <v>0.39999999999999997</v>
      </c>
      <c r="S357" s="5">
        <f t="shared" si="37"/>
        <v>0</v>
      </c>
      <c r="T357" s="5">
        <f t="shared" si="38"/>
        <v>1.0333333333333334</v>
      </c>
      <c r="U357" s="33">
        <f t="shared" si="32"/>
        <v>3.5328403640690391E-2</v>
      </c>
      <c r="V357" s="48">
        <f t="shared" si="33"/>
        <v>0</v>
      </c>
      <c r="W357" s="48">
        <f t="shared" si="34"/>
        <v>0</v>
      </c>
    </row>
    <row r="358" spans="1:23" ht="14.25" customHeight="1" x14ac:dyDescent="0.3">
      <c r="A358" s="1" t="s">
        <v>73</v>
      </c>
      <c r="B358" s="1">
        <v>8</v>
      </c>
      <c r="C358" s="1" t="s">
        <v>760</v>
      </c>
      <c r="D358" s="50">
        <v>13</v>
      </c>
      <c r="E358" s="56">
        <f t="shared" si="35"/>
        <v>1.0084145972763385</v>
      </c>
      <c r="F358" s="10">
        <v>1</v>
      </c>
      <c r="G358" s="10">
        <v>3</v>
      </c>
      <c r="H358" s="10">
        <v>0</v>
      </c>
      <c r="I358" s="1">
        <v>0.1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0.1</v>
      </c>
      <c r="P358" s="1">
        <v>0</v>
      </c>
      <c r="Q358" s="1">
        <v>0</v>
      </c>
      <c r="R358" s="5">
        <f t="shared" si="36"/>
        <v>3.3333333333333333E-2</v>
      </c>
      <c r="S358" s="5">
        <f t="shared" si="37"/>
        <v>0</v>
      </c>
      <c r="T358" s="5">
        <f t="shared" si="38"/>
        <v>3.3333333333333333E-2</v>
      </c>
      <c r="U358" s="33">
        <f t="shared" si="32"/>
        <v>1.1837406689524925E-2</v>
      </c>
      <c r="V358" s="48">
        <f t="shared" si="33"/>
        <v>0.88489466400383066</v>
      </c>
      <c r="W358" s="48">
        <f t="shared" si="34"/>
        <v>0</v>
      </c>
    </row>
    <row r="359" spans="1:23" ht="14.25" customHeight="1" x14ac:dyDescent="0.3">
      <c r="A359" s="1" t="s">
        <v>73</v>
      </c>
      <c r="B359" s="1">
        <v>8</v>
      </c>
      <c r="C359" s="1" t="s">
        <v>761</v>
      </c>
      <c r="D359" s="50">
        <v>13</v>
      </c>
      <c r="E359" s="56">
        <f t="shared" si="35"/>
        <v>1.0084145972763385</v>
      </c>
      <c r="F359" s="10">
        <v>0</v>
      </c>
      <c r="G359" s="10">
        <v>2</v>
      </c>
      <c r="H359" s="10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5">
        <f t="shared" si="36"/>
        <v>0</v>
      </c>
      <c r="S359" s="5">
        <f t="shared" si="37"/>
        <v>0</v>
      </c>
      <c r="T359" s="5">
        <f t="shared" si="38"/>
        <v>0.33333333333333331</v>
      </c>
      <c r="U359" s="33">
        <f t="shared" si="32"/>
        <v>0</v>
      </c>
      <c r="V359" s="48">
        <f t="shared" si="33"/>
        <v>0.58992977600255359</v>
      </c>
      <c r="W359" s="48">
        <f t="shared" si="34"/>
        <v>0</v>
      </c>
    </row>
    <row r="360" spans="1:23" ht="14.25" customHeight="1" x14ac:dyDescent="0.3">
      <c r="A360" s="1" t="s">
        <v>73</v>
      </c>
      <c r="B360" s="1">
        <v>8</v>
      </c>
      <c r="C360" s="1" t="s">
        <v>101</v>
      </c>
      <c r="D360" s="50">
        <v>13</v>
      </c>
      <c r="E360" s="56">
        <f t="shared" si="35"/>
        <v>1.0084145972763385</v>
      </c>
      <c r="F360" s="10">
        <v>0</v>
      </c>
      <c r="G360" s="10">
        <v>3</v>
      </c>
      <c r="H360" s="10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</v>
      </c>
      <c r="P360" s="1">
        <v>0</v>
      </c>
      <c r="Q360" s="1">
        <v>0</v>
      </c>
      <c r="R360" s="5">
        <f t="shared" si="36"/>
        <v>0</v>
      </c>
      <c r="S360" s="5">
        <f t="shared" si="37"/>
        <v>0</v>
      </c>
      <c r="T360" s="5">
        <f t="shared" si="38"/>
        <v>1</v>
      </c>
      <c r="U360" s="33">
        <f t="shared" si="32"/>
        <v>0</v>
      </c>
      <c r="V360" s="48">
        <f t="shared" si="33"/>
        <v>0.88489466400383066</v>
      </c>
      <c r="W360" s="48">
        <f t="shared" si="34"/>
        <v>1.1602887175021426</v>
      </c>
    </row>
    <row r="361" spans="1:23" ht="14.25" customHeight="1" x14ac:dyDescent="0.3">
      <c r="A361" s="1" t="s">
        <v>73</v>
      </c>
      <c r="B361" s="1">
        <v>8</v>
      </c>
      <c r="C361" s="1" t="s">
        <v>762</v>
      </c>
      <c r="D361" s="50">
        <v>13</v>
      </c>
      <c r="E361" s="56">
        <f t="shared" si="35"/>
        <v>1.0084145972763385</v>
      </c>
      <c r="F361" s="10">
        <v>0</v>
      </c>
      <c r="G361" s="10"/>
      <c r="H361" s="10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</v>
      </c>
      <c r="P361" s="1">
        <v>0</v>
      </c>
      <c r="Q361" s="1">
        <v>0</v>
      </c>
      <c r="R361" s="5">
        <f t="shared" si="36"/>
        <v>0</v>
      </c>
      <c r="S361" s="5">
        <f t="shared" si="37"/>
        <v>0</v>
      </c>
      <c r="T361" s="5">
        <f t="shared" si="38"/>
        <v>0.66666666666666663</v>
      </c>
      <c r="U361" s="33">
        <f t="shared" si="32"/>
        <v>0</v>
      </c>
      <c r="V361" s="48">
        <f t="shared" si="33"/>
        <v>0</v>
      </c>
      <c r="W361" s="48">
        <f t="shared" si="34"/>
        <v>0</v>
      </c>
    </row>
    <row r="362" spans="1:23" ht="14.25" customHeight="1" x14ac:dyDescent="0.3">
      <c r="A362" s="1" t="s">
        <v>73</v>
      </c>
      <c r="B362" s="1">
        <v>9</v>
      </c>
      <c r="C362" s="1" t="s">
        <v>760</v>
      </c>
      <c r="D362" s="50">
        <v>17</v>
      </c>
      <c r="E362" s="56">
        <f t="shared" si="35"/>
        <v>1.014347080638575</v>
      </c>
      <c r="F362" s="10">
        <v>1</v>
      </c>
      <c r="G362" s="10">
        <v>1</v>
      </c>
      <c r="H362" s="10">
        <v>0</v>
      </c>
      <c r="I362" s="1">
        <v>0.1</v>
      </c>
      <c r="J362" s="1">
        <v>0</v>
      </c>
      <c r="K362" s="1">
        <v>0.1</v>
      </c>
      <c r="L362" s="1">
        <v>0</v>
      </c>
      <c r="M362" s="1">
        <v>0</v>
      </c>
      <c r="N362" s="1">
        <v>0</v>
      </c>
      <c r="O362" s="1">
        <v>0.1</v>
      </c>
      <c r="P362" s="1">
        <v>0</v>
      </c>
      <c r="Q362" s="1">
        <v>0.1</v>
      </c>
      <c r="R362" s="5">
        <f t="shared" si="36"/>
        <v>6.6666666666666666E-2</v>
      </c>
      <c r="S362" s="5">
        <f t="shared" si="37"/>
        <v>0</v>
      </c>
      <c r="T362" s="5">
        <f t="shared" si="38"/>
        <v>6.6666666666666666E-2</v>
      </c>
      <c r="U362" s="33">
        <f t="shared" si="32"/>
        <v>1.190704592166943E-2</v>
      </c>
      <c r="V362" s="48">
        <f t="shared" si="33"/>
        <v>0.29670016067110705</v>
      </c>
      <c r="W362" s="48">
        <f t="shared" si="34"/>
        <v>0</v>
      </c>
    </row>
    <row r="363" spans="1:23" ht="14.25" customHeight="1" x14ac:dyDescent="0.3">
      <c r="A363" s="1" t="s">
        <v>73</v>
      </c>
      <c r="B363" s="1">
        <v>9</v>
      </c>
      <c r="C363" s="1" t="s">
        <v>761</v>
      </c>
      <c r="D363" s="50">
        <v>17</v>
      </c>
      <c r="E363" s="56">
        <f t="shared" si="35"/>
        <v>1.014347080638575</v>
      </c>
      <c r="F363" s="10">
        <v>14</v>
      </c>
      <c r="G363" s="10">
        <v>7</v>
      </c>
      <c r="H363" s="10">
        <v>0</v>
      </c>
      <c r="I363" s="1">
        <v>0</v>
      </c>
      <c r="J363" s="1">
        <v>0.1</v>
      </c>
      <c r="K363" s="1">
        <v>1</v>
      </c>
      <c r="L363" s="1">
        <v>0</v>
      </c>
      <c r="M363" s="1">
        <v>0</v>
      </c>
      <c r="N363" s="1">
        <v>0</v>
      </c>
      <c r="O363" s="1">
        <v>2</v>
      </c>
      <c r="P363" s="1">
        <v>1</v>
      </c>
      <c r="Q363" s="1">
        <v>1</v>
      </c>
      <c r="R363" s="5">
        <f t="shared" si="36"/>
        <v>0.3666666666666667</v>
      </c>
      <c r="S363" s="5">
        <f t="shared" si="37"/>
        <v>0</v>
      </c>
      <c r="T363" s="5">
        <f t="shared" si="38"/>
        <v>1.3333333333333333</v>
      </c>
      <c r="U363" s="33">
        <f t="shared" si="32"/>
        <v>0.166698642903372</v>
      </c>
      <c r="V363" s="48">
        <f t="shared" si="33"/>
        <v>2.0769011246977493</v>
      </c>
      <c r="W363" s="48">
        <f t="shared" si="34"/>
        <v>0</v>
      </c>
    </row>
    <row r="364" spans="1:23" ht="14.25" customHeight="1" x14ac:dyDescent="0.3">
      <c r="A364" s="1" t="s">
        <v>73</v>
      </c>
      <c r="B364" s="1">
        <v>9</v>
      </c>
      <c r="C364" s="1" t="s">
        <v>101</v>
      </c>
      <c r="D364" s="50">
        <v>17</v>
      </c>
      <c r="E364" s="56">
        <f t="shared" si="35"/>
        <v>1.014347080638575</v>
      </c>
      <c r="F364" s="10">
        <v>4</v>
      </c>
      <c r="G364" s="10">
        <v>1</v>
      </c>
      <c r="H364" s="10">
        <v>0</v>
      </c>
      <c r="I364" s="1">
        <v>1</v>
      </c>
      <c r="J364" s="1">
        <v>1</v>
      </c>
      <c r="K364" s="1">
        <v>0.1</v>
      </c>
      <c r="L364" s="1">
        <v>0</v>
      </c>
      <c r="M364" s="1">
        <v>0</v>
      </c>
      <c r="N364" s="1">
        <v>0</v>
      </c>
      <c r="O364" s="1">
        <v>1</v>
      </c>
      <c r="P364" s="1">
        <v>1</v>
      </c>
      <c r="Q364" s="1">
        <v>0.1</v>
      </c>
      <c r="R364" s="5">
        <f t="shared" si="36"/>
        <v>0.70000000000000007</v>
      </c>
      <c r="S364" s="5">
        <f t="shared" si="37"/>
        <v>0</v>
      </c>
      <c r="T364" s="5">
        <f t="shared" si="38"/>
        <v>0.70000000000000007</v>
      </c>
      <c r="U364" s="33">
        <f t="shared" si="32"/>
        <v>4.7628183686677719E-2</v>
      </c>
      <c r="V364" s="48">
        <f t="shared" si="33"/>
        <v>0.29670016067110705</v>
      </c>
      <c r="W364" s="48">
        <f t="shared" si="34"/>
        <v>0</v>
      </c>
    </row>
    <row r="365" spans="1:23" ht="14.25" customHeight="1" x14ac:dyDescent="0.3">
      <c r="A365" s="1" t="s">
        <v>73</v>
      </c>
      <c r="B365" s="1">
        <v>9</v>
      </c>
      <c r="C365" s="1" t="s">
        <v>762</v>
      </c>
      <c r="D365" s="50">
        <v>17</v>
      </c>
      <c r="E365" s="56">
        <f t="shared" si="35"/>
        <v>1.014347080638575</v>
      </c>
      <c r="F365" s="10">
        <v>1</v>
      </c>
      <c r="G365" s="10">
        <v>0</v>
      </c>
      <c r="H365" s="10">
        <v>0</v>
      </c>
      <c r="I365" s="1">
        <v>1</v>
      </c>
      <c r="J365" s="1">
        <v>0.1</v>
      </c>
      <c r="K365" s="1">
        <v>1</v>
      </c>
      <c r="L365" s="1">
        <v>0</v>
      </c>
      <c r="M365" s="1">
        <v>0</v>
      </c>
      <c r="N365" s="1">
        <v>0</v>
      </c>
      <c r="O365" s="1">
        <v>1</v>
      </c>
      <c r="P365" s="1">
        <v>0.1</v>
      </c>
      <c r="Q365" s="1">
        <v>1</v>
      </c>
      <c r="R365" s="5">
        <f t="shared" si="36"/>
        <v>0.70000000000000007</v>
      </c>
      <c r="S365" s="5">
        <f t="shared" si="37"/>
        <v>0</v>
      </c>
      <c r="T365" s="5">
        <f t="shared" si="38"/>
        <v>0.70000000000000007</v>
      </c>
      <c r="U365" s="33">
        <f t="shared" si="32"/>
        <v>1.190704592166943E-2</v>
      </c>
      <c r="V365" s="48">
        <f t="shared" si="33"/>
        <v>0</v>
      </c>
      <c r="W365" s="48">
        <f t="shared" si="34"/>
        <v>0</v>
      </c>
    </row>
    <row r="366" spans="1:23" ht="14.25" customHeight="1" x14ac:dyDescent="0.3">
      <c r="A366" s="1" t="s">
        <v>73</v>
      </c>
      <c r="B366" s="1">
        <v>10</v>
      </c>
      <c r="C366" s="1" t="s">
        <v>760</v>
      </c>
      <c r="D366" s="50">
        <v>21</v>
      </c>
      <c r="E366" s="56">
        <f t="shared" si="35"/>
        <v>1.0218121158021176</v>
      </c>
      <c r="F366" s="10">
        <v>30</v>
      </c>
      <c r="G366" s="10">
        <v>3</v>
      </c>
      <c r="H366" s="10">
        <v>1</v>
      </c>
      <c r="I366" s="1">
        <v>0.1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0.1</v>
      </c>
      <c r="P366" s="1">
        <v>1</v>
      </c>
      <c r="Q366" s="1">
        <v>10</v>
      </c>
      <c r="R366" s="5">
        <f t="shared" si="36"/>
        <v>1.0333333333333334</v>
      </c>
      <c r="S366" s="5">
        <f t="shared" si="37"/>
        <v>0</v>
      </c>
      <c r="T366" s="5">
        <f t="shared" si="38"/>
        <v>3.6999999999999997</v>
      </c>
      <c r="U366" s="33">
        <f t="shared" si="32"/>
        <v>0.35984025640950779</v>
      </c>
      <c r="V366" s="48">
        <f t="shared" si="33"/>
        <v>0.89665113072533098</v>
      </c>
      <c r="W366" s="48">
        <f t="shared" si="34"/>
        <v>1.1757039937486125</v>
      </c>
    </row>
    <row r="367" spans="1:23" ht="14.25" customHeight="1" x14ac:dyDescent="0.3">
      <c r="A367" s="1" t="s">
        <v>73</v>
      </c>
      <c r="B367" s="1">
        <v>10</v>
      </c>
      <c r="C367" s="1" t="s">
        <v>761</v>
      </c>
      <c r="D367" s="50">
        <v>21</v>
      </c>
      <c r="E367" s="56">
        <f t="shared" si="35"/>
        <v>1.0218121158021176</v>
      </c>
      <c r="F367" s="10">
        <v>9</v>
      </c>
      <c r="G367" s="10">
        <v>4</v>
      </c>
      <c r="H367" s="10">
        <v>8</v>
      </c>
      <c r="I367" s="1">
        <v>2</v>
      </c>
      <c r="J367" s="1">
        <v>3</v>
      </c>
      <c r="K367" s="1">
        <v>4</v>
      </c>
      <c r="L367" s="1">
        <v>0</v>
      </c>
      <c r="M367" s="1">
        <v>0</v>
      </c>
      <c r="N367" s="1">
        <v>0</v>
      </c>
      <c r="O367" s="1">
        <v>26</v>
      </c>
      <c r="P367" s="1">
        <v>8</v>
      </c>
      <c r="Q367" s="1">
        <v>7</v>
      </c>
      <c r="R367" s="5">
        <f t="shared" si="36"/>
        <v>3</v>
      </c>
      <c r="S367" s="5">
        <f t="shared" si="37"/>
        <v>0</v>
      </c>
      <c r="T367" s="5">
        <f t="shared" si="38"/>
        <v>13.666666666666666</v>
      </c>
      <c r="U367" s="33">
        <f t="shared" si="32"/>
        <v>0.10795207692285232</v>
      </c>
      <c r="V367" s="48">
        <f t="shared" si="33"/>
        <v>1.1955348409671076</v>
      </c>
      <c r="W367" s="48">
        <f t="shared" si="34"/>
        <v>9.4056319499888996</v>
      </c>
    </row>
    <row r="368" spans="1:23" ht="14.25" customHeight="1" x14ac:dyDescent="0.3">
      <c r="A368" s="1" t="s">
        <v>73</v>
      </c>
      <c r="B368" s="1">
        <v>10</v>
      </c>
      <c r="C368" s="1" t="s">
        <v>101</v>
      </c>
      <c r="D368" s="50">
        <v>21</v>
      </c>
      <c r="E368" s="56">
        <f t="shared" si="35"/>
        <v>1.0218121158021176</v>
      </c>
      <c r="F368" s="10">
        <v>5</v>
      </c>
      <c r="G368" s="10">
        <v>1</v>
      </c>
      <c r="H368" s="10">
        <v>2</v>
      </c>
      <c r="I368" s="1">
        <v>3</v>
      </c>
      <c r="J368" s="1">
        <v>8</v>
      </c>
      <c r="K368" s="1">
        <v>2</v>
      </c>
      <c r="L368" s="1">
        <v>0</v>
      </c>
      <c r="M368" s="1">
        <v>0</v>
      </c>
      <c r="N368" s="1">
        <v>0</v>
      </c>
      <c r="O368" s="1">
        <v>59</v>
      </c>
      <c r="P368" s="1">
        <v>50</v>
      </c>
      <c r="Q368" s="1">
        <v>2</v>
      </c>
      <c r="R368" s="5">
        <f t="shared" si="36"/>
        <v>4.333333333333333</v>
      </c>
      <c r="S368" s="5">
        <f t="shared" si="37"/>
        <v>0</v>
      </c>
      <c r="T368" s="5">
        <f t="shared" si="38"/>
        <v>37</v>
      </c>
      <c r="U368" s="33">
        <f t="shared" si="32"/>
        <v>5.9973376068251295E-2</v>
      </c>
      <c r="V368" s="48">
        <f t="shared" si="33"/>
        <v>0.2988837102417769</v>
      </c>
      <c r="W368" s="48">
        <f t="shared" si="34"/>
        <v>2.3514079874972249</v>
      </c>
    </row>
    <row r="369" spans="1:23" ht="14.25" customHeight="1" x14ac:dyDescent="0.3">
      <c r="A369" s="1" t="s">
        <v>73</v>
      </c>
      <c r="B369" s="1">
        <v>10</v>
      </c>
      <c r="C369" s="1" t="s">
        <v>762</v>
      </c>
      <c r="D369" s="50">
        <v>21</v>
      </c>
      <c r="E369" s="56">
        <f t="shared" si="35"/>
        <v>1.0218121158021176</v>
      </c>
      <c r="F369" s="10">
        <v>10</v>
      </c>
      <c r="G369" s="10">
        <v>1</v>
      </c>
      <c r="H369" s="10">
        <v>0</v>
      </c>
      <c r="I369" s="1">
        <v>2</v>
      </c>
      <c r="J369" s="1">
        <v>0.5</v>
      </c>
      <c r="K369" s="1">
        <v>2</v>
      </c>
      <c r="L369" s="1">
        <v>0</v>
      </c>
      <c r="M369" s="1">
        <v>0</v>
      </c>
      <c r="N369" s="1">
        <v>0</v>
      </c>
      <c r="O369" s="1">
        <v>2</v>
      </c>
      <c r="P369" s="1">
        <v>70</v>
      </c>
      <c r="Q369" s="1">
        <v>2</v>
      </c>
      <c r="R369" s="5">
        <f t="shared" si="36"/>
        <v>1.5</v>
      </c>
      <c r="S369" s="5">
        <f t="shared" si="37"/>
        <v>0</v>
      </c>
      <c r="T369" s="5">
        <f t="shared" si="38"/>
        <v>24.666666666666668</v>
      </c>
      <c r="U369" s="33">
        <f t="shared" si="32"/>
        <v>0.11994675213650259</v>
      </c>
      <c r="V369" s="48">
        <f t="shared" si="33"/>
        <v>0.2988837102417769</v>
      </c>
      <c r="W369" s="48">
        <f t="shared" si="34"/>
        <v>0</v>
      </c>
    </row>
    <row r="370" spans="1:23" ht="15.75" customHeight="1" x14ac:dyDescent="0.3">
      <c r="A370" s="1" t="s">
        <v>73</v>
      </c>
      <c r="B370" s="1">
        <v>13</v>
      </c>
      <c r="C370" s="1" t="s">
        <v>760</v>
      </c>
      <c r="D370" s="50">
        <v>17</v>
      </c>
      <c r="E370" s="56">
        <f t="shared" si="35"/>
        <v>1.014347080638575</v>
      </c>
      <c r="F370" s="10">
        <v>5</v>
      </c>
      <c r="G370" s="10">
        <v>2</v>
      </c>
      <c r="H370" s="10">
        <v>0</v>
      </c>
      <c r="I370" s="1">
        <v>6</v>
      </c>
      <c r="J370" s="1">
        <v>0.1</v>
      </c>
      <c r="K370" s="1">
        <v>2</v>
      </c>
      <c r="L370" s="1">
        <v>0</v>
      </c>
      <c r="M370" s="1">
        <v>0</v>
      </c>
      <c r="N370" s="1">
        <v>0</v>
      </c>
      <c r="O370" s="1">
        <v>6</v>
      </c>
      <c r="P370" s="1">
        <v>0.1</v>
      </c>
      <c r="Q370" s="1">
        <v>7</v>
      </c>
      <c r="R370" s="5">
        <f t="shared" si="36"/>
        <v>2.6999999999999997</v>
      </c>
      <c r="S370" s="5">
        <f t="shared" si="37"/>
        <v>0</v>
      </c>
      <c r="T370" s="5">
        <f t="shared" si="38"/>
        <v>4.3666666666666663</v>
      </c>
      <c r="U370" s="33">
        <f t="shared" ref="U370:U433" si="39">(11.64*F370*0.0122*0.48*1.13*E370)/6.56168</f>
        <v>5.9535229608347159E-2</v>
      </c>
      <c r="V370" s="48">
        <f t="shared" ref="V370:V433" si="40">(11.64*G370*0.304*0.48*1.13*E370)/6.56168</f>
        <v>0.5934003213422141</v>
      </c>
      <c r="W370" s="48">
        <f t="shared" ref="W370:W433" si="41">(11.64*H370*2.87*0.4*1.13*E370)/13.1234</f>
        <v>0</v>
      </c>
    </row>
    <row r="371" spans="1:23" ht="14.25" customHeight="1" x14ac:dyDescent="0.3">
      <c r="A371" s="1" t="s">
        <v>73</v>
      </c>
      <c r="B371" s="1">
        <v>13</v>
      </c>
      <c r="C371" s="1" t="s">
        <v>761</v>
      </c>
      <c r="D371" s="50">
        <v>17</v>
      </c>
      <c r="E371" s="56">
        <f t="shared" si="35"/>
        <v>1.014347080638575</v>
      </c>
      <c r="F371" s="10">
        <v>27</v>
      </c>
      <c r="G371" s="10">
        <v>1</v>
      </c>
      <c r="H371" s="10">
        <v>0</v>
      </c>
      <c r="I371" s="1">
        <v>2</v>
      </c>
      <c r="J371" s="1">
        <v>1</v>
      </c>
      <c r="K371" s="1">
        <v>0.1</v>
      </c>
      <c r="L371" s="1">
        <v>0</v>
      </c>
      <c r="M371" s="1">
        <v>0</v>
      </c>
      <c r="N371" s="1">
        <v>0</v>
      </c>
      <c r="O371" s="1">
        <v>3</v>
      </c>
      <c r="P371" s="1">
        <v>4</v>
      </c>
      <c r="Q371" s="1">
        <v>0.1</v>
      </c>
      <c r="R371" s="5">
        <f t="shared" si="36"/>
        <v>1.0333333333333334</v>
      </c>
      <c r="S371" s="5">
        <f t="shared" si="37"/>
        <v>0</v>
      </c>
      <c r="T371" s="5">
        <f t="shared" si="38"/>
        <v>2.3666666666666667</v>
      </c>
      <c r="U371" s="33">
        <f t="shared" si="39"/>
        <v>0.32149023988507464</v>
      </c>
      <c r="V371" s="48">
        <f t="shared" si="40"/>
        <v>0.29670016067110705</v>
      </c>
      <c r="W371" s="48">
        <f t="shared" si="41"/>
        <v>0</v>
      </c>
    </row>
    <row r="372" spans="1:23" ht="14.25" customHeight="1" x14ac:dyDescent="0.3">
      <c r="A372" s="1" t="s">
        <v>73</v>
      </c>
      <c r="B372" s="1">
        <v>13</v>
      </c>
      <c r="C372" s="1" t="s">
        <v>101</v>
      </c>
      <c r="D372" s="50">
        <v>17</v>
      </c>
      <c r="E372" s="56">
        <f t="shared" si="35"/>
        <v>1.014347080638575</v>
      </c>
      <c r="F372" s="10">
        <v>6</v>
      </c>
      <c r="G372" s="10">
        <v>3</v>
      </c>
      <c r="H372" s="10">
        <v>1</v>
      </c>
      <c r="I372" s="1">
        <v>8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8</v>
      </c>
      <c r="P372" s="1">
        <v>3</v>
      </c>
      <c r="Q372" s="1">
        <v>0.1</v>
      </c>
      <c r="R372" s="5">
        <f t="shared" si="36"/>
        <v>3.3666666666666667</v>
      </c>
      <c r="S372" s="5">
        <f t="shared" si="37"/>
        <v>0</v>
      </c>
      <c r="T372" s="5">
        <f t="shared" si="38"/>
        <v>3.6999999999999997</v>
      </c>
      <c r="U372" s="33">
        <f t="shared" si="39"/>
        <v>7.1442275530016586E-2</v>
      </c>
      <c r="V372" s="48">
        <f t="shared" si="40"/>
        <v>0.89010048201332137</v>
      </c>
      <c r="W372" s="48">
        <f t="shared" si="41"/>
        <v>1.1671146733446738</v>
      </c>
    </row>
    <row r="373" spans="1:23" ht="14.25" customHeight="1" x14ac:dyDescent="0.3">
      <c r="A373" s="1" t="s">
        <v>73</v>
      </c>
      <c r="B373" s="1">
        <v>13</v>
      </c>
      <c r="C373" s="1" t="s">
        <v>762</v>
      </c>
      <c r="D373" s="50">
        <v>17</v>
      </c>
      <c r="E373" s="56">
        <f t="shared" si="35"/>
        <v>1.014347080638575</v>
      </c>
      <c r="F373" s="10">
        <v>4</v>
      </c>
      <c r="G373" s="10">
        <v>1</v>
      </c>
      <c r="H373" s="10">
        <v>0</v>
      </c>
      <c r="I373" s="1">
        <v>0.1</v>
      </c>
      <c r="J373" s="1">
        <v>1</v>
      </c>
      <c r="K373" s="1">
        <v>0.1</v>
      </c>
      <c r="L373" s="1">
        <v>0</v>
      </c>
      <c r="M373" s="1">
        <v>0</v>
      </c>
      <c r="N373" s="1">
        <v>0</v>
      </c>
      <c r="O373" s="1">
        <v>0.1</v>
      </c>
      <c r="P373" s="1">
        <v>2</v>
      </c>
      <c r="Q373" s="1">
        <v>0.1</v>
      </c>
      <c r="R373" s="5">
        <f t="shared" si="36"/>
        <v>0.40000000000000008</v>
      </c>
      <c r="S373" s="5">
        <f t="shared" si="37"/>
        <v>0</v>
      </c>
      <c r="T373" s="5">
        <f t="shared" si="38"/>
        <v>0.73333333333333339</v>
      </c>
      <c r="U373" s="33">
        <f t="shared" si="39"/>
        <v>4.7628183686677719E-2</v>
      </c>
      <c r="V373" s="48">
        <f t="shared" si="40"/>
        <v>0.29670016067110705</v>
      </c>
      <c r="W373" s="48">
        <f t="shared" si="41"/>
        <v>0</v>
      </c>
    </row>
    <row r="374" spans="1:23" ht="14.25" customHeight="1" x14ac:dyDescent="0.3">
      <c r="A374" s="1" t="s">
        <v>73</v>
      </c>
      <c r="B374" s="1">
        <v>19</v>
      </c>
      <c r="C374" s="1" t="s">
        <v>760</v>
      </c>
      <c r="D374" s="50">
        <v>14</v>
      </c>
      <c r="E374" s="56">
        <f t="shared" si="35"/>
        <v>1.0097524449091471</v>
      </c>
      <c r="F374" s="10">
        <v>1</v>
      </c>
      <c r="G374" s="10">
        <v>0</v>
      </c>
      <c r="H374" s="10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5">
        <f t="shared" si="36"/>
        <v>0</v>
      </c>
      <c r="S374" s="5">
        <f t="shared" si="37"/>
        <v>0</v>
      </c>
      <c r="T374" s="5">
        <f t="shared" si="38"/>
        <v>0</v>
      </c>
      <c r="U374" s="33">
        <f t="shared" si="39"/>
        <v>1.1853111189004551E-2</v>
      </c>
      <c r="V374" s="48">
        <f t="shared" si="40"/>
        <v>0</v>
      </c>
      <c r="W374" s="48">
        <f t="shared" si="41"/>
        <v>0</v>
      </c>
    </row>
    <row r="375" spans="1:23" ht="14.25" customHeight="1" x14ac:dyDescent="0.3">
      <c r="A375" s="1" t="s">
        <v>73</v>
      </c>
      <c r="B375" s="1">
        <v>19</v>
      </c>
      <c r="C375" s="1" t="s">
        <v>761</v>
      </c>
      <c r="D375" s="50">
        <v>14</v>
      </c>
      <c r="E375" s="56">
        <f t="shared" si="35"/>
        <v>1.0097524449091471</v>
      </c>
      <c r="F375" s="10">
        <v>1</v>
      </c>
      <c r="G375" s="10">
        <v>1</v>
      </c>
      <c r="H375" s="10">
        <v>0</v>
      </c>
      <c r="I375" s="1">
        <v>0.1</v>
      </c>
      <c r="J375" s="1">
        <v>0.1</v>
      </c>
      <c r="K375" s="1">
        <v>0</v>
      </c>
      <c r="L375" s="1">
        <v>0</v>
      </c>
      <c r="M375" s="1">
        <v>0</v>
      </c>
      <c r="N375" s="1">
        <v>0</v>
      </c>
      <c r="O375" s="1">
        <v>0.1</v>
      </c>
      <c r="P375" s="1">
        <v>0.1</v>
      </c>
      <c r="Q375" s="1">
        <v>0.5</v>
      </c>
      <c r="R375" s="5">
        <f t="shared" si="36"/>
        <v>6.6666666666666666E-2</v>
      </c>
      <c r="S375" s="5">
        <f t="shared" si="37"/>
        <v>0</v>
      </c>
      <c r="T375" s="5">
        <f t="shared" si="38"/>
        <v>0.23333333333333331</v>
      </c>
      <c r="U375" s="33">
        <f t="shared" si="39"/>
        <v>1.1853111189004551E-2</v>
      </c>
      <c r="V375" s="48">
        <f t="shared" si="40"/>
        <v>0.29535621323421174</v>
      </c>
      <c r="W375" s="48">
        <f t="shared" si="41"/>
        <v>0</v>
      </c>
    </row>
    <row r="376" spans="1:23" ht="14.25" customHeight="1" x14ac:dyDescent="0.3">
      <c r="A376" s="1" t="s">
        <v>73</v>
      </c>
      <c r="B376" s="1">
        <v>19</v>
      </c>
      <c r="C376" s="1" t="s">
        <v>101</v>
      </c>
      <c r="D376" s="50">
        <v>14</v>
      </c>
      <c r="E376" s="56">
        <f t="shared" si="35"/>
        <v>1.0097524449091471</v>
      </c>
      <c r="F376" s="10">
        <v>1</v>
      </c>
      <c r="G376" s="10">
        <v>0</v>
      </c>
      <c r="H376" s="10">
        <v>1</v>
      </c>
      <c r="I376" s="1">
        <v>0</v>
      </c>
      <c r="J376" s="1">
        <v>0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0.1</v>
      </c>
      <c r="R376" s="5">
        <f t="shared" si="36"/>
        <v>3.3333333333333333E-2</v>
      </c>
      <c r="S376" s="5">
        <f t="shared" si="37"/>
        <v>0</v>
      </c>
      <c r="T376" s="5">
        <f t="shared" si="38"/>
        <v>3.3333333333333333E-2</v>
      </c>
      <c r="U376" s="33">
        <f t="shared" si="39"/>
        <v>1.1853111189004551E-2</v>
      </c>
      <c r="V376" s="48">
        <f t="shared" si="40"/>
        <v>0</v>
      </c>
      <c r="W376" s="48">
        <f t="shared" si="41"/>
        <v>1.1618280541185277</v>
      </c>
    </row>
    <row r="377" spans="1:23" ht="14.25" customHeight="1" x14ac:dyDescent="0.3">
      <c r="A377" s="1" t="s">
        <v>73</v>
      </c>
      <c r="B377" s="1">
        <v>19</v>
      </c>
      <c r="C377" s="1" t="s">
        <v>762</v>
      </c>
      <c r="D377" s="50">
        <v>14</v>
      </c>
      <c r="E377" s="56">
        <f t="shared" si="35"/>
        <v>1.0097524449091471</v>
      </c>
      <c r="F377" s="10">
        <v>2</v>
      </c>
      <c r="G377" s="10">
        <v>3</v>
      </c>
      <c r="H377" s="10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5">
        <f t="shared" si="36"/>
        <v>0</v>
      </c>
      <c r="S377" s="5">
        <f t="shared" si="37"/>
        <v>0</v>
      </c>
      <c r="T377" s="5">
        <f t="shared" si="38"/>
        <v>0</v>
      </c>
      <c r="U377" s="33">
        <f t="shared" si="39"/>
        <v>2.3706222378009102E-2</v>
      </c>
      <c r="V377" s="48">
        <f t="shared" si="40"/>
        <v>0.88606863970263539</v>
      </c>
      <c r="W377" s="48">
        <f t="shared" si="41"/>
        <v>0</v>
      </c>
    </row>
    <row r="378" spans="1:23" ht="14.25" customHeight="1" x14ac:dyDescent="0.3">
      <c r="A378" s="1" t="s">
        <v>73</v>
      </c>
      <c r="B378" s="1">
        <v>23</v>
      </c>
      <c r="C378" s="1" t="s">
        <v>760</v>
      </c>
      <c r="D378" s="50">
        <v>27</v>
      </c>
      <c r="E378" s="56">
        <f t="shared" si="35"/>
        <v>1.0358088626768938</v>
      </c>
      <c r="F378" s="10">
        <v>3</v>
      </c>
      <c r="G378" s="10">
        <v>1</v>
      </c>
      <c r="H378" s="10">
        <v>0</v>
      </c>
      <c r="I378" s="1">
        <v>0</v>
      </c>
      <c r="J378" s="1">
        <v>0.1</v>
      </c>
      <c r="K378" s="1">
        <v>0.1</v>
      </c>
      <c r="L378" s="1">
        <v>0</v>
      </c>
      <c r="M378" s="1">
        <v>0</v>
      </c>
      <c r="N378" s="1">
        <v>0</v>
      </c>
      <c r="O378" s="1">
        <v>0</v>
      </c>
      <c r="P378" s="1">
        <v>0.1</v>
      </c>
      <c r="Q378" s="1">
        <v>2</v>
      </c>
      <c r="R378" s="5">
        <f t="shared" si="36"/>
        <v>6.6666666666666666E-2</v>
      </c>
      <c r="S378" s="5">
        <f t="shared" si="37"/>
        <v>0</v>
      </c>
      <c r="T378" s="5">
        <f t="shared" si="38"/>
        <v>0.70000000000000007</v>
      </c>
      <c r="U378" s="33">
        <f t="shared" si="39"/>
        <v>3.64769335744572E-2</v>
      </c>
      <c r="V378" s="48">
        <f t="shared" si="40"/>
        <v>0.30297780892445314</v>
      </c>
      <c r="W378" s="48">
        <f t="shared" si="41"/>
        <v>0</v>
      </c>
    </row>
    <row r="379" spans="1:23" ht="14.25" customHeight="1" x14ac:dyDescent="0.3">
      <c r="A379" s="1" t="s">
        <v>73</v>
      </c>
      <c r="B379" s="1">
        <v>23</v>
      </c>
      <c r="C379" s="1" t="s">
        <v>761</v>
      </c>
      <c r="D379" s="50">
        <v>27</v>
      </c>
      <c r="E379" s="56">
        <f t="shared" si="35"/>
        <v>1.0358088626768938</v>
      </c>
      <c r="F379" s="10">
        <v>2</v>
      </c>
      <c r="G379" s="10">
        <v>2</v>
      </c>
      <c r="H379" s="10">
        <v>0</v>
      </c>
      <c r="I379" s="1">
        <v>0</v>
      </c>
      <c r="J379" s="1">
        <v>0.1</v>
      </c>
      <c r="K379" s="1">
        <v>0.1</v>
      </c>
      <c r="L379" s="1">
        <v>0</v>
      </c>
      <c r="M379" s="1">
        <v>0</v>
      </c>
      <c r="N379" s="1">
        <v>0</v>
      </c>
      <c r="O379" s="1">
        <v>0</v>
      </c>
      <c r="P379" s="1">
        <v>0.1</v>
      </c>
      <c r="Q379" s="1">
        <v>3</v>
      </c>
      <c r="R379" s="5">
        <f t="shared" si="36"/>
        <v>6.6666666666666666E-2</v>
      </c>
      <c r="S379" s="5">
        <f t="shared" si="37"/>
        <v>0</v>
      </c>
      <c r="T379" s="5">
        <f t="shared" si="38"/>
        <v>1.0333333333333334</v>
      </c>
      <c r="U379" s="33">
        <f t="shared" si="39"/>
        <v>2.4317955716304792E-2</v>
      </c>
      <c r="V379" s="48">
        <f t="shared" si="40"/>
        <v>0.60595561784890628</v>
      </c>
      <c r="W379" s="48">
        <f t="shared" si="41"/>
        <v>0</v>
      </c>
    </row>
    <row r="380" spans="1:23" ht="14.25" customHeight="1" x14ac:dyDescent="0.3">
      <c r="A380" s="1" t="s">
        <v>73</v>
      </c>
      <c r="B380" s="1">
        <v>23</v>
      </c>
      <c r="C380" s="1" t="s">
        <v>101</v>
      </c>
      <c r="D380" s="50">
        <v>27</v>
      </c>
      <c r="E380" s="56">
        <f t="shared" si="35"/>
        <v>1.0358088626768938</v>
      </c>
      <c r="F380" s="10">
        <v>0</v>
      </c>
      <c r="G380" s="10">
        <v>1</v>
      </c>
      <c r="H380" s="10">
        <v>0</v>
      </c>
      <c r="I380" s="17">
        <v>0.1</v>
      </c>
      <c r="J380" s="1">
        <v>0.1</v>
      </c>
      <c r="K380" s="1">
        <v>0</v>
      </c>
      <c r="L380" s="17">
        <v>0</v>
      </c>
      <c r="M380" s="1">
        <v>0</v>
      </c>
      <c r="N380" s="1">
        <v>0</v>
      </c>
      <c r="O380" s="17">
        <v>0.1</v>
      </c>
      <c r="P380" s="1">
        <v>4</v>
      </c>
      <c r="Q380" s="1">
        <v>0</v>
      </c>
      <c r="R380" s="5">
        <f t="shared" si="36"/>
        <v>6.6666666666666666E-2</v>
      </c>
      <c r="S380" s="5">
        <f t="shared" si="37"/>
        <v>0</v>
      </c>
      <c r="T380" s="5">
        <f t="shared" si="38"/>
        <v>1.3666666666666665</v>
      </c>
      <c r="U380" s="33">
        <f t="shared" si="39"/>
        <v>0</v>
      </c>
      <c r="V380" s="48">
        <f t="shared" si="40"/>
        <v>0.30297780892445314</v>
      </c>
      <c r="W380" s="48">
        <f t="shared" si="41"/>
        <v>0</v>
      </c>
    </row>
    <row r="381" spans="1:23" ht="14.25" customHeight="1" x14ac:dyDescent="0.3">
      <c r="A381" s="1" t="s">
        <v>73</v>
      </c>
      <c r="B381" s="1">
        <v>23</v>
      </c>
      <c r="C381" s="1" t="s">
        <v>762</v>
      </c>
      <c r="D381" s="50">
        <v>27</v>
      </c>
      <c r="E381" s="56">
        <f t="shared" si="35"/>
        <v>1.0358088626768938</v>
      </c>
      <c r="F381" s="10">
        <v>4</v>
      </c>
      <c r="G381" s="10">
        <v>2</v>
      </c>
      <c r="H381" s="10">
        <v>0</v>
      </c>
      <c r="I381" s="1">
        <v>0.1</v>
      </c>
      <c r="J381" s="1">
        <v>0.1</v>
      </c>
      <c r="K381" s="1">
        <v>2</v>
      </c>
      <c r="L381" s="1">
        <v>0</v>
      </c>
      <c r="M381" s="1">
        <v>0</v>
      </c>
      <c r="N381" s="1">
        <v>0</v>
      </c>
      <c r="O381" s="1">
        <v>0.1</v>
      </c>
      <c r="P381" s="1">
        <v>0.1</v>
      </c>
      <c r="Q381" s="1">
        <v>5</v>
      </c>
      <c r="R381" s="5">
        <f t="shared" si="36"/>
        <v>0.73333333333333339</v>
      </c>
      <c r="S381" s="5">
        <f t="shared" si="37"/>
        <v>0</v>
      </c>
      <c r="T381" s="5">
        <f t="shared" si="38"/>
        <v>1.7333333333333334</v>
      </c>
      <c r="U381" s="33">
        <f t="shared" si="39"/>
        <v>4.8635911432609584E-2</v>
      </c>
      <c r="V381" s="48">
        <f t="shared" si="40"/>
        <v>0.60595561784890628</v>
      </c>
      <c r="W381" s="48">
        <f t="shared" si="41"/>
        <v>0</v>
      </c>
    </row>
    <row r="382" spans="1:23" ht="14.25" customHeight="1" x14ac:dyDescent="0.3">
      <c r="A382" s="1" t="s">
        <v>73</v>
      </c>
      <c r="B382" s="1">
        <v>24</v>
      </c>
      <c r="C382" s="1" t="s">
        <v>760</v>
      </c>
      <c r="D382" s="50">
        <v>32</v>
      </c>
      <c r="E382" s="56">
        <f t="shared" si="35"/>
        <v>1.049952379872535</v>
      </c>
      <c r="F382" s="10">
        <v>120</v>
      </c>
      <c r="G382" s="10">
        <v>29</v>
      </c>
      <c r="H382" s="10">
        <v>2</v>
      </c>
      <c r="I382" s="1">
        <v>0.1</v>
      </c>
      <c r="J382" s="1">
        <v>2</v>
      </c>
      <c r="K382" s="1">
        <v>5</v>
      </c>
      <c r="L382" s="1">
        <v>0</v>
      </c>
      <c r="M382" s="1">
        <v>0</v>
      </c>
      <c r="N382" s="1">
        <v>1</v>
      </c>
      <c r="O382" s="1">
        <v>133</v>
      </c>
      <c r="P382" s="1">
        <v>7</v>
      </c>
      <c r="Q382" s="1">
        <v>17</v>
      </c>
      <c r="R382" s="5">
        <f t="shared" si="36"/>
        <v>2.3666666666666667</v>
      </c>
      <c r="S382" s="5">
        <f t="shared" si="37"/>
        <v>0.33333333333333331</v>
      </c>
      <c r="T382" s="5">
        <f t="shared" si="38"/>
        <v>52.333333333333336</v>
      </c>
      <c r="U382" s="33">
        <f t="shared" si="39"/>
        <v>1.4790004062323057</v>
      </c>
      <c r="V382" s="48">
        <f t="shared" si="40"/>
        <v>8.9063303151256861</v>
      </c>
      <c r="W382" s="48">
        <f t="shared" si="41"/>
        <v>2.4161647472597747</v>
      </c>
    </row>
    <row r="383" spans="1:23" ht="14.25" customHeight="1" x14ac:dyDescent="0.3">
      <c r="A383" s="1" t="s">
        <v>73</v>
      </c>
      <c r="B383" s="1">
        <v>24</v>
      </c>
      <c r="C383" s="1" t="s">
        <v>761</v>
      </c>
      <c r="D383" s="50">
        <v>32</v>
      </c>
      <c r="E383" s="56">
        <f t="shared" si="35"/>
        <v>1.049952379872535</v>
      </c>
      <c r="F383" s="10">
        <v>64</v>
      </c>
      <c r="G383" s="10">
        <v>24</v>
      </c>
      <c r="H383" s="10">
        <v>9</v>
      </c>
      <c r="I383" s="1">
        <v>1</v>
      </c>
      <c r="J383" s="1">
        <v>4</v>
      </c>
      <c r="K383" s="1">
        <v>1</v>
      </c>
      <c r="L383" s="1">
        <v>0</v>
      </c>
      <c r="M383" s="1">
        <v>0</v>
      </c>
      <c r="N383" s="1">
        <v>0</v>
      </c>
      <c r="O383" s="1">
        <v>2</v>
      </c>
      <c r="P383" s="1">
        <v>58</v>
      </c>
      <c r="Q383" s="1">
        <v>20</v>
      </c>
      <c r="R383" s="5">
        <f t="shared" si="36"/>
        <v>2</v>
      </c>
      <c r="S383" s="5">
        <f t="shared" si="37"/>
        <v>0</v>
      </c>
      <c r="T383" s="5">
        <f t="shared" si="38"/>
        <v>26.666666666666668</v>
      </c>
      <c r="U383" s="33">
        <f t="shared" si="39"/>
        <v>0.78880021665722944</v>
      </c>
      <c r="V383" s="48">
        <f t="shared" si="40"/>
        <v>7.3707561228626384</v>
      </c>
      <c r="W383" s="48">
        <f t="shared" si="41"/>
        <v>10.872741362668982</v>
      </c>
    </row>
    <row r="384" spans="1:23" ht="14.25" customHeight="1" x14ac:dyDescent="0.3">
      <c r="A384" s="1" t="s">
        <v>73</v>
      </c>
      <c r="B384" s="1">
        <v>24</v>
      </c>
      <c r="C384" s="1" t="s">
        <v>101</v>
      </c>
      <c r="D384" s="50">
        <v>32</v>
      </c>
      <c r="E384" s="56">
        <f t="shared" si="35"/>
        <v>1.049952379872535</v>
      </c>
      <c r="F384" s="10">
        <v>42</v>
      </c>
      <c r="G384" s="10">
        <v>4</v>
      </c>
      <c r="H384" s="10">
        <v>15</v>
      </c>
      <c r="I384" s="1">
        <v>2</v>
      </c>
      <c r="J384" s="1">
        <v>0.1</v>
      </c>
      <c r="K384" s="1">
        <v>1</v>
      </c>
      <c r="L384" s="1">
        <v>0</v>
      </c>
      <c r="M384" s="1">
        <v>0</v>
      </c>
      <c r="N384" s="1">
        <v>0</v>
      </c>
      <c r="O384" s="1">
        <v>12</v>
      </c>
      <c r="P384" s="1">
        <v>6</v>
      </c>
      <c r="Q384" s="1">
        <v>17</v>
      </c>
      <c r="R384" s="5">
        <f t="shared" si="36"/>
        <v>1.0333333333333334</v>
      </c>
      <c r="S384" s="5">
        <f t="shared" si="37"/>
        <v>0</v>
      </c>
      <c r="T384" s="5">
        <f t="shared" si="38"/>
        <v>11.666666666666666</v>
      </c>
      <c r="U384" s="33">
        <f t="shared" si="39"/>
        <v>0.51765014218130678</v>
      </c>
      <c r="V384" s="48">
        <f t="shared" si="40"/>
        <v>1.2284593538104391</v>
      </c>
      <c r="W384" s="48">
        <f t="shared" si="41"/>
        <v>18.121235604448312</v>
      </c>
    </row>
    <row r="385" spans="1:23" ht="14.25" customHeight="1" x14ac:dyDescent="0.3">
      <c r="A385" s="1" t="s">
        <v>73</v>
      </c>
      <c r="B385" s="1">
        <v>24</v>
      </c>
      <c r="C385" s="1" t="s">
        <v>762</v>
      </c>
      <c r="D385" s="50">
        <v>32</v>
      </c>
      <c r="E385" s="56">
        <f t="shared" si="35"/>
        <v>1.049952379872535</v>
      </c>
      <c r="F385" s="10">
        <v>19</v>
      </c>
      <c r="G385" s="10">
        <v>3</v>
      </c>
      <c r="H385" s="10">
        <v>2</v>
      </c>
      <c r="I385" s="1">
        <v>0.1</v>
      </c>
      <c r="J385" s="1">
        <v>1</v>
      </c>
      <c r="K385" s="1">
        <v>1</v>
      </c>
      <c r="L385" s="1">
        <v>0</v>
      </c>
      <c r="M385" s="1">
        <v>0</v>
      </c>
      <c r="N385" s="1">
        <v>0</v>
      </c>
      <c r="O385" s="1">
        <v>1</v>
      </c>
      <c r="P385" s="1">
        <v>4</v>
      </c>
      <c r="Q385" s="1">
        <v>2</v>
      </c>
      <c r="R385" s="5">
        <f t="shared" si="36"/>
        <v>0.70000000000000007</v>
      </c>
      <c r="S385" s="5">
        <f t="shared" si="37"/>
        <v>0</v>
      </c>
      <c r="T385" s="5">
        <f t="shared" si="38"/>
        <v>2.3333333333333335</v>
      </c>
      <c r="U385" s="33">
        <f t="shared" si="39"/>
        <v>0.23417506432011506</v>
      </c>
      <c r="V385" s="48">
        <f t="shared" si="40"/>
        <v>0.9213445153578298</v>
      </c>
      <c r="W385" s="48">
        <f t="shared" si="41"/>
        <v>2.4161647472597747</v>
      </c>
    </row>
    <row r="386" spans="1:23" ht="14.25" customHeight="1" x14ac:dyDescent="0.3">
      <c r="A386" s="1" t="s">
        <v>73</v>
      </c>
      <c r="B386" s="1">
        <v>25</v>
      </c>
      <c r="C386" s="1" t="s">
        <v>760</v>
      </c>
      <c r="D386" s="50">
        <v>21</v>
      </c>
      <c r="E386" s="56">
        <f t="shared" si="35"/>
        <v>1.0218121158021176</v>
      </c>
      <c r="F386" s="10">
        <v>15</v>
      </c>
      <c r="G386" s="10">
        <v>3</v>
      </c>
      <c r="H386" s="10">
        <v>1</v>
      </c>
      <c r="I386" s="1">
        <v>1</v>
      </c>
      <c r="J386" s="1">
        <v>10</v>
      </c>
      <c r="K386" s="1">
        <v>1</v>
      </c>
      <c r="L386" s="1">
        <v>0</v>
      </c>
      <c r="M386" s="1">
        <v>0</v>
      </c>
      <c r="N386" s="1">
        <v>0</v>
      </c>
      <c r="O386" s="1">
        <v>4</v>
      </c>
      <c r="P386" s="1">
        <v>20</v>
      </c>
      <c r="Q386" s="1">
        <v>1</v>
      </c>
      <c r="R386" s="5">
        <f t="shared" si="36"/>
        <v>4</v>
      </c>
      <c r="S386" s="5">
        <f t="shared" si="37"/>
        <v>0</v>
      </c>
      <c r="T386" s="5">
        <f t="shared" si="38"/>
        <v>8.3333333333333339</v>
      </c>
      <c r="U386" s="33">
        <f t="shared" si="39"/>
        <v>0.17992012820475389</v>
      </c>
      <c r="V386" s="48">
        <f t="shared" si="40"/>
        <v>0.89665113072533098</v>
      </c>
      <c r="W386" s="48">
        <f t="shared" si="41"/>
        <v>1.1757039937486125</v>
      </c>
    </row>
    <row r="387" spans="1:23" ht="14.25" customHeight="1" x14ac:dyDescent="0.3">
      <c r="A387" s="1" t="s">
        <v>73</v>
      </c>
      <c r="B387" s="1">
        <v>25</v>
      </c>
      <c r="C387" s="1" t="s">
        <v>761</v>
      </c>
      <c r="D387" s="50">
        <v>21</v>
      </c>
      <c r="E387" s="56">
        <f t="shared" si="35"/>
        <v>1.0218121158021176</v>
      </c>
      <c r="F387" s="10">
        <v>10</v>
      </c>
      <c r="G387" s="10">
        <v>11</v>
      </c>
      <c r="H387" s="10">
        <v>3</v>
      </c>
      <c r="I387" s="1">
        <v>1</v>
      </c>
      <c r="J387" s="1">
        <v>3</v>
      </c>
      <c r="K387" s="1">
        <v>1</v>
      </c>
      <c r="L387" s="1">
        <v>0</v>
      </c>
      <c r="M387" s="1">
        <v>0</v>
      </c>
      <c r="N387" s="1">
        <v>0</v>
      </c>
      <c r="O387" s="1">
        <v>10</v>
      </c>
      <c r="P387" s="1">
        <v>3</v>
      </c>
      <c r="Q387" s="1">
        <v>45</v>
      </c>
      <c r="R387" s="5">
        <f t="shared" si="36"/>
        <v>1.6666666666666667</v>
      </c>
      <c r="S387" s="5">
        <f t="shared" si="37"/>
        <v>0</v>
      </c>
      <c r="T387" s="5">
        <f t="shared" si="38"/>
        <v>19.333333333333332</v>
      </c>
      <c r="U387" s="33">
        <f t="shared" si="39"/>
        <v>0.11994675213650259</v>
      </c>
      <c r="V387" s="48">
        <f t="shared" si="40"/>
        <v>3.2877208126595465</v>
      </c>
      <c r="W387" s="48">
        <f t="shared" si="41"/>
        <v>3.5271119812458376</v>
      </c>
    </row>
    <row r="388" spans="1:23" ht="14.25" customHeight="1" x14ac:dyDescent="0.3">
      <c r="A388" s="1" t="s">
        <v>73</v>
      </c>
      <c r="B388" s="1">
        <v>25</v>
      </c>
      <c r="C388" s="1" t="s">
        <v>101</v>
      </c>
      <c r="D388" s="50">
        <v>21</v>
      </c>
      <c r="E388" s="56">
        <f t="shared" si="35"/>
        <v>1.0218121158021176</v>
      </c>
      <c r="F388" s="10">
        <v>2</v>
      </c>
      <c r="G388" s="10">
        <v>3</v>
      </c>
      <c r="H388" s="10">
        <v>1</v>
      </c>
      <c r="I388" s="1">
        <v>0</v>
      </c>
      <c r="J388" s="1">
        <v>1</v>
      </c>
      <c r="K388" s="1">
        <v>0.1</v>
      </c>
      <c r="L388" s="1">
        <v>0</v>
      </c>
      <c r="M388" s="1">
        <v>0</v>
      </c>
      <c r="N388" s="1">
        <v>0</v>
      </c>
      <c r="O388" s="1">
        <v>0</v>
      </c>
      <c r="P388" s="1">
        <v>1</v>
      </c>
      <c r="Q388" s="1">
        <v>0.1</v>
      </c>
      <c r="R388" s="5">
        <f t="shared" si="36"/>
        <v>0.3666666666666667</v>
      </c>
      <c r="S388" s="5">
        <f t="shared" si="37"/>
        <v>0</v>
      </c>
      <c r="T388" s="5">
        <f t="shared" si="38"/>
        <v>0.3666666666666667</v>
      </c>
      <c r="U388" s="33">
        <f t="shared" si="39"/>
        <v>2.3989350427300517E-2</v>
      </c>
      <c r="V388" s="48">
        <f t="shared" si="40"/>
        <v>0.89665113072533098</v>
      </c>
      <c r="W388" s="48">
        <f t="shared" si="41"/>
        <v>1.1757039937486125</v>
      </c>
    </row>
    <row r="389" spans="1:23" ht="14.25" customHeight="1" x14ac:dyDescent="0.3">
      <c r="A389" s="1" t="s">
        <v>73</v>
      </c>
      <c r="B389" s="1">
        <v>25</v>
      </c>
      <c r="C389" s="1" t="s">
        <v>762</v>
      </c>
      <c r="D389" s="50">
        <v>21</v>
      </c>
      <c r="E389" s="56">
        <f t="shared" si="35"/>
        <v>1.0218121158021176</v>
      </c>
      <c r="F389" s="10">
        <v>15</v>
      </c>
      <c r="G389" s="10">
        <v>2</v>
      </c>
      <c r="H389" s="10">
        <v>0</v>
      </c>
      <c r="I389" s="1">
        <v>1</v>
      </c>
      <c r="J389" s="1">
        <v>0.1</v>
      </c>
      <c r="K389" s="1">
        <v>0</v>
      </c>
      <c r="L389" s="1">
        <v>0</v>
      </c>
      <c r="M389" s="1">
        <v>0</v>
      </c>
      <c r="N389" s="1">
        <v>0</v>
      </c>
      <c r="O389" s="1">
        <v>60</v>
      </c>
      <c r="P389" s="1">
        <v>74</v>
      </c>
      <c r="Q389" s="1">
        <v>0</v>
      </c>
      <c r="R389" s="5">
        <f t="shared" si="36"/>
        <v>0.3666666666666667</v>
      </c>
      <c r="S389" s="5">
        <f t="shared" si="37"/>
        <v>0</v>
      </c>
      <c r="T389" s="5">
        <f t="shared" si="38"/>
        <v>44.666666666666664</v>
      </c>
      <c r="U389" s="33">
        <f t="shared" si="39"/>
        <v>0.17992012820475389</v>
      </c>
      <c r="V389" s="48">
        <f t="shared" si="40"/>
        <v>0.5977674204835538</v>
      </c>
      <c r="W389" s="48">
        <f t="shared" si="41"/>
        <v>0</v>
      </c>
    </row>
    <row r="390" spans="1:23" ht="14.25" customHeight="1" x14ac:dyDescent="0.3">
      <c r="A390" s="1" t="s">
        <v>73</v>
      </c>
      <c r="B390" s="1">
        <v>26</v>
      </c>
      <c r="C390" s="1" t="s">
        <v>760</v>
      </c>
      <c r="D390" s="50">
        <v>20</v>
      </c>
      <c r="E390" s="56">
        <f t="shared" ref="E390:E453" si="42">SQRT(1+((D390/100)^2))</f>
        <v>1.019803902718557</v>
      </c>
      <c r="F390" s="10">
        <v>26</v>
      </c>
      <c r="G390" s="10">
        <v>11</v>
      </c>
      <c r="H390" s="10">
        <v>0</v>
      </c>
      <c r="I390" s="1">
        <v>5</v>
      </c>
      <c r="J390" s="1">
        <v>2</v>
      </c>
      <c r="K390" s="1">
        <v>1</v>
      </c>
      <c r="L390" s="1">
        <v>0</v>
      </c>
      <c r="M390" s="1">
        <v>0</v>
      </c>
      <c r="N390" s="1">
        <v>0</v>
      </c>
      <c r="O390" s="1">
        <v>5</v>
      </c>
      <c r="P390" s="1">
        <v>2</v>
      </c>
      <c r="Q390" s="1">
        <v>1</v>
      </c>
      <c r="R390" s="5">
        <f t="shared" si="36"/>
        <v>2.6666666666666665</v>
      </c>
      <c r="S390" s="5">
        <f t="shared" si="37"/>
        <v>0</v>
      </c>
      <c r="T390" s="5">
        <f t="shared" si="38"/>
        <v>2.6666666666666665</v>
      </c>
      <c r="U390" s="33">
        <f t="shared" si="39"/>
        <v>0.31124864008205255</v>
      </c>
      <c r="V390" s="48">
        <f t="shared" si="40"/>
        <v>3.2812593078007066</v>
      </c>
      <c r="W390" s="48">
        <f t="shared" si="41"/>
        <v>0</v>
      </c>
    </row>
    <row r="391" spans="1:23" ht="14.25" customHeight="1" x14ac:dyDescent="0.3">
      <c r="A391" s="1" t="s">
        <v>73</v>
      </c>
      <c r="B391" s="1">
        <v>26</v>
      </c>
      <c r="C391" s="1" t="s">
        <v>761</v>
      </c>
      <c r="D391" s="50">
        <v>20</v>
      </c>
      <c r="E391" s="56">
        <f t="shared" si="42"/>
        <v>1.019803902718557</v>
      </c>
      <c r="F391" s="10">
        <v>30</v>
      </c>
      <c r="G391" s="10">
        <v>6</v>
      </c>
      <c r="H391" s="10">
        <v>0</v>
      </c>
      <c r="I391" s="1">
        <v>0.1</v>
      </c>
      <c r="J391" s="1">
        <v>2</v>
      </c>
      <c r="K391" s="1">
        <v>7</v>
      </c>
      <c r="L391" s="1">
        <v>0</v>
      </c>
      <c r="M391" s="1">
        <v>0</v>
      </c>
      <c r="N391" s="1">
        <v>0</v>
      </c>
      <c r="O391" s="1">
        <v>0.1</v>
      </c>
      <c r="P391" s="1">
        <v>6</v>
      </c>
      <c r="Q391" s="1">
        <v>11</v>
      </c>
      <c r="R391" s="5">
        <f t="shared" ref="R391:R453" si="43">AVERAGE(I391:K391)</f>
        <v>3.0333333333333332</v>
      </c>
      <c r="S391" s="5">
        <f t="shared" ref="S391:S453" si="44">AVERAGE(L391:N391)</f>
        <v>0</v>
      </c>
      <c r="T391" s="5">
        <f t="shared" ref="T391:T453" si="45">AVERAGE(O391:Q391)</f>
        <v>5.7</v>
      </c>
      <c r="U391" s="33">
        <f t="shared" si="39"/>
        <v>0.35913304624852227</v>
      </c>
      <c r="V391" s="48">
        <f t="shared" si="40"/>
        <v>1.7897778042549306</v>
      </c>
      <c r="W391" s="48">
        <f t="shared" si="41"/>
        <v>0</v>
      </c>
    </row>
    <row r="392" spans="1:23" ht="14.25" customHeight="1" x14ac:dyDescent="0.3">
      <c r="A392" s="1" t="s">
        <v>73</v>
      </c>
      <c r="B392" s="1">
        <v>26</v>
      </c>
      <c r="C392" s="1" t="s">
        <v>101</v>
      </c>
      <c r="D392" s="50">
        <v>20</v>
      </c>
      <c r="E392" s="56">
        <f t="shared" si="42"/>
        <v>1.019803902718557</v>
      </c>
      <c r="F392" s="10">
        <v>43</v>
      </c>
      <c r="G392" s="10">
        <v>4</v>
      </c>
      <c r="H392" s="10">
        <v>0</v>
      </c>
      <c r="I392" s="19"/>
      <c r="J392" s="1">
        <v>4</v>
      </c>
      <c r="K392" s="1">
        <v>3</v>
      </c>
      <c r="L392" s="19"/>
      <c r="M392" s="1">
        <v>0</v>
      </c>
      <c r="N392" s="1">
        <v>0</v>
      </c>
      <c r="O392" s="19"/>
      <c r="P392" s="1">
        <v>10</v>
      </c>
      <c r="Q392" s="1">
        <v>3</v>
      </c>
      <c r="R392" s="5">
        <f t="shared" si="43"/>
        <v>3.5</v>
      </c>
      <c r="S392" s="5">
        <f t="shared" si="44"/>
        <v>0</v>
      </c>
      <c r="T392" s="5">
        <f t="shared" si="45"/>
        <v>6.5</v>
      </c>
      <c r="U392" s="33">
        <f t="shared" si="39"/>
        <v>0.5147573662895486</v>
      </c>
      <c r="V392" s="48">
        <f t="shared" si="40"/>
        <v>1.1931852028366201</v>
      </c>
      <c r="W392" s="48">
        <f t="shared" si="41"/>
        <v>0</v>
      </c>
    </row>
    <row r="393" spans="1:23" ht="14.25" customHeight="1" x14ac:dyDescent="0.3">
      <c r="A393" s="1" t="s">
        <v>73</v>
      </c>
      <c r="B393" s="1">
        <v>26</v>
      </c>
      <c r="C393" s="1" t="s">
        <v>762</v>
      </c>
      <c r="D393" s="50">
        <v>20</v>
      </c>
      <c r="E393" s="56">
        <f t="shared" si="42"/>
        <v>1.019803902718557</v>
      </c>
      <c r="F393" s="10">
        <v>13</v>
      </c>
      <c r="G393" s="10">
        <v>3</v>
      </c>
      <c r="H393" s="10">
        <v>2</v>
      </c>
      <c r="I393" s="1">
        <v>7</v>
      </c>
      <c r="J393" s="1">
        <v>5</v>
      </c>
      <c r="K393" s="1">
        <v>3</v>
      </c>
      <c r="L393" s="1">
        <v>0</v>
      </c>
      <c r="M393" s="1">
        <v>0</v>
      </c>
      <c r="N393" s="1">
        <v>0</v>
      </c>
      <c r="O393" s="1">
        <v>7</v>
      </c>
      <c r="P393" s="1">
        <v>110</v>
      </c>
      <c r="Q393" s="1">
        <v>4</v>
      </c>
      <c r="R393" s="5">
        <f t="shared" si="43"/>
        <v>5</v>
      </c>
      <c r="S393" s="5">
        <f t="shared" si="44"/>
        <v>0</v>
      </c>
      <c r="T393" s="5">
        <f t="shared" si="45"/>
        <v>40.333333333333336</v>
      </c>
      <c r="U393" s="33">
        <f t="shared" si="39"/>
        <v>0.15562432004102628</v>
      </c>
      <c r="V393" s="48">
        <f t="shared" si="40"/>
        <v>0.8948889021274653</v>
      </c>
      <c r="W393" s="48">
        <f t="shared" si="41"/>
        <v>2.3467866601394318</v>
      </c>
    </row>
    <row r="394" spans="1:23" ht="14.25" customHeight="1" x14ac:dyDescent="0.3">
      <c r="A394" s="1" t="s">
        <v>73</v>
      </c>
      <c r="B394" s="1">
        <v>27</v>
      </c>
      <c r="C394" s="1" t="s">
        <v>760</v>
      </c>
      <c r="D394" s="50">
        <v>19</v>
      </c>
      <c r="E394" s="56">
        <f t="shared" si="42"/>
        <v>1.0178899744078433</v>
      </c>
      <c r="F394" s="10">
        <v>13</v>
      </c>
      <c r="G394" s="10">
        <v>1</v>
      </c>
      <c r="H394" s="10">
        <v>0</v>
      </c>
      <c r="I394" s="1">
        <v>0.1</v>
      </c>
      <c r="J394" s="1">
        <v>2</v>
      </c>
      <c r="K394" s="1">
        <v>3</v>
      </c>
      <c r="L394" s="1">
        <v>0</v>
      </c>
      <c r="M394" s="1">
        <v>0</v>
      </c>
      <c r="N394" s="1">
        <v>0</v>
      </c>
      <c r="O394" s="1">
        <v>176</v>
      </c>
      <c r="P394" s="1">
        <v>2</v>
      </c>
      <c r="Q394" s="1">
        <v>3</v>
      </c>
      <c r="R394" s="5">
        <f t="shared" si="43"/>
        <v>1.7</v>
      </c>
      <c r="S394" s="5">
        <f t="shared" si="44"/>
        <v>0</v>
      </c>
      <c r="T394" s="5">
        <f t="shared" si="45"/>
        <v>60.333333333333336</v>
      </c>
      <c r="U394" s="33">
        <f t="shared" si="39"/>
        <v>0.155332250368447</v>
      </c>
      <c r="V394" s="48">
        <f t="shared" si="40"/>
        <v>0.29773646981089463</v>
      </c>
      <c r="W394" s="48">
        <f t="shared" si="41"/>
        <v>0</v>
      </c>
    </row>
    <row r="395" spans="1:23" ht="14.25" customHeight="1" x14ac:dyDescent="0.3">
      <c r="A395" s="1" t="s">
        <v>73</v>
      </c>
      <c r="B395" s="1">
        <v>27</v>
      </c>
      <c r="C395" s="1" t="s">
        <v>761</v>
      </c>
      <c r="D395" s="50">
        <v>19</v>
      </c>
      <c r="E395" s="56">
        <f t="shared" si="42"/>
        <v>1.0178899744078433</v>
      </c>
      <c r="F395" s="10">
        <v>9</v>
      </c>
      <c r="G395" s="10">
        <v>2</v>
      </c>
      <c r="H395" s="10">
        <v>0</v>
      </c>
      <c r="I395" s="1">
        <v>0.1</v>
      </c>
      <c r="J395" s="1">
        <v>1</v>
      </c>
      <c r="K395" s="1">
        <v>0.1</v>
      </c>
      <c r="L395" s="1">
        <v>0</v>
      </c>
      <c r="M395" s="1">
        <v>0</v>
      </c>
      <c r="N395" s="1">
        <v>0</v>
      </c>
      <c r="O395" s="1">
        <v>8</v>
      </c>
      <c r="P395" s="1">
        <v>7</v>
      </c>
      <c r="Q395" s="1">
        <v>4</v>
      </c>
      <c r="R395" s="5">
        <f t="shared" si="43"/>
        <v>0.40000000000000008</v>
      </c>
      <c r="S395" s="5">
        <f t="shared" si="44"/>
        <v>0</v>
      </c>
      <c r="T395" s="5">
        <f t="shared" si="45"/>
        <v>6.333333333333333</v>
      </c>
      <c r="U395" s="33">
        <f t="shared" si="39"/>
        <v>0.10753771179354024</v>
      </c>
      <c r="V395" s="48">
        <f t="shared" si="40"/>
        <v>0.59547293962178927</v>
      </c>
      <c r="W395" s="48">
        <f t="shared" si="41"/>
        <v>0</v>
      </c>
    </row>
    <row r="396" spans="1:23" ht="14.25" customHeight="1" x14ac:dyDescent="0.3">
      <c r="A396" s="1" t="s">
        <v>73</v>
      </c>
      <c r="B396" s="1">
        <v>27</v>
      </c>
      <c r="C396" s="1" t="s">
        <v>101</v>
      </c>
      <c r="D396" s="50">
        <v>19</v>
      </c>
      <c r="E396" s="56">
        <f t="shared" si="42"/>
        <v>1.0178899744078433</v>
      </c>
      <c r="F396" s="10">
        <v>50</v>
      </c>
      <c r="G396" s="10">
        <v>8</v>
      </c>
      <c r="H396" s="10">
        <v>0</v>
      </c>
      <c r="I396" s="1">
        <v>0.1</v>
      </c>
      <c r="J396" s="1">
        <v>1</v>
      </c>
      <c r="K396" s="1">
        <v>1</v>
      </c>
      <c r="L396" s="1">
        <v>0</v>
      </c>
      <c r="M396" s="1">
        <v>0</v>
      </c>
      <c r="N396" s="1">
        <v>0</v>
      </c>
      <c r="O396" s="1">
        <v>0.1</v>
      </c>
      <c r="P396" s="1">
        <v>143</v>
      </c>
      <c r="Q396" s="1">
        <v>7</v>
      </c>
      <c r="R396" s="5">
        <f t="shared" si="43"/>
        <v>0.70000000000000007</v>
      </c>
      <c r="S396" s="5">
        <f t="shared" si="44"/>
        <v>0</v>
      </c>
      <c r="T396" s="5">
        <f t="shared" si="45"/>
        <v>50.033333333333331</v>
      </c>
      <c r="U396" s="33">
        <f t="shared" si="39"/>
        <v>0.59743173218633461</v>
      </c>
      <c r="V396" s="48">
        <f t="shared" si="40"/>
        <v>2.3818917584871571</v>
      </c>
      <c r="W396" s="48">
        <f t="shared" si="41"/>
        <v>0</v>
      </c>
    </row>
    <row r="397" spans="1:23" ht="14.25" customHeight="1" x14ac:dyDescent="0.3">
      <c r="A397" s="1" t="s">
        <v>73</v>
      </c>
      <c r="B397" s="1">
        <v>27</v>
      </c>
      <c r="C397" s="1" t="s">
        <v>762</v>
      </c>
      <c r="D397" s="50">
        <v>19</v>
      </c>
      <c r="E397" s="56">
        <f t="shared" si="42"/>
        <v>1.0178899744078433</v>
      </c>
      <c r="F397" s="10">
        <v>34</v>
      </c>
      <c r="G397" s="10">
        <v>7</v>
      </c>
      <c r="H397" s="10">
        <v>2</v>
      </c>
      <c r="I397" s="1">
        <v>0.1</v>
      </c>
      <c r="J397" s="1">
        <v>3</v>
      </c>
      <c r="K397" s="1">
        <v>0.1</v>
      </c>
      <c r="L397" s="1">
        <v>0</v>
      </c>
      <c r="M397" s="1">
        <v>0</v>
      </c>
      <c r="N397" s="1">
        <v>0</v>
      </c>
      <c r="O397" s="1">
        <v>29</v>
      </c>
      <c r="P397" s="1">
        <v>30</v>
      </c>
      <c r="Q397" s="1">
        <v>170</v>
      </c>
      <c r="R397" s="5">
        <f t="shared" si="43"/>
        <v>1.0666666666666667</v>
      </c>
      <c r="S397" s="5">
        <f t="shared" si="44"/>
        <v>0</v>
      </c>
      <c r="T397" s="5">
        <f t="shared" si="45"/>
        <v>76.333333333333329</v>
      </c>
      <c r="U397" s="33">
        <f t="shared" si="39"/>
        <v>0.40625357788670763</v>
      </c>
      <c r="V397" s="48">
        <f t="shared" si="40"/>
        <v>2.084155288676262</v>
      </c>
      <c r="W397" s="48">
        <f t="shared" si="41"/>
        <v>2.3423823021877976</v>
      </c>
    </row>
    <row r="398" spans="1:23" ht="14.25" customHeight="1" x14ac:dyDescent="0.3">
      <c r="A398" s="1" t="s">
        <v>73</v>
      </c>
      <c r="B398" s="1">
        <v>30</v>
      </c>
      <c r="C398" s="1" t="s">
        <v>760</v>
      </c>
      <c r="D398" s="50">
        <v>13</v>
      </c>
      <c r="E398" s="56">
        <f t="shared" si="42"/>
        <v>1.0084145972763385</v>
      </c>
      <c r="F398" s="10">
        <v>19</v>
      </c>
      <c r="G398" s="10">
        <v>3</v>
      </c>
      <c r="H398" s="10">
        <v>0</v>
      </c>
      <c r="I398" s="1">
        <v>0.5</v>
      </c>
      <c r="J398" s="1">
        <v>0.1</v>
      </c>
      <c r="K398" s="1">
        <v>0.1</v>
      </c>
      <c r="L398" s="1">
        <v>0</v>
      </c>
      <c r="M398" s="1">
        <v>0</v>
      </c>
      <c r="N398" s="1">
        <v>0</v>
      </c>
      <c r="O398" s="1">
        <v>13</v>
      </c>
      <c r="P398" s="1">
        <v>0.1</v>
      </c>
      <c r="Q398" s="1">
        <v>1</v>
      </c>
      <c r="R398" s="5">
        <f t="shared" si="43"/>
        <v>0.23333333333333331</v>
      </c>
      <c r="S398" s="5">
        <f t="shared" si="44"/>
        <v>0</v>
      </c>
      <c r="T398" s="5">
        <f t="shared" si="45"/>
        <v>4.7</v>
      </c>
      <c r="U398" s="33">
        <f t="shared" si="39"/>
        <v>0.22491072710097362</v>
      </c>
      <c r="V398" s="48">
        <f t="shared" si="40"/>
        <v>0.88489466400383066</v>
      </c>
      <c r="W398" s="48">
        <f t="shared" si="41"/>
        <v>0</v>
      </c>
    </row>
    <row r="399" spans="1:23" ht="14.25" customHeight="1" x14ac:dyDescent="0.3">
      <c r="A399" s="1" t="s">
        <v>73</v>
      </c>
      <c r="B399" s="1">
        <v>30</v>
      </c>
      <c r="C399" s="1" t="s">
        <v>761</v>
      </c>
      <c r="D399" s="50">
        <v>13</v>
      </c>
      <c r="E399" s="56">
        <f t="shared" si="42"/>
        <v>1.0084145972763385</v>
      </c>
      <c r="F399" s="10">
        <v>3</v>
      </c>
      <c r="G399" s="10">
        <v>2</v>
      </c>
      <c r="H399" s="10">
        <v>1</v>
      </c>
      <c r="I399" s="1">
        <v>0.5</v>
      </c>
      <c r="J399" s="1">
        <v>1</v>
      </c>
      <c r="K399" s="1">
        <v>0.1</v>
      </c>
      <c r="L399" s="1">
        <v>0</v>
      </c>
      <c r="M399" s="1">
        <v>0</v>
      </c>
      <c r="N399" s="1">
        <v>0</v>
      </c>
      <c r="O399" s="1">
        <v>0.5</v>
      </c>
      <c r="P399" s="1">
        <v>1</v>
      </c>
      <c r="Q399" s="1">
        <v>2</v>
      </c>
      <c r="R399" s="5">
        <f t="shared" si="43"/>
        <v>0.53333333333333333</v>
      </c>
      <c r="S399" s="5">
        <f t="shared" si="44"/>
        <v>0</v>
      </c>
      <c r="T399" s="5">
        <f t="shared" si="45"/>
        <v>1.1666666666666667</v>
      </c>
      <c r="U399" s="33">
        <f t="shared" si="39"/>
        <v>3.5512220068574782E-2</v>
      </c>
      <c r="V399" s="48">
        <f t="shared" si="40"/>
        <v>0.58992977600255359</v>
      </c>
      <c r="W399" s="48">
        <f t="shared" si="41"/>
        <v>1.1602887175021426</v>
      </c>
    </row>
    <row r="400" spans="1:23" ht="14.25" customHeight="1" x14ac:dyDescent="0.3">
      <c r="A400" s="1" t="s">
        <v>73</v>
      </c>
      <c r="B400" s="1">
        <v>30</v>
      </c>
      <c r="C400" s="1" t="s">
        <v>101</v>
      </c>
      <c r="D400" s="50">
        <v>13</v>
      </c>
      <c r="E400" s="56">
        <f t="shared" si="42"/>
        <v>1.0084145972763385</v>
      </c>
      <c r="F400" s="10">
        <v>4</v>
      </c>
      <c r="G400" s="10">
        <v>2</v>
      </c>
      <c r="H400" s="10">
        <v>5</v>
      </c>
      <c r="I400" s="1">
        <v>0.5</v>
      </c>
      <c r="J400" s="1">
        <v>0</v>
      </c>
      <c r="K400" s="1">
        <v>0.5</v>
      </c>
      <c r="L400" s="1">
        <v>0</v>
      </c>
      <c r="M400" s="1">
        <v>0</v>
      </c>
      <c r="N400" s="1">
        <v>0</v>
      </c>
      <c r="O400" s="1">
        <v>0.5</v>
      </c>
      <c r="P400" s="1">
        <v>0</v>
      </c>
      <c r="Q400" s="1">
        <v>0.5</v>
      </c>
      <c r="R400" s="5">
        <f t="shared" si="43"/>
        <v>0.33333333333333331</v>
      </c>
      <c r="S400" s="5">
        <f t="shared" si="44"/>
        <v>0</v>
      </c>
      <c r="T400" s="5">
        <f t="shared" si="45"/>
        <v>0.33333333333333331</v>
      </c>
      <c r="U400" s="33">
        <f t="shared" si="39"/>
        <v>4.73496267580997E-2</v>
      </c>
      <c r="V400" s="48">
        <f t="shared" si="40"/>
        <v>0.58992977600255359</v>
      </c>
      <c r="W400" s="48">
        <f t="shared" si="41"/>
        <v>5.801443587510712</v>
      </c>
    </row>
    <row r="401" spans="1:23" ht="14.25" customHeight="1" x14ac:dyDescent="0.3">
      <c r="A401" s="1" t="s">
        <v>73</v>
      </c>
      <c r="B401" s="1">
        <v>30</v>
      </c>
      <c r="C401" s="1" t="s">
        <v>762</v>
      </c>
      <c r="D401" s="50">
        <v>13</v>
      </c>
      <c r="E401" s="56">
        <f t="shared" si="42"/>
        <v>1.0084145972763385</v>
      </c>
      <c r="F401" s="10">
        <v>6</v>
      </c>
      <c r="G401" s="10">
        <v>5</v>
      </c>
      <c r="H401" s="10">
        <v>13</v>
      </c>
      <c r="I401" s="1">
        <v>2</v>
      </c>
      <c r="J401" s="1">
        <v>0.1</v>
      </c>
      <c r="K401" s="1">
        <v>0.1</v>
      </c>
      <c r="L401" s="1">
        <v>0</v>
      </c>
      <c r="M401" s="1">
        <v>0</v>
      </c>
      <c r="N401" s="1">
        <v>0</v>
      </c>
      <c r="O401" s="1">
        <v>2</v>
      </c>
      <c r="P401" s="1">
        <v>56</v>
      </c>
      <c r="Q401" s="1">
        <v>0.1</v>
      </c>
      <c r="R401" s="5">
        <f t="shared" si="43"/>
        <v>0.73333333333333339</v>
      </c>
      <c r="S401" s="5">
        <f t="shared" si="44"/>
        <v>0</v>
      </c>
      <c r="T401" s="5">
        <f t="shared" si="45"/>
        <v>19.366666666666667</v>
      </c>
      <c r="U401" s="33">
        <f t="shared" si="39"/>
        <v>7.1024440137149564E-2</v>
      </c>
      <c r="V401" s="48">
        <f t="shared" si="40"/>
        <v>1.4748244400063841</v>
      </c>
      <c r="W401" s="48">
        <f t="shared" si="41"/>
        <v>15.083753327527853</v>
      </c>
    </row>
    <row r="402" spans="1:23" ht="14.25" customHeight="1" x14ac:dyDescent="0.3">
      <c r="A402" s="1" t="s">
        <v>73</v>
      </c>
      <c r="B402" s="1">
        <v>31</v>
      </c>
      <c r="C402" s="1" t="s">
        <v>760</v>
      </c>
      <c r="D402" s="50">
        <v>14</v>
      </c>
      <c r="E402" s="56">
        <f t="shared" si="42"/>
        <v>1.0097524449091471</v>
      </c>
      <c r="F402" s="10">
        <v>2</v>
      </c>
      <c r="G402" s="10">
        <v>9</v>
      </c>
      <c r="H402" s="10">
        <v>0</v>
      </c>
      <c r="I402" s="1">
        <v>4</v>
      </c>
      <c r="J402" s="1">
        <v>2</v>
      </c>
      <c r="K402" s="1">
        <v>0</v>
      </c>
      <c r="L402" s="1">
        <v>0</v>
      </c>
      <c r="M402" s="1">
        <v>0</v>
      </c>
      <c r="N402" s="1">
        <v>0</v>
      </c>
      <c r="O402" s="1">
        <v>4</v>
      </c>
      <c r="P402" s="1">
        <v>12</v>
      </c>
      <c r="Q402" s="1">
        <v>0</v>
      </c>
      <c r="R402" s="5">
        <f t="shared" si="43"/>
        <v>2</v>
      </c>
      <c r="S402" s="5">
        <f t="shared" si="44"/>
        <v>0</v>
      </c>
      <c r="T402" s="5">
        <f t="shared" si="45"/>
        <v>5.333333333333333</v>
      </c>
      <c r="U402" s="33">
        <f t="shared" si="39"/>
        <v>2.3706222378009102E-2</v>
      </c>
      <c r="V402" s="48">
        <f t="shared" si="40"/>
        <v>2.658205919107905</v>
      </c>
      <c r="W402" s="48">
        <f t="shared" si="41"/>
        <v>0</v>
      </c>
    </row>
    <row r="403" spans="1:23" ht="14.25" customHeight="1" x14ac:dyDescent="0.3">
      <c r="A403" s="1" t="s">
        <v>73</v>
      </c>
      <c r="B403" s="1">
        <v>31</v>
      </c>
      <c r="C403" s="1" t="s">
        <v>761</v>
      </c>
      <c r="D403" s="50">
        <v>14</v>
      </c>
      <c r="E403" s="56">
        <f t="shared" si="42"/>
        <v>1.0097524449091471</v>
      </c>
      <c r="F403" s="10">
        <v>4</v>
      </c>
      <c r="G403" s="10">
        <v>0</v>
      </c>
      <c r="H403" s="10">
        <v>1</v>
      </c>
      <c r="I403" s="1">
        <v>0.1</v>
      </c>
      <c r="J403" s="1">
        <v>0.5</v>
      </c>
      <c r="K403" s="1">
        <v>0.1</v>
      </c>
      <c r="L403" s="1">
        <v>0</v>
      </c>
      <c r="M403" s="1">
        <v>0</v>
      </c>
      <c r="N403" s="1">
        <v>0</v>
      </c>
      <c r="O403" s="1">
        <v>10</v>
      </c>
      <c r="P403" s="1">
        <v>0.5</v>
      </c>
      <c r="Q403" s="1">
        <v>70</v>
      </c>
      <c r="R403" s="5">
        <f t="shared" si="43"/>
        <v>0.23333333333333331</v>
      </c>
      <c r="S403" s="5">
        <f t="shared" si="44"/>
        <v>0</v>
      </c>
      <c r="T403" s="5">
        <f t="shared" si="45"/>
        <v>26.833333333333332</v>
      </c>
      <c r="U403" s="33">
        <f t="shared" si="39"/>
        <v>4.7412444756018204E-2</v>
      </c>
      <c r="V403" s="48">
        <f t="shared" si="40"/>
        <v>0</v>
      </c>
      <c r="W403" s="48">
        <f t="shared" si="41"/>
        <v>1.1618280541185277</v>
      </c>
    </row>
    <row r="404" spans="1:23" ht="14.25" customHeight="1" x14ac:dyDescent="0.3">
      <c r="A404" s="1" t="s">
        <v>73</v>
      </c>
      <c r="B404" s="1">
        <v>31</v>
      </c>
      <c r="C404" s="1" t="s">
        <v>101</v>
      </c>
      <c r="D404" s="50">
        <v>14</v>
      </c>
      <c r="E404" s="56">
        <f t="shared" si="42"/>
        <v>1.0097524449091471</v>
      </c>
      <c r="F404" s="10">
        <v>3</v>
      </c>
      <c r="G404" s="10">
        <v>0</v>
      </c>
      <c r="H404" s="10">
        <v>0</v>
      </c>
      <c r="I404" s="1">
        <v>1</v>
      </c>
      <c r="J404" s="1">
        <v>0.5</v>
      </c>
      <c r="K404" s="1">
        <v>1</v>
      </c>
      <c r="L404" s="1">
        <v>0</v>
      </c>
      <c r="M404" s="1">
        <v>0</v>
      </c>
      <c r="N404" s="1">
        <v>0</v>
      </c>
      <c r="O404" s="1">
        <v>1</v>
      </c>
      <c r="P404" s="1">
        <v>0.5</v>
      </c>
      <c r="Q404" s="1">
        <v>1</v>
      </c>
      <c r="R404" s="5">
        <f t="shared" si="43"/>
        <v>0.83333333333333337</v>
      </c>
      <c r="S404" s="5">
        <f t="shared" si="44"/>
        <v>0</v>
      </c>
      <c r="T404" s="5">
        <f t="shared" si="45"/>
        <v>0.83333333333333337</v>
      </c>
      <c r="U404" s="33">
        <f t="shared" si="39"/>
        <v>3.5559333567013657E-2</v>
      </c>
      <c r="V404" s="48">
        <f t="shared" si="40"/>
        <v>0</v>
      </c>
      <c r="W404" s="48">
        <f t="shared" si="41"/>
        <v>0</v>
      </c>
    </row>
    <row r="405" spans="1:23" ht="14.25" customHeight="1" x14ac:dyDescent="0.3">
      <c r="A405" s="1" t="s">
        <v>73</v>
      </c>
      <c r="B405" s="1">
        <v>31</v>
      </c>
      <c r="C405" s="1" t="s">
        <v>762</v>
      </c>
      <c r="D405" s="50">
        <v>14</v>
      </c>
      <c r="E405" s="56">
        <f t="shared" si="42"/>
        <v>1.0097524449091471</v>
      </c>
      <c r="F405" s="10">
        <v>34</v>
      </c>
      <c r="G405" s="10">
        <v>9</v>
      </c>
      <c r="H405" s="10">
        <v>0</v>
      </c>
      <c r="I405" s="1">
        <v>0.1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0.1</v>
      </c>
      <c r="P405" s="1">
        <v>12</v>
      </c>
      <c r="Q405" s="1">
        <v>1</v>
      </c>
      <c r="R405" s="5">
        <f t="shared" si="43"/>
        <v>0.3666666666666667</v>
      </c>
      <c r="S405" s="5">
        <f t="shared" si="44"/>
        <v>0</v>
      </c>
      <c r="T405" s="5">
        <f t="shared" si="45"/>
        <v>4.3666666666666663</v>
      </c>
      <c r="U405" s="33">
        <f t="shared" si="39"/>
        <v>0.40300578042615476</v>
      </c>
      <c r="V405" s="48">
        <f t="shared" si="40"/>
        <v>2.658205919107905</v>
      </c>
      <c r="W405" s="48">
        <f t="shared" si="41"/>
        <v>0</v>
      </c>
    </row>
    <row r="406" spans="1:23" ht="14.25" customHeight="1" x14ac:dyDescent="0.3">
      <c r="A406" s="1" t="s">
        <v>73</v>
      </c>
      <c r="B406" s="1">
        <v>33</v>
      </c>
      <c r="C406" s="1" t="s">
        <v>760</v>
      </c>
      <c r="D406" s="50">
        <v>12</v>
      </c>
      <c r="E406" s="56">
        <f t="shared" si="42"/>
        <v>1.0071742649611337</v>
      </c>
      <c r="F406" s="10">
        <v>5</v>
      </c>
      <c r="G406" s="10">
        <v>1</v>
      </c>
      <c r="H406" s="10">
        <v>0</v>
      </c>
      <c r="I406" s="1">
        <v>0</v>
      </c>
      <c r="J406" s="1">
        <v>1</v>
      </c>
      <c r="K406" s="1">
        <v>3</v>
      </c>
      <c r="L406" s="1">
        <v>0</v>
      </c>
      <c r="M406" s="1">
        <v>0</v>
      </c>
      <c r="N406" s="1">
        <v>0</v>
      </c>
      <c r="O406" s="1">
        <v>0</v>
      </c>
      <c r="P406" s="1">
        <v>5</v>
      </c>
      <c r="Q406" s="1">
        <v>4</v>
      </c>
      <c r="R406" s="5">
        <f t="shared" si="43"/>
        <v>1.3333333333333333</v>
      </c>
      <c r="S406" s="5">
        <f t="shared" si="44"/>
        <v>0</v>
      </c>
      <c r="T406" s="5">
        <f t="shared" si="45"/>
        <v>3</v>
      </c>
      <c r="U406" s="33">
        <f t="shared" si="39"/>
        <v>5.9114234431798723E-2</v>
      </c>
      <c r="V406" s="48">
        <f t="shared" si="40"/>
        <v>0.29460208634863622</v>
      </c>
      <c r="W406" s="48">
        <f t="shared" si="41"/>
        <v>0</v>
      </c>
    </row>
    <row r="407" spans="1:23" ht="14.25" customHeight="1" x14ac:dyDescent="0.3">
      <c r="A407" s="1" t="s">
        <v>73</v>
      </c>
      <c r="B407" s="1">
        <v>33</v>
      </c>
      <c r="C407" s="1" t="s">
        <v>761</v>
      </c>
      <c r="D407" s="50">
        <v>12</v>
      </c>
      <c r="E407" s="56">
        <f t="shared" si="42"/>
        <v>1.0071742649611337</v>
      </c>
      <c r="F407" s="10">
        <v>28</v>
      </c>
      <c r="G407" s="10">
        <v>5</v>
      </c>
      <c r="H407" s="10">
        <v>0</v>
      </c>
      <c r="I407" s="1">
        <v>0.1</v>
      </c>
      <c r="J407" s="1">
        <v>1</v>
      </c>
      <c r="K407" s="1">
        <v>0.1</v>
      </c>
      <c r="L407" s="1">
        <v>0</v>
      </c>
      <c r="M407" s="1">
        <v>0</v>
      </c>
      <c r="N407" s="1">
        <v>0</v>
      </c>
      <c r="O407" s="1">
        <v>28</v>
      </c>
      <c r="P407" s="1">
        <v>1</v>
      </c>
      <c r="Q407" s="1">
        <v>0.1</v>
      </c>
      <c r="R407" s="5">
        <f t="shared" si="43"/>
        <v>0.40000000000000008</v>
      </c>
      <c r="S407" s="5">
        <f t="shared" si="44"/>
        <v>0</v>
      </c>
      <c r="T407" s="5">
        <f t="shared" si="45"/>
        <v>9.7000000000000011</v>
      </c>
      <c r="U407" s="33">
        <f t="shared" si="39"/>
        <v>0.33103971281807282</v>
      </c>
      <c r="V407" s="48">
        <f t="shared" si="40"/>
        <v>1.4730104317431814</v>
      </c>
      <c r="W407" s="48">
        <f t="shared" si="41"/>
        <v>0</v>
      </c>
    </row>
    <row r="408" spans="1:23" ht="14.25" customHeight="1" x14ac:dyDescent="0.3">
      <c r="A408" s="1" t="s">
        <v>73</v>
      </c>
      <c r="B408" s="1">
        <v>33</v>
      </c>
      <c r="C408" s="1" t="s">
        <v>101</v>
      </c>
      <c r="D408" s="50">
        <v>12</v>
      </c>
      <c r="E408" s="56">
        <f t="shared" si="42"/>
        <v>1.0071742649611337</v>
      </c>
      <c r="F408" s="10">
        <v>15</v>
      </c>
      <c r="G408" s="10">
        <v>5</v>
      </c>
      <c r="H408" s="10">
        <v>0</v>
      </c>
      <c r="I408" s="1">
        <v>1</v>
      </c>
      <c r="J408" s="1">
        <v>6</v>
      </c>
      <c r="K408" s="1">
        <v>2</v>
      </c>
      <c r="L408" s="1">
        <v>0</v>
      </c>
      <c r="M408" s="1">
        <v>0</v>
      </c>
      <c r="N408" s="1">
        <v>0</v>
      </c>
      <c r="O408" s="1">
        <v>6</v>
      </c>
      <c r="P408" s="1">
        <v>10</v>
      </c>
      <c r="Q408" s="1">
        <v>6</v>
      </c>
      <c r="R408" s="5">
        <f t="shared" si="43"/>
        <v>3</v>
      </c>
      <c r="S408" s="5">
        <f t="shared" si="44"/>
        <v>0</v>
      </c>
      <c r="T408" s="5">
        <f t="shared" si="45"/>
        <v>7.333333333333333</v>
      </c>
      <c r="U408" s="33">
        <f t="shared" si="39"/>
        <v>0.1773427032953962</v>
      </c>
      <c r="V408" s="48">
        <f t="shared" si="40"/>
        <v>1.4730104317431814</v>
      </c>
      <c r="W408" s="48">
        <f t="shared" si="41"/>
        <v>0</v>
      </c>
    </row>
    <row r="409" spans="1:23" ht="14.25" customHeight="1" x14ac:dyDescent="0.3">
      <c r="A409" s="1" t="s">
        <v>73</v>
      </c>
      <c r="B409" s="1">
        <v>33</v>
      </c>
      <c r="C409" s="1" t="s">
        <v>762</v>
      </c>
      <c r="D409" s="50">
        <v>12</v>
      </c>
      <c r="E409" s="56">
        <f t="shared" si="42"/>
        <v>1.0071742649611337</v>
      </c>
      <c r="F409" s="10">
        <v>5</v>
      </c>
      <c r="G409" s="10">
        <v>4</v>
      </c>
      <c r="H409" s="10">
        <v>0</v>
      </c>
      <c r="I409" s="1">
        <v>0.1</v>
      </c>
      <c r="J409" s="1">
        <v>2</v>
      </c>
      <c r="K409" s="1">
        <v>0.1</v>
      </c>
      <c r="L409" s="1">
        <v>0</v>
      </c>
      <c r="M409" s="1">
        <v>0</v>
      </c>
      <c r="N409" s="1">
        <v>0</v>
      </c>
      <c r="O409" s="1">
        <v>16</v>
      </c>
      <c r="P409" s="1">
        <v>0.1</v>
      </c>
      <c r="Q409" s="1">
        <v>0.1</v>
      </c>
      <c r="R409" s="5">
        <f t="shared" si="43"/>
        <v>0.73333333333333339</v>
      </c>
      <c r="S409" s="5">
        <f t="shared" si="44"/>
        <v>0</v>
      </c>
      <c r="T409" s="5">
        <f t="shared" si="45"/>
        <v>5.4000000000000012</v>
      </c>
      <c r="U409" s="33">
        <f t="shared" si="39"/>
        <v>5.9114234431798723E-2</v>
      </c>
      <c r="V409" s="48">
        <f t="shared" si="40"/>
        <v>1.1784083453945449</v>
      </c>
      <c r="W409" s="48">
        <f t="shared" si="41"/>
        <v>0</v>
      </c>
    </row>
    <row r="410" spans="1:23" ht="14.25" customHeight="1" x14ac:dyDescent="0.3">
      <c r="A410" s="1" t="s">
        <v>73</v>
      </c>
      <c r="B410" s="1">
        <v>34</v>
      </c>
      <c r="C410" s="1" t="s">
        <v>760</v>
      </c>
      <c r="D410" s="50">
        <v>17</v>
      </c>
      <c r="E410" s="56">
        <f t="shared" si="42"/>
        <v>1.014347080638575</v>
      </c>
      <c r="F410" s="10">
        <v>21</v>
      </c>
      <c r="G410" s="10">
        <v>8</v>
      </c>
      <c r="H410" s="10">
        <v>1</v>
      </c>
      <c r="I410" s="1">
        <v>1</v>
      </c>
      <c r="J410" s="1">
        <v>2</v>
      </c>
      <c r="K410" s="1">
        <v>0.1</v>
      </c>
      <c r="L410" s="1">
        <v>0</v>
      </c>
      <c r="M410" s="1">
        <v>0</v>
      </c>
      <c r="N410" s="1">
        <v>0</v>
      </c>
      <c r="O410" s="1">
        <v>6</v>
      </c>
      <c r="P410" s="1">
        <v>2</v>
      </c>
      <c r="Q410" s="1">
        <v>0.1</v>
      </c>
      <c r="R410" s="5">
        <f t="shared" si="43"/>
        <v>1.0333333333333334</v>
      </c>
      <c r="S410" s="5">
        <f t="shared" si="44"/>
        <v>0</v>
      </c>
      <c r="T410" s="5">
        <f t="shared" si="45"/>
        <v>2.6999999999999997</v>
      </c>
      <c r="U410" s="33">
        <f t="shared" si="39"/>
        <v>0.25004796435505799</v>
      </c>
      <c r="V410" s="48">
        <f t="shared" si="40"/>
        <v>2.3736012853688564</v>
      </c>
      <c r="W410" s="48">
        <f t="shared" si="41"/>
        <v>1.1671146733446738</v>
      </c>
    </row>
    <row r="411" spans="1:23" ht="14.25" customHeight="1" x14ac:dyDescent="0.3">
      <c r="A411" s="1" t="s">
        <v>73</v>
      </c>
      <c r="B411" s="1">
        <v>34</v>
      </c>
      <c r="C411" s="1" t="s">
        <v>761</v>
      </c>
      <c r="D411" s="50">
        <v>17</v>
      </c>
      <c r="E411" s="56">
        <f t="shared" si="42"/>
        <v>1.014347080638575</v>
      </c>
      <c r="F411" s="10">
        <v>1</v>
      </c>
      <c r="G411" s="10">
        <v>2</v>
      </c>
      <c r="H411" s="10">
        <v>0</v>
      </c>
      <c r="I411" s="1">
        <v>0.1</v>
      </c>
      <c r="J411" s="1">
        <v>1</v>
      </c>
      <c r="K411" s="1">
        <v>0.1</v>
      </c>
      <c r="L411" s="1">
        <v>0</v>
      </c>
      <c r="M411" s="1">
        <v>0</v>
      </c>
      <c r="N411" s="1">
        <v>0</v>
      </c>
      <c r="O411" s="1">
        <v>8</v>
      </c>
      <c r="P411" s="1">
        <v>1</v>
      </c>
      <c r="Q411" s="1">
        <v>0.1</v>
      </c>
      <c r="R411" s="5">
        <f t="shared" si="43"/>
        <v>0.40000000000000008</v>
      </c>
      <c r="S411" s="5">
        <f t="shared" si="44"/>
        <v>0</v>
      </c>
      <c r="T411" s="5">
        <f t="shared" si="45"/>
        <v>3.0333333333333332</v>
      </c>
      <c r="U411" s="33">
        <f t="shared" si="39"/>
        <v>1.190704592166943E-2</v>
      </c>
      <c r="V411" s="48">
        <f t="shared" si="40"/>
        <v>0.5934003213422141</v>
      </c>
      <c r="W411" s="48">
        <f t="shared" si="41"/>
        <v>0</v>
      </c>
    </row>
    <row r="412" spans="1:23" ht="14.25" customHeight="1" x14ac:dyDescent="0.3">
      <c r="A412" s="1" t="s">
        <v>73</v>
      </c>
      <c r="B412" s="1">
        <v>34</v>
      </c>
      <c r="C412" s="1" t="s">
        <v>101</v>
      </c>
      <c r="D412" s="50">
        <v>17</v>
      </c>
      <c r="E412" s="56">
        <f t="shared" si="42"/>
        <v>1.014347080638575</v>
      </c>
      <c r="F412" s="10">
        <v>16</v>
      </c>
      <c r="G412" s="10">
        <v>13</v>
      </c>
      <c r="H412" s="10"/>
      <c r="I412" s="1">
        <v>0.1</v>
      </c>
      <c r="J412" s="1">
        <v>8</v>
      </c>
      <c r="K412" s="1">
        <v>4</v>
      </c>
      <c r="L412" s="1">
        <v>0</v>
      </c>
      <c r="M412" s="1">
        <v>0</v>
      </c>
      <c r="N412" s="1">
        <v>0</v>
      </c>
      <c r="O412" s="1">
        <v>112</v>
      </c>
      <c r="P412" s="1">
        <v>8</v>
      </c>
      <c r="Q412" s="1">
        <v>41</v>
      </c>
      <c r="R412" s="5">
        <f t="shared" si="43"/>
        <v>4.0333333333333332</v>
      </c>
      <c r="S412" s="5">
        <f t="shared" si="44"/>
        <v>0</v>
      </c>
      <c r="T412" s="5">
        <f t="shared" si="45"/>
        <v>53.666666666666664</v>
      </c>
      <c r="U412" s="33">
        <f t="shared" si="39"/>
        <v>0.19051273474671088</v>
      </c>
      <c r="V412" s="48">
        <f t="shared" si="40"/>
        <v>3.8571020887243912</v>
      </c>
      <c r="W412" s="48">
        <f t="shared" si="41"/>
        <v>0</v>
      </c>
    </row>
    <row r="413" spans="1:23" ht="14.25" customHeight="1" x14ac:dyDescent="0.3">
      <c r="A413" s="1" t="s">
        <v>73</v>
      </c>
      <c r="B413" s="1">
        <v>34</v>
      </c>
      <c r="C413" s="1" t="s">
        <v>762</v>
      </c>
      <c r="D413" s="50">
        <v>17</v>
      </c>
      <c r="E413" s="56">
        <f t="shared" si="42"/>
        <v>1.014347080638575</v>
      </c>
      <c r="F413" s="10">
        <v>6</v>
      </c>
      <c r="G413" s="10">
        <v>0</v>
      </c>
      <c r="H413" s="10">
        <v>1</v>
      </c>
      <c r="I413" s="1">
        <v>4</v>
      </c>
      <c r="J413" s="1">
        <v>0.1</v>
      </c>
      <c r="K413" s="1">
        <v>1</v>
      </c>
      <c r="L413" s="1">
        <v>0</v>
      </c>
      <c r="M413" s="1">
        <v>0</v>
      </c>
      <c r="N413" s="1">
        <v>0</v>
      </c>
      <c r="O413" s="1">
        <v>7</v>
      </c>
      <c r="P413" s="1">
        <v>6</v>
      </c>
      <c r="Q413" s="1">
        <v>9</v>
      </c>
      <c r="R413" s="5">
        <f t="shared" si="43"/>
        <v>1.7</v>
      </c>
      <c r="S413" s="5">
        <f t="shared" si="44"/>
        <v>0</v>
      </c>
      <c r="T413" s="5">
        <f t="shared" si="45"/>
        <v>7.333333333333333</v>
      </c>
      <c r="U413" s="33">
        <f t="shared" si="39"/>
        <v>7.1442275530016586E-2</v>
      </c>
      <c r="V413" s="48">
        <f t="shared" si="40"/>
        <v>0</v>
      </c>
      <c r="W413" s="48">
        <f t="shared" si="41"/>
        <v>1.1671146733446738</v>
      </c>
    </row>
    <row r="414" spans="1:23" ht="14.25" customHeight="1" x14ac:dyDescent="0.3">
      <c r="A414" s="1" t="s">
        <v>73</v>
      </c>
      <c r="B414" s="1">
        <v>35</v>
      </c>
      <c r="C414" s="1" t="s">
        <v>760</v>
      </c>
      <c r="D414">
        <v>15</v>
      </c>
      <c r="E414" s="56">
        <f t="shared" si="42"/>
        <v>1.0111874208078342</v>
      </c>
      <c r="F414" s="10">
        <v>7</v>
      </c>
      <c r="G414" s="10">
        <v>2</v>
      </c>
      <c r="H414" s="10">
        <v>2</v>
      </c>
      <c r="I414" s="1">
        <v>5</v>
      </c>
      <c r="J414" s="1">
        <v>5</v>
      </c>
      <c r="K414" s="1">
        <v>0.1</v>
      </c>
      <c r="L414" s="1">
        <v>0</v>
      </c>
      <c r="M414" s="1">
        <v>0</v>
      </c>
      <c r="N414" s="1">
        <v>0</v>
      </c>
      <c r="O414" s="1">
        <v>5</v>
      </c>
      <c r="P414" s="1">
        <v>5</v>
      </c>
      <c r="Q414" s="1">
        <v>0.1</v>
      </c>
      <c r="R414" s="5">
        <f t="shared" si="43"/>
        <v>3.3666666666666667</v>
      </c>
      <c r="S414" s="5">
        <f t="shared" si="44"/>
        <v>0</v>
      </c>
      <c r="T414" s="5">
        <f t="shared" si="45"/>
        <v>3.3666666666666667</v>
      </c>
      <c r="U414" s="33">
        <f t="shared" si="39"/>
        <v>8.3089690889389112E-2</v>
      </c>
      <c r="V414" s="48">
        <f t="shared" si="40"/>
        <v>0.59155189766684524</v>
      </c>
      <c r="W414" s="48">
        <f t="shared" si="41"/>
        <v>2.3269582943609595</v>
      </c>
    </row>
    <row r="415" spans="1:23" ht="14.25" customHeight="1" x14ac:dyDescent="0.3">
      <c r="A415" s="1" t="s">
        <v>73</v>
      </c>
      <c r="B415" s="1">
        <v>35</v>
      </c>
      <c r="C415" s="1" t="s">
        <v>761</v>
      </c>
      <c r="D415">
        <v>15</v>
      </c>
      <c r="E415" s="56">
        <f t="shared" si="42"/>
        <v>1.0111874208078342</v>
      </c>
      <c r="F415" s="10">
        <v>2</v>
      </c>
      <c r="G415" s="10">
        <v>0</v>
      </c>
      <c r="H415" s="10">
        <v>0</v>
      </c>
      <c r="I415" s="1">
        <v>5</v>
      </c>
      <c r="J415" s="1">
        <v>4</v>
      </c>
      <c r="K415" s="1">
        <v>0.1</v>
      </c>
      <c r="L415" s="1">
        <v>0</v>
      </c>
      <c r="M415" s="1">
        <v>0</v>
      </c>
      <c r="N415" s="1">
        <v>0</v>
      </c>
      <c r="O415" s="1">
        <v>5</v>
      </c>
      <c r="P415" s="1">
        <v>5</v>
      </c>
      <c r="Q415" s="1">
        <v>0.1</v>
      </c>
      <c r="R415" s="5">
        <f t="shared" si="43"/>
        <v>3.0333333333333332</v>
      </c>
      <c r="S415" s="5">
        <f t="shared" si="44"/>
        <v>0</v>
      </c>
      <c r="T415" s="5">
        <f t="shared" si="45"/>
        <v>3.3666666666666667</v>
      </c>
      <c r="U415" s="33">
        <f t="shared" si="39"/>
        <v>2.3739911682682607E-2</v>
      </c>
      <c r="V415" s="48">
        <f t="shared" si="40"/>
        <v>0</v>
      </c>
      <c r="W415" s="48">
        <f t="shared" si="41"/>
        <v>0</v>
      </c>
    </row>
    <row r="416" spans="1:23" ht="14.25" customHeight="1" x14ac:dyDescent="0.3">
      <c r="A416" s="1" t="s">
        <v>73</v>
      </c>
      <c r="B416" s="1">
        <v>35</v>
      </c>
      <c r="C416" s="1" t="s">
        <v>101</v>
      </c>
      <c r="D416">
        <v>15</v>
      </c>
      <c r="E416" s="56">
        <f t="shared" si="42"/>
        <v>1.0111874208078342</v>
      </c>
      <c r="F416" s="10">
        <v>8</v>
      </c>
      <c r="G416" s="10">
        <v>5</v>
      </c>
      <c r="H416" s="10">
        <v>0</v>
      </c>
      <c r="I416" s="1">
        <v>0.1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0.1</v>
      </c>
      <c r="P416" s="1">
        <v>2</v>
      </c>
      <c r="Q416" s="1">
        <v>5</v>
      </c>
      <c r="R416" s="5">
        <f t="shared" si="43"/>
        <v>1.0333333333333334</v>
      </c>
      <c r="S416" s="5">
        <f t="shared" si="44"/>
        <v>0</v>
      </c>
      <c r="T416" s="5">
        <f t="shared" si="45"/>
        <v>2.3666666666666667</v>
      </c>
      <c r="U416" s="33">
        <f t="shared" si="39"/>
        <v>9.4959646730730429E-2</v>
      </c>
      <c r="V416" s="48">
        <f t="shared" si="40"/>
        <v>1.4788797441671133</v>
      </c>
      <c r="W416" s="48">
        <f t="shared" si="41"/>
        <v>0</v>
      </c>
    </row>
    <row r="417" spans="1:23" ht="14.25" customHeight="1" x14ac:dyDescent="0.3">
      <c r="A417" s="1" t="s">
        <v>73</v>
      </c>
      <c r="B417" s="1">
        <v>35</v>
      </c>
      <c r="C417" s="1" t="s">
        <v>762</v>
      </c>
      <c r="D417">
        <v>15</v>
      </c>
      <c r="E417" s="56">
        <f t="shared" si="42"/>
        <v>1.0111874208078342</v>
      </c>
      <c r="F417" s="10">
        <v>10</v>
      </c>
      <c r="G417" s="10">
        <v>3</v>
      </c>
      <c r="H417" s="10">
        <v>0</v>
      </c>
      <c r="I417" s="1">
        <v>3</v>
      </c>
      <c r="J417" s="1">
        <v>2</v>
      </c>
      <c r="K417" s="1">
        <v>2</v>
      </c>
      <c r="L417" s="1">
        <v>0</v>
      </c>
      <c r="M417" s="1">
        <v>0</v>
      </c>
      <c r="N417" s="1">
        <v>0</v>
      </c>
      <c r="O417" s="1">
        <v>10</v>
      </c>
      <c r="P417" s="1">
        <v>5</v>
      </c>
      <c r="Q417" s="1">
        <v>68</v>
      </c>
      <c r="R417" s="5">
        <f t="shared" si="43"/>
        <v>2.3333333333333335</v>
      </c>
      <c r="S417" s="5">
        <f t="shared" si="44"/>
        <v>0</v>
      </c>
      <c r="T417" s="5">
        <f t="shared" si="45"/>
        <v>27.666666666666668</v>
      </c>
      <c r="U417" s="33">
        <f t="shared" si="39"/>
        <v>0.11869955841341304</v>
      </c>
      <c r="V417" s="48">
        <f t="shared" si="40"/>
        <v>0.88732784650026797</v>
      </c>
      <c r="W417" s="48">
        <f t="shared" si="41"/>
        <v>0</v>
      </c>
    </row>
    <row r="418" spans="1:23" ht="14.25" customHeight="1" x14ac:dyDescent="0.3">
      <c r="A418" s="1" t="s">
        <v>73</v>
      </c>
      <c r="B418" s="1">
        <v>36</v>
      </c>
      <c r="C418" s="1" t="s">
        <v>760</v>
      </c>
      <c r="D418" s="50">
        <v>11</v>
      </c>
      <c r="E418" s="56">
        <f t="shared" si="42"/>
        <v>1.0060318086422517</v>
      </c>
      <c r="F418" s="10">
        <v>40</v>
      </c>
      <c r="G418" s="10">
        <v>12</v>
      </c>
      <c r="H418" s="10">
        <v>3</v>
      </c>
      <c r="I418" s="1">
        <v>1</v>
      </c>
      <c r="J418" s="1">
        <v>2</v>
      </c>
      <c r="K418" s="1">
        <v>1</v>
      </c>
      <c r="L418" s="1">
        <v>0</v>
      </c>
      <c r="M418" s="1">
        <v>0</v>
      </c>
      <c r="N418" s="1">
        <v>0</v>
      </c>
      <c r="O418" s="1">
        <v>2</v>
      </c>
      <c r="P418" s="1">
        <v>4</v>
      </c>
      <c r="Q418" s="1">
        <v>3</v>
      </c>
      <c r="R418" s="5">
        <f t="shared" si="43"/>
        <v>1.3333333333333333</v>
      </c>
      <c r="S418" s="5">
        <f t="shared" si="44"/>
        <v>0</v>
      </c>
      <c r="T418" s="5">
        <f t="shared" si="45"/>
        <v>3</v>
      </c>
      <c r="U418" s="33">
        <f t="shared" si="39"/>
        <v>0.4723774405353337</v>
      </c>
      <c r="V418" s="48">
        <f t="shared" si="40"/>
        <v>3.5312149653133145</v>
      </c>
      <c r="W418" s="48">
        <f t="shared" si="41"/>
        <v>3.4726411939156141</v>
      </c>
    </row>
    <row r="419" spans="1:23" ht="14.25" customHeight="1" x14ac:dyDescent="0.3">
      <c r="A419" s="1" t="s">
        <v>73</v>
      </c>
      <c r="B419" s="1">
        <v>36</v>
      </c>
      <c r="C419" s="1" t="s">
        <v>761</v>
      </c>
      <c r="D419" s="50">
        <v>11</v>
      </c>
      <c r="E419" s="56">
        <f t="shared" si="42"/>
        <v>1.0060318086422517</v>
      </c>
      <c r="F419" s="10">
        <v>11</v>
      </c>
      <c r="G419" s="10">
        <v>6</v>
      </c>
      <c r="H419" s="10">
        <v>0</v>
      </c>
      <c r="I419" s="1">
        <v>1</v>
      </c>
      <c r="J419" s="1">
        <v>2</v>
      </c>
      <c r="K419" s="1">
        <v>3</v>
      </c>
      <c r="L419" s="1">
        <v>0</v>
      </c>
      <c r="M419" s="1">
        <v>0</v>
      </c>
      <c r="N419" s="1">
        <v>0</v>
      </c>
      <c r="O419" s="1">
        <v>1</v>
      </c>
      <c r="P419" s="1">
        <v>2</v>
      </c>
      <c r="Q419" s="1">
        <v>3</v>
      </c>
      <c r="R419" s="5">
        <f t="shared" si="43"/>
        <v>2</v>
      </c>
      <c r="S419" s="5">
        <f t="shared" si="44"/>
        <v>0</v>
      </c>
      <c r="T419" s="5">
        <f t="shared" si="45"/>
        <v>2</v>
      </c>
      <c r="U419" s="33">
        <f t="shared" si="39"/>
        <v>0.12990379614721675</v>
      </c>
      <c r="V419" s="48">
        <f t="shared" si="40"/>
        <v>1.7656074826566572</v>
      </c>
      <c r="W419" s="48">
        <f t="shared" si="41"/>
        <v>0</v>
      </c>
    </row>
    <row r="420" spans="1:23" ht="14.25" customHeight="1" x14ac:dyDescent="0.3">
      <c r="A420" s="1" t="s">
        <v>73</v>
      </c>
      <c r="B420" s="1">
        <v>36</v>
      </c>
      <c r="C420" s="1" t="s">
        <v>101</v>
      </c>
      <c r="D420" s="50">
        <v>11</v>
      </c>
      <c r="E420" s="56">
        <f t="shared" si="42"/>
        <v>1.0060318086422517</v>
      </c>
      <c r="F420" s="10">
        <v>9</v>
      </c>
      <c r="G420" s="10">
        <v>3</v>
      </c>
      <c r="H420" s="10">
        <v>0</v>
      </c>
      <c r="I420" s="1">
        <v>0.1</v>
      </c>
      <c r="J420" s="1">
        <v>6</v>
      </c>
      <c r="K420" s="1">
        <v>2</v>
      </c>
      <c r="L420" s="1">
        <v>0</v>
      </c>
      <c r="M420" s="1">
        <v>0</v>
      </c>
      <c r="N420" s="1">
        <v>0</v>
      </c>
      <c r="O420" s="1">
        <v>0.1</v>
      </c>
      <c r="P420" s="1">
        <v>6</v>
      </c>
      <c r="Q420" s="1">
        <v>2</v>
      </c>
      <c r="R420" s="5">
        <f t="shared" si="43"/>
        <v>2.6999999999999997</v>
      </c>
      <c r="S420" s="5">
        <f t="shared" si="44"/>
        <v>0</v>
      </c>
      <c r="T420" s="5">
        <f t="shared" si="45"/>
        <v>2.6999999999999997</v>
      </c>
      <c r="U420" s="33">
        <f t="shared" si="39"/>
        <v>0.10628492412045007</v>
      </c>
      <c r="V420" s="48">
        <f t="shared" si="40"/>
        <v>0.88280374132832862</v>
      </c>
      <c r="W420" s="48">
        <f t="shared" si="41"/>
        <v>0</v>
      </c>
    </row>
    <row r="421" spans="1:23" ht="14.25" customHeight="1" x14ac:dyDescent="0.3">
      <c r="A421" s="1" t="s">
        <v>73</v>
      </c>
      <c r="B421" s="1">
        <v>36</v>
      </c>
      <c r="C421" s="1" t="s">
        <v>762</v>
      </c>
      <c r="D421" s="50">
        <v>11</v>
      </c>
      <c r="E421" s="56">
        <f t="shared" si="42"/>
        <v>1.0060318086422517</v>
      </c>
      <c r="F421" s="10">
        <v>10</v>
      </c>
      <c r="G421" s="10">
        <v>2</v>
      </c>
      <c r="H421" s="10">
        <v>0</v>
      </c>
      <c r="I421" s="1">
        <v>4</v>
      </c>
      <c r="J421" s="1">
        <v>1</v>
      </c>
      <c r="K421" s="1">
        <v>0.1</v>
      </c>
      <c r="L421" s="1">
        <v>0</v>
      </c>
      <c r="M421" s="1">
        <v>0</v>
      </c>
      <c r="N421" s="1">
        <v>0</v>
      </c>
      <c r="O421" s="1">
        <v>10</v>
      </c>
      <c r="P421" s="1">
        <v>3</v>
      </c>
      <c r="Q421" s="1">
        <v>0.1</v>
      </c>
      <c r="R421" s="5">
        <f t="shared" si="43"/>
        <v>1.7</v>
      </c>
      <c r="S421" s="5">
        <f t="shared" si="44"/>
        <v>0</v>
      </c>
      <c r="T421" s="5">
        <f t="shared" si="45"/>
        <v>4.3666666666666663</v>
      </c>
      <c r="U421" s="33">
        <f t="shared" si="39"/>
        <v>0.11809436013383343</v>
      </c>
      <c r="V421" s="48">
        <f t="shared" si="40"/>
        <v>0.58853582755221889</v>
      </c>
      <c r="W421" s="48">
        <f t="shared" si="41"/>
        <v>0</v>
      </c>
    </row>
    <row r="422" spans="1:23" ht="14.25" customHeight="1" x14ac:dyDescent="0.3">
      <c r="A422" s="1" t="s">
        <v>77</v>
      </c>
      <c r="B422" s="1">
        <v>3</v>
      </c>
      <c r="C422" s="1" t="s">
        <v>760</v>
      </c>
      <c r="D422" s="50">
        <v>24</v>
      </c>
      <c r="E422" s="56">
        <f t="shared" si="42"/>
        <v>1.0283968105745953</v>
      </c>
      <c r="F422" s="10">
        <v>12</v>
      </c>
      <c r="G422" s="10">
        <v>1</v>
      </c>
      <c r="H422" s="10">
        <v>0</v>
      </c>
      <c r="I422" s="1">
        <v>0.1</v>
      </c>
      <c r="J422" s="1">
        <v>0.1</v>
      </c>
      <c r="K422" s="1">
        <v>1</v>
      </c>
      <c r="L422" s="1">
        <v>0</v>
      </c>
      <c r="M422" s="1">
        <v>0</v>
      </c>
      <c r="N422" s="1">
        <v>0</v>
      </c>
      <c r="O422" s="1">
        <v>0.1</v>
      </c>
      <c r="P422" s="1">
        <v>0.1</v>
      </c>
      <c r="Q422" s="1">
        <v>1</v>
      </c>
      <c r="R422" s="5">
        <f t="shared" si="43"/>
        <v>0.39999999999999997</v>
      </c>
      <c r="S422" s="5">
        <f t="shared" si="44"/>
        <v>0</v>
      </c>
      <c r="T422" s="5">
        <f t="shared" si="45"/>
        <v>0.39999999999999997</v>
      </c>
      <c r="U422" s="33">
        <f t="shared" si="39"/>
        <v>0.14486364617721847</v>
      </c>
      <c r="V422" s="48">
        <f t="shared" si="40"/>
        <v>0.30080975708930602</v>
      </c>
      <c r="W422" s="48">
        <f t="shared" si="41"/>
        <v>0</v>
      </c>
    </row>
    <row r="423" spans="1:23" ht="14.25" customHeight="1" x14ac:dyDescent="0.3">
      <c r="A423" s="1" t="s">
        <v>77</v>
      </c>
      <c r="B423" s="1">
        <v>3</v>
      </c>
      <c r="C423" s="1" t="s">
        <v>761</v>
      </c>
      <c r="D423" s="50">
        <v>24</v>
      </c>
      <c r="E423" s="56">
        <f t="shared" si="42"/>
        <v>1.0283968105745953</v>
      </c>
      <c r="F423" s="10">
        <v>5</v>
      </c>
      <c r="G423" s="10">
        <v>3</v>
      </c>
      <c r="H423" s="10">
        <v>2</v>
      </c>
      <c r="I423" s="1">
        <v>0</v>
      </c>
      <c r="J423" s="1">
        <v>0.1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0.1</v>
      </c>
      <c r="Q423" s="1">
        <v>1</v>
      </c>
      <c r="R423" s="5">
        <f t="shared" si="43"/>
        <v>0.3666666666666667</v>
      </c>
      <c r="S423" s="5">
        <f t="shared" si="44"/>
        <v>0</v>
      </c>
      <c r="T423" s="5">
        <f t="shared" si="45"/>
        <v>0.3666666666666667</v>
      </c>
      <c r="U423" s="33">
        <f t="shared" si="39"/>
        <v>6.0359852573841029E-2</v>
      </c>
      <c r="V423" s="48">
        <f t="shared" si="40"/>
        <v>0.90242927126791839</v>
      </c>
      <c r="W423" s="48">
        <f t="shared" si="41"/>
        <v>2.3665607769815042</v>
      </c>
    </row>
    <row r="424" spans="1:23" ht="14.25" customHeight="1" x14ac:dyDescent="0.3">
      <c r="A424" s="1" t="s">
        <v>77</v>
      </c>
      <c r="B424" s="1">
        <v>3</v>
      </c>
      <c r="C424" s="1" t="s">
        <v>101</v>
      </c>
      <c r="D424" s="50">
        <v>24</v>
      </c>
      <c r="E424" s="56">
        <f t="shared" si="42"/>
        <v>1.0283968105745953</v>
      </c>
      <c r="F424" s="10">
        <v>2</v>
      </c>
      <c r="G424" s="10">
        <v>1</v>
      </c>
      <c r="H424" s="10">
        <v>2</v>
      </c>
      <c r="I424" s="1">
        <v>0.1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4</v>
      </c>
      <c r="P424" s="1">
        <v>3</v>
      </c>
      <c r="Q424" s="1">
        <v>3</v>
      </c>
      <c r="R424" s="5">
        <f t="shared" si="43"/>
        <v>0.70000000000000007</v>
      </c>
      <c r="S424" s="5">
        <f t="shared" si="44"/>
        <v>0</v>
      </c>
      <c r="T424" s="5">
        <f t="shared" si="45"/>
        <v>3.3333333333333335</v>
      </c>
      <c r="U424" s="33">
        <f t="shared" si="39"/>
        <v>2.414394102953641E-2</v>
      </c>
      <c r="V424" s="48">
        <f t="shared" si="40"/>
        <v>0.30080975708930602</v>
      </c>
      <c r="W424" s="48">
        <f t="shared" si="41"/>
        <v>2.3665607769815042</v>
      </c>
    </row>
    <row r="425" spans="1:23" ht="14.25" customHeight="1" x14ac:dyDescent="0.3">
      <c r="A425" s="1" t="s">
        <v>77</v>
      </c>
      <c r="B425" s="1">
        <v>3</v>
      </c>
      <c r="C425" s="1" t="s">
        <v>762</v>
      </c>
      <c r="D425" s="50">
        <v>24</v>
      </c>
      <c r="E425" s="56">
        <f t="shared" si="42"/>
        <v>1.0283968105745953</v>
      </c>
      <c r="F425" s="10">
        <v>4</v>
      </c>
      <c r="G425" s="10">
        <v>0</v>
      </c>
      <c r="H425" s="10">
        <v>0</v>
      </c>
      <c r="I425" s="1">
        <v>1</v>
      </c>
      <c r="J425" s="1">
        <v>1</v>
      </c>
      <c r="K425" s="1">
        <v>0.1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  <c r="Q425" s="1">
        <v>0.1</v>
      </c>
      <c r="R425" s="5">
        <f t="shared" si="43"/>
        <v>0.70000000000000007</v>
      </c>
      <c r="S425" s="5">
        <f t="shared" si="44"/>
        <v>0</v>
      </c>
      <c r="T425" s="5">
        <f t="shared" si="45"/>
        <v>0.70000000000000007</v>
      </c>
      <c r="U425" s="33">
        <f t="shared" si="39"/>
        <v>4.828788205907282E-2</v>
      </c>
      <c r="V425" s="48">
        <f t="shared" si="40"/>
        <v>0</v>
      </c>
      <c r="W425" s="48">
        <f t="shared" si="41"/>
        <v>0</v>
      </c>
    </row>
    <row r="426" spans="1:23" ht="14.25" customHeight="1" x14ac:dyDescent="0.3">
      <c r="A426" s="1" t="s">
        <v>77</v>
      </c>
      <c r="B426" s="1">
        <v>4</v>
      </c>
      <c r="C426" s="1" t="s">
        <v>760</v>
      </c>
      <c r="D426" s="50">
        <v>20</v>
      </c>
      <c r="E426" s="56">
        <f t="shared" si="42"/>
        <v>1.019803902718557</v>
      </c>
      <c r="F426" s="10">
        <v>11</v>
      </c>
      <c r="G426" s="10">
        <v>12</v>
      </c>
      <c r="H426" s="10">
        <v>1</v>
      </c>
      <c r="I426" s="1">
        <v>0.1</v>
      </c>
      <c r="J426" s="1">
        <v>0.1</v>
      </c>
      <c r="K426" s="1">
        <v>0.1</v>
      </c>
      <c r="L426" s="1">
        <v>0</v>
      </c>
      <c r="M426" s="1">
        <v>0</v>
      </c>
      <c r="N426" s="1">
        <v>0</v>
      </c>
      <c r="O426" s="1">
        <v>0.1</v>
      </c>
      <c r="P426" s="1">
        <v>2</v>
      </c>
      <c r="Q426" s="1">
        <v>0.1</v>
      </c>
      <c r="R426" s="5">
        <f t="shared" si="43"/>
        <v>0.10000000000000002</v>
      </c>
      <c r="S426" s="5">
        <f t="shared" si="44"/>
        <v>0</v>
      </c>
      <c r="T426" s="5">
        <f t="shared" si="45"/>
        <v>0.73333333333333339</v>
      </c>
      <c r="U426" s="33">
        <f t="shared" si="39"/>
        <v>0.1316821169577915</v>
      </c>
      <c r="V426" s="48">
        <f t="shared" si="40"/>
        <v>3.5795556085098612</v>
      </c>
      <c r="W426" s="48">
        <f t="shared" si="41"/>
        <v>1.1733933300697159</v>
      </c>
    </row>
    <row r="427" spans="1:23" ht="14.25" customHeight="1" x14ac:dyDescent="0.3">
      <c r="A427" s="1" t="s">
        <v>77</v>
      </c>
      <c r="B427" s="1">
        <v>4</v>
      </c>
      <c r="C427" s="1" t="s">
        <v>761</v>
      </c>
      <c r="D427" s="50">
        <v>20</v>
      </c>
      <c r="E427" s="56">
        <f t="shared" si="42"/>
        <v>1.019803902718557</v>
      </c>
      <c r="F427" s="10">
        <v>5</v>
      </c>
      <c r="G427" s="10">
        <v>0</v>
      </c>
      <c r="H427" s="10">
        <v>0</v>
      </c>
      <c r="I427" s="1">
        <v>0.1</v>
      </c>
      <c r="J427" s="1">
        <v>0.1</v>
      </c>
      <c r="K427" s="1">
        <v>0.1</v>
      </c>
      <c r="L427" s="1">
        <v>0</v>
      </c>
      <c r="M427" s="1">
        <v>0</v>
      </c>
      <c r="N427" s="1">
        <v>0</v>
      </c>
      <c r="O427" s="1">
        <v>0.1</v>
      </c>
      <c r="P427" s="1">
        <v>0.1</v>
      </c>
      <c r="Q427" s="1">
        <v>0.1</v>
      </c>
      <c r="R427" s="5">
        <f t="shared" si="43"/>
        <v>0.10000000000000002</v>
      </c>
      <c r="S427" s="5">
        <f t="shared" si="44"/>
        <v>0</v>
      </c>
      <c r="T427" s="5">
        <f t="shared" si="45"/>
        <v>0.10000000000000002</v>
      </c>
      <c r="U427" s="33">
        <f t="shared" si="39"/>
        <v>5.9855507708087043E-2</v>
      </c>
      <c r="V427" s="48">
        <f t="shared" si="40"/>
        <v>0</v>
      </c>
      <c r="W427" s="48">
        <f t="shared" si="41"/>
        <v>0</v>
      </c>
    </row>
    <row r="428" spans="1:23" ht="14.25" customHeight="1" x14ac:dyDescent="0.3">
      <c r="A428" s="1" t="s">
        <v>77</v>
      </c>
      <c r="B428" s="1">
        <v>4</v>
      </c>
      <c r="C428" s="1" t="s">
        <v>101</v>
      </c>
      <c r="D428" s="50">
        <v>20</v>
      </c>
      <c r="E428" s="56">
        <f t="shared" si="42"/>
        <v>1.019803902718557</v>
      </c>
      <c r="F428" s="10">
        <v>7</v>
      </c>
      <c r="G428" s="10">
        <v>2</v>
      </c>
      <c r="H428" s="10">
        <v>0</v>
      </c>
      <c r="I428" s="1">
        <v>0.1</v>
      </c>
      <c r="J428" s="1">
        <v>0.1</v>
      </c>
      <c r="K428" s="1">
        <v>0.1</v>
      </c>
      <c r="L428" s="1">
        <v>0</v>
      </c>
      <c r="M428" s="1">
        <v>0</v>
      </c>
      <c r="N428" s="1">
        <v>0</v>
      </c>
      <c r="O428" s="1">
        <v>0.1</v>
      </c>
      <c r="P428" s="1">
        <v>0.1</v>
      </c>
      <c r="Q428" s="1">
        <v>0.1</v>
      </c>
      <c r="R428" s="5">
        <f t="shared" si="43"/>
        <v>0.10000000000000002</v>
      </c>
      <c r="S428" s="5">
        <f t="shared" si="44"/>
        <v>0</v>
      </c>
      <c r="T428" s="5">
        <f t="shared" si="45"/>
        <v>0.10000000000000002</v>
      </c>
      <c r="U428" s="33">
        <f t="shared" si="39"/>
        <v>8.3797710791321867E-2</v>
      </c>
      <c r="V428" s="48">
        <f t="shared" si="40"/>
        <v>0.59659260141831005</v>
      </c>
      <c r="W428" s="48">
        <f t="shared" si="41"/>
        <v>0</v>
      </c>
    </row>
    <row r="429" spans="1:23" ht="14.25" customHeight="1" x14ac:dyDescent="0.3">
      <c r="A429" s="1" t="s">
        <v>77</v>
      </c>
      <c r="B429" s="1">
        <v>4</v>
      </c>
      <c r="C429" s="1" t="s">
        <v>762</v>
      </c>
      <c r="D429" s="50">
        <v>20</v>
      </c>
      <c r="E429" s="56">
        <f t="shared" si="42"/>
        <v>1.019803902718557</v>
      </c>
      <c r="F429" s="10">
        <v>2</v>
      </c>
      <c r="G429" s="10">
        <v>0</v>
      </c>
      <c r="H429" s="10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193</v>
      </c>
      <c r="Q429" s="1">
        <v>140</v>
      </c>
      <c r="R429" s="5">
        <f t="shared" si="43"/>
        <v>0.33333333333333331</v>
      </c>
      <c r="S429" s="5">
        <f t="shared" si="44"/>
        <v>0</v>
      </c>
      <c r="T429" s="5">
        <f t="shared" si="45"/>
        <v>111.33333333333333</v>
      </c>
      <c r="U429" s="33">
        <f t="shared" si="39"/>
        <v>2.3942203083234817E-2</v>
      </c>
      <c r="V429" s="48">
        <f t="shared" si="40"/>
        <v>0</v>
      </c>
      <c r="W429" s="48">
        <f t="shared" si="41"/>
        <v>0</v>
      </c>
    </row>
    <row r="430" spans="1:23" ht="14.25" customHeight="1" x14ac:dyDescent="0.3">
      <c r="A430" s="1" t="s">
        <v>77</v>
      </c>
      <c r="B430" s="1">
        <v>5</v>
      </c>
      <c r="C430" s="1" t="s">
        <v>760</v>
      </c>
      <c r="D430" s="50">
        <v>18</v>
      </c>
      <c r="E430" s="56">
        <f t="shared" si="42"/>
        <v>1.016070863670443</v>
      </c>
      <c r="F430" s="10">
        <v>0</v>
      </c>
      <c r="G430" s="10">
        <v>0</v>
      </c>
      <c r="H430" s="10">
        <v>0</v>
      </c>
      <c r="I430" s="1">
        <v>1</v>
      </c>
      <c r="J430" s="1">
        <v>2</v>
      </c>
      <c r="K430" s="1">
        <v>6</v>
      </c>
      <c r="L430" s="1">
        <v>0</v>
      </c>
      <c r="M430" s="1">
        <v>0</v>
      </c>
      <c r="N430" s="1">
        <v>0</v>
      </c>
      <c r="O430" s="1">
        <v>3</v>
      </c>
      <c r="P430" s="1">
        <v>2</v>
      </c>
      <c r="Q430" s="1">
        <v>6</v>
      </c>
      <c r="R430" s="5">
        <f t="shared" si="43"/>
        <v>3</v>
      </c>
      <c r="S430" s="5">
        <f t="shared" si="44"/>
        <v>0</v>
      </c>
      <c r="T430" s="5">
        <f t="shared" si="45"/>
        <v>3.6666666666666665</v>
      </c>
      <c r="U430" s="33">
        <f t="shared" si="39"/>
        <v>0</v>
      </c>
      <c r="V430" s="48">
        <f t="shared" si="40"/>
        <v>0</v>
      </c>
      <c r="W430" s="48">
        <f t="shared" si="41"/>
        <v>0</v>
      </c>
    </row>
    <row r="431" spans="1:23" ht="14.25" customHeight="1" x14ac:dyDescent="0.3">
      <c r="A431" s="1" t="s">
        <v>77</v>
      </c>
      <c r="B431" s="1">
        <v>5</v>
      </c>
      <c r="C431" s="1" t="s">
        <v>761</v>
      </c>
      <c r="D431" s="50">
        <v>18</v>
      </c>
      <c r="E431" s="56">
        <f t="shared" si="42"/>
        <v>1.016070863670443</v>
      </c>
      <c r="F431" s="10">
        <v>8</v>
      </c>
      <c r="G431" s="10">
        <v>1</v>
      </c>
      <c r="H431" s="10">
        <v>0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1</v>
      </c>
      <c r="P431" s="1">
        <v>1</v>
      </c>
      <c r="Q431" s="1">
        <v>1</v>
      </c>
      <c r="R431" s="5">
        <f t="shared" si="43"/>
        <v>1</v>
      </c>
      <c r="S431" s="5">
        <f t="shared" si="44"/>
        <v>0</v>
      </c>
      <c r="T431" s="5">
        <f t="shared" si="45"/>
        <v>1</v>
      </c>
      <c r="U431" s="33">
        <f t="shared" si="39"/>
        <v>9.5418246194608813E-2</v>
      </c>
      <c r="V431" s="48">
        <f t="shared" si="40"/>
        <v>0.29720437339304379</v>
      </c>
      <c r="W431" s="48">
        <f t="shared" si="41"/>
        <v>0</v>
      </c>
    </row>
    <row r="432" spans="1:23" ht="14.25" customHeight="1" x14ac:dyDescent="0.3">
      <c r="A432" s="1" t="s">
        <v>77</v>
      </c>
      <c r="B432" s="1">
        <v>5</v>
      </c>
      <c r="C432" s="1" t="s">
        <v>101</v>
      </c>
      <c r="D432" s="50">
        <v>18</v>
      </c>
      <c r="E432" s="56">
        <f t="shared" si="42"/>
        <v>1.016070863670443</v>
      </c>
      <c r="F432" s="10">
        <v>9</v>
      </c>
      <c r="G432" s="10">
        <v>1</v>
      </c>
      <c r="H432" s="10">
        <v>0</v>
      </c>
      <c r="I432" s="1">
        <v>0.1</v>
      </c>
      <c r="J432" s="1">
        <v>1</v>
      </c>
      <c r="K432" s="1">
        <v>0.1</v>
      </c>
      <c r="L432" s="17">
        <v>0</v>
      </c>
      <c r="M432" s="1">
        <v>0</v>
      </c>
      <c r="N432" s="1">
        <v>0</v>
      </c>
      <c r="O432" s="1">
        <v>0.1</v>
      </c>
      <c r="P432" s="1">
        <v>1</v>
      </c>
      <c r="Q432" s="1">
        <v>0.1</v>
      </c>
      <c r="R432" s="5">
        <f t="shared" si="43"/>
        <v>0.40000000000000008</v>
      </c>
      <c r="S432" s="5">
        <f t="shared" si="44"/>
        <v>0</v>
      </c>
      <c r="T432" s="5">
        <f t="shared" si="45"/>
        <v>0.40000000000000008</v>
      </c>
      <c r="U432" s="33">
        <f t="shared" si="39"/>
        <v>0.1073455269689349</v>
      </c>
      <c r="V432" s="48">
        <f t="shared" si="40"/>
        <v>0.29720437339304379</v>
      </c>
      <c r="W432" s="48">
        <f t="shared" si="41"/>
        <v>0</v>
      </c>
    </row>
    <row r="433" spans="1:24" ht="14.25" customHeight="1" x14ac:dyDescent="0.3">
      <c r="A433" s="1" t="s">
        <v>77</v>
      </c>
      <c r="B433" s="1">
        <v>5</v>
      </c>
      <c r="C433" s="1" t="s">
        <v>762</v>
      </c>
      <c r="D433" s="50">
        <v>18</v>
      </c>
      <c r="E433" s="56">
        <f t="shared" si="42"/>
        <v>1.016070863670443</v>
      </c>
      <c r="F433" s="10">
        <v>6</v>
      </c>
      <c r="G433" s="10">
        <v>1</v>
      </c>
      <c r="H433" s="10">
        <v>0</v>
      </c>
      <c r="I433" s="1">
        <v>2</v>
      </c>
      <c r="J433" s="1">
        <v>0.1</v>
      </c>
      <c r="K433" s="1">
        <v>0.1</v>
      </c>
      <c r="L433" s="1">
        <v>0</v>
      </c>
      <c r="M433" s="1">
        <v>0</v>
      </c>
      <c r="N433" s="1">
        <v>0</v>
      </c>
      <c r="O433" s="1">
        <v>6</v>
      </c>
      <c r="P433" s="1">
        <v>0.1</v>
      </c>
      <c r="Q433" s="1">
        <v>2</v>
      </c>
      <c r="R433" s="5">
        <f t="shared" si="43"/>
        <v>0.73333333333333339</v>
      </c>
      <c r="S433" s="5">
        <f t="shared" si="44"/>
        <v>0</v>
      </c>
      <c r="T433" s="5">
        <f t="shared" si="45"/>
        <v>2.6999999999999997</v>
      </c>
      <c r="U433" s="33">
        <f t="shared" si="39"/>
        <v>7.156368464595661E-2</v>
      </c>
      <c r="V433" s="48">
        <f t="shared" si="40"/>
        <v>0.29720437339304379</v>
      </c>
      <c r="W433" s="48">
        <f t="shared" si="41"/>
        <v>0</v>
      </c>
    </row>
    <row r="434" spans="1:24" ht="14.25" customHeight="1" x14ac:dyDescent="0.3">
      <c r="A434" s="1" t="s">
        <v>77</v>
      </c>
      <c r="B434" s="1">
        <v>8</v>
      </c>
      <c r="C434" s="1" t="s">
        <v>760</v>
      </c>
      <c r="D434" s="50">
        <v>33</v>
      </c>
      <c r="E434" s="56">
        <f t="shared" si="42"/>
        <v>1.0530432089900206</v>
      </c>
      <c r="F434" s="10">
        <v>1</v>
      </c>
      <c r="G434" s="10">
        <v>0</v>
      </c>
      <c r="H434" s="10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0.1</v>
      </c>
      <c r="R434" s="5">
        <f t="shared" si="43"/>
        <v>0</v>
      </c>
      <c r="S434" s="5">
        <f t="shared" si="44"/>
        <v>0</v>
      </c>
      <c r="T434" s="5">
        <f t="shared" si="45"/>
        <v>3.3333333333333333E-2</v>
      </c>
      <c r="U434" s="33">
        <f t="shared" ref="U434:U453" si="46">(11.64*F434*0.0122*0.48*1.13*E434)/6.56168</f>
        <v>1.2361285487264088E-2</v>
      </c>
      <c r="V434" s="48">
        <f t="shared" ref="V434:V453" si="47">(11.64*G434*0.304*0.48*1.13*E434)/6.56168</f>
        <v>0</v>
      </c>
      <c r="W434" s="48">
        <f t="shared" ref="W434:W453" si="48">(11.64*H434*2.87*0.4*1.13*E434)/13.1234</f>
        <v>0</v>
      </c>
      <c r="X434" s="11"/>
    </row>
    <row r="435" spans="1:24" ht="14.25" customHeight="1" x14ac:dyDescent="0.3">
      <c r="A435" s="1" t="s">
        <v>77</v>
      </c>
      <c r="B435" s="1">
        <v>8</v>
      </c>
      <c r="C435" s="1" t="s">
        <v>761</v>
      </c>
      <c r="D435" s="50">
        <v>33</v>
      </c>
      <c r="E435" s="56">
        <f t="shared" si="42"/>
        <v>1.0530432089900206</v>
      </c>
      <c r="F435" s="10">
        <v>1</v>
      </c>
      <c r="G435" s="10">
        <v>1</v>
      </c>
      <c r="H435" s="10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5">
        <f t="shared" si="43"/>
        <v>0</v>
      </c>
      <c r="S435" s="5">
        <f t="shared" si="44"/>
        <v>0</v>
      </c>
      <c r="T435" s="5">
        <f t="shared" si="45"/>
        <v>0</v>
      </c>
      <c r="U435" s="33">
        <f t="shared" si="46"/>
        <v>1.2361285487264088E-2</v>
      </c>
      <c r="V435" s="48">
        <f t="shared" si="47"/>
        <v>0.30801891705969525</v>
      </c>
      <c r="W435" s="48">
        <f t="shared" si="48"/>
        <v>0</v>
      </c>
    </row>
    <row r="436" spans="1:24" ht="14.25" customHeight="1" x14ac:dyDescent="0.3">
      <c r="A436" s="1" t="s">
        <v>77</v>
      </c>
      <c r="B436" s="1">
        <v>8</v>
      </c>
      <c r="C436" s="1" t="s">
        <v>101</v>
      </c>
      <c r="D436" s="50">
        <v>33</v>
      </c>
      <c r="E436" s="56">
        <f t="shared" si="42"/>
        <v>1.0530432089900206</v>
      </c>
      <c r="F436" s="10">
        <v>9</v>
      </c>
      <c r="G436" s="10">
        <v>1</v>
      </c>
      <c r="H436" s="10">
        <v>2</v>
      </c>
      <c r="I436" s="1">
        <v>0</v>
      </c>
      <c r="J436" s="1">
        <v>0</v>
      </c>
      <c r="K436" s="1">
        <v>0.1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0.1</v>
      </c>
      <c r="R436" s="5">
        <f t="shared" si="43"/>
        <v>3.3333333333333333E-2</v>
      </c>
      <c r="S436" s="5">
        <f t="shared" si="44"/>
        <v>0</v>
      </c>
      <c r="T436" s="5">
        <f t="shared" si="45"/>
        <v>3.3333333333333333E-2</v>
      </c>
      <c r="U436" s="33">
        <f t="shared" si="46"/>
        <v>0.11125156938537678</v>
      </c>
      <c r="V436" s="48">
        <f t="shared" si="47"/>
        <v>0.30801891705969525</v>
      </c>
      <c r="W436" s="48">
        <f t="shared" si="48"/>
        <v>2.4232774054113562</v>
      </c>
    </row>
    <row r="437" spans="1:24" ht="14.25" customHeight="1" x14ac:dyDescent="0.3">
      <c r="A437" s="1" t="s">
        <v>77</v>
      </c>
      <c r="B437" s="1">
        <v>8</v>
      </c>
      <c r="C437" s="1" t="s">
        <v>762</v>
      </c>
      <c r="D437" s="50">
        <v>33</v>
      </c>
      <c r="E437" s="56">
        <f t="shared" si="42"/>
        <v>1.0530432089900206</v>
      </c>
      <c r="F437" s="10">
        <v>1</v>
      </c>
      <c r="G437" s="10">
        <v>0</v>
      </c>
      <c r="H437" s="10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0.1</v>
      </c>
      <c r="Q437" s="1">
        <v>0</v>
      </c>
      <c r="R437" s="5">
        <f t="shared" si="43"/>
        <v>0</v>
      </c>
      <c r="S437" s="5">
        <f t="shared" si="44"/>
        <v>0</v>
      </c>
      <c r="T437" s="5">
        <f t="shared" si="45"/>
        <v>3.3333333333333333E-2</v>
      </c>
      <c r="U437" s="33">
        <f t="shared" si="46"/>
        <v>1.2361285487264088E-2</v>
      </c>
      <c r="V437" s="48">
        <f t="shared" si="47"/>
        <v>0</v>
      </c>
      <c r="W437" s="48">
        <f t="shared" si="48"/>
        <v>0</v>
      </c>
    </row>
    <row r="438" spans="1:24" ht="14.25" customHeight="1" x14ac:dyDescent="0.3">
      <c r="A438" s="1" t="s">
        <v>77</v>
      </c>
      <c r="B438" s="1">
        <v>9</v>
      </c>
      <c r="C438" s="1" t="s">
        <v>760</v>
      </c>
      <c r="D438" s="50">
        <v>25</v>
      </c>
      <c r="E438" s="56">
        <f t="shared" si="42"/>
        <v>1.0307764064044151</v>
      </c>
      <c r="F438" s="10">
        <v>2</v>
      </c>
      <c r="G438" s="10">
        <v>2</v>
      </c>
      <c r="H438" s="10">
        <v>0</v>
      </c>
      <c r="I438" s="1">
        <v>0.1</v>
      </c>
      <c r="J438" s="1">
        <v>0.1</v>
      </c>
      <c r="K438" s="1">
        <v>0.1</v>
      </c>
      <c r="L438" s="1">
        <v>0</v>
      </c>
      <c r="M438" s="1">
        <v>0</v>
      </c>
      <c r="N438" s="1">
        <v>0</v>
      </c>
      <c r="O438" s="1">
        <v>0.1</v>
      </c>
      <c r="P438" s="1">
        <v>0.1</v>
      </c>
      <c r="Q438" s="1">
        <v>1</v>
      </c>
      <c r="R438" s="5">
        <f t="shared" si="43"/>
        <v>0.10000000000000002</v>
      </c>
      <c r="S438" s="5">
        <f t="shared" si="44"/>
        <v>0</v>
      </c>
      <c r="T438" s="5">
        <f t="shared" si="45"/>
        <v>0.39999999999999997</v>
      </c>
      <c r="U438" s="33">
        <f t="shared" si="46"/>
        <v>2.4199807423518318E-2</v>
      </c>
      <c r="V438" s="48">
        <f t="shared" si="47"/>
        <v>0.60301159481553834</v>
      </c>
      <c r="W438" s="48">
        <f t="shared" si="48"/>
        <v>0</v>
      </c>
    </row>
    <row r="439" spans="1:24" ht="14.25" customHeight="1" x14ac:dyDescent="0.3">
      <c r="A439" s="1" t="s">
        <v>77</v>
      </c>
      <c r="B439" s="1">
        <v>9</v>
      </c>
      <c r="C439" s="1" t="s">
        <v>761</v>
      </c>
      <c r="D439" s="50">
        <v>25</v>
      </c>
      <c r="E439" s="56">
        <f t="shared" si="42"/>
        <v>1.0307764064044151</v>
      </c>
      <c r="F439" s="10">
        <v>0</v>
      </c>
      <c r="G439" s="10">
        <v>0</v>
      </c>
      <c r="H439" s="10">
        <v>0</v>
      </c>
      <c r="I439" s="1">
        <v>0.1</v>
      </c>
      <c r="J439" s="1">
        <v>0.1</v>
      </c>
      <c r="K439" s="1">
        <v>0.1</v>
      </c>
      <c r="L439" s="1">
        <v>0</v>
      </c>
      <c r="M439" s="1">
        <v>0</v>
      </c>
      <c r="N439" s="1">
        <v>0</v>
      </c>
      <c r="O439" s="1">
        <v>0.1</v>
      </c>
      <c r="P439" s="1">
        <v>0.1</v>
      </c>
      <c r="Q439" s="1">
        <v>0.1</v>
      </c>
      <c r="R439" s="5">
        <f t="shared" si="43"/>
        <v>0.10000000000000002</v>
      </c>
      <c r="S439" s="5">
        <f t="shared" si="44"/>
        <v>0</v>
      </c>
      <c r="T439" s="5">
        <f t="shared" si="45"/>
        <v>0.10000000000000002</v>
      </c>
      <c r="U439" s="33">
        <f t="shared" si="46"/>
        <v>0</v>
      </c>
      <c r="V439" s="48">
        <f t="shared" si="47"/>
        <v>0</v>
      </c>
      <c r="W439" s="48">
        <f t="shared" si="48"/>
        <v>0</v>
      </c>
    </row>
    <row r="440" spans="1:24" ht="14.25" customHeight="1" x14ac:dyDescent="0.3">
      <c r="A440" s="1" t="s">
        <v>77</v>
      </c>
      <c r="B440" s="1">
        <v>9</v>
      </c>
      <c r="C440" s="1" t="s">
        <v>101</v>
      </c>
      <c r="D440" s="50">
        <v>25</v>
      </c>
      <c r="E440" s="56">
        <f t="shared" si="42"/>
        <v>1.0307764064044151</v>
      </c>
      <c r="F440" s="10">
        <v>28</v>
      </c>
      <c r="G440" s="10">
        <v>14</v>
      </c>
      <c r="H440" s="10">
        <v>1</v>
      </c>
      <c r="I440" s="1">
        <v>0</v>
      </c>
      <c r="J440" s="1">
        <v>0.1</v>
      </c>
      <c r="K440" s="1">
        <v>1</v>
      </c>
      <c r="L440" s="1">
        <v>0</v>
      </c>
      <c r="M440" s="1">
        <v>0</v>
      </c>
      <c r="N440" s="1">
        <v>0</v>
      </c>
      <c r="O440" s="1">
        <v>0</v>
      </c>
      <c r="P440" s="1">
        <v>1</v>
      </c>
      <c r="Q440" s="1">
        <v>2</v>
      </c>
      <c r="R440" s="5">
        <f t="shared" si="43"/>
        <v>0.3666666666666667</v>
      </c>
      <c r="S440" s="5">
        <f t="shared" si="44"/>
        <v>0</v>
      </c>
      <c r="T440" s="5">
        <f t="shared" si="45"/>
        <v>1</v>
      </c>
      <c r="U440" s="33">
        <f t="shared" si="46"/>
        <v>0.3387973039292565</v>
      </c>
      <c r="V440" s="48">
        <f t="shared" si="47"/>
        <v>4.2210811637087682</v>
      </c>
      <c r="W440" s="48">
        <f t="shared" si="48"/>
        <v>1.1860183676919778</v>
      </c>
    </row>
    <row r="441" spans="1:24" ht="14.25" customHeight="1" x14ac:dyDescent="0.3">
      <c r="A441" s="1" t="s">
        <v>77</v>
      </c>
      <c r="B441" s="1">
        <v>9</v>
      </c>
      <c r="C441" s="1" t="s">
        <v>762</v>
      </c>
      <c r="D441" s="50">
        <v>25</v>
      </c>
      <c r="E441" s="56">
        <f t="shared" si="42"/>
        <v>1.0307764064044151</v>
      </c>
      <c r="F441" s="10">
        <v>6</v>
      </c>
      <c r="G441" s="10">
        <v>14</v>
      </c>
      <c r="H441" s="10">
        <v>1</v>
      </c>
      <c r="I441" s="1">
        <v>0.1</v>
      </c>
      <c r="J441" s="1">
        <v>0.1</v>
      </c>
      <c r="K441" s="1">
        <v>0.1</v>
      </c>
      <c r="L441" s="1">
        <v>0</v>
      </c>
      <c r="M441" s="1">
        <v>0</v>
      </c>
      <c r="N441" s="1">
        <v>0</v>
      </c>
      <c r="O441" s="1">
        <v>1</v>
      </c>
      <c r="P441" s="1">
        <v>0.1</v>
      </c>
      <c r="Q441" s="1">
        <v>0.1</v>
      </c>
      <c r="R441" s="5">
        <f t="shared" si="43"/>
        <v>0.10000000000000002</v>
      </c>
      <c r="S441" s="5">
        <f t="shared" si="44"/>
        <v>0</v>
      </c>
      <c r="T441" s="5">
        <f t="shared" si="45"/>
        <v>0.40000000000000008</v>
      </c>
      <c r="U441" s="33">
        <f t="shared" si="46"/>
        <v>7.2599422270554978E-2</v>
      </c>
      <c r="V441" s="48">
        <f t="shared" si="47"/>
        <v>4.2210811637087682</v>
      </c>
      <c r="W441" s="48">
        <f t="shared" si="48"/>
        <v>1.1860183676919778</v>
      </c>
    </row>
    <row r="442" spans="1:24" ht="14.25" customHeight="1" x14ac:dyDescent="0.3">
      <c r="A442" s="1" t="s">
        <v>77</v>
      </c>
      <c r="B442" s="1">
        <v>11</v>
      </c>
      <c r="C442" s="1" t="s">
        <v>760</v>
      </c>
      <c r="D442" s="50">
        <v>20</v>
      </c>
      <c r="E442" s="56">
        <f t="shared" si="42"/>
        <v>1.019803902718557</v>
      </c>
      <c r="F442" s="10">
        <v>13</v>
      </c>
      <c r="G442" s="10">
        <v>5</v>
      </c>
      <c r="H442" s="10">
        <v>0</v>
      </c>
      <c r="I442" s="1">
        <v>0.1</v>
      </c>
      <c r="J442" s="1">
        <v>0.1</v>
      </c>
      <c r="K442" s="1">
        <v>0.1</v>
      </c>
      <c r="L442" s="1">
        <v>0</v>
      </c>
      <c r="M442" s="1">
        <v>0</v>
      </c>
      <c r="N442" s="1">
        <v>0</v>
      </c>
      <c r="O442" s="1">
        <v>0.1</v>
      </c>
      <c r="P442" s="1">
        <v>0.1</v>
      </c>
      <c r="Q442" s="1">
        <v>0.1</v>
      </c>
      <c r="R442" s="5">
        <f t="shared" si="43"/>
        <v>0.10000000000000002</v>
      </c>
      <c r="S442" s="5">
        <f t="shared" si="44"/>
        <v>0</v>
      </c>
      <c r="T442" s="5">
        <f t="shared" si="45"/>
        <v>0.10000000000000002</v>
      </c>
      <c r="U442" s="33">
        <f t="shared" si="46"/>
        <v>0.15562432004102628</v>
      </c>
      <c r="V442" s="48">
        <f t="shared" si="47"/>
        <v>1.4914815035457754</v>
      </c>
      <c r="W442" s="48">
        <f t="shared" si="48"/>
        <v>0</v>
      </c>
    </row>
    <row r="443" spans="1:24" ht="14.25" customHeight="1" x14ac:dyDescent="0.3">
      <c r="A443" s="1" t="s">
        <v>77</v>
      </c>
      <c r="B443" s="1">
        <v>11</v>
      </c>
      <c r="C443" s="1" t="s">
        <v>761</v>
      </c>
      <c r="D443" s="50">
        <v>20</v>
      </c>
      <c r="E443" s="56">
        <f t="shared" si="42"/>
        <v>1.019803902718557</v>
      </c>
      <c r="F443" s="10">
        <v>2</v>
      </c>
      <c r="G443" s="10">
        <v>0</v>
      </c>
      <c r="H443" s="10">
        <v>0</v>
      </c>
      <c r="I443" s="1">
        <v>0.1</v>
      </c>
      <c r="J443" s="1">
        <v>0.1</v>
      </c>
      <c r="K443" s="1">
        <v>0</v>
      </c>
      <c r="L443" s="1">
        <v>0</v>
      </c>
      <c r="M443" s="1">
        <v>0</v>
      </c>
      <c r="N443" s="1">
        <v>0</v>
      </c>
      <c r="O443" s="1">
        <v>0.1</v>
      </c>
      <c r="P443" s="1">
        <v>0.1</v>
      </c>
      <c r="Q443" s="1">
        <v>0</v>
      </c>
      <c r="R443" s="5">
        <f t="shared" si="43"/>
        <v>6.6666666666666666E-2</v>
      </c>
      <c r="S443" s="5">
        <f t="shared" si="44"/>
        <v>0</v>
      </c>
      <c r="T443" s="5">
        <f t="shared" si="45"/>
        <v>6.6666666666666666E-2</v>
      </c>
      <c r="U443" s="33">
        <f t="shared" si="46"/>
        <v>2.3942203083234817E-2</v>
      </c>
      <c r="V443" s="48">
        <f t="shared" si="47"/>
        <v>0</v>
      </c>
      <c r="W443" s="48">
        <f t="shared" si="48"/>
        <v>0</v>
      </c>
    </row>
    <row r="444" spans="1:24" ht="14.25" customHeight="1" x14ac:dyDescent="0.3">
      <c r="A444" s="1" t="s">
        <v>77</v>
      </c>
      <c r="B444" s="1">
        <v>11</v>
      </c>
      <c r="C444" s="1" t="s">
        <v>101</v>
      </c>
      <c r="D444" s="50">
        <v>20</v>
      </c>
      <c r="E444" s="56">
        <f t="shared" si="42"/>
        <v>1.019803902718557</v>
      </c>
      <c r="F444" s="10">
        <v>9</v>
      </c>
      <c r="G444" s="10">
        <v>2</v>
      </c>
      <c r="H444" s="10">
        <v>0</v>
      </c>
      <c r="I444" s="1">
        <v>0.1</v>
      </c>
      <c r="J444" s="1">
        <v>0.1</v>
      </c>
      <c r="K444" s="1">
        <v>0</v>
      </c>
      <c r="L444" s="1">
        <v>0</v>
      </c>
      <c r="M444" s="1">
        <v>0</v>
      </c>
      <c r="N444" s="1">
        <v>0</v>
      </c>
      <c r="O444" s="1">
        <v>0.1</v>
      </c>
      <c r="P444" s="1">
        <v>15</v>
      </c>
      <c r="Q444" s="1">
        <v>0</v>
      </c>
      <c r="R444" s="5">
        <f t="shared" si="43"/>
        <v>6.6666666666666666E-2</v>
      </c>
      <c r="S444" s="5">
        <f t="shared" si="44"/>
        <v>0</v>
      </c>
      <c r="T444" s="5">
        <f t="shared" si="45"/>
        <v>5.0333333333333332</v>
      </c>
      <c r="U444" s="33">
        <f t="shared" si="46"/>
        <v>0.10773991387455667</v>
      </c>
      <c r="V444" s="48">
        <f t="shared" si="47"/>
        <v>0.59659260141831005</v>
      </c>
      <c r="W444" s="48">
        <f t="shared" si="48"/>
        <v>0</v>
      </c>
    </row>
    <row r="445" spans="1:24" ht="14.25" customHeight="1" x14ac:dyDescent="0.3">
      <c r="A445" s="1" t="s">
        <v>77</v>
      </c>
      <c r="B445" s="1">
        <v>11</v>
      </c>
      <c r="C445" s="1" t="s">
        <v>762</v>
      </c>
      <c r="D445" s="50">
        <v>20</v>
      </c>
      <c r="E445" s="56">
        <f t="shared" si="42"/>
        <v>1.019803902718557</v>
      </c>
      <c r="F445" s="10">
        <v>9</v>
      </c>
      <c r="G445" s="10">
        <v>3</v>
      </c>
      <c r="H445" s="10">
        <v>1</v>
      </c>
      <c r="I445" s="1">
        <v>0.1</v>
      </c>
      <c r="J445" s="1">
        <v>0</v>
      </c>
      <c r="K445" s="1">
        <v>0.1</v>
      </c>
      <c r="L445" s="1">
        <v>0</v>
      </c>
      <c r="M445" s="1">
        <v>0</v>
      </c>
      <c r="N445" s="1">
        <v>0</v>
      </c>
      <c r="O445" s="1">
        <v>1</v>
      </c>
      <c r="P445" s="1">
        <v>0</v>
      </c>
      <c r="Q445" s="1">
        <v>5</v>
      </c>
      <c r="R445" s="5">
        <f t="shared" si="43"/>
        <v>6.6666666666666666E-2</v>
      </c>
      <c r="S445" s="5">
        <f t="shared" si="44"/>
        <v>0</v>
      </c>
      <c r="T445" s="5">
        <f t="shared" si="45"/>
        <v>2</v>
      </c>
      <c r="U445" s="33">
        <f t="shared" si="46"/>
        <v>0.10773991387455667</v>
      </c>
      <c r="V445" s="48">
        <f t="shared" si="47"/>
        <v>0.8948889021274653</v>
      </c>
      <c r="W445" s="48">
        <f t="shared" si="48"/>
        <v>1.1733933300697159</v>
      </c>
    </row>
    <row r="446" spans="1:24" ht="14.25" customHeight="1" x14ac:dyDescent="0.3">
      <c r="A446" s="1" t="s">
        <v>77</v>
      </c>
      <c r="B446" s="1">
        <v>12</v>
      </c>
      <c r="C446" s="1" t="s">
        <v>760</v>
      </c>
      <c r="D446" s="50">
        <v>16</v>
      </c>
      <c r="E446" s="56">
        <f t="shared" si="42"/>
        <v>1.0127191120937731</v>
      </c>
      <c r="F446" s="10">
        <v>0</v>
      </c>
      <c r="G446" s="10">
        <v>4</v>
      </c>
      <c r="H446" s="10">
        <v>0</v>
      </c>
      <c r="I446" s="1">
        <v>0</v>
      </c>
      <c r="J446" s="1">
        <v>0.1</v>
      </c>
      <c r="K446" s="1">
        <v>1</v>
      </c>
      <c r="L446" s="1">
        <v>0</v>
      </c>
      <c r="M446" s="1">
        <v>0</v>
      </c>
      <c r="N446" s="1">
        <v>0</v>
      </c>
      <c r="O446" s="1">
        <v>0</v>
      </c>
      <c r="P446" s="1">
        <v>0.1</v>
      </c>
      <c r="Q446" s="1">
        <v>1</v>
      </c>
      <c r="R446" s="5">
        <f t="shared" si="43"/>
        <v>0.3666666666666667</v>
      </c>
      <c r="S446" s="5">
        <f t="shared" si="44"/>
        <v>0</v>
      </c>
      <c r="T446" s="5">
        <f t="shared" si="45"/>
        <v>0.3666666666666667</v>
      </c>
      <c r="U446" s="33">
        <f t="shared" si="46"/>
        <v>0</v>
      </c>
      <c r="V446" s="48">
        <f t="shared" si="47"/>
        <v>1.1848958961217186</v>
      </c>
      <c r="W446" s="48">
        <f t="shared" si="48"/>
        <v>0</v>
      </c>
    </row>
    <row r="447" spans="1:24" ht="14.25" customHeight="1" x14ac:dyDescent="0.3">
      <c r="A447" s="1" t="s">
        <v>77</v>
      </c>
      <c r="B447" s="1">
        <v>12</v>
      </c>
      <c r="C447" s="1" t="s">
        <v>761</v>
      </c>
      <c r="D447" s="50">
        <v>16</v>
      </c>
      <c r="E447" s="56">
        <f t="shared" si="42"/>
        <v>1.0127191120937731</v>
      </c>
      <c r="F447" s="10">
        <v>0</v>
      </c>
      <c r="G447" s="10">
        <v>0</v>
      </c>
      <c r="H447" s="10">
        <v>1</v>
      </c>
      <c r="I447" s="1">
        <v>0</v>
      </c>
      <c r="J447" s="1">
        <v>0.1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1">
        <v>0.1</v>
      </c>
      <c r="Q447" s="1">
        <v>3</v>
      </c>
      <c r="R447" s="5">
        <f t="shared" si="43"/>
        <v>3.3333333333333333E-2</v>
      </c>
      <c r="S447" s="5">
        <f t="shared" si="44"/>
        <v>0</v>
      </c>
      <c r="T447" s="5">
        <f t="shared" si="45"/>
        <v>1.3666666666666665</v>
      </c>
      <c r="U447" s="33">
        <f t="shared" si="46"/>
        <v>0</v>
      </c>
      <c r="V447" s="48">
        <f t="shared" si="47"/>
        <v>0</v>
      </c>
      <c r="W447" s="48">
        <f t="shared" si="48"/>
        <v>1.1652415216270331</v>
      </c>
    </row>
    <row r="448" spans="1:24" ht="14.25" customHeight="1" x14ac:dyDescent="0.3">
      <c r="A448" s="1" t="s">
        <v>77</v>
      </c>
      <c r="B448" s="1">
        <v>12</v>
      </c>
      <c r="C448" s="1" t="s">
        <v>101</v>
      </c>
      <c r="D448" s="50">
        <v>16</v>
      </c>
      <c r="E448" s="56">
        <f t="shared" si="42"/>
        <v>1.0127191120937731</v>
      </c>
      <c r="F448" s="10">
        <v>3</v>
      </c>
      <c r="G448" s="10">
        <v>2</v>
      </c>
      <c r="H448" s="10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</v>
      </c>
      <c r="Q448" s="1">
        <v>0.1</v>
      </c>
      <c r="R448" s="5">
        <f t="shared" si="43"/>
        <v>0</v>
      </c>
      <c r="S448" s="5">
        <f t="shared" si="44"/>
        <v>0</v>
      </c>
      <c r="T448" s="5">
        <f t="shared" si="45"/>
        <v>1.7</v>
      </c>
      <c r="U448" s="33">
        <f t="shared" si="46"/>
        <v>3.566380739971621E-2</v>
      </c>
      <c r="V448" s="48">
        <f t="shared" si="47"/>
        <v>0.59244794806085932</v>
      </c>
      <c r="W448" s="48">
        <f t="shared" si="48"/>
        <v>1.1652415216270331</v>
      </c>
    </row>
    <row r="449" spans="1:23" ht="14.25" customHeight="1" x14ac:dyDescent="0.3">
      <c r="A449" s="1" t="s">
        <v>77</v>
      </c>
      <c r="B449" s="1">
        <v>12</v>
      </c>
      <c r="C449" s="1" t="s">
        <v>762</v>
      </c>
      <c r="D449" s="50">
        <v>16</v>
      </c>
      <c r="E449" s="56">
        <f t="shared" si="42"/>
        <v>1.0127191120937731</v>
      </c>
      <c r="F449" s="10">
        <v>3</v>
      </c>
      <c r="G449" s="10">
        <v>0</v>
      </c>
      <c r="H449" s="10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5">
        <f t="shared" si="43"/>
        <v>0</v>
      </c>
      <c r="S449" s="5">
        <f t="shared" si="44"/>
        <v>0</v>
      </c>
      <c r="T449" s="5">
        <f t="shared" si="45"/>
        <v>0</v>
      </c>
      <c r="U449" s="33">
        <f t="shared" si="46"/>
        <v>3.566380739971621E-2</v>
      </c>
      <c r="V449" s="48">
        <f t="shared" si="47"/>
        <v>0</v>
      </c>
      <c r="W449" s="48">
        <f t="shared" si="48"/>
        <v>0</v>
      </c>
    </row>
    <row r="450" spans="1:23" ht="14.25" customHeight="1" x14ac:dyDescent="0.3">
      <c r="A450" s="1" t="s">
        <v>77</v>
      </c>
      <c r="B450" s="1">
        <v>13</v>
      </c>
      <c r="C450" s="1" t="s">
        <v>760</v>
      </c>
      <c r="D450" s="50">
        <v>22</v>
      </c>
      <c r="E450" s="56">
        <f t="shared" si="42"/>
        <v>1.0239140588936164</v>
      </c>
      <c r="F450" s="10">
        <v>0</v>
      </c>
      <c r="G450" s="10">
        <v>0</v>
      </c>
      <c r="H450" s="10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5">
        <f t="shared" si="43"/>
        <v>0</v>
      </c>
      <c r="S450" s="5">
        <f t="shared" si="44"/>
        <v>0</v>
      </c>
      <c r="T450" s="5">
        <f t="shared" si="45"/>
        <v>0.33333333333333331</v>
      </c>
      <c r="U450" s="33">
        <f t="shared" si="46"/>
        <v>0</v>
      </c>
      <c r="V450" s="48">
        <f t="shared" si="47"/>
        <v>0</v>
      </c>
      <c r="W450" s="48">
        <f t="shared" si="48"/>
        <v>0</v>
      </c>
    </row>
    <row r="451" spans="1:23" ht="14.25" customHeight="1" x14ac:dyDescent="0.3">
      <c r="A451" s="1" t="s">
        <v>77</v>
      </c>
      <c r="B451" s="1">
        <v>13</v>
      </c>
      <c r="C451" s="1" t="s">
        <v>761</v>
      </c>
      <c r="D451" s="50">
        <v>22</v>
      </c>
      <c r="E451" s="56">
        <f t="shared" si="42"/>
        <v>1.0239140588936164</v>
      </c>
      <c r="F451" s="10">
        <v>8</v>
      </c>
      <c r="G451" s="10">
        <v>10</v>
      </c>
      <c r="H451" s="10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1</v>
      </c>
      <c r="Q451" s="1">
        <v>0</v>
      </c>
      <c r="R451" s="5">
        <f t="shared" si="43"/>
        <v>0</v>
      </c>
      <c r="S451" s="5">
        <f t="shared" si="44"/>
        <v>0</v>
      </c>
      <c r="T451" s="5">
        <f t="shared" si="45"/>
        <v>0.33333333333333331</v>
      </c>
      <c r="U451" s="33">
        <f t="shared" si="46"/>
        <v>9.6154793181158243E-2</v>
      </c>
      <c r="V451" s="48">
        <f t="shared" si="47"/>
        <v>2.9949853613803388</v>
      </c>
      <c r="W451" s="48">
        <f t="shared" si="48"/>
        <v>0</v>
      </c>
    </row>
    <row r="452" spans="1:23" ht="14.25" customHeight="1" x14ac:dyDescent="0.3">
      <c r="A452" s="1" t="s">
        <v>77</v>
      </c>
      <c r="B452" s="1">
        <v>13</v>
      </c>
      <c r="C452" s="1" t="s">
        <v>101</v>
      </c>
      <c r="D452" s="50">
        <v>22</v>
      </c>
      <c r="E452" s="56">
        <f t="shared" si="42"/>
        <v>1.0239140588936164</v>
      </c>
      <c r="F452" s="10">
        <v>0</v>
      </c>
      <c r="G452" s="10">
        <v>2</v>
      </c>
      <c r="H452" s="10">
        <v>0</v>
      </c>
      <c r="I452" s="1">
        <v>0.1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0.1</v>
      </c>
      <c r="P452" s="1">
        <v>0.1</v>
      </c>
      <c r="Q452" s="1">
        <v>0</v>
      </c>
      <c r="R452" s="5">
        <f t="shared" si="43"/>
        <v>3.3333333333333333E-2</v>
      </c>
      <c r="S452" s="5">
        <f t="shared" si="44"/>
        <v>0</v>
      </c>
      <c r="T452" s="5">
        <f t="shared" si="45"/>
        <v>6.6666666666666666E-2</v>
      </c>
      <c r="U452" s="33">
        <f t="shared" si="46"/>
        <v>0</v>
      </c>
      <c r="V452" s="48">
        <f t="shared" si="47"/>
        <v>0.59899707227606769</v>
      </c>
      <c r="W452" s="48">
        <f t="shared" si="48"/>
        <v>0</v>
      </c>
    </row>
    <row r="453" spans="1:23" ht="14.25" customHeight="1" x14ac:dyDescent="0.3">
      <c r="A453" s="1" t="s">
        <v>77</v>
      </c>
      <c r="B453" s="1">
        <v>13</v>
      </c>
      <c r="C453" s="1" t="s">
        <v>762</v>
      </c>
      <c r="D453" s="50">
        <v>22</v>
      </c>
      <c r="E453" s="56">
        <f t="shared" si="42"/>
        <v>1.0239140588936164</v>
      </c>
      <c r="F453" s="10">
        <v>0</v>
      </c>
      <c r="G453" s="10">
        <v>0</v>
      </c>
      <c r="H453" s="10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5">
        <f t="shared" si="43"/>
        <v>0</v>
      </c>
      <c r="S453" s="5">
        <f t="shared" si="44"/>
        <v>0</v>
      </c>
      <c r="T453" s="5">
        <f t="shared" si="45"/>
        <v>0</v>
      </c>
      <c r="U453" s="33">
        <f t="shared" si="46"/>
        <v>0</v>
      </c>
      <c r="V453" s="48">
        <f t="shared" si="47"/>
        <v>0</v>
      </c>
      <c r="W453" s="48">
        <f t="shared" si="48"/>
        <v>0</v>
      </c>
    </row>
    <row r="454" spans="1:23" ht="14.25" customHeight="1" x14ac:dyDescent="0.3"/>
    <row r="455" spans="1:23" ht="14.25" customHeight="1" x14ac:dyDescent="0.3"/>
    <row r="456" spans="1:23" ht="14.25" customHeight="1" x14ac:dyDescent="0.3"/>
    <row r="457" spans="1:23" ht="14.25" customHeight="1" x14ac:dyDescent="0.3"/>
    <row r="458" spans="1:23" ht="14.25" customHeight="1" x14ac:dyDescent="0.3"/>
    <row r="459" spans="1:23" ht="14.25" customHeight="1" x14ac:dyDescent="0.3"/>
    <row r="460" spans="1:23" ht="14.25" customHeight="1" x14ac:dyDescent="0.3"/>
    <row r="461" spans="1:23" ht="14.25" customHeight="1" x14ac:dyDescent="0.3"/>
    <row r="462" spans="1:23" ht="14.25" customHeight="1" x14ac:dyDescent="0.3"/>
    <row r="463" spans="1:23" ht="14.25" customHeight="1" x14ac:dyDescent="0.3"/>
    <row r="464" spans="1:23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</sheetData>
  <sortState xmlns:xlrd2="http://schemas.microsoft.com/office/spreadsheetml/2017/richdata2" ref="A2:W453">
    <sortCondition ref="A2:A453"/>
    <sortCondition ref="B2:B453"/>
    <sortCondition ref="C2:C453" customList="N,E,S,W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0"/>
  <sheetViews>
    <sheetView workbookViewId="0">
      <pane ySplit="1" topLeftCell="A2" activePane="bottomLeft" state="frozen"/>
      <selection pane="bottomLeft"/>
    </sheetView>
  </sheetViews>
  <sheetFormatPr defaultColWidth="14.44140625" defaultRowHeight="15" customHeight="1" x14ac:dyDescent="0.3"/>
  <cols>
    <col min="1" max="1" width="12.109375" bestFit="1" customWidth="1"/>
    <col min="2" max="3" width="8.6640625" customWidth="1"/>
    <col min="4" max="4" width="11.5546875" customWidth="1"/>
    <col min="5" max="6" width="8.6640625" customWidth="1"/>
    <col min="7" max="7" width="10.5546875" bestFit="1" customWidth="1"/>
    <col min="8" max="8" width="15.6640625" bestFit="1" customWidth="1"/>
    <col min="9" max="9" width="16.33203125" bestFit="1" customWidth="1"/>
    <col min="10" max="23" width="8.6640625" customWidth="1"/>
  </cols>
  <sheetData>
    <row r="1" spans="1:10" ht="14.25" customHeight="1" x14ac:dyDescent="0.3">
      <c r="A1" t="s">
        <v>0</v>
      </c>
      <c r="B1" s="1" t="s">
        <v>763</v>
      </c>
      <c r="C1" s="1" t="s">
        <v>82</v>
      </c>
      <c r="D1" s="1" t="s">
        <v>812</v>
      </c>
      <c r="E1" s="1" t="s">
        <v>83</v>
      </c>
      <c r="F1" s="1" t="s">
        <v>764</v>
      </c>
      <c r="G1" s="55" t="s">
        <v>970</v>
      </c>
      <c r="H1" s="55" t="s">
        <v>971</v>
      </c>
      <c r="I1" s="55" t="s">
        <v>972</v>
      </c>
      <c r="J1" s="1" t="s">
        <v>42</v>
      </c>
    </row>
    <row r="2" spans="1:10" ht="14.25" customHeight="1" x14ac:dyDescent="0.3">
      <c r="A2" s="1" t="s">
        <v>43</v>
      </c>
      <c r="B2" s="1">
        <v>1</v>
      </c>
      <c r="C2" s="1" t="s">
        <v>761</v>
      </c>
      <c r="D2" s="30">
        <v>17</v>
      </c>
      <c r="E2" s="1" t="s">
        <v>111</v>
      </c>
      <c r="F2" s="1" t="s">
        <v>101</v>
      </c>
      <c r="G2" s="52">
        <f>(D2/2.541)^2</f>
        <v>44.759838684921874</v>
      </c>
      <c r="H2" s="52">
        <f>G2</f>
        <v>44.759838684921874</v>
      </c>
      <c r="I2" s="52">
        <v>0</v>
      </c>
      <c r="J2" s="31" t="s">
        <v>976</v>
      </c>
    </row>
    <row r="3" spans="1:10" ht="14.25" customHeight="1" x14ac:dyDescent="0.3">
      <c r="A3" s="1" t="s">
        <v>43</v>
      </c>
      <c r="B3" s="1">
        <v>1</v>
      </c>
      <c r="C3" s="1" t="s">
        <v>760</v>
      </c>
      <c r="D3" s="1">
        <v>10</v>
      </c>
      <c r="E3" s="1" t="s">
        <v>105</v>
      </c>
      <c r="F3" s="1" t="s">
        <v>766</v>
      </c>
      <c r="G3" s="52">
        <f t="shared" ref="G3:G144" si="0">(D3/2.541)^2</f>
        <v>15.487833454990266</v>
      </c>
      <c r="H3" s="52">
        <f>SUM(G4:G9)</f>
        <v>454.1032769003146</v>
      </c>
      <c r="I3" s="52">
        <f>G3</f>
        <v>15.487833454990266</v>
      </c>
    </row>
    <row r="4" spans="1:10" ht="14.25" customHeight="1" x14ac:dyDescent="0.3">
      <c r="A4" s="1" t="s">
        <v>43</v>
      </c>
      <c r="B4" s="1">
        <v>1</v>
      </c>
      <c r="C4" s="1" t="s">
        <v>760</v>
      </c>
      <c r="D4" s="1">
        <v>7</v>
      </c>
      <c r="E4" s="1" t="s">
        <v>109</v>
      </c>
      <c r="F4" s="1" t="s">
        <v>101</v>
      </c>
      <c r="G4" s="52">
        <f t="shared" si="0"/>
        <v>7.5890383929452314</v>
      </c>
      <c r="H4" s="1"/>
      <c r="I4" s="1"/>
    </row>
    <row r="5" spans="1:10" ht="14.25" customHeight="1" x14ac:dyDescent="0.3">
      <c r="A5" s="1" t="s">
        <v>43</v>
      </c>
      <c r="B5" s="1">
        <v>1</v>
      </c>
      <c r="C5" s="1" t="s">
        <v>760</v>
      </c>
      <c r="D5" s="1">
        <v>9</v>
      </c>
      <c r="E5" s="1" t="s">
        <v>109</v>
      </c>
      <c r="F5" s="1" t="s">
        <v>101</v>
      </c>
      <c r="G5" s="52">
        <f t="shared" si="0"/>
        <v>12.545145098542116</v>
      </c>
      <c r="H5" s="1"/>
      <c r="I5" s="1"/>
    </row>
    <row r="6" spans="1:10" ht="14.25" customHeight="1" x14ac:dyDescent="0.3">
      <c r="A6" s="1" t="s">
        <v>43</v>
      </c>
      <c r="B6" s="1">
        <v>1</v>
      </c>
      <c r="C6" s="1" t="s">
        <v>760</v>
      </c>
      <c r="D6" s="1">
        <v>9</v>
      </c>
      <c r="E6" s="1" t="s">
        <v>109</v>
      </c>
      <c r="F6" s="1" t="s">
        <v>101</v>
      </c>
      <c r="G6" s="52">
        <f t="shared" si="0"/>
        <v>12.545145098542116</v>
      </c>
      <c r="H6" s="1"/>
      <c r="I6" s="1"/>
    </row>
    <row r="7" spans="1:10" ht="14.25" customHeight="1" x14ac:dyDescent="0.3">
      <c r="A7" s="1" t="s">
        <v>43</v>
      </c>
      <c r="B7" s="1">
        <v>1</v>
      </c>
      <c r="C7" s="1" t="s">
        <v>760</v>
      </c>
      <c r="D7" s="1">
        <v>10</v>
      </c>
      <c r="E7" s="1" t="s">
        <v>109</v>
      </c>
      <c r="F7" s="1" t="s">
        <v>101</v>
      </c>
      <c r="G7" s="52">
        <f t="shared" si="0"/>
        <v>15.487833454990266</v>
      </c>
      <c r="H7" s="1"/>
      <c r="I7" s="1"/>
    </row>
    <row r="8" spans="1:10" ht="14.25" customHeight="1" x14ac:dyDescent="0.3">
      <c r="A8" s="1" t="s">
        <v>43</v>
      </c>
      <c r="B8" s="1">
        <v>1</v>
      </c>
      <c r="C8" s="1" t="s">
        <v>760</v>
      </c>
      <c r="D8" s="10">
        <v>11</v>
      </c>
      <c r="E8" s="1" t="s">
        <v>109</v>
      </c>
      <c r="F8" s="1" t="s">
        <v>101</v>
      </c>
      <c r="G8" s="52">
        <f t="shared" si="0"/>
        <v>18.740278480538219</v>
      </c>
      <c r="H8" s="1"/>
      <c r="I8" s="1"/>
      <c r="J8" s="1"/>
    </row>
    <row r="9" spans="1:10" ht="14.25" customHeight="1" x14ac:dyDescent="0.3">
      <c r="A9" t="s">
        <v>43</v>
      </c>
      <c r="B9">
        <v>1</v>
      </c>
      <c r="C9" t="s">
        <v>760</v>
      </c>
      <c r="D9" s="10">
        <v>50</v>
      </c>
      <c r="E9" t="s">
        <v>109</v>
      </c>
      <c r="F9" t="s">
        <v>101</v>
      </c>
      <c r="G9" s="52">
        <f t="shared" si="0"/>
        <v>387.19583637475665</v>
      </c>
      <c r="H9" s="1"/>
      <c r="I9" s="1"/>
      <c r="J9" s="1"/>
    </row>
    <row r="10" spans="1:10" ht="14.25" customHeight="1" x14ac:dyDescent="0.3">
      <c r="A10" s="1" t="s">
        <v>43</v>
      </c>
      <c r="B10" s="1">
        <v>1</v>
      </c>
      <c r="C10" s="1" t="s">
        <v>101</v>
      </c>
      <c r="D10" s="17">
        <v>14.5</v>
      </c>
      <c r="E10" s="1" t="s">
        <v>93</v>
      </c>
      <c r="F10" s="1" t="s">
        <v>101</v>
      </c>
      <c r="G10" s="52">
        <f t="shared" si="0"/>
        <v>32.56316983911703</v>
      </c>
      <c r="H10" s="52">
        <f>SUM(G10:G11)</f>
        <v>82.743750233285496</v>
      </c>
      <c r="I10" s="1">
        <v>0</v>
      </c>
    </row>
    <row r="11" spans="1:10" ht="14.25" customHeight="1" x14ac:dyDescent="0.3">
      <c r="A11" s="1" t="s">
        <v>43</v>
      </c>
      <c r="B11" s="1">
        <v>1</v>
      </c>
      <c r="C11" s="1" t="s">
        <v>101</v>
      </c>
      <c r="D11" s="1">
        <v>18</v>
      </c>
      <c r="E11" s="1" t="s">
        <v>93</v>
      </c>
      <c r="F11" s="1" t="s">
        <v>101</v>
      </c>
      <c r="G11" s="52">
        <f t="shared" si="0"/>
        <v>50.180580394168466</v>
      </c>
      <c r="H11" s="1"/>
      <c r="I11" s="1"/>
    </row>
    <row r="12" spans="1:10" ht="14.25" customHeight="1" x14ac:dyDescent="0.3">
      <c r="A12" s="1" t="s">
        <v>43</v>
      </c>
      <c r="B12" s="1">
        <v>1</v>
      </c>
      <c r="C12" s="1" t="s">
        <v>762</v>
      </c>
      <c r="D12" s="1">
        <v>17</v>
      </c>
      <c r="E12" s="1" t="s">
        <v>93</v>
      </c>
      <c r="F12" s="1" t="s">
        <v>766</v>
      </c>
      <c r="G12" s="52">
        <f t="shared" si="0"/>
        <v>44.759838684921874</v>
      </c>
      <c r="H12" s="52">
        <f>G13</f>
        <v>15.487833454990266</v>
      </c>
      <c r="I12" s="52">
        <f>G12</f>
        <v>44.759838684921874</v>
      </c>
    </row>
    <row r="13" spans="1:10" ht="14.25" customHeight="1" x14ac:dyDescent="0.3">
      <c r="A13" s="1" t="s">
        <v>43</v>
      </c>
      <c r="B13" s="1">
        <v>1</v>
      </c>
      <c r="C13" s="1" t="s">
        <v>762</v>
      </c>
      <c r="D13" s="1">
        <v>10</v>
      </c>
      <c r="E13" s="1" t="s">
        <v>111</v>
      </c>
      <c r="F13" s="1" t="s">
        <v>101</v>
      </c>
      <c r="G13" s="52">
        <f t="shared" si="0"/>
        <v>15.487833454990266</v>
      </c>
      <c r="H13" s="1"/>
      <c r="I13" s="1"/>
    </row>
    <row r="14" spans="1:10" ht="14.25" customHeight="1" x14ac:dyDescent="0.3">
      <c r="A14" s="1" t="s">
        <v>43</v>
      </c>
      <c r="B14">
        <v>2</v>
      </c>
      <c r="C14" t="s">
        <v>760</v>
      </c>
      <c r="D14" s="1"/>
      <c r="E14" s="1"/>
      <c r="F14" s="1"/>
      <c r="G14" s="52">
        <f t="shared" si="0"/>
        <v>0</v>
      </c>
      <c r="H14" s="1">
        <v>0</v>
      </c>
      <c r="I14" s="1">
        <v>0</v>
      </c>
      <c r="J14" t="s">
        <v>765</v>
      </c>
    </row>
    <row r="15" spans="1:10" ht="14.25" customHeight="1" x14ac:dyDescent="0.3">
      <c r="A15" s="1" t="s">
        <v>43</v>
      </c>
      <c r="B15">
        <v>2</v>
      </c>
      <c r="C15" t="s">
        <v>761</v>
      </c>
      <c r="D15">
        <v>28</v>
      </c>
      <c r="E15" t="s">
        <v>105</v>
      </c>
      <c r="F15" t="s">
        <v>101</v>
      </c>
      <c r="G15" s="52">
        <f t="shared" si="0"/>
        <v>121.4246142871237</v>
      </c>
      <c r="H15" s="52">
        <f>G15</f>
        <v>121.4246142871237</v>
      </c>
      <c r="I15" s="1">
        <v>0</v>
      </c>
    </row>
    <row r="16" spans="1:10" ht="14.25" customHeight="1" x14ac:dyDescent="0.3">
      <c r="A16" s="1" t="s">
        <v>43</v>
      </c>
      <c r="B16">
        <v>2</v>
      </c>
      <c r="C16" t="s">
        <v>101</v>
      </c>
      <c r="D16">
        <v>10</v>
      </c>
      <c r="E16" t="s">
        <v>106</v>
      </c>
      <c r="F16" t="s">
        <v>101</v>
      </c>
      <c r="G16" s="52">
        <f t="shared" si="0"/>
        <v>15.487833454990266</v>
      </c>
      <c r="H16" s="52">
        <f>SUM(G16:G17)</f>
        <v>28.032978553532381</v>
      </c>
      <c r="I16" s="1">
        <v>0</v>
      </c>
    </row>
    <row r="17" spans="1:10" ht="14.25" customHeight="1" x14ac:dyDescent="0.3">
      <c r="A17" s="1" t="s">
        <v>43</v>
      </c>
      <c r="B17">
        <v>2</v>
      </c>
      <c r="C17" t="s">
        <v>101</v>
      </c>
      <c r="D17">
        <v>9</v>
      </c>
      <c r="E17" t="s">
        <v>93</v>
      </c>
      <c r="F17" t="s">
        <v>101</v>
      </c>
      <c r="G17" s="52">
        <f t="shared" si="0"/>
        <v>12.545145098542116</v>
      </c>
      <c r="H17" s="1"/>
      <c r="I17" s="1"/>
    </row>
    <row r="18" spans="1:10" ht="14.25" customHeight="1" x14ac:dyDescent="0.3">
      <c r="A18" s="1" t="s">
        <v>43</v>
      </c>
      <c r="B18">
        <v>2</v>
      </c>
      <c r="C18" t="s">
        <v>762</v>
      </c>
      <c r="D18">
        <v>20</v>
      </c>
      <c r="E18" t="s">
        <v>93</v>
      </c>
      <c r="F18" t="s">
        <v>101</v>
      </c>
      <c r="G18" s="52">
        <f t="shared" si="0"/>
        <v>61.951333819961064</v>
      </c>
      <c r="H18" s="52">
        <f>G18</f>
        <v>61.951333819961064</v>
      </c>
      <c r="I18">
        <v>0</v>
      </c>
    </row>
    <row r="19" spans="1:10" ht="14.25" customHeight="1" x14ac:dyDescent="0.3">
      <c r="A19" s="1" t="s">
        <v>43</v>
      </c>
      <c r="B19">
        <v>3</v>
      </c>
      <c r="C19" t="s">
        <v>760</v>
      </c>
      <c r="D19">
        <v>17</v>
      </c>
      <c r="E19" t="s">
        <v>108</v>
      </c>
      <c r="F19" t="s">
        <v>101</v>
      </c>
      <c r="G19" s="52">
        <f t="shared" si="0"/>
        <v>44.759838684921874</v>
      </c>
      <c r="H19" s="52">
        <f>SUM(G19:G20)</f>
        <v>63.500117165460097</v>
      </c>
      <c r="I19" s="1">
        <v>0</v>
      </c>
    </row>
    <row r="20" spans="1:10" ht="14.25" customHeight="1" x14ac:dyDescent="0.3">
      <c r="A20" t="s">
        <v>43</v>
      </c>
      <c r="B20">
        <v>3</v>
      </c>
      <c r="C20" t="s">
        <v>760</v>
      </c>
      <c r="D20">
        <v>11</v>
      </c>
      <c r="E20" t="s">
        <v>93</v>
      </c>
      <c r="F20" t="s">
        <v>101</v>
      </c>
      <c r="G20" s="52">
        <f t="shared" si="0"/>
        <v>18.740278480538219</v>
      </c>
      <c r="H20" s="1"/>
      <c r="I20" s="1"/>
    </row>
    <row r="21" spans="1:10" ht="14.25" customHeight="1" x14ac:dyDescent="0.3">
      <c r="A21" s="1" t="s">
        <v>43</v>
      </c>
      <c r="B21">
        <v>3</v>
      </c>
      <c r="C21" t="s">
        <v>761</v>
      </c>
      <c r="D21">
        <v>29</v>
      </c>
      <c r="E21" t="s">
        <v>106</v>
      </c>
      <c r="F21" t="s">
        <v>101</v>
      </c>
      <c r="G21" s="52">
        <f t="shared" si="0"/>
        <v>130.25267935646812</v>
      </c>
      <c r="H21" s="52">
        <f>G21</f>
        <v>130.25267935646812</v>
      </c>
      <c r="I21" s="1">
        <v>0</v>
      </c>
    </row>
    <row r="22" spans="1:10" ht="14.25" customHeight="1" x14ac:dyDescent="0.3">
      <c r="A22" s="1" t="s">
        <v>43</v>
      </c>
      <c r="B22">
        <v>3</v>
      </c>
      <c r="C22" t="s">
        <v>101</v>
      </c>
      <c r="D22" s="1"/>
      <c r="E22" s="1"/>
      <c r="F22" s="1"/>
      <c r="G22" s="52">
        <f t="shared" si="0"/>
        <v>0</v>
      </c>
      <c r="H22" s="1">
        <v>0</v>
      </c>
      <c r="I22" s="1">
        <v>0</v>
      </c>
      <c r="J22" t="s">
        <v>765</v>
      </c>
    </row>
    <row r="23" spans="1:10" ht="14.25" customHeight="1" x14ac:dyDescent="0.3">
      <c r="A23" s="1" t="s">
        <v>43</v>
      </c>
      <c r="B23">
        <v>3</v>
      </c>
      <c r="C23" t="s">
        <v>762</v>
      </c>
      <c r="D23">
        <v>19</v>
      </c>
      <c r="E23" t="s">
        <v>108</v>
      </c>
      <c r="F23" t="s">
        <v>101</v>
      </c>
      <c r="G23" s="52">
        <f t="shared" si="0"/>
        <v>55.911078772514863</v>
      </c>
      <c r="H23" s="52">
        <f>G23</f>
        <v>55.911078772514863</v>
      </c>
      <c r="I23">
        <v>0</v>
      </c>
    </row>
    <row r="24" spans="1:10" ht="14.25" customHeight="1" x14ac:dyDescent="0.3">
      <c r="A24" s="1" t="s">
        <v>43</v>
      </c>
      <c r="B24">
        <v>4</v>
      </c>
      <c r="C24" t="s">
        <v>760</v>
      </c>
      <c r="D24" s="31">
        <v>9.5</v>
      </c>
      <c r="E24" t="s">
        <v>93</v>
      </c>
      <c r="F24" t="s">
        <v>766</v>
      </c>
      <c r="G24" s="52">
        <f t="shared" si="0"/>
        <v>13.977769693128716</v>
      </c>
      <c r="H24" s="52">
        <v>0</v>
      </c>
      <c r="I24" s="41">
        <f>SUM(G24:G25)</f>
        <v>22.689676011560742</v>
      </c>
      <c r="J24" t="s">
        <v>974</v>
      </c>
    </row>
    <row r="25" spans="1:10" ht="14.25" customHeight="1" x14ac:dyDescent="0.3">
      <c r="A25" s="1" t="s">
        <v>43</v>
      </c>
      <c r="B25">
        <v>4</v>
      </c>
      <c r="C25" t="s">
        <v>760</v>
      </c>
      <c r="D25" s="31">
        <v>7.5</v>
      </c>
      <c r="E25" t="s">
        <v>106</v>
      </c>
      <c r="F25" t="s">
        <v>766</v>
      </c>
      <c r="G25" s="52">
        <f t="shared" si="0"/>
        <v>8.7119063184320265</v>
      </c>
      <c r="H25" s="52"/>
      <c r="J25" t="s">
        <v>975</v>
      </c>
    </row>
    <row r="26" spans="1:10" ht="14.25" customHeight="1" x14ac:dyDescent="0.3">
      <c r="A26" s="1" t="s">
        <v>43</v>
      </c>
      <c r="B26">
        <v>4</v>
      </c>
      <c r="C26" t="s">
        <v>761</v>
      </c>
      <c r="D26">
        <v>40</v>
      </c>
      <c r="E26" t="s">
        <v>106</v>
      </c>
      <c r="F26" t="s">
        <v>766</v>
      </c>
      <c r="G26" s="52">
        <f t="shared" si="0"/>
        <v>247.80533527984426</v>
      </c>
      <c r="H26" s="52">
        <v>0</v>
      </c>
      <c r="I26" s="41">
        <f>G26</f>
        <v>247.80533527984426</v>
      </c>
    </row>
    <row r="27" spans="1:10" ht="14.25" customHeight="1" x14ac:dyDescent="0.3">
      <c r="A27" s="1" t="s">
        <v>43</v>
      </c>
      <c r="B27">
        <v>4</v>
      </c>
      <c r="C27" t="s">
        <v>101</v>
      </c>
      <c r="G27" s="52">
        <f t="shared" si="0"/>
        <v>0</v>
      </c>
      <c r="H27" s="52">
        <v>0</v>
      </c>
      <c r="I27">
        <v>0</v>
      </c>
      <c r="J27" t="s">
        <v>765</v>
      </c>
    </row>
    <row r="28" spans="1:10" ht="14.25" customHeight="1" x14ac:dyDescent="0.3">
      <c r="A28" s="1" t="s">
        <v>43</v>
      </c>
      <c r="B28">
        <v>4</v>
      </c>
      <c r="C28" t="s">
        <v>762</v>
      </c>
      <c r="D28">
        <v>48</v>
      </c>
      <c r="E28" t="s">
        <v>106</v>
      </c>
      <c r="F28" t="s">
        <v>101</v>
      </c>
      <c r="G28" s="52">
        <f t="shared" si="0"/>
        <v>356.83968280297569</v>
      </c>
      <c r="H28" s="52">
        <f>G28</f>
        <v>356.83968280297569</v>
      </c>
      <c r="I28">
        <v>0</v>
      </c>
    </row>
    <row r="29" spans="1:10" ht="14.25" customHeight="1" x14ac:dyDescent="0.3">
      <c r="A29" s="1" t="s">
        <v>43</v>
      </c>
      <c r="B29">
        <v>5</v>
      </c>
      <c r="C29" t="s">
        <v>760</v>
      </c>
      <c r="D29">
        <v>17</v>
      </c>
      <c r="E29" t="s">
        <v>93</v>
      </c>
      <c r="F29" t="s">
        <v>101</v>
      </c>
      <c r="G29" s="52">
        <f t="shared" si="0"/>
        <v>44.759838684921874</v>
      </c>
      <c r="H29" s="52">
        <f>G29</f>
        <v>44.759838684921874</v>
      </c>
      <c r="I29" s="41">
        <f>G30</f>
        <v>18.740278480538219</v>
      </c>
    </row>
    <row r="30" spans="1:10" ht="14.25" customHeight="1" x14ac:dyDescent="0.3">
      <c r="A30" s="1" t="s">
        <v>43</v>
      </c>
      <c r="B30">
        <v>5</v>
      </c>
      <c r="C30" t="s">
        <v>760</v>
      </c>
      <c r="D30">
        <v>11</v>
      </c>
      <c r="E30" t="s">
        <v>93</v>
      </c>
      <c r="F30" t="s">
        <v>766</v>
      </c>
      <c r="G30" s="52">
        <f t="shared" si="0"/>
        <v>18.740278480538219</v>
      </c>
      <c r="H30" s="52"/>
    </row>
    <row r="31" spans="1:10" ht="14.25" customHeight="1" x14ac:dyDescent="0.3">
      <c r="A31" s="1" t="s">
        <v>43</v>
      </c>
      <c r="B31">
        <v>5</v>
      </c>
      <c r="C31" t="s">
        <v>761</v>
      </c>
      <c r="D31">
        <v>8</v>
      </c>
      <c r="E31" t="s">
        <v>93</v>
      </c>
      <c r="F31" t="s">
        <v>101</v>
      </c>
      <c r="G31" s="52">
        <f t="shared" si="0"/>
        <v>9.9122134111937719</v>
      </c>
      <c r="H31" s="52">
        <f>G31</f>
        <v>9.9122134111937719</v>
      </c>
      <c r="I31">
        <v>0</v>
      </c>
    </row>
    <row r="32" spans="1:10" ht="14.25" customHeight="1" x14ac:dyDescent="0.3">
      <c r="A32" s="1" t="s">
        <v>43</v>
      </c>
      <c r="B32">
        <v>5</v>
      </c>
      <c r="C32" t="s">
        <v>101</v>
      </c>
      <c r="D32">
        <v>7</v>
      </c>
      <c r="E32" t="s">
        <v>93</v>
      </c>
      <c r="F32" t="s">
        <v>766</v>
      </c>
      <c r="G32" s="52">
        <f t="shared" si="0"/>
        <v>7.5890383929452314</v>
      </c>
      <c r="H32" s="52">
        <v>0</v>
      </c>
      <c r="I32" s="41">
        <f>G32</f>
        <v>7.5890383929452314</v>
      </c>
    </row>
    <row r="33" spans="1:10" ht="14.25" customHeight="1" x14ac:dyDescent="0.3">
      <c r="A33" s="1" t="s">
        <v>43</v>
      </c>
      <c r="B33">
        <v>5</v>
      </c>
      <c r="C33" t="s">
        <v>762</v>
      </c>
      <c r="G33" s="52">
        <f t="shared" si="0"/>
        <v>0</v>
      </c>
      <c r="H33" s="52">
        <v>0</v>
      </c>
      <c r="I33">
        <v>0</v>
      </c>
      <c r="J33" t="s">
        <v>765</v>
      </c>
    </row>
    <row r="34" spans="1:10" ht="14.25" customHeight="1" x14ac:dyDescent="0.3">
      <c r="A34" s="1" t="s">
        <v>43</v>
      </c>
      <c r="B34">
        <v>6</v>
      </c>
      <c r="C34" t="s">
        <v>760</v>
      </c>
      <c r="D34">
        <v>15</v>
      </c>
      <c r="E34" t="s">
        <v>93</v>
      </c>
      <c r="F34" t="s">
        <v>101</v>
      </c>
      <c r="G34" s="52">
        <f t="shared" si="0"/>
        <v>34.847625273728106</v>
      </c>
      <c r="H34" s="52">
        <f>G34</f>
        <v>34.847625273728106</v>
      </c>
      <c r="I34">
        <v>0</v>
      </c>
    </row>
    <row r="35" spans="1:10" ht="14.25" customHeight="1" x14ac:dyDescent="0.3">
      <c r="A35" s="1" t="s">
        <v>43</v>
      </c>
      <c r="B35">
        <v>6</v>
      </c>
      <c r="C35" t="s">
        <v>761</v>
      </c>
      <c r="D35">
        <v>35</v>
      </c>
      <c r="E35" t="s">
        <v>93</v>
      </c>
      <c r="F35" t="s">
        <v>766</v>
      </c>
      <c r="G35" s="52">
        <f t="shared" si="0"/>
        <v>189.72595982363075</v>
      </c>
      <c r="H35" s="52">
        <v>0</v>
      </c>
      <c r="I35" s="41">
        <f>G35</f>
        <v>189.72595982363075</v>
      </c>
    </row>
    <row r="36" spans="1:10" ht="14.25" customHeight="1" x14ac:dyDescent="0.3">
      <c r="A36" s="1" t="s">
        <v>43</v>
      </c>
      <c r="B36">
        <v>6</v>
      </c>
      <c r="C36" t="s">
        <v>101</v>
      </c>
      <c r="D36">
        <v>13</v>
      </c>
      <c r="E36" t="s">
        <v>93</v>
      </c>
      <c r="F36" t="s">
        <v>101</v>
      </c>
      <c r="G36" s="52">
        <f t="shared" si="0"/>
        <v>26.174438538933547</v>
      </c>
      <c r="H36" s="52">
        <f>SUM(G36:G37)</f>
        <v>65.823292183708631</v>
      </c>
      <c r="I36">
        <v>0</v>
      </c>
    </row>
    <row r="37" spans="1:10" ht="14.25" customHeight="1" x14ac:dyDescent="0.3">
      <c r="A37" s="1" t="s">
        <v>43</v>
      </c>
      <c r="B37">
        <v>6</v>
      </c>
      <c r="C37" t="s">
        <v>101</v>
      </c>
      <c r="D37">
        <v>16</v>
      </c>
      <c r="E37" t="s">
        <v>93</v>
      </c>
      <c r="F37" t="s">
        <v>101</v>
      </c>
      <c r="G37" s="52">
        <f t="shared" si="0"/>
        <v>39.648853644775087</v>
      </c>
      <c r="H37" s="52"/>
    </row>
    <row r="38" spans="1:10" ht="14.25" customHeight="1" x14ac:dyDescent="0.3">
      <c r="A38" s="1" t="s">
        <v>43</v>
      </c>
      <c r="B38">
        <v>6</v>
      </c>
      <c r="C38" t="s">
        <v>762</v>
      </c>
      <c r="D38">
        <v>15</v>
      </c>
      <c r="E38" t="s">
        <v>109</v>
      </c>
      <c r="F38" t="s">
        <v>101</v>
      </c>
      <c r="G38" s="52">
        <f t="shared" si="0"/>
        <v>34.847625273728106</v>
      </c>
      <c r="H38" s="52">
        <f>G38</f>
        <v>34.847625273728106</v>
      </c>
      <c r="I38">
        <v>0</v>
      </c>
    </row>
    <row r="39" spans="1:10" ht="14.25" customHeight="1" x14ac:dyDescent="0.3">
      <c r="A39" s="1" t="s">
        <v>43</v>
      </c>
      <c r="B39">
        <v>7</v>
      </c>
      <c r="C39" t="s">
        <v>760</v>
      </c>
      <c r="D39">
        <v>85</v>
      </c>
      <c r="E39" t="s">
        <v>109</v>
      </c>
      <c r="F39" t="s">
        <v>101</v>
      </c>
      <c r="G39" s="52">
        <f t="shared" si="0"/>
        <v>1118.9959671230467</v>
      </c>
      <c r="H39" s="52">
        <f>SUM(G39:G42)</f>
        <v>1183.7351109649062</v>
      </c>
      <c r="I39">
        <v>0</v>
      </c>
    </row>
    <row r="40" spans="1:10" ht="14.25" customHeight="1" x14ac:dyDescent="0.3">
      <c r="A40" s="1" t="s">
        <v>43</v>
      </c>
      <c r="B40">
        <v>7</v>
      </c>
      <c r="C40" t="s">
        <v>760</v>
      </c>
      <c r="D40">
        <v>16</v>
      </c>
      <c r="E40" t="s">
        <v>106</v>
      </c>
      <c r="F40" t="s">
        <v>101</v>
      </c>
      <c r="G40" s="52">
        <f t="shared" si="0"/>
        <v>39.648853644775087</v>
      </c>
      <c r="H40" s="52"/>
    </row>
    <row r="41" spans="1:10" ht="14.25" customHeight="1" x14ac:dyDescent="0.3">
      <c r="A41" s="1" t="s">
        <v>43</v>
      </c>
      <c r="B41">
        <v>7</v>
      </c>
      <c r="C41" t="s">
        <v>760</v>
      </c>
      <c r="D41">
        <v>9</v>
      </c>
      <c r="E41" t="s">
        <v>109</v>
      </c>
      <c r="F41" t="s">
        <v>101</v>
      </c>
      <c r="G41" s="52">
        <f t="shared" si="0"/>
        <v>12.545145098542116</v>
      </c>
      <c r="H41" s="52"/>
    </row>
    <row r="42" spans="1:10" ht="14.25" customHeight="1" x14ac:dyDescent="0.3">
      <c r="A42" s="1" t="s">
        <v>43</v>
      </c>
      <c r="B42">
        <v>7</v>
      </c>
      <c r="C42" t="s">
        <v>760</v>
      </c>
      <c r="D42">
        <v>9</v>
      </c>
      <c r="E42" t="s">
        <v>109</v>
      </c>
      <c r="F42" t="s">
        <v>101</v>
      </c>
      <c r="G42" s="52">
        <f t="shared" si="0"/>
        <v>12.545145098542116</v>
      </c>
      <c r="H42" s="52"/>
    </row>
    <row r="43" spans="1:10" ht="14.25" customHeight="1" x14ac:dyDescent="0.3">
      <c r="A43" s="1" t="s">
        <v>43</v>
      </c>
      <c r="B43">
        <v>7</v>
      </c>
      <c r="C43" t="s">
        <v>761</v>
      </c>
      <c r="D43">
        <v>9.5</v>
      </c>
      <c r="E43" t="s">
        <v>109</v>
      </c>
      <c r="F43" t="s">
        <v>101</v>
      </c>
      <c r="G43" s="52">
        <f t="shared" si="0"/>
        <v>13.977769693128716</v>
      </c>
      <c r="H43" s="52">
        <f>G43</f>
        <v>13.977769693128716</v>
      </c>
      <c r="I43">
        <v>0</v>
      </c>
    </row>
    <row r="44" spans="1:10" ht="14.25" customHeight="1" x14ac:dyDescent="0.3">
      <c r="A44" s="1" t="s">
        <v>43</v>
      </c>
      <c r="B44">
        <v>7</v>
      </c>
      <c r="C44" t="s">
        <v>101</v>
      </c>
      <c r="D44">
        <v>9</v>
      </c>
      <c r="E44" t="s">
        <v>93</v>
      </c>
      <c r="F44" t="s">
        <v>101</v>
      </c>
      <c r="G44" s="52">
        <f t="shared" si="0"/>
        <v>12.545145098542116</v>
      </c>
      <c r="H44" s="52">
        <f t="shared" ref="H44:H45" si="1">G44</f>
        <v>12.545145098542116</v>
      </c>
      <c r="I44">
        <v>0</v>
      </c>
    </row>
    <row r="45" spans="1:10" ht="14.25" customHeight="1" x14ac:dyDescent="0.3">
      <c r="A45" s="1" t="s">
        <v>43</v>
      </c>
      <c r="B45">
        <v>7</v>
      </c>
      <c r="C45" t="s">
        <v>762</v>
      </c>
      <c r="D45">
        <v>11</v>
      </c>
      <c r="E45" t="s">
        <v>109</v>
      </c>
      <c r="F45" t="s">
        <v>101</v>
      </c>
      <c r="G45" s="52">
        <f t="shared" si="0"/>
        <v>18.740278480538219</v>
      </c>
      <c r="H45" s="52">
        <f t="shared" si="1"/>
        <v>18.740278480538219</v>
      </c>
      <c r="I45">
        <v>0</v>
      </c>
    </row>
    <row r="46" spans="1:10" ht="14.25" customHeight="1" x14ac:dyDescent="0.3">
      <c r="A46" s="1" t="s">
        <v>43</v>
      </c>
      <c r="B46" s="1">
        <v>8</v>
      </c>
      <c r="C46" s="1" t="s">
        <v>761</v>
      </c>
      <c r="D46" s="1">
        <v>18</v>
      </c>
      <c r="E46" s="1" t="s">
        <v>93</v>
      </c>
      <c r="F46" s="1" t="s">
        <v>101</v>
      </c>
      <c r="G46" s="52">
        <f t="shared" si="0"/>
        <v>50.180580394168466</v>
      </c>
      <c r="H46" s="52">
        <f>SUM(G46:G48)</f>
        <v>181.0527730888362</v>
      </c>
      <c r="I46" s="1">
        <v>0</v>
      </c>
    </row>
    <row r="47" spans="1:10" ht="14.25" customHeight="1" x14ac:dyDescent="0.3">
      <c r="A47" s="1" t="s">
        <v>43</v>
      </c>
      <c r="B47" s="1">
        <v>8</v>
      </c>
      <c r="C47" s="1" t="s">
        <v>761</v>
      </c>
      <c r="D47" s="1">
        <v>19</v>
      </c>
      <c r="E47" s="1" t="s">
        <v>93</v>
      </c>
      <c r="F47" s="1" t="s">
        <v>101</v>
      </c>
      <c r="G47" s="52">
        <f t="shared" si="0"/>
        <v>55.911078772514863</v>
      </c>
      <c r="H47" s="1"/>
      <c r="I47" s="1"/>
    </row>
    <row r="48" spans="1:10" ht="14.25" customHeight="1" x14ac:dyDescent="0.3">
      <c r="A48" s="1" t="s">
        <v>43</v>
      </c>
      <c r="B48" s="1">
        <v>8</v>
      </c>
      <c r="C48" s="1" t="s">
        <v>761</v>
      </c>
      <c r="D48" s="1">
        <v>22</v>
      </c>
      <c r="E48" s="1" t="s">
        <v>93</v>
      </c>
      <c r="F48" s="1" t="s">
        <v>101</v>
      </c>
      <c r="G48" s="52">
        <f t="shared" si="0"/>
        <v>74.961113922152876</v>
      </c>
      <c r="H48" s="1"/>
      <c r="I48" s="1"/>
    </row>
    <row r="49" spans="1:10" ht="14.25" customHeight="1" x14ac:dyDescent="0.3">
      <c r="A49" s="1" t="s">
        <v>43</v>
      </c>
      <c r="B49" s="1">
        <v>8</v>
      </c>
      <c r="C49" s="1" t="s">
        <v>760</v>
      </c>
      <c r="G49" s="52">
        <f t="shared" si="0"/>
        <v>0</v>
      </c>
      <c r="H49">
        <v>0</v>
      </c>
      <c r="I49">
        <v>0</v>
      </c>
      <c r="J49" s="1" t="s">
        <v>765</v>
      </c>
    </row>
    <row r="50" spans="1:10" ht="14.25" customHeight="1" x14ac:dyDescent="0.3">
      <c r="A50" s="1" t="s">
        <v>43</v>
      </c>
      <c r="B50" s="1">
        <v>8</v>
      </c>
      <c r="C50" s="1" t="s">
        <v>101</v>
      </c>
      <c r="D50" s="1">
        <v>14</v>
      </c>
      <c r="E50" s="1" t="s">
        <v>93</v>
      </c>
      <c r="F50" s="1" t="s">
        <v>766</v>
      </c>
      <c r="G50" s="52">
        <f t="shared" si="0"/>
        <v>30.356153571780926</v>
      </c>
      <c r="H50" s="1">
        <v>0</v>
      </c>
      <c r="I50" s="52">
        <f>G50</f>
        <v>30.356153571780926</v>
      </c>
    </row>
    <row r="51" spans="1:10" ht="14.25" customHeight="1" x14ac:dyDescent="0.3">
      <c r="A51" s="1" t="s">
        <v>43</v>
      </c>
      <c r="B51" s="1">
        <v>8</v>
      </c>
      <c r="C51" s="1" t="s">
        <v>762</v>
      </c>
      <c r="D51" s="1">
        <v>9</v>
      </c>
      <c r="E51" s="1" t="s">
        <v>93</v>
      </c>
      <c r="F51" s="1" t="s">
        <v>101</v>
      </c>
      <c r="G51" s="52">
        <f t="shared" si="0"/>
        <v>12.545145098542116</v>
      </c>
      <c r="H51" s="52">
        <f>SUM(G51:G52)</f>
        <v>38.719583637475665</v>
      </c>
      <c r="I51" s="1">
        <v>0</v>
      </c>
    </row>
    <row r="52" spans="1:10" ht="14.25" customHeight="1" x14ac:dyDescent="0.3">
      <c r="A52" s="1" t="s">
        <v>43</v>
      </c>
      <c r="B52" s="1">
        <v>8</v>
      </c>
      <c r="C52" s="1" t="s">
        <v>762</v>
      </c>
      <c r="D52" s="1">
        <v>13</v>
      </c>
      <c r="E52" s="1" t="s">
        <v>93</v>
      </c>
      <c r="F52" s="1" t="s">
        <v>101</v>
      </c>
      <c r="G52" s="52">
        <f t="shared" si="0"/>
        <v>26.174438538933547</v>
      </c>
      <c r="H52" s="1"/>
      <c r="I52" s="1"/>
    </row>
    <row r="53" spans="1:10" ht="14.25" customHeight="1" x14ac:dyDescent="0.3">
      <c r="A53" s="1" t="s">
        <v>43</v>
      </c>
      <c r="B53">
        <v>9</v>
      </c>
      <c r="C53" t="s">
        <v>760</v>
      </c>
      <c r="D53">
        <v>12</v>
      </c>
      <c r="E53" t="s">
        <v>108</v>
      </c>
      <c r="F53" t="s">
        <v>101</v>
      </c>
      <c r="G53" s="52">
        <f t="shared" si="0"/>
        <v>22.30248017518598</v>
      </c>
      <c r="H53" s="52">
        <f>G53</f>
        <v>22.30248017518598</v>
      </c>
      <c r="I53" s="1">
        <v>0</v>
      </c>
    </row>
    <row r="54" spans="1:10" ht="14.25" customHeight="1" x14ac:dyDescent="0.3">
      <c r="A54" s="1" t="s">
        <v>43</v>
      </c>
      <c r="B54">
        <v>9</v>
      </c>
      <c r="C54" t="s">
        <v>761</v>
      </c>
      <c r="E54" s="1"/>
      <c r="G54" s="52">
        <f t="shared" si="0"/>
        <v>0</v>
      </c>
      <c r="H54" s="1">
        <v>0</v>
      </c>
      <c r="I54">
        <v>0</v>
      </c>
      <c r="J54" t="s">
        <v>765</v>
      </c>
    </row>
    <row r="55" spans="1:10" ht="14.25" customHeight="1" x14ac:dyDescent="0.3">
      <c r="A55" s="1" t="s">
        <v>43</v>
      </c>
      <c r="B55">
        <v>9</v>
      </c>
      <c r="C55" t="s">
        <v>101</v>
      </c>
      <c r="D55">
        <v>16</v>
      </c>
      <c r="E55" t="s">
        <v>93</v>
      </c>
      <c r="F55" t="s">
        <v>101</v>
      </c>
      <c r="G55" s="52">
        <f t="shared" si="0"/>
        <v>39.648853644775087</v>
      </c>
      <c r="H55" s="52">
        <f>SUM(G55:G56)</f>
        <v>136.44781273846425</v>
      </c>
      <c r="I55">
        <v>0</v>
      </c>
    </row>
    <row r="56" spans="1:10" ht="14.25" customHeight="1" x14ac:dyDescent="0.3">
      <c r="A56" s="1" t="s">
        <v>43</v>
      </c>
      <c r="B56">
        <v>9</v>
      </c>
      <c r="C56" t="s">
        <v>101</v>
      </c>
      <c r="D56">
        <v>25</v>
      </c>
      <c r="E56" t="s">
        <v>93</v>
      </c>
      <c r="F56" t="s">
        <v>101</v>
      </c>
      <c r="G56" s="52">
        <f t="shared" si="0"/>
        <v>96.798959093689163</v>
      </c>
      <c r="H56" s="1"/>
      <c r="I56" s="1"/>
    </row>
    <row r="57" spans="1:10" ht="14.25" customHeight="1" x14ac:dyDescent="0.3">
      <c r="A57" s="1" t="s">
        <v>43</v>
      </c>
      <c r="B57">
        <v>9</v>
      </c>
      <c r="C57" t="s">
        <v>762</v>
      </c>
      <c r="D57">
        <v>13</v>
      </c>
      <c r="E57" t="s">
        <v>106</v>
      </c>
      <c r="F57" t="s">
        <v>766</v>
      </c>
      <c r="G57" s="52">
        <f t="shared" si="0"/>
        <v>26.174438538933547</v>
      </c>
      <c r="H57" s="1">
        <v>0</v>
      </c>
      <c r="I57" s="52">
        <f>G57</f>
        <v>26.174438538933547</v>
      </c>
    </row>
    <row r="58" spans="1:10" ht="14.25" customHeight="1" x14ac:dyDescent="0.3">
      <c r="A58" s="1" t="s">
        <v>43</v>
      </c>
      <c r="B58">
        <v>10</v>
      </c>
      <c r="C58" t="s">
        <v>760</v>
      </c>
      <c r="D58">
        <v>11</v>
      </c>
      <c r="E58" t="s">
        <v>93</v>
      </c>
      <c r="F58" t="s">
        <v>101</v>
      </c>
      <c r="G58" s="52">
        <f t="shared" si="0"/>
        <v>18.740278480538219</v>
      </c>
      <c r="H58" s="52">
        <f>G58</f>
        <v>18.740278480538219</v>
      </c>
      <c r="I58" s="52">
        <v>0</v>
      </c>
    </row>
    <row r="59" spans="1:10" ht="14.25" customHeight="1" x14ac:dyDescent="0.3">
      <c r="A59" s="1" t="s">
        <v>43</v>
      </c>
      <c r="B59">
        <v>10</v>
      </c>
      <c r="C59" t="s">
        <v>761</v>
      </c>
      <c r="D59">
        <v>11</v>
      </c>
      <c r="E59" t="s">
        <v>93</v>
      </c>
      <c r="F59" t="s">
        <v>101</v>
      </c>
      <c r="G59" s="52">
        <f t="shared" si="0"/>
        <v>18.740278480538219</v>
      </c>
      <c r="H59" s="52">
        <f>SUM(G59:G60)</f>
        <v>41.042758655724199</v>
      </c>
      <c r="I59" s="52">
        <v>0</v>
      </c>
    </row>
    <row r="60" spans="1:10" ht="14.25" customHeight="1" x14ac:dyDescent="0.3">
      <c r="A60" s="1" t="s">
        <v>43</v>
      </c>
      <c r="B60">
        <v>10</v>
      </c>
      <c r="C60" t="s">
        <v>761</v>
      </c>
      <c r="D60">
        <v>12</v>
      </c>
      <c r="E60" t="s">
        <v>93</v>
      </c>
      <c r="F60" t="s">
        <v>101</v>
      </c>
      <c r="G60" s="52">
        <f t="shared" si="0"/>
        <v>22.30248017518598</v>
      </c>
      <c r="H60" s="1"/>
      <c r="I60" s="52"/>
    </row>
    <row r="61" spans="1:10" ht="14.25" customHeight="1" x14ac:dyDescent="0.3">
      <c r="A61" s="1" t="s">
        <v>43</v>
      </c>
      <c r="B61">
        <v>10</v>
      </c>
      <c r="C61" t="s">
        <v>101</v>
      </c>
      <c r="G61" s="52">
        <f t="shared" si="0"/>
        <v>0</v>
      </c>
      <c r="H61" s="1">
        <v>0</v>
      </c>
      <c r="I61" s="52">
        <v>0</v>
      </c>
      <c r="J61" t="s">
        <v>765</v>
      </c>
    </row>
    <row r="62" spans="1:10" ht="14.25" customHeight="1" x14ac:dyDescent="0.3">
      <c r="A62" s="1" t="s">
        <v>43</v>
      </c>
      <c r="B62">
        <v>10</v>
      </c>
      <c r="C62" t="s">
        <v>762</v>
      </c>
      <c r="D62">
        <v>9</v>
      </c>
      <c r="E62" t="s">
        <v>93</v>
      </c>
      <c r="F62" t="s">
        <v>101</v>
      </c>
      <c r="G62" s="52">
        <f t="shared" si="0"/>
        <v>12.545145098542116</v>
      </c>
      <c r="H62" s="52">
        <f>G62</f>
        <v>12.545145098542116</v>
      </c>
      <c r="I62" s="52">
        <v>0</v>
      </c>
    </row>
    <row r="63" spans="1:10" ht="14.25" customHeight="1" x14ac:dyDescent="0.3">
      <c r="A63" s="1" t="s">
        <v>43</v>
      </c>
      <c r="B63">
        <v>11</v>
      </c>
      <c r="C63" t="s">
        <v>760</v>
      </c>
      <c r="D63">
        <v>9</v>
      </c>
      <c r="E63" t="s">
        <v>109</v>
      </c>
      <c r="F63" t="s">
        <v>101</v>
      </c>
      <c r="G63" s="52">
        <f t="shared" si="0"/>
        <v>12.545145098542116</v>
      </c>
      <c r="H63" s="52">
        <f>SUM(G63:G66)</f>
        <v>54.981808765215447</v>
      </c>
      <c r="I63" s="52">
        <v>0</v>
      </c>
    </row>
    <row r="64" spans="1:10" ht="14.25" customHeight="1" x14ac:dyDescent="0.3">
      <c r="A64" s="1" t="s">
        <v>43</v>
      </c>
      <c r="B64">
        <v>11</v>
      </c>
      <c r="C64" t="s">
        <v>760</v>
      </c>
      <c r="D64">
        <v>7</v>
      </c>
      <c r="E64" t="s">
        <v>109</v>
      </c>
      <c r="F64" t="s">
        <v>101</v>
      </c>
      <c r="G64" s="52">
        <f t="shared" si="0"/>
        <v>7.5890383929452314</v>
      </c>
      <c r="H64" s="1"/>
      <c r="I64" s="52"/>
    </row>
    <row r="65" spans="1:10" ht="14.25" customHeight="1" x14ac:dyDescent="0.3">
      <c r="A65" s="1" t="s">
        <v>43</v>
      </c>
      <c r="B65">
        <v>11</v>
      </c>
      <c r="C65" t="s">
        <v>760</v>
      </c>
      <c r="D65">
        <v>9</v>
      </c>
      <c r="E65" t="s">
        <v>93</v>
      </c>
      <c r="F65" t="s">
        <v>101</v>
      </c>
      <c r="G65" s="52">
        <f t="shared" si="0"/>
        <v>12.545145098542116</v>
      </c>
      <c r="H65" s="1"/>
      <c r="I65" s="52"/>
    </row>
    <row r="66" spans="1:10" ht="14.25" customHeight="1" x14ac:dyDescent="0.3">
      <c r="A66" s="1" t="s">
        <v>43</v>
      </c>
      <c r="B66">
        <v>11</v>
      </c>
      <c r="C66" t="s">
        <v>760</v>
      </c>
      <c r="D66">
        <v>12</v>
      </c>
      <c r="E66" t="s">
        <v>93</v>
      </c>
      <c r="F66" t="s">
        <v>101</v>
      </c>
      <c r="G66" s="52">
        <f t="shared" si="0"/>
        <v>22.30248017518598</v>
      </c>
      <c r="H66" s="1"/>
      <c r="I66" s="52"/>
    </row>
    <row r="67" spans="1:10" ht="14.25" customHeight="1" x14ac:dyDescent="0.3">
      <c r="A67" s="1" t="s">
        <v>43</v>
      </c>
      <c r="B67">
        <v>11</v>
      </c>
      <c r="C67" t="s">
        <v>761</v>
      </c>
      <c r="D67">
        <v>21</v>
      </c>
      <c r="E67" t="s">
        <v>109</v>
      </c>
      <c r="F67" t="s">
        <v>101</v>
      </c>
      <c r="G67" s="52">
        <f t="shared" si="0"/>
        <v>68.301345536507085</v>
      </c>
      <c r="H67" s="52">
        <f>G67</f>
        <v>68.301345536507085</v>
      </c>
      <c r="I67" s="52">
        <f>G68</f>
        <v>5.5756200437964951</v>
      </c>
    </row>
    <row r="68" spans="1:10" ht="14.25" customHeight="1" x14ac:dyDescent="0.3">
      <c r="A68" s="1" t="s">
        <v>43</v>
      </c>
      <c r="B68">
        <v>11</v>
      </c>
      <c r="C68" t="s">
        <v>761</v>
      </c>
      <c r="D68">
        <v>6</v>
      </c>
      <c r="E68" t="s">
        <v>93</v>
      </c>
      <c r="F68" t="s">
        <v>766</v>
      </c>
      <c r="G68" s="52">
        <f t="shared" si="0"/>
        <v>5.5756200437964951</v>
      </c>
      <c r="H68" s="1"/>
      <c r="I68" s="52"/>
    </row>
    <row r="69" spans="1:10" ht="14.25" customHeight="1" x14ac:dyDescent="0.3">
      <c r="A69" s="1" t="s">
        <v>43</v>
      </c>
      <c r="B69">
        <v>11</v>
      </c>
      <c r="C69" t="s">
        <v>101</v>
      </c>
      <c r="D69">
        <v>64</v>
      </c>
      <c r="E69" t="s">
        <v>106</v>
      </c>
      <c r="F69" t="s">
        <v>766</v>
      </c>
      <c r="G69" s="52">
        <f t="shared" si="0"/>
        <v>634.3816583164014</v>
      </c>
      <c r="H69" s="52">
        <f>G70</f>
        <v>7.5890383929452314</v>
      </c>
      <c r="I69" s="52">
        <f>G69</f>
        <v>634.3816583164014</v>
      </c>
    </row>
    <row r="70" spans="1:10" ht="14.25" customHeight="1" x14ac:dyDescent="0.3">
      <c r="A70" s="1" t="s">
        <v>43</v>
      </c>
      <c r="B70">
        <v>11</v>
      </c>
      <c r="C70" t="s">
        <v>101</v>
      </c>
      <c r="D70">
        <v>7</v>
      </c>
      <c r="E70" t="s">
        <v>93</v>
      </c>
      <c r="F70" t="s">
        <v>101</v>
      </c>
      <c r="G70" s="52">
        <f t="shared" si="0"/>
        <v>7.5890383929452314</v>
      </c>
      <c r="H70" s="1"/>
      <c r="I70" s="52"/>
    </row>
    <row r="71" spans="1:10" ht="14.25" customHeight="1" x14ac:dyDescent="0.3">
      <c r="A71" s="1" t="s">
        <v>43</v>
      </c>
      <c r="B71">
        <v>11</v>
      </c>
      <c r="C71" t="s">
        <v>762</v>
      </c>
      <c r="G71" s="52">
        <f t="shared" si="0"/>
        <v>0</v>
      </c>
      <c r="H71" s="1">
        <v>0</v>
      </c>
      <c r="I71" s="52">
        <v>0</v>
      </c>
      <c r="J71" t="s">
        <v>765</v>
      </c>
    </row>
    <row r="72" spans="1:10" ht="14.25" customHeight="1" x14ac:dyDescent="0.3">
      <c r="A72" s="1" t="s">
        <v>43</v>
      </c>
      <c r="B72">
        <v>12</v>
      </c>
      <c r="C72" t="s">
        <v>760</v>
      </c>
      <c r="D72">
        <v>13</v>
      </c>
      <c r="E72" t="s">
        <v>93</v>
      </c>
      <c r="F72" t="s">
        <v>101</v>
      </c>
      <c r="G72" s="52">
        <f t="shared" si="0"/>
        <v>26.174438538933547</v>
      </c>
      <c r="H72" s="52">
        <f>SUM(G72:G73)</f>
        <v>70.934277223855418</v>
      </c>
      <c r="I72" s="1">
        <v>0</v>
      </c>
    </row>
    <row r="73" spans="1:10" ht="14.25" customHeight="1" x14ac:dyDescent="0.3">
      <c r="A73" s="1" t="s">
        <v>43</v>
      </c>
      <c r="B73">
        <v>12</v>
      </c>
      <c r="C73" t="s">
        <v>760</v>
      </c>
      <c r="D73">
        <v>17</v>
      </c>
      <c r="E73" t="s">
        <v>93</v>
      </c>
      <c r="F73" t="s">
        <v>101</v>
      </c>
      <c r="G73" s="52">
        <f t="shared" si="0"/>
        <v>44.759838684921874</v>
      </c>
      <c r="H73" s="1"/>
      <c r="I73" s="1"/>
    </row>
    <row r="74" spans="1:10" ht="14.25" customHeight="1" x14ac:dyDescent="0.3">
      <c r="A74" s="1" t="s">
        <v>43</v>
      </c>
      <c r="B74">
        <v>12</v>
      </c>
      <c r="C74" t="s">
        <v>761</v>
      </c>
      <c r="D74">
        <v>12</v>
      </c>
      <c r="E74" t="s">
        <v>93</v>
      </c>
      <c r="F74" t="s">
        <v>766</v>
      </c>
      <c r="G74" s="52">
        <f t="shared" si="0"/>
        <v>22.30248017518598</v>
      </c>
      <c r="H74" s="1">
        <v>0</v>
      </c>
      <c r="I74" s="52">
        <f>G74</f>
        <v>22.30248017518598</v>
      </c>
    </row>
    <row r="75" spans="1:10" ht="14.25" customHeight="1" x14ac:dyDescent="0.3">
      <c r="A75" s="1" t="s">
        <v>43</v>
      </c>
      <c r="B75">
        <v>12</v>
      </c>
      <c r="C75" t="s">
        <v>101</v>
      </c>
      <c r="D75" s="1"/>
      <c r="E75" s="1"/>
      <c r="F75" s="1"/>
      <c r="G75" s="52">
        <f t="shared" si="0"/>
        <v>0</v>
      </c>
      <c r="H75" s="1">
        <v>0</v>
      </c>
      <c r="I75" s="1">
        <v>0</v>
      </c>
      <c r="J75" t="s">
        <v>765</v>
      </c>
    </row>
    <row r="76" spans="1:10" ht="14.25" customHeight="1" x14ac:dyDescent="0.3">
      <c r="A76" s="1" t="s">
        <v>43</v>
      </c>
      <c r="B76">
        <v>12</v>
      </c>
      <c r="C76" t="s">
        <v>762</v>
      </c>
      <c r="D76">
        <v>11</v>
      </c>
      <c r="E76" t="s">
        <v>93</v>
      </c>
      <c r="F76" t="s">
        <v>101</v>
      </c>
      <c r="G76" s="52">
        <f t="shared" si="0"/>
        <v>18.740278480538219</v>
      </c>
      <c r="H76" s="52">
        <f>G76</f>
        <v>18.740278480538219</v>
      </c>
      <c r="I76" s="1">
        <v>0</v>
      </c>
    </row>
    <row r="77" spans="1:10" ht="14.25" customHeight="1" x14ac:dyDescent="0.3">
      <c r="A77" s="1" t="s">
        <v>43</v>
      </c>
      <c r="B77">
        <v>13</v>
      </c>
      <c r="C77" t="s">
        <v>760</v>
      </c>
      <c r="D77">
        <v>65</v>
      </c>
      <c r="E77" t="s">
        <v>93</v>
      </c>
      <c r="F77" t="s">
        <v>101</v>
      </c>
      <c r="G77" s="52">
        <f t="shared" si="0"/>
        <v>654.36096347333887</v>
      </c>
      <c r="H77" s="52">
        <f>G77</f>
        <v>654.36096347333887</v>
      </c>
      <c r="I77">
        <v>0</v>
      </c>
    </row>
    <row r="78" spans="1:10" ht="14.25" customHeight="1" x14ac:dyDescent="0.3">
      <c r="A78" s="1" t="s">
        <v>43</v>
      </c>
      <c r="B78">
        <v>13</v>
      </c>
      <c r="C78" t="s">
        <v>761</v>
      </c>
      <c r="D78">
        <v>13</v>
      </c>
      <c r="E78" t="s">
        <v>93</v>
      </c>
      <c r="F78" t="s">
        <v>101</v>
      </c>
      <c r="G78" s="52">
        <f t="shared" si="0"/>
        <v>26.174438538933547</v>
      </c>
      <c r="H78" s="52">
        <f>SUM(G78:G81)</f>
        <v>538.20221256091179</v>
      </c>
      <c r="I78">
        <v>0</v>
      </c>
    </row>
    <row r="79" spans="1:10" ht="14.25" customHeight="1" x14ac:dyDescent="0.3">
      <c r="A79" s="1" t="s">
        <v>43</v>
      </c>
      <c r="B79">
        <v>13</v>
      </c>
      <c r="C79" t="s">
        <v>761</v>
      </c>
      <c r="D79">
        <v>11</v>
      </c>
      <c r="E79" t="s">
        <v>106</v>
      </c>
      <c r="F79" t="s">
        <v>101</v>
      </c>
      <c r="G79" s="52">
        <f t="shared" si="0"/>
        <v>18.740278480538219</v>
      </c>
      <c r="H79" s="52"/>
      <c r="I79" s="1"/>
    </row>
    <row r="80" spans="1:10" ht="14.25" customHeight="1" x14ac:dyDescent="0.3">
      <c r="A80" s="1" t="s">
        <v>43</v>
      </c>
      <c r="B80">
        <v>13</v>
      </c>
      <c r="C80" t="s">
        <v>761</v>
      </c>
      <c r="D80">
        <v>7</v>
      </c>
      <c r="E80" t="s">
        <v>93</v>
      </c>
      <c r="F80" t="s">
        <v>101</v>
      </c>
      <c r="G80" s="52">
        <f t="shared" si="0"/>
        <v>7.5890383929452314</v>
      </c>
      <c r="H80" s="52"/>
      <c r="I80" s="1"/>
    </row>
    <row r="81" spans="1:10" ht="14.25" customHeight="1" x14ac:dyDescent="0.3">
      <c r="A81" s="1" t="s">
        <v>43</v>
      </c>
      <c r="B81">
        <v>13</v>
      </c>
      <c r="C81" t="s">
        <v>761</v>
      </c>
      <c r="D81">
        <v>56</v>
      </c>
      <c r="E81" t="s">
        <v>93</v>
      </c>
      <c r="F81" t="s">
        <v>101</v>
      </c>
      <c r="G81" s="52">
        <f t="shared" si="0"/>
        <v>485.69845714849481</v>
      </c>
      <c r="H81" s="52"/>
      <c r="I81" s="1"/>
    </row>
    <row r="82" spans="1:10" ht="14.25" customHeight="1" x14ac:dyDescent="0.3">
      <c r="A82" s="1" t="s">
        <v>43</v>
      </c>
      <c r="B82">
        <v>13</v>
      </c>
      <c r="C82" t="s">
        <v>101</v>
      </c>
      <c r="G82" s="52">
        <f t="shared" si="0"/>
        <v>0</v>
      </c>
      <c r="H82" s="52">
        <v>0</v>
      </c>
      <c r="I82" s="1">
        <v>0</v>
      </c>
      <c r="J82" t="s">
        <v>765</v>
      </c>
    </row>
    <row r="83" spans="1:10" ht="14.25" customHeight="1" x14ac:dyDescent="0.3">
      <c r="A83" s="1" t="s">
        <v>43</v>
      </c>
      <c r="B83">
        <v>13</v>
      </c>
      <c r="C83" t="s">
        <v>762</v>
      </c>
      <c r="D83">
        <v>7</v>
      </c>
      <c r="E83" t="s">
        <v>109</v>
      </c>
      <c r="F83" t="s">
        <v>101</v>
      </c>
      <c r="G83" s="52">
        <f t="shared" si="0"/>
        <v>7.5890383929452314</v>
      </c>
      <c r="H83" s="52">
        <f>G83</f>
        <v>7.5890383929452314</v>
      </c>
      <c r="I83" s="1">
        <v>0</v>
      </c>
    </row>
    <row r="84" spans="1:10" ht="14.25" customHeight="1" x14ac:dyDescent="0.3">
      <c r="A84" s="1" t="s">
        <v>43</v>
      </c>
      <c r="B84">
        <v>14</v>
      </c>
      <c r="C84" t="s">
        <v>760</v>
      </c>
      <c r="D84">
        <v>11</v>
      </c>
      <c r="E84" t="s">
        <v>93</v>
      </c>
      <c r="F84" t="s">
        <v>101</v>
      </c>
      <c r="G84" s="52">
        <f t="shared" si="0"/>
        <v>18.740278480538219</v>
      </c>
      <c r="H84" s="52">
        <f>SUM(G84:G85)</f>
        <v>53.587903754266321</v>
      </c>
      <c r="I84" s="1">
        <v>0</v>
      </c>
    </row>
    <row r="85" spans="1:10" ht="14.25" customHeight="1" x14ac:dyDescent="0.3">
      <c r="A85" s="1" t="s">
        <v>43</v>
      </c>
      <c r="B85">
        <v>14</v>
      </c>
      <c r="C85" t="s">
        <v>760</v>
      </c>
      <c r="D85">
        <v>15</v>
      </c>
      <c r="E85" t="s">
        <v>93</v>
      </c>
      <c r="F85" t="s">
        <v>101</v>
      </c>
      <c r="G85" s="52">
        <f t="shared" si="0"/>
        <v>34.847625273728106</v>
      </c>
      <c r="H85" s="52"/>
      <c r="I85" s="1"/>
    </row>
    <row r="86" spans="1:10" ht="14.25" customHeight="1" x14ac:dyDescent="0.3">
      <c r="A86" s="1" t="s">
        <v>43</v>
      </c>
      <c r="B86">
        <v>14</v>
      </c>
      <c r="C86" t="s">
        <v>761</v>
      </c>
      <c r="D86">
        <v>10</v>
      </c>
      <c r="E86" t="s">
        <v>93</v>
      </c>
      <c r="F86" t="s">
        <v>766</v>
      </c>
      <c r="G86" s="52">
        <f t="shared" si="0"/>
        <v>15.487833454990266</v>
      </c>
      <c r="H86" s="52">
        <f>SUM(G87:G88)</f>
        <v>80.536733965949395</v>
      </c>
      <c r="I86" s="52">
        <f>G86</f>
        <v>15.487833454990266</v>
      </c>
    </row>
    <row r="87" spans="1:10" ht="14.25" customHeight="1" x14ac:dyDescent="0.3">
      <c r="A87" s="1" t="s">
        <v>43</v>
      </c>
      <c r="B87">
        <v>14</v>
      </c>
      <c r="C87" t="s">
        <v>761</v>
      </c>
      <c r="D87">
        <v>14</v>
      </c>
      <c r="E87" t="s">
        <v>93</v>
      </c>
      <c r="F87" t="s">
        <v>101</v>
      </c>
      <c r="G87" s="52">
        <f t="shared" si="0"/>
        <v>30.356153571780926</v>
      </c>
      <c r="H87" s="52"/>
      <c r="I87" s="1"/>
    </row>
    <row r="88" spans="1:10" ht="14.25" customHeight="1" x14ac:dyDescent="0.3">
      <c r="A88" s="1" t="s">
        <v>43</v>
      </c>
      <c r="B88">
        <v>14</v>
      </c>
      <c r="C88" t="s">
        <v>761</v>
      </c>
      <c r="D88">
        <v>18</v>
      </c>
      <c r="E88" t="s">
        <v>93</v>
      </c>
      <c r="F88" t="s">
        <v>101</v>
      </c>
      <c r="G88" s="52">
        <f t="shared" si="0"/>
        <v>50.180580394168466</v>
      </c>
      <c r="H88" s="52"/>
      <c r="I88" s="1"/>
    </row>
    <row r="89" spans="1:10" ht="14.25" customHeight="1" x14ac:dyDescent="0.3">
      <c r="A89" s="1" t="s">
        <v>43</v>
      </c>
      <c r="B89">
        <v>14</v>
      </c>
      <c r="C89" t="s">
        <v>101</v>
      </c>
      <c r="D89">
        <v>9</v>
      </c>
      <c r="E89" t="s">
        <v>109</v>
      </c>
      <c r="F89" t="s">
        <v>101</v>
      </c>
      <c r="G89" s="52">
        <f t="shared" si="0"/>
        <v>12.545145098542116</v>
      </c>
      <c r="H89" s="52">
        <f>G89</f>
        <v>12.545145098542116</v>
      </c>
      <c r="I89" s="1">
        <v>0</v>
      </c>
    </row>
    <row r="90" spans="1:10" ht="14.25" customHeight="1" x14ac:dyDescent="0.3">
      <c r="A90" s="1" t="s">
        <v>43</v>
      </c>
      <c r="B90">
        <v>14</v>
      </c>
      <c r="C90" t="s">
        <v>762</v>
      </c>
      <c r="D90">
        <v>11</v>
      </c>
      <c r="E90" t="s">
        <v>109</v>
      </c>
      <c r="F90" t="s">
        <v>101</v>
      </c>
      <c r="G90" s="52">
        <f t="shared" si="0"/>
        <v>18.740278480538219</v>
      </c>
      <c r="H90" s="52">
        <f>G90</f>
        <v>18.740278480538219</v>
      </c>
      <c r="I90" s="1">
        <v>0</v>
      </c>
    </row>
    <row r="91" spans="1:10" ht="14.25" customHeight="1" x14ac:dyDescent="0.3">
      <c r="A91" s="1" t="s">
        <v>43</v>
      </c>
      <c r="B91">
        <v>15</v>
      </c>
      <c r="C91" t="s">
        <v>760</v>
      </c>
      <c r="G91" s="52">
        <f t="shared" si="0"/>
        <v>0</v>
      </c>
      <c r="H91" s="52">
        <v>0</v>
      </c>
      <c r="I91" s="1">
        <v>0</v>
      </c>
      <c r="J91" t="s">
        <v>765</v>
      </c>
    </row>
    <row r="92" spans="1:10" ht="14.25" customHeight="1" x14ac:dyDescent="0.3">
      <c r="A92" s="1" t="s">
        <v>43</v>
      </c>
      <c r="B92">
        <v>15</v>
      </c>
      <c r="C92" t="s">
        <v>761</v>
      </c>
      <c r="D92">
        <v>12</v>
      </c>
      <c r="E92" t="s">
        <v>106</v>
      </c>
      <c r="F92" t="s">
        <v>101</v>
      </c>
      <c r="G92" s="52">
        <f t="shared" si="0"/>
        <v>22.30248017518598</v>
      </c>
      <c r="H92" s="52">
        <f>SUM(G92:G93)</f>
        <v>52.658633746966906</v>
      </c>
      <c r="I92" s="1">
        <v>0</v>
      </c>
    </row>
    <row r="93" spans="1:10" ht="14.25" customHeight="1" x14ac:dyDescent="0.3">
      <c r="A93" s="1" t="s">
        <v>43</v>
      </c>
      <c r="B93">
        <v>15</v>
      </c>
      <c r="C93" t="s">
        <v>761</v>
      </c>
      <c r="D93">
        <v>14</v>
      </c>
      <c r="E93" t="s">
        <v>106</v>
      </c>
      <c r="F93" t="s">
        <v>101</v>
      </c>
      <c r="G93" s="52">
        <f t="shared" si="0"/>
        <v>30.356153571780926</v>
      </c>
      <c r="H93" s="52"/>
      <c r="I93" s="1"/>
    </row>
    <row r="94" spans="1:10" ht="14.25" customHeight="1" x14ac:dyDescent="0.3">
      <c r="A94" s="1" t="s">
        <v>43</v>
      </c>
      <c r="B94">
        <v>15</v>
      </c>
      <c r="C94" t="s">
        <v>101</v>
      </c>
      <c r="G94" s="52">
        <f t="shared" si="0"/>
        <v>0</v>
      </c>
      <c r="H94" s="52">
        <v>0</v>
      </c>
      <c r="I94">
        <v>0</v>
      </c>
      <c r="J94" t="s">
        <v>765</v>
      </c>
    </row>
    <row r="95" spans="1:10" ht="14.25" customHeight="1" x14ac:dyDescent="0.3">
      <c r="A95" s="1" t="s">
        <v>43</v>
      </c>
      <c r="B95">
        <v>15</v>
      </c>
      <c r="C95" t="s">
        <v>762</v>
      </c>
      <c r="D95">
        <v>16</v>
      </c>
      <c r="E95" t="s">
        <v>93</v>
      </c>
      <c r="F95" t="s">
        <v>101</v>
      </c>
      <c r="G95" s="52">
        <f t="shared" si="0"/>
        <v>39.648853644775087</v>
      </c>
      <c r="H95" s="52">
        <f>SUM(G95:G97)</f>
        <v>123.90266763992213</v>
      </c>
      <c r="I95" s="1">
        <v>0</v>
      </c>
    </row>
    <row r="96" spans="1:10" ht="14.25" customHeight="1" x14ac:dyDescent="0.3">
      <c r="A96" s="1" t="s">
        <v>43</v>
      </c>
      <c r="B96">
        <v>15</v>
      </c>
      <c r="C96" t="s">
        <v>762</v>
      </c>
      <c r="D96">
        <v>20</v>
      </c>
      <c r="E96" t="s">
        <v>109</v>
      </c>
      <c r="F96" t="s">
        <v>101</v>
      </c>
      <c r="G96" s="52">
        <f t="shared" si="0"/>
        <v>61.951333819961064</v>
      </c>
      <c r="H96" s="52"/>
      <c r="I96" s="1"/>
    </row>
    <row r="97" spans="1:10" ht="14.25" customHeight="1" x14ac:dyDescent="0.3">
      <c r="A97" s="1" t="s">
        <v>43</v>
      </c>
      <c r="B97">
        <v>15</v>
      </c>
      <c r="C97" t="s">
        <v>762</v>
      </c>
      <c r="D97">
        <v>12</v>
      </c>
      <c r="E97" t="s">
        <v>109</v>
      </c>
      <c r="F97" t="s">
        <v>101</v>
      </c>
      <c r="G97" s="52">
        <f t="shared" si="0"/>
        <v>22.30248017518598</v>
      </c>
      <c r="H97" s="52"/>
      <c r="I97" s="1"/>
    </row>
    <row r="98" spans="1:10" ht="14.25" customHeight="1" x14ac:dyDescent="0.3">
      <c r="A98" s="1" t="s">
        <v>56</v>
      </c>
      <c r="B98" s="1">
        <v>1</v>
      </c>
      <c r="C98" s="1" t="s">
        <v>761</v>
      </c>
      <c r="G98" s="52">
        <f t="shared" si="0"/>
        <v>0</v>
      </c>
      <c r="H98">
        <v>0</v>
      </c>
      <c r="I98">
        <v>0</v>
      </c>
      <c r="J98" s="1" t="s">
        <v>765</v>
      </c>
    </row>
    <row r="99" spans="1:10" ht="14.25" customHeight="1" x14ac:dyDescent="0.3">
      <c r="A99" s="1" t="s">
        <v>56</v>
      </c>
      <c r="B99" s="1">
        <v>1</v>
      </c>
      <c r="C99" s="1" t="s">
        <v>760</v>
      </c>
      <c r="G99" s="52">
        <f t="shared" si="0"/>
        <v>0</v>
      </c>
      <c r="H99">
        <v>0</v>
      </c>
      <c r="I99">
        <v>0</v>
      </c>
      <c r="J99" s="1" t="s">
        <v>765</v>
      </c>
    </row>
    <row r="100" spans="1:10" ht="14.25" customHeight="1" x14ac:dyDescent="0.3">
      <c r="A100" s="1" t="s">
        <v>56</v>
      </c>
      <c r="B100" s="1">
        <v>1</v>
      </c>
      <c r="C100" s="1" t="s">
        <v>101</v>
      </c>
      <c r="G100" s="52">
        <f t="shared" si="0"/>
        <v>0</v>
      </c>
      <c r="H100">
        <v>0</v>
      </c>
      <c r="I100">
        <v>0</v>
      </c>
      <c r="J100" s="1" t="s">
        <v>765</v>
      </c>
    </row>
    <row r="101" spans="1:10" ht="14.25" customHeight="1" x14ac:dyDescent="0.3">
      <c r="A101" s="17" t="s">
        <v>56</v>
      </c>
      <c r="B101" s="17">
        <v>1</v>
      </c>
      <c r="C101" s="17" t="s">
        <v>762</v>
      </c>
      <c r="D101" s="20"/>
      <c r="E101" s="20"/>
      <c r="F101" s="20"/>
      <c r="G101" s="52">
        <f t="shared" si="0"/>
        <v>0</v>
      </c>
      <c r="H101">
        <v>0</v>
      </c>
      <c r="I101">
        <v>0</v>
      </c>
      <c r="J101" s="1" t="s">
        <v>765</v>
      </c>
    </row>
    <row r="102" spans="1:10" ht="14.25" customHeight="1" x14ac:dyDescent="0.3">
      <c r="A102" s="1" t="s">
        <v>56</v>
      </c>
      <c r="B102" s="1">
        <v>2</v>
      </c>
      <c r="C102" s="1" t="s">
        <v>761</v>
      </c>
      <c r="G102" s="52">
        <f t="shared" si="0"/>
        <v>0</v>
      </c>
      <c r="H102">
        <v>0</v>
      </c>
      <c r="I102">
        <v>0</v>
      </c>
      <c r="J102" s="1" t="s">
        <v>765</v>
      </c>
    </row>
    <row r="103" spans="1:10" ht="14.25" customHeight="1" x14ac:dyDescent="0.3">
      <c r="A103" s="1" t="s">
        <v>56</v>
      </c>
      <c r="B103" s="1">
        <v>2</v>
      </c>
      <c r="C103" s="1" t="s">
        <v>760</v>
      </c>
      <c r="D103" s="1">
        <v>13</v>
      </c>
      <c r="E103" s="1" t="s">
        <v>96</v>
      </c>
      <c r="F103" s="1" t="s">
        <v>101</v>
      </c>
      <c r="G103" s="52">
        <f t="shared" si="0"/>
        <v>26.174438538933547</v>
      </c>
      <c r="H103" s="52">
        <f>G103</f>
        <v>26.174438538933547</v>
      </c>
      <c r="I103" s="1">
        <v>0</v>
      </c>
    </row>
    <row r="104" spans="1:10" ht="14.25" customHeight="1" x14ac:dyDescent="0.3">
      <c r="A104" s="1" t="s">
        <v>56</v>
      </c>
      <c r="B104" s="1">
        <v>2</v>
      </c>
      <c r="C104" s="1" t="s">
        <v>101</v>
      </c>
      <c r="G104" s="52">
        <f t="shared" si="0"/>
        <v>0</v>
      </c>
      <c r="H104" s="55">
        <v>0</v>
      </c>
      <c r="I104" s="55">
        <v>0</v>
      </c>
      <c r="J104" s="1" t="s">
        <v>765</v>
      </c>
    </row>
    <row r="105" spans="1:10" ht="14.25" customHeight="1" x14ac:dyDescent="0.3">
      <c r="A105" s="1" t="s">
        <v>56</v>
      </c>
      <c r="B105" s="1">
        <v>2</v>
      </c>
      <c r="C105" s="1" t="s">
        <v>762</v>
      </c>
      <c r="D105" s="1">
        <v>20</v>
      </c>
      <c r="E105" s="1" t="s">
        <v>96</v>
      </c>
      <c r="F105" s="1" t="s">
        <v>101</v>
      </c>
      <c r="G105" s="52">
        <f t="shared" si="0"/>
        <v>61.951333819961064</v>
      </c>
      <c r="H105" s="52">
        <f>G105</f>
        <v>61.951333819961064</v>
      </c>
      <c r="I105" s="55">
        <v>0</v>
      </c>
    </row>
    <row r="106" spans="1:10" ht="14.25" customHeight="1" x14ac:dyDescent="0.3">
      <c r="A106" s="1" t="s">
        <v>56</v>
      </c>
      <c r="B106" s="1">
        <v>3</v>
      </c>
      <c r="C106" s="1" t="s">
        <v>761</v>
      </c>
      <c r="D106" s="1">
        <v>19</v>
      </c>
      <c r="E106" s="1" t="s">
        <v>96</v>
      </c>
      <c r="F106" s="1" t="s">
        <v>101</v>
      </c>
      <c r="G106" s="52">
        <f t="shared" si="0"/>
        <v>55.911078772514863</v>
      </c>
      <c r="H106" s="52">
        <f>G106</f>
        <v>55.911078772514863</v>
      </c>
      <c r="I106" s="55">
        <v>0</v>
      </c>
    </row>
    <row r="107" spans="1:10" ht="14.25" customHeight="1" x14ac:dyDescent="0.3">
      <c r="A107" s="1" t="s">
        <v>56</v>
      </c>
      <c r="B107" s="1">
        <v>3</v>
      </c>
      <c r="C107" s="1" t="s">
        <v>760</v>
      </c>
      <c r="G107" s="52">
        <f t="shared" si="0"/>
        <v>0</v>
      </c>
      <c r="H107">
        <v>0</v>
      </c>
      <c r="I107">
        <v>0</v>
      </c>
      <c r="J107" s="1" t="s">
        <v>765</v>
      </c>
    </row>
    <row r="108" spans="1:10" ht="14.25" customHeight="1" x14ac:dyDescent="0.3">
      <c r="A108" s="1" t="s">
        <v>56</v>
      </c>
      <c r="B108" s="1">
        <v>3</v>
      </c>
      <c r="C108" s="1" t="s">
        <v>101</v>
      </c>
      <c r="G108" s="52">
        <f t="shared" si="0"/>
        <v>0</v>
      </c>
      <c r="H108">
        <v>0</v>
      </c>
      <c r="I108">
        <v>0</v>
      </c>
      <c r="J108" s="1" t="s">
        <v>765</v>
      </c>
    </row>
    <row r="109" spans="1:10" ht="14.25" customHeight="1" x14ac:dyDescent="0.3">
      <c r="A109" s="1" t="s">
        <v>56</v>
      </c>
      <c r="B109" s="1">
        <v>3</v>
      </c>
      <c r="C109" s="1" t="s">
        <v>762</v>
      </c>
      <c r="G109" s="52">
        <f t="shared" si="0"/>
        <v>0</v>
      </c>
      <c r="H109">
        <v>0</v>
      </c>
      <c r="I109">
        <v>0</v>
      </c>
      <c r="J109" s="1" t="s">
        <v>765</v>
      </c>
    </row>
    <row r="110" spans="1:10" ht="14.25" customHeight="1" x14ac:dyDescent="0.3">
      <c r="A110" s="1" t="s">
        <v>56</v>
      </c>
      <c r="B110" s="1">
        <v>4</v>
      </c>
      <c r="C110" s="1" t="s">
        <v>761</v>
      </c>
      <c r="D110" s="1">
        <v>29</v>
      </c>
      <c r="E110" s="1" t="s">
        <v>106</v>
      </c>
      <c r="F110" s="1" t="s">
        <v>101</v>
      </c>
      <c r="G110" s="52">
        <f t="shared" si="0"/>
        <v>130.25267935646812</v>
      </c>
      <c r="H110" s="52">
        <f>SUM(G110:G113)</f>
        <v>814.9697964015877</v>
      </c>
      <c r="I110" s="1">
        <v>0</v>
      </c>
    </row>
    <row r="111" spans="1:10" ht="14.25" customHeight="1" x14ac:dyDescent="0.3">
      <c r="A111" s="1" t="s">
        <v>56</v>
      </c>
      <c r="B111" s="1">
        <v>4</v>
      </c>
      <c r="C111" s="1" t="s">
        <v>761</v>
      </c>
      <c r="D111" s="1">
        <v>31</v>
      </c>
      <c r="E111" s="1" t="s">
        <v>106</v>
      </c>
      <c r="F111" s="1" t="s">
        <v>101</v>
      </c>
      <c r="G111" s="52">
        <f t="shared" si="0"/>
        <v>148.83807950245645</v>
      </c>
      <c r="H111" s="1"/>
      <c r="I111" s="1"/>
    </row>
    <row r="112" spans="1:10" ht="14.25" customHeight="1" x14ac:dyDescent="0.3">
      <c r="A112" s="1" t="s">
        <v>56</v>
      </c>
      <c r="B112" s="1">
        <v>4</v>
      </c>
      <c r="C112" s="1" t="s">
        <v>761</v>
      </c>
      <c r="D112" s="1">
        <v>34</v>
      </c>
      <c r="E112" s="1" t="s">
        <v>106</v>
      </c>
      <c r="F112" s="1" t="s">
        <v>101</v>
      </c>
      <c r="G112" s="52">
        <f t="shared" si="0"/>
        <v>179.0393547396875</v>
      </c>
      <c r="H112" s="1"/>
      <c r="I112" s="1"/>
    </row>
    <row r="113" spans="1:10" ht="14.25" customHeight="1" x14ac:dyDescent="0.3">
      <c r="A113" s="1" t="s">
        <v>56</v>
      </c>
      <c r="B113" s="1">
        <v>4</v>
      </c>
      <c r="C113" s="1" t="s">
        <v>761</v>
      </c>
      <c r="D113" s="1">
        <v>48</v>
      </c>
      <c r="E113" s="1" t="s">
        <v>106</v>
      </c>
      <c r="F113" s="1" t="s">
        <v>101</v>
      </c>
      <c r="G113" s="52">
        <f t="shared" si="0"/>
        <v>356.83968280297569</v>
      </c>
      <c r="H113" s="1"/>
      <c r="I113" s="1"/>
    </row>
    <row r="114" spans="1:10" ht="14.25" customHeight="1" x14ac:dyDescent="0.3">
      <c r="A114" s="1" t="s">
        <v>56</v>
      </c>
      <c r="B114" s="1">
        <v>4</v>
      </c>
      <c r="C114" s="1" t="s">
        <v>760</v>
      </c>
      <c r="D114" s="1">
        <v>7</v>
      </c>
      <c r="E114" s="1" t="s">
        <v>106</v>
      </c>
      <c r="F114" s="1" t="s">
        <v>101</v>
      </c>
      <c r="G114" s="52">
        <f t="shared" si="0"/>
        <v>7.5890383929452314</v>
      </c>
      <c r="H114" s="52">
        <f>G114</f>
        <v>7.5890383929452314</v>
      </c>
      <c r="I114" s="1">
        <v>0</v>
      </c>
    </row>
    <row r="115" spans="1:10" ht="14.25" customHeight="1" x14ac:dyDescent="0.3">
      <c r="A115" s="1" t="s">
        <v>56</v>
      </c>
      <c r="B115" s="1">
        <v>4</v>
      </c>
      <c r="C115" s="1" t="s">
        <v>101</v>
      </c>
      <c r="D115" s="1">
        <v>10</v>
      </c>
      <c r="E115" s="1" t="s">
        <v>106</v>
      </c>
      <c r="F115" s="1" t="s">
        <v>101</v>
      </c>
      <c r="G115" s="52">
        <f t="shared" si="0"/>
        <v>15.487833454990266</v>
      </c>
      <c r="H115" s="52">
        <f>SUM(G115:G116)</f>
        <v>65.668413849158725</v>
      </c>
      <c r="I115" s="52">
        <f>G117</f>
        <v>18.740278480538219</v>
      </c>
    </row>
    <row r="116" spans="1:10" ht="14.25" customHeight="1" x14ac:dyDescent="0.3">
      <c r="A116" s="1" t="s">
        <v>56</v>
      </c>
      <c r="B116" s="1">
        <v>4</v>
      </c>
      <c r="C116" s="1" t="s">
        <v>101</v>
      </c>
      <c r="D116" s="1">
        <v>18</v>
      </c>
      <c r="E116" s="1" t="s">
        <v>106</v>
      </c>
      <c r="F116" s="1" t="s">
        <v>101</v>
      </c>
      <c r="G116" s="52">
        <f t="shared" si="0"/>
        <v>50.180580394168466</v>
      </c>
      <c r="H116" s="1"/>
      <c r="I116" s="1"/>
    </row>
    <row r="117" spans="1:10" ht="14.25" customHeight="1" x14ac:dyDescent="0.3">
      <c r="A117" s="1" t="s">
        <v>56</v>
      </c>
      <c r="B117" s="1">
        <v>4</v>
      </c>
      <c r="C117" s="1" t="s">
        <v>762</v>
      </c>
      <c r="D117" s="1">
        <v>11</v>
      </c>
      <c r="E117" s="1" t="s">
        <v>106</v>
      </c>
      <c r="F117" s="1" t="s">
        <v>766</v>
      </c>
      <c r="G117" s="52">
        <f t="shared" si="0"/>
        <v>18.740278480538219</v>
      </c>
      <c r="H117" s="1"/>
      <c r="I117" s="1"/>
    </row>
    <row r="118" spans="1:10" ht="14.25" customHeight="1" x14ac:dyDescent="0.3">
      <c r="A118" s="1" t="s">
        <v>56</v>
      </c>
      <c r="B118" s="1">
        <v>4</v>
      </c>
      <c r="C118" s="1" t="s">
        <v>762</v>
      </c>
      <c r="D118" s="1">
        <v>12</v>
      </c>
      <c r="E118" s="1" t="s">
        <v>106</v>
      </c>
      <c r="F118" s="1" t="s">
        <v>101</v>
      </c>
      <c r="G118" s="52">
        <f t="shared" si="0"/>
        <v>22.30248017518598</v>
      </c>
      <c r="H118" s="52">
        <f>SUM(G118:G119)</f>
        <v>32.214693586379752</v>
      </c>
      <c r="I118" s="1">
        <v>0</v>
      </c>
    </row>
    <row r="119" spans="1:10" ht="14.25" customHeight="1" x14ac:dyDescent="0.3">
      <c r="A119" s="1" t="s">
        <v>56</v>
      </c>
      <c r="B119" s="1">
        <v>4</v>
      </c>
      <c r="C119" s="1" t="s">
        <v>762</v>
      </c>
      <c r="D119" s="1">
        <v>8</v>
      </c>
      <c r="E119" s="1" t="s">
        <v>106</v>
      </c>
      <c r="G119" s="52">
        <f t="shared" si="0"/>
        <v>9.9122134111937719</v>
      </c>
    </row>
    <row r="120" spans="1:10" ht="14.25" customHeight="1" x14ac:dyDescent="0.3">
      <c r="A120" s="1" t="s">
        <v>56</v>
      </c>
      <c r="B120" s="1">
        <v>5</v>
      </c>
      <c r="C120" s="1" t="s">
        <v>761</v>
      </c>
      <c r="G120" s="52">
        <f t="shared" si="0"/>
        <v>0</v>
      </c>
      <c r="H120">
        <v>0</v>
      </c>
      <c r="I120">
        <v>0</v>
      </c>
      <c r="J120" s="1" t="s">
        <v>765</v>
      </c>
    </row>
    <row r="121" spans="1:10" ht="14.25" customHeight="1" x14ac:dyDescent="0.3">
      <c r="A121" s="1" t="s">
        <v>56</v>
      </c>
      <c r="B121" s="1">
        <v>5</v>
      </c>
      <c r="C121" s="1" t="s">
        <v>760</v>
      </c>
      <c r="G121" s="52">
        <f t="shared" si="0"/>
        <v>0</v>
      </c>
      <c r="H121">
        <v>0</v>
      </c>
      <c r="I121">
        <v>0</v>
      </c>
      <c r="J121" s="1" t="s">
        <v>765</v>
      </c>
    </row>
    <row r="122" spans="1:10" ht="14.25" customHeight="1" x14ac:dyDescent="0.3">
      <c r="A122" s="1" t="s">
        <v>56</v>
      </c>
      <c r="B122" s="1">
        <v>5</v>
      </c>
      <c r="C122" s="1" t="s">
        <v>101</v>
      </c>
      <c r="D122" s="1">
        <v>19</v>
      </c>
      <c r="E122" s="1" t="s">
        <v>98</v>
      </c>
      <c r="F122" s="1" t="s">
        <v>101</v>
      </c>
      <c r="G122" s="52">
        <f t="shared" si="0"/>
        <v>55.911078772514863</v>
      </c>
      <c r="H122" s="52">
        <f>G122</f>
        <v>55.911078772514863</v>
      </c>
      <c r="I122" s="1">
        <v>0</v>
      </c>
    </row>
    <row r="123" spans="1:10" ht="14.25" customHeight="1" x14ac:dyDescent="0.3">
      <c r="A123" s="1" t="s">
        <v>56</v>
      </c>
      <c r="B123" s="1">
        <v>5</v>
      </c>
      <c r="C123" s="1" t="s">
        <v>762</v>
      </c>
      <c r="G123" s="52">
        <f t="shared" si="0"/>
        <v>0</v>
      </c>
      <c r="H123">
        <v>0</v>
      </c>
      <c r="I123" s="55">
        <v>0</v>
      </c>
      <c r="J123" s="1" t="s">
        <v>765</v>
      </c>
    </row>
    <row r="124" spans="1:10" ht="14.25" customHeight="1" x14ac:dyDescent="0.3">
      <c r="A124" s="1" t="s">
        <v>56</v>
      </c>
      <c r="B124" s="1">
        <v>6</v>
      </c>
      <c r="C124" s="1" t="s">
        <v>761</v>
      </c>
      <c r="D124" s="1">
        <v>18</v>
      </c>
      <c r="E124" s="1" t="s">
        <v>93</v>
      </c>
      <c r="F124" s="1" t="s">
        <v>101</v>
      </c>
      <c r="G124" s="52">
        <f t="shared" si="0"/>
        <v>50.180580394168466</v>
      </c>
      <c r="H124" s="52">
        <f>G124</f>
        <v>50.180580394168466</v>
      </c>
      <c r="I124" s="55">
        <v>0</v>
      </c>
    </row>
    <row r="125" spans="1:10" ht="14.25" customHeight="1" x14ac:dyDescent="0.3">
      <c r="A125" s="1" t="s">
        <v>56</v>
      </c>
      <c r="B125" s="1">
        <v>6</v>
      </c>
      <c r="C125" s="1" t="s">
        <v>760</v>
      </c>
      <c r="D125" s="1">
        <v>15</v>
      </c>
      <c r="E125" s="1" t="s">
        <v>106</v>
      </c>
      <c r="F125" s="1" t="s">
        <v>101</v>
      </c>
      <c r="G125" s="52">
        <f t="shared" si="0"/>
        <v>34.847625273728106</v>
      </c>
      <c r="H125" s="52">
        <f>G125</f>
        <v>34.847625273728106</v>
      </c>
      <c r="I125" s="55">
        <v>0</v>
      </c>
    </row>
    <row r="126" spans="1:10" ht="14.25" customHeight="1" x14ac:dyDescent="0.3">
      <c r="A126" s="1" t="s">
        <v>56</v>
      </c>
      <c r="B126" s="1">
        <v>6</v>
      </c>
      <c r="C126" s="1" t="s">
        <v>101</v>
      </c>
      <c r="G126" s="52">
        <f t="shared" si="0"/>
        <v>0</v>
      </c>
      <c r="H126">
        <v>0</v>
      </c>
      <c r="I126">
        <v>0</v>
      </c>
      <c r="J126" s="1" t="s">
        <v>765</v>
      </c>
    </row>
    <row r="127" spans="1:10" ht="14.25" customHeight="1" x14ac:dyDescent="0.3">
      <c r="A127" s="1" t="s">
        <v>56</v>
      </c>
      <c r="B127" s="1">
        <v>6</v>
      </c>
      <c r="C127" s="1" t="s">
        <v>762</v>
      </c>
      <c r="G127" s="52">
        <f t="shared" si="0"/>
        <v>0</v>
      </c>
      <c r="H127">
        <v>0</v>
      </c>
      <c r="I127">
        <v>0</v>
      </c>
      <c r="J127" s="1" t="s">
        <v>765</v>
      </c>
    </row>
    <row r="128" spans="1:10" ht="14.25" customHeight="1" x14ac:dyDescent="0.3">
      <c r="A128" s="1" t="s">
        <v>56</v>
      </c>
      <c r="B128" s="1">
        <v>7</v>
      </c>
      <c r="C128" s="1" t="s">
        <v>761</v>
      </c>
      <c r="G128" s="52">
        <f t="shared" si="0"/>
        <v>0</v>
      </c>
      <c r="H128">
        <v>0</v>
      </c>
      <c r="I128">
        <v>0</v>
      </c>
      <c r="J128" s="1" t="s">
        <v>765</v>
      </c>
    </row>
    <row r="129" spans="1:10" ht="14.25" customHeight="1" x14ac:dyDescent="0.3">
      <c r="A129" s="1" t="s">
        <v>56</v>
      </c>
      <c r="B129" s="1">
        <v>7</v>
      </c>
      <c r="C129" s="1" t="s">
        <v>760</v>
      </c>
      <c r="G129" s="52">
        <f t="shared" si="0"/>
        <v>0</v>
      </c>
      <c r="H129">
        <v>0</v>
      </c>
      <c r="I129">
        <v>0</v>
      </c>
      <c r="J129" s="1" t="s">
        <v>765</v>
      </c>
    </row>
    <row r="130" spans="1:10" ht="14.25" customHeight="1" x14ac:dyDescent="0.3">
      <c r="A130" s="1" t="s">
        <v>56</v>
      </c>
      <c r="B130" s="1">
        <v>7</v>
      </c>
      <c r="C130" s="1" t="s">
        <v>101</v>
      </c>
      <c r="G130" s="52">
        <f t="shared" si="0"/>
        <v>0</v>
      </c>
      <c r="H130">
        <v>0</v>
      </c>
      <c r="I130">
        <v>0</v>
      </c>
      <c r="J130" s="1" t="s">
        <v>765</v>
      </c>
    </row>
    <row r="131" spans="1:10" ht="14.25" customHeight="1" x14ac:dyDescent="0.3">
      <c r="A131" s="1" t="s">
        <v>56</v>
      </c>
      <c r="B131" s="1">
        <v>7</v>
      </c>
      <c r="C131" s="1" t="s">
        <v>762</v>
      </c>
      <c r="G131" s="52">
        <f t="shared" si="0"/>
        <v>0</v>
      </c>
      <c r="H131">
        <v>0</v>
      </c>
      <c r="I131">
        <v>0</v>
      </c>
      <c r="J131" s="1" t="s">
        <v>765</v>
      </c>
    </row>
    <row r="132" spans="1:10" ht="14.25" customHeight="1" x14ac:dyDescent="0.3">
      <c r="A132" s="1" t="s">
        <v>56</v>
      </c>
      <c r="B132" s="1">
        <v>8</v>
      </c>
      <c r="C132" s="1" t="s">
        <v>761</v>
      </c>
      <c r="G132" s="52">
        <f t="shared" si="0"/>
        <v>0</v>
      </c>
      <c r="H132">
        <v>0</v>
      </c>
      <c r="I132">
        <v>0</v>
      </c>
      <c r="J132" s="1" t="s">
        <v>765</v>
      </c>
    </row>
    <row r="133" spans="1:10" ht="14.25" customHeight="1" x14ac:dyDescent="0.3">
      <c r="A133" s="1" t="s">
        <v>56</v>
      </c>
      <c r="B133" s="1">
        <v>8</v>
      </c>
      <c r="C133" s="1" t="s">
        <v>760</v>
      </c>
      <c r="D133" s="1">
        <v>9</v>
      </c>
      <c r="E133" s="1" t="s">
        <v>93</v>
      </c>
      <c r="F133" s="1" t="s">
        <v>101</v>
      </c>
      <c r="G133" s="52">
        <f t="shared" si="0"/>
        <v>12.545145098542116</v>
      </c>
      <c r="H133" s="41">
        <f>G133</f>
        <v>12.545145098542116</v>
      </c>
      <c r="I133">
        <v>0</v>
      </c>
    </row>
    <row r="134" spans="1:10" ht="14.25" customHeight="1" x14ac:dyDescent="0.3">
      <c r="A134" s="1" t="s">
        <v>56</v>
      </c>
      <c r="B134" s="1">
        <v>8</v>
      </c>
      <c r="C134" s="1" t="s">
        <v>101</v>
      </c>
      <c r="G134" s="52">
        <f t="shared" si="0"/>
        <v>0</v>
      </c>
      <c r="H134">
        <v>0</v>
      </c>
      <c r="I134">
        <v>0</v>
      </c>
      <c r="J134" s="1" t="s">
        <v>765</v>
      </c>
    </row>
    <row r="135" spans="1:10" ht="14.25" customHeight="1" x14ac:dyDescent="0.3">
      <c r="A135" s="1" t="s">
        <v>56</v>
      </c>
      <c r="B135" s="1">
        <v>8</v>
      </c>
      <c r="C135" s="1" t="s">
        <v>762</v>
      </c>
      <c r="G135" s="52">
        <f t="shared" si="0"/>
        <v>0</v>
      </c>
      <c r="H135">
        <v>0</v>
      </c>
      <c r="I135">
        <v>0</v>
      </c>
      <c r="J135" s="1" t="s">
        <v>765</v>
      </c>
    </row>
    <row r="136" spans="1:10" ht="14.25" customHeight="1" x14ac:dyDescent="0.3">
      <c r="A136" s="1" t="s">
        <v>56</v>
      </c>
      <c r="B136" s="1">
        <v>9</v>
      </c>
      <c r="C136" s="1" t="s">
        <v>761</v>
      </c>
      <c r="D136" s="1">
        <v>10</v>
      </c>
      <c r="E136" s="1" t="s">
        <v>106</v>
      </c>
      <c r="F136" s="1" t="s">
        <v>101</v>
      </c>
      <c r="G136" s="52">
        <f t="shared" si="0"/>
        <v>15.487833454990266</v>
      </c>
      <c r="H136" s="52">
        <f>SUM(G136:G137)</f>
        <v>77.43916727495133</v>
      </c>
      <c r="I136" s="55">
        <v>0</v>
      </c>
    </row>
    <row r="137" spans="1:10" ht="14.25" customHeight="1" x14ac:dyDescent="0.3">
      <c r="A137" s="1" t="s">
        <v>56</v>
      </c>
      <c r="B137" s="1">
        <v>9</v>
      </c>
      <c r="C137" s="1" t="s">
        <v>761</v>
      </c>
      <c r="D137" s="1">
        <v>20</v>
      </c>
      <c r="E137" s="1" t="s">
        <v>106</v>
      </c>
      <c r="F137" s="1" t="s">
        <v>101</v>
      </c>
      <c r="G137" s="52">
        <f t="shared" si="0"/>
        <v>61.951333819961064</v>
      </c>
      <c r="H137" s="52"/>
      <c r="I137" s="55"/>
    </row>
    <row r="138" spans="1:10" ht="14.25" customHeight="1" x14ac:dyDescent="0.3">
      <c r="A138" s="1" t="s">
        <v>56</v>
      </c>
      <c r="B138" s="1">
        <v>9</v>
      </c>
      <c r="C138" s="1" t="s">
        <v>760</v>
      </c>
      <c r="G138" s="52">
        <f t="shared" si="0"/>
        <v>0</v>
      </c>
      <c r="H138">
        <v>0</v>
      </c>
      <c r="I138" s="55">
        <v>0</v>
      </c>
      <c r="J138" s="1" t="s">
        <v>765</v>
      </c>
    </row>
    <row r="139" spans="1:10" ht="14.25" customHeight="1" x14ac:dyDescent="0.3">
      <c r="A139" s="1" t="s">
        <v>56</v>
      </c>
      <c r="B139" s="1">
        <v>9</v>
      </c>
      <c r="C139" s="1" t="s">
        <v>101</v>
      </c>
      <c r="G139" s="52">
        <f t="shared" si="0"/>
        <v>0</v>
      </c>
      <c r="H139">
        <v>0</v>
      </c>
      <c r="I139">
        <v>0</v>
      </c>
      <c r="J139" s="1" t="s">
        <v>765</v>
      </c>
    </row>
    <row r="140" spans="1:10" ht="14.25" customHeight="1" x14ac:dyDescent="0.3">
      <c r="A140" s="1" t="s">
        <v>56</v>
      </c>
      <c r="B140" s="1">
        <v>9</v>
      </c>
      <c r="C140" s="1" t="s">
        <v>762</v>
      </c>
      <c r="G140" s="52">
        <f t="shared" si="0"/>
        <v>0</v>
      </c>
      <c r="H140">
        <v>0</v>
      </c>
      <c r="I140">
        <v>0</v>
      </c>
      <c r="J140" s="1" t="s">
        <v>765</v>
      </c>
    </row>
    <row r="141" spans="1:10" ht="14.25" customHeight="1" x14ac:dyDescent="0.3">
      <c r="A141" s="1" t="s">
        <v>56</v>
      </c>
      <c r="B141" s="1">
        <v>10</v>
      </c>
      <c r="C141" s="1" t="s">
        <v>761</v>
      </c>
      <c r="D141" s="1">
        <v>39</v>
      </c>
      <c r="E141" s="1" t="s">
        <v>106</v>
      </c>
      <c r="F141" s="1" t="s">
        <v>101</v>
      </c>
      <c r="G141" s="52">
        <f t="shared" si="0"/>
        <v>235.56994685040198</v>
      </c>
      <c r="H141" s="52">
        <f>G141</f>
        <v>235.56994685040198</v>
      </c>
      <c r="I141" s="1">
        <v>0</v>
      </c>
    </row>
    <row r="142" spans="1:10" ht="14.25" customHeight="1" x14ac:dyDescent="0.3">
      <c r="A142" s="1" t="s">
        <v>56</v>
      </c>
      <c r="B142" s="1">
        <v>10</v>
      </c>
      <c r="C142" s="1" t="s">
        <v>760</v>
      </c>
      <c r="D142" s="1">
        <v>9</v>
      </c>
      <c r="E142" s="1" t="s">
        <v>93</v>
      </c>
      <c r="F142" s="1" t="s">
        <v>101</v>
      </c>
      <c r="G142" s="52">
        <f t="shared" si="0"/>
        <v>12.545145098542116</v>
      </c>
      <c r="H142" s="52">
        <f>G142</f>
        <v>12.545145098542116</v>
      </c>
      <c r="I142" s="55">
        <v>0</v>
      </c>
    </row>
    <row r="143" spans="1:10" ht="14.25" customHeight="1" x14ac:dyDescent="0.3">
      <c r="A143" s="1" t="s">
        <v>56</v>
      </c>
      <c r="B143" s="1">
        <v>10</v>
      </c>
      <c r="C143" s="1" t="s">
        <v>101</v>
      </c>
      <c r="G143" s="52">
        <f t="shared" si="0"/>
        <v>0</v>
      </c>
      <c r="H143" s="55">
        <v>0</v>
      </c>
      <c r="I143" s="55">
        <v>0</v>
      </c>
      <c r="J143" s="1" t="s">
        <v>765</v>
      </c>
    </row>
    <row r="144" spans="1:10" ht="14.25" customHeight="1" x14ac:dyDescent="0.3">
      <c r="A144" s="1" t="s">
        <v>56</v>
      </c>
      <c r="B144" s="1">
        <v>10</v>
      </c>
      <c r="C144" s="1" t="s">
        <v>762</v>
      </c>
      <c r="D144" s="1">
        <v>26</v>
      </c>
      <c r="E144" s="1" t="s">
        <v>93</v>
      </c>
      <c r="F144" s="1" t="s">
        <v>101</v>
      </c>
      <c r="G144" s="52">
        <f t="shared" si="0"/>
        <v>104.69775415573419</v>
      </c>
      <c r="H144" s="52">
        <f>G144</f>
        <v>104.69775415573419</v>
      </c>
      <c r="I144" s="55">
        <v>0</v>
      </c>
    </row>
    <row r="145" spans="1:10" ht="14.25" customHeight="1" x14ac:dyDescent="0.3">
      <c r="A145" s="1" t="s">
        <v>56</v>
      </c>
      <c r="B145" s="1">
        <v>11</v>
      </c>
      <c r="C145" s="1" t="s">
        <v>761</v>
      </c>
      <c r="G145" s="52">
        <f t="shared" ref="G145:G290" si="2">(D145/2.541)^2</f>
        <v>0</v>
      </c>
      <c r="H145">
        <v>0</v>
      </c>
      <c r="I145" s="55">
        <v>0</v>
      </c>
      <c r="J145" s="1" t="s">
        <v>765</v>
      </c>
    </row>
    <row r="146" spans="1:10" ht="14.25" customHeight="1" x14ac:dyDescent="0.3">
      <c r="A146" s="1" t="s">
        <v>56</v>
      </c>
      <c r="B146" s="1">
        <v>11</v>
      </c>
      <c r="C146" s="1" t="s">
        <v>760</v>
      </c>
      <c r="D146" s="1">
        <v>27</v>
      </c>
      <c r="E146" s="1" t="s">
        <v>106</v>
      </c>
      <c r="F146" s="1" t="s">
        <v>766</v>
      </c>
      <c r="G146" s="52">
        <f t="shared" si="2"/>
        <v>112.90630588687904</v>
      </c>
      <c r="H146" s="1">
        <v>0</v>
      </c>
      <c r="I146" s="52">
        <f>G146</f>
        <v>112.90630588687904</v>
      </c>
    </row>
    <row r="147" spans="1:10" ht="14.25" customHeight="1" x14ac:dyDescent="0.3">
      <c r="A147" s="1" t="s">
        <v>56</v>
      </c>
      <c r="B147" s="1">
        <v>11</v>
      </c>
      <c r="C147" s="1" t="s">
        <v>101</v>
      </c>
      <c r="G147" s="52">
        <f t="shared" si="2"/>
        <v>0</v>
      </c>
      <c r="H147">
        <v>0</v>
      </c>
      <c r="I147" s="55">
        <v>0</v>
      </c>
      <c r="J147" s="1" t="s">
        <v>765</v>
      </c>
    </row>
    <row r="148" spans="1:10" ht="14.25" customHeight="1" x14ac:dyDescent="0.3">
      <c r="A148" s="1" t="s">
        <v>56</v>
      </c>
      <c r="B148" s="1">
        <v>11</v>
      </c>
      <c r="C148" s="1" t="s">
        <v>762</v>
      </c>
      <c r="D148" s="1">
        <v>15</v>
      </c>
      <c r="E148" s="1" t="s">
        <v>106</v>
      </c>
      <c r="F148" s="1" t="s">
        <v>101</v>
      </c>
      <c r="G148" s="52">
        <f t="shared" si="2"/>
        <v>34.847625273728106</v>
      </c>
      <c r="H148" s="52">
        <f>SUM(G148:G149)</f>
        <v>224.57358509735886</v>
      </c>
      <c r="I148" s="55">
        <v>0</v>
      </c>
      <c r="J148" s="1" t="s">
        <v>768</v>
      </c>
    </row>
    <row r="149" spans="1:10" ht="14.25" customHeight="1" x14ac:dyDescent="0.3">
      <c r="A149" s="1" t="s">
        <v>56</v>
      </c>
      <c r="B149" s="1">
        <v>11</v>
      </c>
      <c r="C149" s="1" t="s">
        <v>762</v>
      </c>
      <c r="D149" s="1">
        <v>35</v>
      </c>
      <c r="E149" s="1" t="s">
        <v>106</v>
      </c>
      <c r="F149" s="1" t="s">
        <v>101</v>
      </c>
      <c r="G149" s="52">
        <f t="shared" si="2"/>
        <v>189.72595982363075</v>
      </c>
      <c r="H149" s="1"/>
      <c r="I149" s="1"/>
    </row>
    <row r="150" spans="1:10" ht="14.25" customHeight="1" x14ac:dyDescent="0.3">
      <c r="A150" s="1" t="s">
        <v>56</v>
      </c>
      <c r="B150" s="1">
        <v>12</v>
      </c>
      <c r="C150" s="1" t="s">
        <v>761</v>
      </c>
      <c r="D150" s="1">
        <v>20</v>
      </c>
      <c r="E150" s="1" t="s">
        <v>93</v>
      </c>
      <c r="F150" s="1" t="s">
        <v>101</v>
      </c>
      <c r="G150" s="52">
        <f t="shared" si="2"/>
        <v>61.951333819961064</v>
      </c>
      <c r="H150" s="52">
        <f>G150</f>
        <v>61.951333819961064</v>
      </c>
      <c r="I150" s="55">
        <v>0</v>
      </c>
    </row>
    <row r="151" spans="1:10" ht="14.25" customHeight="1" x14ac:dyDescent="0.3">
      <c r="A151" s="1" t="s">
        <v>56</v>
      </c>
      <c r="B151" s="1">
        <v>12</v>
      </c>
      <c r="C151" s="1" t="s">
        <v>760</v>
      </c>
      <c r="G151" s="52">
        <f t="shared" si="2"/>
        <v>0</v>
      </c>
      <c r="H151">
        <v>0</v>
      </c>
      <c r="I151" s="55">
        <v>0</v>
      </c>
      <c r="J151" s="1" t="s">
        <v>765</v>
      </c>
    </row>
    <row r="152" spans="1:10" ht="14.25" customHeight="1" x14ac:dyDescent="0.3">
      <c r="A152" s="1" t="s">
        <v>56</v>
      </c>
      <c r="B152" s="1">
        <v>12</v>
      </c>
      <c r="C152" s="1" t="s">
        <v>101</v>
      </c>
      <c r="G152" s="52">
        <f t="shared" si="2"/>
        <v>0</v>
      </c>
      <c r="H152">
        <v>0</v>
      </c>
      <c r="I152" s="55">
        <v>0</v>
      </c>
      <c r="J152" s="1" t="s">
        <v>765</v>
      </c>
    </row>
    <row r="153" spans="1:10" ht="14.25" customHeight="1" x14ac:dyDescent="0.3">
      <c r="A153" s="1" t="s">
        <v>56</v>
      </c>
      <c r="B153" s="1">
        <v>12</v>
      </c>
      <c r="C153" s="1" t="s">
        <v>762</v>
      </c>
      <c r="G153" s="52">
        <f t="shared" si="2"/>
        <v>0</v>
      </c>
      <c r="H153">
        <v>0</v>
      </c>
      <c r="I153" s="55">
        <v>0</v>
      </c>
      <c r="J153" s="1" t="s">
        <v>765</v>
      </c>
    </row>
    <row r="154" spans="1:10" ht="14.25" customHeight="1" x14ac:dyDescent="0.3">
      <c r="A154" s="1" t="s">
        <v>56</v>
      </c>
      <c r="B154" s="1">
        <v>13</v>
      </c>
      <c r="C154" s="1" t="s">
        <v>761</v>
      </c>
      <c r="G154" s="52">
        <f t="shared" si="2"/>
        <v>0</v>
      </c>
      <c r="H154">
        <v>0</v>
      </c>
      <c r="I154" s="55">
        <v>0</v>
      </c>
      <c r="J154" s="1" t="s">
        <v>765</v>
      </c>
    </row>
    <row r="155" spans="1:10" ht="14.25" customHeight="1" x14ac:dyDescent="0.3">
      <c r="A155" s="1" t="s">
        <v>56</v>
      </c>
      <c r="B155" s="1">
        <v>13</v>
      </c>
      <c r="C155" s="1" t="s">
        <v>760</v>
      </c>
      <c r="G155" s="52">
        <f t="shared" si="2"/>
        <v>0</v>
      </c>
      <c r="H155">
        <v>0</v>
      </c>
      <c r="I155" s="55">
        <v>0</v>
      </c>
      <c r="J155" s="1" t="s">
        <v>765</v>
      </c>
    </row>
    <row r="156" spans="1:10" ht="14.25" customHeight="1" x14ac:dyDescent="0.3">
      <c r="A156" s="1" t="s">
        <v>56</v>
      </c>
      <c r="B156" s="1">
        <v>13</v>
      </c>
      <c r="C156" s="1" t="s">
        <v>101</v>
      </c>
      <c r="G156" s="52">
        <f t="shared" si="2"/>
        <v>0</v>
      </c>
      <c r="H156">
        <v>0</v>
      </c>
      <c r="I156" s="55">
        <v>0</v>
      </c>
      <c r="J156" s="1" t="s">
        <v>765</v>
      </c>
    </row>
    <row r="157" spans="1:10" ht="14.25" customHeight="1" x14ac:dyDescent="0.3">
      <c r="A157" s="1" t="s">
        <v>56</v>
      </c>
      <c r="B157" s="1">
        <v>13</v>
      </c>
      <c r="C157" s="1" t="s">
        <v>762</v>
      </c>
      <c r="G157" s="52">
        <f t="shared" si="2"/>
        <v>0</v>
      </c>
      <c r="H157">
        <v>0</v>
      </c>
      <c r="I157" s="55">
        <v>0</v>
      </c>
      <c r="J157" s="1" t="s">
        <v>765</v>
      </c>
    </row>
    <row r="158" spans="1:10" ht="14.25" customHeight="1" x14ac:dyDescent="0.3">
      <c r="A158" s="1" t="s">
        <v>56</v>
      </c>
      <c r="B158" s="1">
        <v>14</v>
      </c>
      <c r="C158" s="1" t="s">
        <v>761</v>
      </c>
      <c r="G158" s="52">
        <f t="shared" si="2"/>
        <v>0</v>
      </c>
      <c r="H158">
        <v>0</v>
      </c>
      <c r="I158" s="55">
        <v>0</v>
      </c>
      <c r="J158" s="1" t="s">
        <v>765</v>
      </c>
    </row>
    <row r="159" spans="1:10" ht="14.25" customHeight="1" x14ac:dyDescent="0.3">
      <c r="A159" s="1" t="s">
        <v>56</v>
      </c>
      <c r="B159" s="1">
        <v>14</v>
      </c>
      <c r="C159" s="1" t="s">
        <v>760</v>
      </c>
      <c r="D159" s="1">
        <v>21</v>
      </c>
      <c r="E159" s="1" t="s">
        <v>93</v>
      </c>
      <c r="F159" s="1" t="s">
        <v>101</v>
      </c>
      <c r="G159" s="52">
        <f t="shared" si="2"/>
        <v>68.301345536507085</v>
      </c>
      <c r="H159" s="41">
        <f>G159</f>
        <v>68.301345536507085</v>
      </c>
      <c r="I159" s="55">
        <v>0</v>
      </c>
    </row>
    <row r="160" spans="1:10" ht="14.25" customHeight="1" x14ac:dyDescent="0.3">
      <c r="A160" s="1" t="s">
        <v>56</v>
      </c>
      <c r="B160" s="1">
        <v>14</v>
      </c>
      <c r="C160" s="1" t="s">
        <v>101</v>
      </c>
      <c r="G160" s="52">
        <f t="shared" si="2"/>
        <v>0</v>
      </c>
      <c r="H160">
        <v>0</v>
      </c>
      <c r="I160" s="55">
        <v>0</v>
      </c>
      <c r="J160" s="1" t="s">
        <v>765</v>
      </c>
    </row>
    <row r="161" spans="1:10" ht="14.25" customHeight="1" x14ac:dyDescent="0.3">
      <c r="A161" s="1" t="s">
        <v>56</v>
      </c>
      <c r="B161" s="1">
        <v>14</v>
      </c>
      <c r="C161" s="1" t="s">
        <v>762</v>
      </c>
      <c r="D161" s="1">
        <v>19</v>
      </c>
      <c r="E161" s="1" t="s">
        <v>106</v>
      </c>
      <c r="F161" s="1" t="s">
        <v>101</v>
      </c>
      <c r="G161" s="52">
        <f t="shared" si="2"/>
        <v>55.911078772514863</v>
      </c>
      <c r="H161" s="52">
        <f>SUM(G161:G162)</f>
        <v>124.21242430902194</v>
      </c>
      <c r="I161" s="55">
        <v>0</v>
      </c>
    </row>
    <row r="162" spans="1:10" ht="14.25" customHeight="1" x14ac:dyDescent="0.3">
      <c r="A162" s="1" t="s">
        <v>56</v>
      </c>
      <c r="B162" s="1">
        <v>14</v>
      </c>
      <c r="C162" s="1" t="s">
        <v>762</v>
      </c>
      <c r="D162" s="1">
        <v>21</v>
      </c>
      <c r="E162" s="1" t="s">
        <v>93</v>
      </c>
      <c r="F162" s="1" t="s">
        <v>101</v>
      </c>
      <c r="G162" s="52">
        <f t="shared" si="2"/>
        <v>68.301345536507085</v>
      </c>
      <c r="H162" s="1"/>
      <c r="I162" s="1"/>
    </row>
    <row r="163" spans="1:10" ht="14.25" customHeight="1" x14ac:dyDescent="0.3">
      <c r="A163" s="1" t="s">
        <v>56</v>
      </c>
      <c r="B163" s="1">
        <v>15</v>
      </c>
      <c r="C163" s="1" t="s">
        <v>761</v>
      </c>
      <c r="D163" s="1">
        <v>15</v>
      </c>
      <c r="E163" s="1" t="s">
        <v>93</v>
      </c>
      <c r="F163" s="1" t="s">
        <v>101</v>
      </c>
      <c r="G163" s="52">
        <f t="shared" si="2"/>
        <v>34.847625273728106</v>
      </c>
      <c r="H163" s="52">
        <f>G163</f>
        <v>34.847625273728106</v>
      </c>
      <c r="I163" s="55">
        <v>0</v>
      </c>
    </row>
    <row r="164" spans="1:10" ht="14.25" customHeight="1" x14ac:dyDescent="0.3">
      <c r="A164" s="1" t="s">
        <v>56</v>
      </c>
      <c r="B164" s="1">
        <v>15</v>
      </c>
      <c r="C164" s="1" t="s">
        <v>760</v>
      </c>
      <c r="G164" s="52">
        <f t="shared" si="2"/>
        <v>0</v>
      </c>
      <c r="H164">
        <v>0</v>
      </c>
      <c r="I164" s="55">
        <v>0</v>
      </c>
      <c r="J164" s="1" t="s">
        <v>765</v>
      </c>
    </row>
    <row r="165" spans="1:10" ht="14.25" customHeight="1" x14ac:dyDescent="0.3">
      <c r="A165" s="1" t="s">
        <v>56</v>
      </c>
      <c r="B165" s="1">
        <v>15</v>
      </c>
      <c r="C165" s="1" t="s">
        <v>101</v>
      </c>
      <c r="D165" s="1">
        <v>8</v>
      </c>
      <c r="E165" s="1" t="s">
        <v>109</v>
      </c>
      <c r="F165" s="1" t="s">
        <v>101</v>
      </c>
      <c r="G165" s="52">
        <f t="shared" si="2"/>
        <v>9.9122134111937719</v>
      </c>
      <c r="H165" s="52">
        <f>SUM(G165:G166)</f>
        <v>65.823292183708631</v>
      </c>
      <c r="I165" s="55">
        <v>0</v>
      </c>
    </row>
    <row r="166" spans="1:10" ht="14.25" customHeight="1" x14ac:dyDescent="0.3">
      <c r="A166" s="1" t="s">
        <v>56</v>
      </c>
      <c r="B166" s="1">
        <v>15</v>
      </c>
      <c r="C166" s="1" t="s">
        <v>101</v>
      </c>
      <c r="D166" s="1">
        <v>19</v>
      </c>
      <c r="E166" s="1" t="s">
        <v>109</v>
      </c>
      <c r="F166" s="1" t="s">
        <v>101</v>
      </c>
      <c r="G166" s="52">
        <f t="shared" si="2"/>
        <v>55.911078772514863</v>
      </c>
      <c r="H166" s="1"/>
      <c r="I166" s="1"/>
    </row>
    <row r="167" spans="1:10" ht="14.25" customHeight="1" x14ac:dyDescent="0.3">
      <c r="A167" s="1" t="s">
        <v>56</v>
      </c>
      <c r="B167" s="1">
        <v>15</v>
      </c>
      <c r="C167" s="1" t="s">
        <v>762</v>
      </c>
      <c r="D167" s="1">
        <v>10</v>
      </c>
      <c r="E167" s="1" t="s">
        <v>109</v>
      </c>
      <c r="F167" s="1" t="s">
        <v>101</v>
      </c>
      <c r="G167" s="52">
        <f t="shared" si="2"/>
        <v>15.487833454990266</v>
      </c>
      <c r="H167" s="52">
        <f>G167</f>
        <v>15.487833454990266</v>
      </c>
      <c r="I167" s="55">
        <v>0</v>
      </c>
    </row>
    <row r="168" spans="1:10" ht="14.25" customHeight="1" x14ac:dyDescent="0.3">
      <c r="A168" s="1" t="s">
        <v>62</v>
      </c>
      <c r="B168">
        <v>1</v>
      </c>
      <c r="C168" t="s">
        <v>760</v>
      </c>
      <c r="D168" s="1"/>
      <c r="E168" s="1"/>
      <c r="F168" s="1"/>
      <c r="G168" s="52">
        <f t="shared" si="2"/>
        <v>0</v>
      </c>
      <c r="H168" s="52">
        <v>0</v>
      </c>
      <c r="I168" s="55">
        <v>0</v>
      </c>
      <c r="J168" t="s">
        <v>765</v>
      </c>
    </row>
    <row r="169" spans="1:10" ht="14.25" customHeight="1" x14ac:dyDescent="0.3">
      <c r="A169" s="1" t="s">
        <v>62</v>
      </c>
      <c r="B169">
        <v>1</v>
      </c>
      <c r="C169" t="s">
        <v>761</v>
      </c>
      <c r="D169" s="1"/>
      <c r="E169" s="1"/>
      <c r="F169" s="1"/>
      <c r="G169" s="52">
        <f t="shared" si="2"/>
        <v>0</v>
      </c>
      <c r="H169" s="52">
        <v>0</v>
      </c>
      <c r="I169" s="55">
        <v>0</v>
      </c>
      <c r="J169" t="s">
        <v>765</v>
      </c>
    </row>
    <row r="170" spans="1:10" ht="14.25" customHeight="1" x14ac:dyDescent="0.3">
      <c r="A170" s="1" t="s">
        <v>62</v>
      </c>
      <c r="B170">
        <v>1</v>
      </c>
      <c r="C170" t="s">
        <v>101</v>
      </c>
      <c r="D170" s="1"/>
      <c r="E170" s="1"/>
      <c r="F170" s="1"/>
      <c r="G170" s="52">
        <f t="shared" si="2"/>
        <v>0</v>
      </c>
      <c r="H170" s="52">
        <v>0</v>
      </c>
      <c r="I170" s="55">
        <v>0</v>
      </c>
      <c r="J170" t="s">
        <v>765</v>
      </c>
    </row>
    <row r="171" spans="1:10" ht="14.25" customHeight="1" x14ac:dyDescent="0.3">
      <c r="A171" s="1" t="s">
        <v>62</v>
      </c>
      <c r="B171">
        <v>1</v>
      </c>
      <c r="C171" t="s">
        <v>762</v>
      </c>
      <c r="D171" s="1"/>
      <c r="E171" s="1"/>
      <c r="F171" s="1"/>
      <c r="G171" s="52">
        <f t="shared" si="2"/>
        <v>0</v>
      </c>
      <c r="H171" s="52">
        <v>0</v>
      </c>
      <c r="I171" s="55">
        <v>0</v>
      </c>
      <c r="J171" t="s">
        <v>765</v>
      </c>
    </row>
    <row r="172" spans="1:10" ht="14.25" customHeight="1" x14ac:dyDescent="0.3">
      <c r="A172" s="1" t="s">
        <v>62</v>
      </c>
      <c r="B172">
        <v>2</v>
      </c>
      <c r="C172" t="s">
        <v>760</v>
      </c>
      <c r="D172" s="1"/>
      <c r="E172" s="1"/>
      <c r="F172" s="1"/>
      <c r="G172" s="52">
        <f t="shared" si="2"/>
        <v>0</v>
      </c>
      <c r="H172" s="52">
        <v>0</v>
      </c>
      <c r="I172" s="55">
        <v>0</v>
      </c>
      <c r="J172" t="s">
        <v>765</v>
      </c>
    </row>
    <row r="173" spans="1:10" ht="14.25" customHeight="1" x14ac:dyDescent="0.3">
      <c r="A173" s="1" t="s">
        <v>62</v>
      </c>
      <c r="B173">
        <v>2</v>
      </c>
      <c r="C173" t="s">
        <v>761</v>
      </c>
      <c r="D173" s="1">
        <v>32</v>
      </c>
      <c r="E173" s="1" t="s">
        <v>109</v>
      </c>
      <c r="F173" t="s">
        <v>101</v>
      </c>
      <c r="G173" s="52">
        <f t="shared" si="2"/>
        <v>158.59541457910035</v>
      </c>
      <c r="H173" s="52">
        <f>G173</f>
        <v>158.59541457910035</v>
      </c>
      <c r="I173" s="55">
        <v>0</v>
      </c>
    </row>
    <row r="174" spans="1:10" ht="14.25" customHeight="1" x14ac:dyDescent="0.3">
      <c r="A174" s="1" t="s">
        <v>62</v>
      </c>
      <c r="B174">
        <v>2</v>
      </c>
      <c r="C174" t="s">
        <v>101</v>
      </c>
      <c r="D174" s="1">
        <v>9</v>
      </c>
      <c r="E174" s="1" t="s">
        <v>93</v>
      </c>
      <c r="F174" t="s">
        <v>101</v>
      </c>
      <c r="G174" s="52">
        <f t="shared" si="2"/>
        <v>12.545145098542116</v>
      </c>
      <c r="H174" s="52">
        <f>SUM(G174:G175)</f>
        <v>42.901298670323044</v>
      </c>
      <c r="I174" s="55">
        <v>0</v>
      </c>
    </row>
    <row r="175" spans="1:10" ht="14.25" customHeight="1" x14ac:dyDescent="0.3">
      <c r="A175" s="1" t="s">
        <v>62</v>
      </c>
      <c r="B175">
        <v>2</v>
      </c>
      <c r="C175" t="s">
        <v>101</v>
      </c>
      <c r="D175" s="1">
        <v>14</v>
      </c>
      <c r="E175" s="1" t="s">
        <v>93</v>
      </c>
      <c r="F175" t="s">
        <v>101</v>
      </c>
      <c r="G175" s="52">
        <f t="shared" si="2"/>
        <v>30.356153571780926</v>
      </c>
      <c r="H175" s="52"/>
      <c r="I175" s="55"/>
    </row>
    <row r="176" spans="1:10" ht="14.25" customHeight="1" x14ac:dyDescent="0.3">
      <c r="A176" s="1" t="s">
        <v>62</v>
      </c>
      <c r="B176">
        <v>2</v>
      </c>
      <c r="C176" t="s">
        <v>762</v>
      </c>
      <c r="D176">
        <v>12</v>
      </c>
      <c r="E176" t="s">
        <v>93</v>
      </c>
      <c r="F176" t="s">
        <v>101</v>
      </c>
      <c r="G176" s="52">
        <f t="shared" si="2"/>
        <v>22.30248017518598</v>
      </c>
      <c r="H176" s="52">
        <f>G176</f>
        <v>22.30248017518598</v>
      </c>
      <c r="I176" s="55">
        <v>0</v>
      </c>
    </row>
    <row r="177" spans="1:10" ht="14.25" customHeight="1" x14ac:dyDescent="0.3">
      <c r="A177" s="1" t="s">
        <v>62</v>
      </c>
      <c r="B177">
        <v>3</v>
      </c>
      <c r="C177" t="s">
        <v>760</v>
      </c>
      <c r="D177">
        <v>16</v>
      </c>
      <c r="E177" t="s">
        <v>93</v>
      </c>
      <c r="F177" t="s">
        <v>101</v>
      </c>
      <c r="G177" s="52">
        <f t="shared" si="2"/>
        <v>39.648853644775087</v>
      </c>
      <c r="H177" s="52">
        <f>G177</f>
        <v>39.648853644775087</v>
      </c>
      <c r="I177" s="55">
        <v>0</v>
      </c>
    </row>
    <row r="178" spans="1:10" ht="14.25" customHeight="1" x14ac:dyDescent="0.3">
      <c r="A178" s="1" t="s">
        <v>62</v>
      </c>
      <c r="B178">
        <v>3</v>
      </c>
      <c r="C178" t="s">
        <v>761</v>
      </c>
      <c r="D178">
        <v>10</v>
      </c>
      <c r="E178" t="s">
        <v>106</v>
      </c>
      <c r="F178" t="s">
        <v>101</v>
      </c>
      <c r="G178" s="52">
        <f t="shared" si="2"/>
        <v>15.487833454990266</v>
      </c>
      <c r="H178" s="52">
        <f>G178</f>
        <v>15.487833454990266</v>
      </c>
      <c r="I178" s="55">
        <v>0</v>
      </c>
    </row>
    <row r="179" spans="1:10" ht="14.25" customHeight="1" x14ac:dyDescent="0.3">
      <c r="A179" s="1" t="s">
        <v>62</v>
      </c>
      <c r="B179">
        <v>3</v>
      </c>
      <c r="C179" t="s">
        <v>101</v>
      </c>
      <c r="D179">
        <v>10</v>
      </c>
      <c r="E179" t="s">
        <v>93</v>
      </c>
      <c r="F179" t="s">
        <v>766</v>
      </c>
      <c r="G179" s="52">
        <f t="shared" si="2"/>
        <v>15.487833454990266</v>
      </c>
      <c r="H179" s="52">
        <v>0</v>
      </c>
      <c r="I179" s="58">
        <f>G179</f>
        <v>15.487833454990266</v>
      </c>
    </row>
    <row r="180" spans="1:10" ht="14.25" customHeight="1" x14ac:dyDescent="0.3">
      <c r="A180" s="1" t="s">
        <v>62</v>
      </c>
      <c r="B180">
        <v>3</v>
      </c>
      <c r="C180" t="s">
        <v>762</v>
      </c>
      <c r="D180">
        <v>32</v>
      </c>
      <c r="E180" t="s">
        <v>93</v>
      </c>
      <c r="F180" t="s">
        <v>101</v>
      </c>
      <c r="G180" s="52">
        <f t="shared" si="2"/>
        <v>158.59541457910035</v>
      </c>
      <c r="H180" s="52">
        <f>SUM(G180:G181)</f>
        <v>203.35525326402222</v>
      </c>
      <c r="I180" s="55">
        <v>0</v>
      </c>
    </row>
    <row r="181" spans="1:10" ht="14.25" customHeight="1" x14ac:dyDescent="0.3">
      <c r="A181" s="1" t="s">
        <v>62</v>
      </c>
      <c r="B181">
        <v>3</v>
      </c>
      <c r="C181" t="s">
        <v>762</v>
      </c>
      <c r="D181">
        <v>17</v>
      </c>
      <c r="E181" t="s">
        <v>93</v>
      </c>
      <c r="F181" t="s">
        <v>101</v>
      </c>
      <c r="G181" s="52">
        <f t="shared" si="2"/>
        <v>44.759838684921874</v>
      </c>
      <c r="H181" s="52"/>
      <c r="I181" s="55"/>
    </row>
    <row r="182" spans="1:10" ht="14.25" customHeight="1" x14ac:dyDescent="0.3">
      <c r="A182" s="1" t="s">
        <v>62</v>
      </c>
      <c r="B182" s="10">
        <v>4</v>
      </c>
      <c r="C182" s="10" t="s">
        <v>761</v>
      </c>
      <c r="D182" s="10">
        <v>42</v>
      </c>
      <c r="E182" s="10" t="s">
        <v>93</v>
      </c>
      <c r="F182" s="10" t="s">
        <v>101</v>
      </c>
      <c r="G182" s="52">
        <f t="shared" si="2"/>
        <v>273.20538214602834</v>
      </c>
      <c r="H182" s="5">
        <f>G182</f>
        <v>273.20538214602834</v>
      </c>
      <c r="I182" s="10">
        <v>0</v>
      </c>
    </row>
    <row r="183" spans="1:10" ht="14.25" customHeight="1" x14ac:dyDescent="0.3">
      <c r="A183" s="1" t="s">
        <v>62</v>
      </c>
      <c r="B183" s="1">
        <v>4</v>
      </c>
      <c r="C183" s="1" t="s">
        <v>760</v>
      </c>
      <c r="G183" s="52">
        <f t="shared" si="2"/>
        <v>0</v>
      </c>
      <c r="H183">
        <v>0</v>
      </c>
      <c r="I183" s="10">
        <v>0</v>
      </c>
      <c r="J183" s="1" t="s">
        <v>765</v>
      </c>
    </row>
    <row r="184" spans="1:10" ht="14.25" customHeight="1" x14ac:dyDescent="0.3">
      <c r="A184" s="1" t="s">
        <v>62</v>
      </c>
      <c r="B184" s="1">
        <v>4</v>
      </c>
      <c r="C184" s="1" t="s">
        <v>101</v>
      </c>
      <c r="D184" s="1">
        <v>64</v>
      </c>
      <c r="E184" s="1" t="s">
        <v>93</v>
      </c>
      <c r="F184" s="1" t="s">
        <v>101</v>
      </c>
      <c r="G184" s="52">
        <f t="shared" si="2"/>
        <v>634.3816583164014</v>
      </c>
      <c r="H184" s="52">
        <f>G184</f>
        <v>634.3816583164014</v>
      </c>
      <c r="I184" s="10">
        <v>0</v>
      </c>
    </row>
    <row r="185" spans="1:10" ht="14.25" customHeight="1" x14ac:dyDescent="0.3">
      <c r="A185" s="1" t="s">
        <v>62</v>
      </c>
      <c r="B185" s="1">
        <v>4</v>
      </c>
      <c r="C185" s="1" t="s">
        <v>762</v>
      </c>
      <c r="G185" s="52">
        <f t="shared" si="2"/>
        <v>0</v>
      </c>
      <c r="H185">
        <v>0</v>
      </c>
      <c r="I185">
        <v>0</v>
      </c>
      <c r="J185" s="1" t="s">
        <v>765</v>
      </c>
    </row>
    <row r="186" spans="1:10" ht="14.25" customHeight="1" x14ac:dyDescent="0.3">
      <c r="A186" s="1" t="s">
        <v>62</v>
      </c>
      <c r="B186" s="1">
        <v>5</v>
      </c>
      <c r="C186" s="1" t="s">
        <v>761</v>
      </c>
      <c r="D186" s="1">
        <v>60</v>
      </c>
      <c r="E186" s="1" t="s">
        <v>93</v>
      </c>
      <c r="F186" s="1" t="s">
        <v>101</v>
      </c>
      <c r="G186" s="52">
        <f t="shared" si="2"/>
        <v>557.56200437964969</v>
      </c>
      <c r="H186" s="52">
        <f>G186</f>
        <v>557.56200437964969</v>
      </c>
      <c r="I186">
        <v>0</v>
      </c>
    </row>
    <row r="187" spans="1:10" ht="14.25" customHeight="1" x14ac:dyDescent="0.3">
      <c r="A187" s="1" t="s">
        <v>62</v>
      </c>
      <c r="B187" s="1">
        <v>5</v>
      </c>
      <c r="C187" s="1" t="s">
        <v>760</v>
      </c>
      <c r="G187" s="52">
        <f t="shared" si="2"/>
        <v>0</v>
      </c>
      <c r="H187">
        <v>0</v>
      </c>
      <c r="I187">
        <v>0</v>
      </c>
      <c r="J187" s="1" t="s">
        <v>765</v>
      </c>
    </row>
    <row r="188" spans="1:10" ht="14.25" customHeight="1" x14ac:dyDescent="0.3">
      <c r="A188" s="1" t="s">
        <v>62</v>
      </c>
      <c r="B188" s="1">
        <v>5</v>
      </c>
      <c r="C188" s="1" t="s">
        <v>101</v>
      </c>
      <c r="D188" s="1">
        <v>87</v>
      </c>
      <c r="E188" s="1" t="s">
        <v>108</v>
      </c>
      <c r="F188" s="1" t="s">
        <v>101</v>
      </c>
      <c r="G188" s="52">
        <f t="shared" si="2"/>
        <v>1172.2741142082134</v>
      </c>
      <c r="H188" s="52">
        <f>G188</f>
        <v>1172.2741142082134</v>
      </c>
      <c r="I188">
        <v>0</v>
      </c>
    </row>
    <row r="189" spans="1:10" ht="14.25" customHeight="1" x14ac:dyDescent="0.3">
      <c r="A189" s="1" t="s">
        <v>62</v>
      </c>
      <c r="B189" s="1">
        <v>5</v>
      </c>
      <c r="C189" s="1" t="s">
        <v>762</v>
      </c>
      <c r="G189" s="52">
        <f t="shared" si="2"/>
        <v>0</v>
      </c>
      <c r="H189">
        <v>0</v>
      </c>
      <c r="I189">
        <v>0</v>
      </c>
      <c r="J189" s="1" t="s">
        <v>765</v>
      </c>
    </row>
    <row r="190" spans="1:10" ht="14.25" customHeight="1" x14ac:dyDescent="0.3">
      <c r="A190" s="1" t="s">
        <v>62</v>
      </c>
      <c r="B190">
        <v>6</v>
      </c>
      <c r="C190" t="s">
        <v>760</v>
      </c>
      <c r="G190" s="52">
        <f t="shared" si="2"/>
        <v>0</v>
      </c>
      <c r="H190" s="41">
        <v>0</v>
      </c>
      <c r="I190">
        <v>0</v>
      </c>
      <c r="J190" s="1" t="s">
        <v>765</v>
      </c>
    </row>
    <row r="191" spans="1:10" ht="14.25" customHeight="1" x14ac:dyDescent="0.3">
      <c r="A191" s="1" t="s">
        <v>62</v>
      </c>
      <c r="B191">
        <v>6</v>
      </c>
      <c r="C191" t="s">
        <v>761</v>
      </c>
      <c r="G191" s="52">
        <f t="shared" si="2"/>
        <v>0</v>
      </c>
      <c r="H191">
        <v>0</v>
      </c>
      <c r="I191">
        <v>0</v>
      </c>
      <c r="J191" s="1" t="s">
        <v>765</v>
      </c>
    </row>
    <row r="192" spans="1:10" ht="14.25" customHeight="1" x14ac:dyDescent="0.3">
      <c r="A192" s="1" t="s">
        <v>62</v>
      </c>
      <c r="B192">
        <v>6</v>
      </c>
      <c r="C192" t="s">
        <v>101</v>
      </c>
      <c r="G192" s="52">
        <f t="shared" si="2"/>
        <v>0</v>
      </c>
      <c r="H192" s="41">
        <v>0</v>
      </c>
      <c r="I192">
        <v>0</v>
      </c>
      <c r="J192" s="1" t="s">
        <v>765</v>
      </c>
    </row>
    <row r="193" spans="1:10" ht="14.25" customHeight="1" x14ac:dyDescent="0.3">
      <c r="A193" s="1" t="s">
        <v>62</v>
      </c>
      <c r="B193">
        <v>6</v>
      </c>
      <c r="C193" t="s">
        <v>762</v>
      </c>
      <c r="D193">
        <v>35</v>
      </c>
      <c r="E193" t="s">
        <v>93</v>
      </c>
      <c r="F193" t="s">
        <v>101</v>
      </c>
      <c r="G193" s="52">
        <f t="shared" si="2"/>
        <v>189.72595982363075</v>
      </c>
      <c r="H193" s="41">
        <f>G193</f>
        <v>189.72595982363075</v>
      </c>
      <c r="I193">
        <v>0</v>
      </c>
      <c r="J193" s="1"/>
    </row>
    <row r="194" spans="1:10" ht="14.25" customHeight="1" x14ac:dyDescent="0.3">
      <c r="A194" s="1" t="s">
        <v>62</v>
      </c>
      <c r="B194" s="1">
        <v>7</v>
      </c>
      <c r="C194" s="1" t="s">
        <v>761</v>
      </c>
      <c r="D194" s="1">
        <v>19</v>
      </c>
      <c r="E194" s="1" t="s">
        <v>93</v>
      </c>
      <c r="F194" s="1" t="s">
        <v>101</v>
      </c>
      <c r="G194" s="52">
        <f t="shared" si="2"/>
        <v>55.911078772514863</v>
      </c>
      <c r="H194" s="52">
        <f>G194</f>
        <v>55.911078772514863</v>
      </c>
      <c r="I194" s="1">
        <v>0</v>
      </c>
      <c r="J194" s="1" t="s">
        <v>767</v>
      </c>
    </row>
    <row r="195" spans="1:10" ht="14.25" customHeight="1" x14ac:dyDescent="0.3">
      <c r="A195" s="1" t="s">
        <v>62</v>
      </c>
      <c r="B195" s="1">
        <v>7</v>
      </c>
      <c r="C195" s="1" t="s">
        <v>760</v>
      </c>
      <c r="G195" s="52">
        <f t="shared" si="2"/>
        <v>0</v>
      </c>
      <c r="H195">
        <v>0</v>
      </c>
      <c r="I195">
        <v>0</v>
      </c>
      <c r="J195" s="1" t="s">
        <v>765</v>
      </c>
    </row>
    <row r="196" spans="1:10" ht="14.25" customHeight="1" x14ac:dyDescent="0.3">
      <c r="A196" s="1" t="s">
        <v>62</v>
      </c>
      <c r="B196" s="1">
        <v>7</v>
      </c>
      <c r="C196" s="1" t="s">
        <v>101</v>
      </c>
      <c r="G196" s="52">
        <f t="shared" si="2"/>
        <v>0</v>
      </c>
      <c r="H196">
        <v>0</v>
      </c>
      <c r="I196">
        <v>0</v>
      </c>
      <c r="J196" s="1" t="s">
        <v>765</v>
      </c>
    </row>
    <row r="197" spans="1:10" ht="14.25" customHeight="1" x14ac:dyDescent="0.3">
      <c r="A197" s="1" t="s">
        <v>62</v>
      </c>
      <c r="B197" s="1">
        <v>7</v>
      </c>
      <c r="C197" s="1" t="s">
        <v>762</v>
      </c>
      <c r="D197" s="1">
        <v>23</v>
      </c>
      <c r="E197" s="1" t="s">
        <v>93</v>
      </c>
      <c r="F197" s="1" t="s">
        <v>101</v>
      </c>
      <c r="G197" s="52">
        <f t="shared" si="2"/>
        <v>81.930638976898521</v>
      </c>
      <c r="H197" s="52">
        <f>G197</f>
        <v>81.930638976898521</v>
      </c>
      <c r="I197" s="1">
        <v>0</v>
      </c>
    </row>
    <row r="198" spans="1:10" ht="14.25" customHeight="1" x14ac:dyDescent="0.3">
      <c r="A198" s="1" t="s">
        <v>62</v>
      </c>
      <c r="B198" s="1">
        <v>8</v>
      </c>
      <c r="C198" s="1" t="s">
        <v>761</v>
      </c>
      <c r="D198" s="1">
        <v>51</v>
      </c>
      <c r="E198" s="1" t="s">
        <v>111</v>
      </c>
      <c r="F198" s="1" t="s">
        <v>101</v>
      </c>
      <c r="G198" s="52">
        <f t="shared" si="2"/>
        <v>402.83854816429687</v>
      </c>
      <c r="H198" s="52">
        <f>G198</f>
        <v>402.83854816429687</v>
      </c>
      <c r="I198">
        <v>0</v>
      </c>
    </row>
    <row r="199" spans="1:10" ht="14.25" customHeight="1" x14ac:dyDescent="0.3">
      <c r="A199" s="1" t="s">
        <v>62</v>
      </c>
      <c r="B199" s="1">
        <v>8</v>
      </c>
      <c r="C199" s="1" t="s">
        <v>760</v>
      </c>
      <c r="D199" s="1">
        <v>38</v>
      </c>
      <c r="E199" s="1" t="s">
        <v>93</v>
      </c>
      <c r="F199" s="1" t="s">
        <v>766</v>
      </c>
      <c r="G199" s="52">
        <f t="shared" si="2"/>
        <v>223.64431509005945</v>
      </c>
      <c r="H199" s="52">
        <f>SUM(G201:G202)</f>
        <v>56.530592110714473</v>
      </c>
      <c r="I199" s="52">
        <f>SUM(G199:G200)</f>
        <v>939.80173404880941</v>
      </c>
    </row>
    <row r="200" spans="1:10" ht="14.25" customHeight="1" x14ac:dyDescent="0.3">
      <c r="A200" s="1" t="s">
        <v>62</v>
      </c>
      <c r="B200" s="1">
        <v>8</v>
      </c>
      <c r="C200" s="1" t="s">
        <v>760</v>
      </c>
      <c r="D200" s="1">
        <v>68</v>
      </c>
      <c r="E200" s="1" t="s">
        <v>93</v>
      </c>
      <c r="F200" s="1" t="s">
        <v>766</v>
      </c>
      <c r="G200" s="52">
        <f t="shared" si="2"/>
        <v>716.15741895874999</v>
      </c>
      <c r="H200" s="1"/>
      <c r="I200" s="1"/>
    </row>
    <row r="201" spans="1:10" ht="14.25" customHeight="1" x14ac:dyDescent="0.3">
      <c r="A201" s="1" t="s">
        <v>62</v>
      </c>
      <c r="B201" s="1">
        <v>8</v>
      </c>
      <c r="C201" s="1" t="s">
        <v>760</v>
      </c>
      <c r="D201" s="1">
        <v>13</v>
      </c>
      <c r="E201" s="1" t="s">
        <v>93</v>
      </c>
      <c r="F201" s="1" t="s">
        <v>101</v>
      </c>
      <c r="G201" s="52">
        <f t="shared" si="2"/>
        <v>26.174438538933547</v>
      </c>
      <c r="H201" s="1"/>
      <c r="I201" s="1"/>
    </row>
    <row r="202" spans="1:10" ht="14.25" customHeight="1" x14ac:dyDescent="0.3">
      <c r="A202" s="1" t="s">
        <v>62</v>
      </c>
      <c r="B202" s="1">
        <v>8</v>
      </c>
      <c r="C202" s="1" t="s">
        <v>760</v>
      </c>
      <c r="D202" s="1">
        <v>14</v>
      </c>
      <c r="E202" s="1" t="s">
        <v>93</v>
      </c>
      <c r="F202" s="1" t="s">
        <v>101</v>
      </c>
      <c r="G202" s="52">
        <f t="shared" si="2"/>
        <v>30.356153571780926</v>
      </c>
      <c r="H202" s="1"/>
      <c r="I202" s="1"/>
    </row>
    <row r="203" spans="1:10" ht="14.25" customHeight="1" x14ac:dyDescent="0.3">
      <c r="A203" s="1" t="s">
        <v>62</v>
      </c>
      <c r="B203" s="1">
        <v>8</v>
      </c>
      <c r="C203" s="1" t="s">
        <v>101</v>
      </c>
      <c r="D203" s="1">
        <v>13</v>
      </c>
      <c r="E203" s="1" t="s">
        <v>106</v>
      </c>
      <c r="F203" s="1" t="s">
        <v>766</v>
      </c>
      <c r="G203" s="52">
        <f t="shared" si="2"/>
        <v>26.174438538933547</v>
      </c>
      <c r="H203" s="1">
        <v>0</v>
      </c>
      <c r="I203" s="52">
        <f>G203</f>
        <v>26.174438538933547</v>
      </c>
    </row>
    <row r="204" spans="1:10" ht="14.25" customHeight="1" x14ac:dyDescent="0.3">
      <c r="A204" s="1" t="s">
        <v>62</v>
      </c>
      <c r="B204" s="1">
        <v>8</v>
      </c>
      <c r="C204" s="1" t="s">
        <v>762</v>
      </c>
      <c r="D204" s="1">
        <v>17</v>
      </c>
      <c r="E204" s="1" t="s">
        <v>93</v>
      </c>
      <c r="F204" s="1" t="s">
        <v>766</v>
      </c>
      <c r="G204" s="52">
        <f t="shared" si="2"/>
        <v>44.759838684921874</v>
      </c>
      <c r="H204" s="1">
        <v>0</v>
      </c>
      <c r="I204" s="52">
        <f>G204</f>
        <v>44.759838684921874</v>
      </c>
    </row>
    <row r="205" spans="1:10" ht="14.25" customHeight="1" x14ac:dyDescent="0.3">
      <c r="A205" s="1" t="s">
        <v>62</v>
      </c>
      <c r="B205">
        <v>9</v>
      </c>
      <c r="C205" t="s">
        <v>760</v>
      </c>
      <c r="G205" s="52">
        <f t="shared" si="2"/>
        <v>0</v>
      </c>
      <c r="H205">
        <v>0</v>
      </c>
      <c r="I205">
        <v>0</v>
      </c>
      <c r="J205" s="1" t="s">
        <v>765</v>
      </c>
    </row>
    <row r="206" spans="1:10" ht="14.25" customHeight="1" x14ac:dyDescent="0.3">
      <c r="A206" s="1" t="s">
        <v>62</v>
      </c>
      <c r="B206">
        <v>9</v>
      </c>
      <c r="C206" t="s">
        <v>761</v>
      </c>
      <c r="G206" s="52">
        <f t="shared" si="2"/>
        <v>0</v>
      </c>
      <c r="H206">
        <v>0</v>
      </c>
      <c r="I206">
        <v>0</v>
      </c>
      <c r="J206" t="s">
        <v>765</v>
      </c>
    </row>
    <row r="207" spans="1:10" ht="14.25" customHeight="1" x14ac:dyDescent="0.3">
      <c r="A207" s="1" t="s">
        <v>62</v>
      </c>
      <c r="B207">
        <v>9</v>
      </c>
      <c r="C207" t="s">
        <v>101</v>
      </c>
      <c r="D207">
        <v>22</v>
      </c>
      <c r="E207" t="s">
        <v>96</v>
      </c>
      <c r="F207" t="s">
        <v>101</v>
      </c>
      <c r="G207" s="52">
        <f t="shared" si="2"/>
        <v>74.961113922152876</v>
      </c>
      <c r="H207" s="41">
        <f>SUM(G207:G209)</f>
        <v>324.77986755114586</v>
      </c>
      <c r="I207">
        <v>0</v>
      </c>
      <c r="J207" s="1"/>
    </row>
    <row r="208" spans="1:10" ht="14.25" customHeight="1" x14ac:dyDescent="0.3">
      <c r="A208" s="1" t="s">
        <v>62</v>
      </c>
      <c r="B208">
        <v>9</v>
      </c>
      <c r="C208" t="s">
        <v>101</v>
      </c>
      <c r="D208">
        <v>38</v>
      </c>
      <c r="E208" t="s">
        <v>106</v>
      </c>
      <c r="F208" t="s">
        <v>101</v>
      </c>
      <c r="G208" s="52">
        <f t="shared" si="2"/>
        <v>223.64431509005945</v>
      </c>
      <c r="J208" s="1"/>
    </row>
    <row r="209" spans="1:10" ht="14.25" customHeight="1" x14ac:dyDescent="0.3">
      <c r="A209" s="1" t="s">
        <v>62</v>
      </c>
      <c r="B209">
        <v>9</v>
      </c>
      <c r="C209" t="s">
        <v>101</v>
      </c>
      <c r="D209">
        <v>13</v>
      </c>
      <c r="E209" t="s">
        <v>111</v>
      </c>
      <c r="F209" t="s">
        <v>101</v>
      </c>
      <c r="G209" s="52">
        <f t="shared" si="2"/>
        <v>26.174438538933547</v>
      </c>
      <c r="J209" s="1"/>
    </row>
    <row r="210" spans="1:10" ht="14.25" customHeight="1" x14ac:dyDescent="0.3">
      <c r="A210" s="1" t="s">
        <v>62</v>
      </c>
      <c r="B210">
        <v>9</v>
      </c>
      <c r="C210" t="s">
        <v>762</v>
      </c>
      <c r="D210">
        <v>44</v>
      </c>
      <c r="E210" t="s">
        <v>106</v>
      </c>
      <c r="F210" t="s">
        <v>101</v>
      </c>
      <c r="G210" s="52">
        <f t="shared" si="2"/>
        <v>299.8444556886115</v>
      </c>
      <c r="H210" s="41">
        <f>G210</f>
        <v>299.8444556886115</v>
      </c>
      <c r="I210">
        <v>0</v>
      </c>
      <c r="J210" s="1"/>
    </row>
    <row r="211" spans="1:10" ht="14.25" customHeight="1" x14ac:dyDescent="0.3">
      <c r="A211" s="1" t="s">
        <v>62</v>
      </c>
      <c r="B211">
        <v>10</v>
      </c>
      <c r="C211" t="s">
        <v>760</v>
      </c>
      <c r="D211">
        <v>24</v>
      </c>
      <c r="E211" t="s">
        <v>96</v>
      </c>
      <c r="F211" t="s">
        <v>766</v>
      </c>
      <c r="G211" s="52">
        <f t="shared" si="2"/>
        <v>89.209920700743922</v>
      </c>
      <c r="H211">
        <v>0</v>
      </c>
      <c r="I211" s="41">
        <f>SUM(G211:G212)</f>
        <v>349.56040107913032</v>
      </c>
      <c r="J211" s="1"/>
    </row>
    <row r="212" spans="1:10" ht="14.25" customHeight="1" x14ac:dyDescent="0.3">
      <c r="A212" s="1" t="s">
        <v>62</v>
      </c>
      <c r="B212">
        <v>10</v>
      </c>
      <c r="C212" t="s">
        <v>760</v>
      </c>
      <c r="D212">
        <v>41</v>
      </c>
      <c r="E212" t="s">
        <v>96</v>
      </c>
      <c r="F212" t="s">
        <v>766</v>
      </c>
      <c r="G212" s="52">
        <f t="shared" si="2"/>
        <v>260.35048037838641</v>
      </c>
      <c r="J212" s="1"/>
    </row>
    <row r="213" spans="1:10" ht="14.25" customHeight="1" x14ac:dyDescent="0.3">
      <c r="A213" s="1" t="s">
        <v>62</v>
      </c>
      <c r="B213">
        <v>10</v>
      </c>
      <c r="C213" t="s">
        <v>761</v>
      </c>
      <c r="G213" s="52">
        <f t="shared" si="2"/>
        <v>0</v>
      </c>
      <c r="H213">
        <v>0</v>
      </c>
      <c r="I213">
        <v>0</v>
      </c>
      <c r="J213" s="1" t="s">
        <v>765</v>
      </c>
    </row>
    <row r="214" spans="1:10" ht="14.25" customHeight="1" x14ac:dyDescent="0.3">
      <c r="A214" s="1" t="s">
        <v>62</v>
      </c>
      <c r="B214">
        <v>10</v>
      </c>
      <c r="C214" t="s">
        <v>101</v>
      </c>
      <c r="G214" s="52">
        <f t="shared" si="2"/>
        <v>0</v>
      </c>
      <c r="H214">
        <v>0</v>
      </c>
      <c r="I214">
        <v>0</v>
      </c>
      <c r="J214" s="1" t="s">
        <v>765</v>
      </c>
    </row>
    <row r="215" spans="1:10" ht="14.25" customHeight="1" x14ac:dyDescent="0.3">
      <c r="A215" s="1" t="s">
        <v>62</v>
      </c>
      <c r="B215">
        <v>10</v>
      </c>
      <c r="C215" t="s">
        <v>762</v>
      </c>
      <c r="D215">
        <v>66</v>
      </c>
      <c r="E215" t="s">
        <v>96</v>
      </c>
      <c r="F215" t="s">
        <v>766</v>
      </c>
      <c r="G215" s="52">
        <f t="shared" si="2"/>
        <v>674.6500252993759</v>
      </c>
      <c r="H215">
        <v>0</v>
      </c>
      <c r="I215" s="41">
        <f>G215</f>
        <v>674.6500252993759</v>
      </c>
      <c r="J215" s="1"/>
    </row>
    <row r="216" spans="1:10" ht="14.25" customHeight="1" x14ac:dyDescent="0.3">
      <c r="A216" s="1" t="s">
        <v>62</v>
      </c>
      <c r="B216">
        <v>11</v>
      </c>
      <c r="C216" s="1" t="s">
        <v>760</v>
      </c>
      <c r="G216" s="52">
        <f t="shared" si="2"/>
        <v>0</v>
      </c>
      <c r="H216">
        <v>0</v>
      </c>
      <c r="I216">
        <v>0</v>
      </c>
      <c r="J216" s="1" t="s">
        <v>765</v>
      </c>
    </row>
    <row r="217" spans="1:10" ht="14.25" customHeight="1" x14ac:dyDescent="0.3">
      <c r="A217" s="1" t="s">
        <v>62</v>
      </c>
      <c r="B217">
        <v>11</v>
      </c>
      <c r="C217" t="s">
        <v>761</v>
      </c>
      <c r="G217" s="52">
        <f t="shared" si="2"/>
        <v>0</v>
      </c>
      <c r="H217">
        <v>0</v>
      </c>
      <c r="I217">
        <v>0</v>
      </c>
      <c r="J217" s="1" t="s">
        <v>765</v>
      </c>
    </row>
    <row r="218" spans="1:10" ht="14.25" customHeight="1" x14ac:dyDescent="0.3">
      <c r="A218" s="1" t="s">
        <v>62</v>
      </c>
      <c r="B218">
        <v>11</v>
      </c>
      <c r="C218" t="s">
        <v>101</v>
      </c>
      <c r="D218">
        <v>10</v>
      </c>
      <c r="E218" t="s">
        <v>93</v>
      </c>
      <c r="F218" t="s">
        <v>101</v>
      </c>
      <c r="G218" s="52">
        <f t="shared" si="2"/>
        <v>15.487833454990266</v>
      </c>
      <c r="H218" s="41">
        <f>G218</f>
        <v>15.487833454990266</v>
      </c>
      <c r="I218">
        <v>0</v>
      </c>
      <c r="J218" s="1"/>
    </row>
    <row r="219" spans="1:10" ht="14.25" customHeight="1" x14ac:dyDescent="0.3">
      <c r="A219" s="1" t="s">
        <v>62</v>
      </c>
      <c r="B219">
        <v>11</v>
      </c>
      <c r="C219" t="s">
        <v>762</v>
      </c>
      <c r="G219" s="52">
        <f t="shared" si="2"/>
        <v>0</v>
      </c>
      <c r="H219">
        <v>0</v>
      </c>
      <c r="I219">
        <v>0</v>
      </c>
      <c r="J219" t="s">
        <v>765</v>
      </c>
    </row>
    <row r="220" spans="1:10" ht="14.25" customHeight="1" x14ac:dyDescent="0.3">
      <c r="A220" s="1" t="s">
        <v>62</v>
      </c>
      <c r="B220" s="1">
        <v>12</v>
      </c>
      <c r="C220" s="1" t="s">
        <v>761</v>
      </c>
      <c r="D220" s="1">
        <v>19</v>
      </c>
      <c r="E220" s="1" t="s">
        <v>93</v>
      </c>
      <c r="F220" s="1" t="s">
        <v>101</v>
      </c>
      <c r="G220" s="52">
        <f>(D220/2.541)^2</f>
        <v>55.911078772514863</v>
      </c>
      <c r="H220" s="52">
        <f>SUM(G220:G221)</f>
        <v>772.06849773126487</v>
      </c>
      <c r="I220" s="1">
        <v>0</v>
      </c>
    </row>
    <row r="221" spans="1:10" ht="14.25" customHeight="1" x14ac:dyDescent="0.3">
      <c r="A221" s="1" t="s">
        <v>62</v>
      </c>
      <c r="B221" s="1">
        <v>12</v>
      </c>
      <c r="C221" s="1" t="s">
        <v>761</v>
      </c>
      <c r="D221" s="1">
        <v>68</v>
      </c>
      <c r="E221" s="1" t="s">
        <v>93</v>
      </c>
      <c r="F221" s="1" t="s">
        <v>101</v>
      </c>
      <c r="G221" s="52">
        <f>(D221/2.541)^2</f>
        <v>716.15741895874999</v>
      </c>
      <c r="H221" s="1"/>
      <c r="I221" s="1"/>
    </row>
    <row r="222" spans="1:10" ht="14.25" customHeight="1" x14ac:dyDescent="0.3">
      <c r="A222" s="1" t="s">
        <v>62</v>
      </c>
      <c r="B222" s="1">
        <v>12</v>
      </c>
      <c r="C222" s="1" t="s">
        <v>760</v>
      </c>
      <c r="G222" s="52">
        <f>(D222/2.541)^2</f>
        <v>0</v>
      </c>
      <c r="H222">
        <v>0</v>
      </c>
      <c r="I222">
        <v>0</v>
      </c>
      <c r="J222" s="1" t="s">
        <v>765</v>
      </c>
    </row>
    <row r="223" spans="1:10" ht="14.25" customHeight="1" x14ac:dyDescent="0.3">
      <c r="A223" s="1" t="s">
        <v>62</v>
      </c>
      <c r="B223" s="1">
        <v>12</v>
      </c>
      <c r="C223" s="1" t="s">
        <v>101</v>
      </c>
      <c r="D223" s="1">
        <v>9</v>
      </c>
      <c r="E223" s="1" t="s">
        <v>93</v>
      </c>
      <c r="F223" s="1" t="s">
        <v>101</v>
      </c>
      <c r="G223" s="52">
        <f>(D223/2.541)^2</f>
        <v>12.545145098542116</v>
      </c>
      <c r="H223" s="52">
        <f>G223</f>
        <v>12.545145098542116</v>
      </c>
      <c r="I223" s="1">
        <v>0</v>
      </c>
    </row>
    <row r="224" spans="1:10" ht="14.25" customHeight="1" x14ac:dyDescent="0.3">
      <c r="A224" s="1" t="s">
        <v>62</v>
      </c>
      <c r="B224" s="1">
        <v>12</v>
      </c>
      <c r="C224" s="1" t="s">
        <v>762</v>
      </c>
      <c r="G224" s="52">
        <f>(D224/2.541)^2</f>
        <v>0</v>
      </c>
      <c r="H224">
        <v>0</v>
      </c>
      <c r="I224">
        <v>0</v>
      </c>
      <c r="J224" s="1" t="s">
        <v>765</v>
      </c>
    </row>
    <row r="225" spans="1:10" ht="14.25" customHeight="1" x14ac:dyDescent="0.3">
      <c r="A225" s="1" t="s">
        <v>62</v>
      </c>
      <c r="B225">
        <v>13</v>
      </c>
      <c r="C225" t="s">
        <v>760</v>
      </c>
      <c r="D225">
        <v>18</v>
      </c>
      <c r="E225" t="s">
        <v>111</v>
      </c>
      <c r="F225" t="s">
        <v>101</v>
      </c>
      <c r="G225" s="52">
        <f t="shared" ref="G225:G273" si="3">(D225/2.541)^2</f>
        <v>50.180580394168466</v>
      </c>
      <c r="H225" s="41">
        <f>G225</f>
        <v>50.180580394168466</v>
      </c>
      <c r="I225">
        <v>0</v>
      </c>
      <c r="J225" s="1"/>
    </row>
    <row r="226" spans="1:10" ht="14.25" customHeight="1" x14ac:dyDescent="0.3">
      <c r="A226" s="1" t="s">
        <v>62</v>
      </c>
      <c r="B226">
        <v>13</v>
      </c>
      <c r="C226" t="s">
        <v>761</v>
      </c>
      <c r="D226">
        <v>17</v>
      </c>
      <c r="E226" t="s">
        <v>111</v>
      </c>
      <c r="F226" t="s">
        <v>101</v>
      </c>
      <c r="G226" s="52">
        <f t="shared" si="3"/>
        <v>44.759838684921874</v>
      </c>
      <c r="H226" s="41">
        <f>SUM(G226:G227)</f>
        <v>126.6904776618204</v>
      </c>
      <c r="I226">
        <v>0</v>
      </c>
      <c r="J226" s="1"/>
    </row>
    <row r="227" spans="1:10" ht="14.25" customHeight="1" x14ac:dyDescent="0.3">
      <c r="A227" s="1" t="s">
        <v>62</v>
      </c>
      <c r="B227">
        <v>13</v>
      </c>
      <c r="C227" t="s">
        <v>761</v>
      </c>
      <c r="D227">
        <v>23</v>
      </c>
      <c r="E227" t="s">
        <v>111</v>
      </c>
      <c r="F227" t="s">
        <v>101</v>
      </c>
      <c r="G227" s="52">
        <f t="shared" si="3"/>
        <v>81.930638976898521</v>
      </c>
      <c r="J227" s="1"/>
    </row>
    <row r="228" spans="1:10" ht="14.25" customHeight="1" x14ac:dyDescent="0.3">
      <c r="A228" s="1" t="s">
        <v>62</v>
      </c>
      <c r="B228">
        <v>13</v>
      </c>
      <c r="C228" t="s">
        <v>101</v>
      </c>
      <c r="G228" s="52">
        <f t="shared" si="3"/>
        <v>0</v>
      </c>
      <c r="H228">
        <v>0</v>
      </c>
      <c r="I228">
        <v>0</v>
      </c>
      <c r="J228" s="1" t="s">
        <v>765</v>
      </c>
    </row>
    <row r="229" spans="1:10" ht="14.25" customHeight="1" x14ac:dyDescent="0.3">
      <c r="A229" s="1" t="s">
        <v>62</v>
      </c>
      <c r="B229">
        <v>13</v>
      </c>
      <c r="C229" t="s">
        <v>762</v>
      </c>
      <c r="G229" s="52">
        <f t="shared" si="3"/>
        <v>0</v>
      </c>
      <c r="H229">
        <v>0</v>
      </c>
      <c r="I229">
        <v>0</v>
      </c>
      <c r="J229" s="1" t="s">
        <v>765</v>
      </c>
    </row>
    <row r="230" spans="1:10" ht="14.25" customHeight="1" x14ac:dyDescent="0.3">
      <c r="A230" s="1" t="s">
        <v>62</v>
      </c>
      <c r="B230">
        <v>14</v>
      </c>
      <c r="C230" t="s">
        <v>760</v>
      </c>
      <c r="D230">
        <v>10</v>
      </c>
      <c r="E230" t="s">
        <v>111</v>
      </c>
      <c r="F230" t="s">
        <v>101</v>
      </c>
      <c r="G230" s="52">
        <f t="shared" si="3"/>
        <v>15.487833454990266</v>
      </c>
      <c r="H230" s="41">
        <f>G230</f>
        <v>15.487833454990266</v>
      </c>
      <c r="I230">
        <v>0</v>
      </c>
      <c r="J230" s="1"/>
    </row>
    <row r="231" spans="1:10" ht="14.25" customHeight="1" x14ac:dyDescent="0.3">
      <c r="A231" s="1" t="s">
        <v>62</v>
      </c>
      <c r="B231">
        <v>14</v>
      </c>
      <c r="C231" t="s">
        <v>761</v>
      </c>
      <c r="G231" s="52">
        <f t="shared" si="3"/>
        <v>0</v>
      </c>
      <c r="H231">
        <v>0</v>
      </c>
      <c r="I231">
        <v>0</v>
      </c>
      <c r="J231" s="1" t="s">
        <v>765</v>
      </c>
    </row>
    <row r="232" spans="1:10" ht="14.25" customHeight="1" x14ac:dyDescent="0.3">
      <c r="A232" s="1" t="s">
        <v>62</v>
      </c>
      <c r="B232">
        <v>14</v>
      </c>
      <c r="C232" t="s">
        <v>101</v>
      </c>
      <c r="D232">
        <v>8</v>
      </c>
      <c r="E232" t="s">
        <v>96</v>
      </c>
      <c r="F232" t="s">
        <v>101</v>
      </c>
      <c r="G232" s="52">
        <f t="shared" si="3"/>
        <v>9.9122134111937719</v>
      </c>
      <c r="H232" s="41">
        <f>G232</f>
        <v>9.9122134111937719</v>
      </c>
      <c r="I232">
        <v>0</v>
      </c>
      <c r="J232" s="1"/>
    </row>
    <row r="233" spans="1:10" ht="14.25" customHeight="1" x14ac:dyDescent="0.3">
      <c r="A233" s="1" t="s">
        <v>62</v>
      </c>
      <c r="B233">
        <v>14</v>
      </c>
      <c r="C233" t="s">
        <v>762</v>
      </c>
      <c r="G233" s="52">
        <f t="shared" si="3"/>
        <v>0</v>
      </c>
      <c r="H233">
        <v>0</v>
      </c>
      <c r="I233">
        <v>0</v>
      </c>
      <c r="J233" t="s">
        <v>765</v>
      </c>
    </row>
    <row r="234" spans="1:10" ht="14.25" customHeight="1" x14ac:dyDescent="0.3">
      <c r="A234" s="1" t="s">
        <v>62</v>
      </c>
      <c r="B234">
        <v>15</v>
      </c>
      <c r="C234" t="s">
        <v>760</v>
      </c>
      <c r="D234">
        <v>17</v>
      </c>
      <c r="E234" t="s">
        <v>93</v>
      </c>
      <c r="F234" t="s">
        <v>101</v>
      </c>
      <c r="G234" s="52">
        <f t="shared" si="3"/>
        <v>44.759838684921874</v>
      </c>
      <c r="H234" s="41">
        <f>SUM(G234:G238)</f>
        <v>1028.7018980804535</v>
      </c>
      <c r="I234">
        <v>0</v>
      </c>
      <c r="J234" s="1"/>
    </row>
    <row r="235" spans="1:10" ht="14.25" customHeight="1" x14ac:dyDescent="0.3">
      <c r="A235" s="1" t="s">
        <v>62</v>
      </c>
      <c r="B235">
        <v>15</v>
      </c>
      <c r="C235" t="s">
        <v>760</v>
      </c>
      <c r="D235">
        <v>52</v>
      </c>
      <c r="E235" t="s">
        <v>106</v>
      </c>
      <c r="F235" t="s">
        <v>101</v>
      </c>
      <c r="G235" s="52">
        <f t="shared" si="3"/>
        <v>418.79101662293675</v>
      </c>
      <c r="J235" s="1"/>
    </row>
    <row r="236" spans="1:10" ht="14.25" customHeight="1" x14ac:dyDescent="0.3">
      <c r="A236" s="1" t="s">
        <v>62</v>
      </c>
      <c r="B236">
        <v>15</v>
      </c>
      <c r="C236" t="s">
        <v>760</v>
      </c>
      <c r="D236">
        <v>16</v>
      </c>
      <c r="E236" t="s">
        <v>93</v>
      </c>
      <c r="F236" t="s">
        <v>101</v>
      </c>
      <c r="G236" s="52">
        <f t="shared" si="3"/>
        <v>39.648853644775087</v>
      </c>
      <c r="J236" s="1"/>
    </row>
    <row r="237" spans="1:10" ht="14.25" customHeight="1" x14ac:dyDescent="0.3">
      <c r="A237" s="1" t="s">
        <v>62</v>
      </c>
      <c r="B237">
        <v>15</v>
      </c>
      <c r="C237" t="s">
        <v>760</v>
      </c>
      <c r="D237">
        <v>12</v>
      </c>
      <c r="E237" t="s">
        <v>93</v>
      </c>
      <c r="F237" t="s">
        <v>101</v>
      </c>
      <c r="G237" s="52">
        <f t="shared" si="3"/>
        <v>22.30248017518598</v>
      </c>
      <c r="J237" s="1"/>
    </row>
    <row r="238" spans="1:10" ht="14.25" customHeight="1" x14ac:dyDescent="0.3">
      <c r="A238" s="1" t="s">
        <v>62</v>
      </c>
      <c r="B238">
        <v>15</v>
      </c>
      <c r="C238" t="s">
        <v>760</v>
      </c>
      <c r="D238">
        <v>57</v>
      </c>
      <c r="E238" t="s">
        <v>106</v>
      </c>
      <c r="F238" t="s">
        <v>101</v>
      </c>
      <c r="G238" s="52">
        <f t="shared" si="3"/>
        <v>503.19970895263367</v>
      </c>
      <c r="J238" s="1"/>
    </row>
    <row r="239" spans="1:10" ht="14.25" customHeight="1" x14ac:dyDescent="0.3">
      <c r="A239" s="1" t="s">
        <v>62</v>
      </c>
      <c r="B239">
        <v>15</v>
      </c>
      <c r="C239" t="s">
        <v>761</v>
      </c>
      <c r="D239">
        <v>53</v>
      </c>
      <c r="E239" t="s">
        <v>106</v>
      </c>
      <c r="F239" t="s">
        <v>101</v>
      </c>
      <c r="G239" s="52">
        <f t="shared" si="3"/>
        <v>435.05324175067653</v>
      </c>
      <c r="H239" s="41">
        <f>SUM(G239:G240)</f>
        <v>708.25862389670488</v>
      </c>
      <c r="I239">
        <v>0</v>
      </c>
      <c r="J239" s="1"/>
    </row>
    <row r="240" spans="1:10" ht="14.25" customHeight="1" x14ac:dyDescent="0.3">
      <c r="A240" s="1" t="s">
        <v>62</v>
      </c>
      <c r="B240">
        <v>15</v>
      </c>
      <c r="C240" t="s">
        <v>761</v>
      </c>
      <c r="D240">
        <v>42</v>
      </c>
      <c r="E240" t="s">
        <v>106</v>
      </c>
      <c r="F240" t="s">
        <v>101</v>
      </c>
      <c r="G240" s="52">
        <f t="shared" si="3"/>
        <v>273.20538214602834</v>
      </c>
      <c r="J240" s="1"/>
    </row>
    <row r="241" spans="1:10" ht="14.25" customHeight="1" x14ac:dyDescent="0.3">
      <c r="A241" s="1" t="s">
        <v>62</v>
      </c>
      <c r="B241">
        <v>15</v>
      </c>
      <c r="C241" t="s">
        <v>101</v>
      </c>
      <c r="G241" s="52">
        <f t="shared" si="3"/>
        <v>0</v>
      </c>
      <c r="H241">
        <v>0</v>
      </c>
      <c r="I241">
        <v>0</v>
      </c>
      <c r="J241" s="1" t="s">
        <v>765</v>
      </c>
    </row>
    <row r="242" spans="1:10" ht="14.25" customHeight="1" x14ac:dyDescent="0.3">
      <c r="A242" s="1" t="s">
        <v>62</v>
      </c>
      <c r="B242">
        <v>15</v>
      </c>
      <c r="C242" t="s">
        <v>762</v>
      </c>
      <c r="G242" s="52">
        <f t="shared" si="3"/>
        <v>0</v>
      </c>
      <c r="H242">
        <v>0</v>
      </c>
      <c r="I242">
        <v>0</v>
      </c>
      <c r="J242" s="1" t="s">
        <v>765</v>
      </c>
    </row>
    <row r="243" spans="1:10" ht="14.25" customHeight="1" x14ac:dyDescent="0.3">
      <c r="A243" s="1" t="s">
        <v>62</v>
      </c>
      <c r="B243">
        <v>16</v>
      </c>
      <c r="C243" t="s">
        <v>760</v>
      </c>
      <c r="D243">
        <v>21</v>
      </c>
      <c r="E243" t="s">
        <v>96</v>
      </c>
      <c r="F243" t="s">
        <v>101</v>
      </c>
      <c r="G243" s="52">
        <f t="shared" si="3"/>
        <v>68.301345536507085</v>
      </c>
      <c r="H243" s="41">
        <f>G243</f>
        <v>68.301345536507085</v>
      </c>
      <c r="J243" s="1"/>
    </row>
    <row r="244" spans="1:10" ht="14.25" customHeight="1" x14ac:dyDescent="0.3">
      <c r="A244" s="1" t="s">
        <v>62</v>
      </c>
      <c r="B244">
        <v>16</v>
      </c>
      <c r="C244" t="s">
        <v>761</v>
      </c>
      <c r="G244" s="52">
        <f t="shared" si="3"/>
        <v>0</v>
      </c>
      <c r="H244">
        <v>0</v>
      </c>
      <c r="I244">
        <v>0</v>
      </c>
      <c r="J244" s="1" t="s">
        <v>765</v>
      </c>
    </row>
    <row r="245" spans="1:10" ht="14.25" customHeight="1" x14ac:dyDescent="0.3">
      <c r="A245" s="1" t="s">
        <v>62</v>
      </c>
      <c r="B245">
        <v>16</v>
      </c>
      <c r="C245" t="s">
        <v>101</v>
      </c>
      <c r="G245" s="52">
        <f t="shared" si="3"/>
        <v>0</v>
      </c>
      <c r="H245">
        <v>0</v>
      </c>
      <c r="I245">
        <v>0</v>
      </c>
      <c r="J245" t="s">
        <v>765</v>
      </c>
    </row>
    <row r="246" spans="1:10" ht="14.25" customHeight="1" x14ac:dyDescent="0.3">
      <c r="A246" s="1" t="s">
        <v>62</v>
      </c>
      <c r="B246">
        <v>16</v>
      </c>
      <c r="C246" t="s">
        <v>762</v>
      </c>
      <c r="D246">
        <v>8</v>
      </c>
      <c r="E246" t="s">
        <v>93</v>
      </c>
      <c r="F246" t="s">
        <v>101</v>
      </c>
      <c r="G246" s="52">
        <f t="shared" si="3"/>
        <v>9.9122134111937719</v>
      </c>
      <c r="H246" s="41">
        <f>SUM(G246:G248)</f>
        <v>38.564705302925759</v>
      </c>
      <c r="I246">
        <v>0</v>
      </c>
      <c r="J246" s="1"/>
    </row>
    <row r="247" spans="1:10" ht="14.25" customHeight="1" x14ac:dyDescent="0.3">
      <c r="A247" s="1" t="s">
        <v>62</v>
      </c>
      <c r="B247">
        <v>16</v>
      </c>
      <c r="C247" t="s">
        <v>762</v>
      </c>
      <c r="D247">
        <v>8</v>
      </c>
      <c r="E247" t="s">
        <v>93</v>
      </c>
      <c r="F247" t="s">
        <v>101</v>
      </c>
      <c r="G247" s="52">
        <f t="shared" si="3"/>
        <v>9.9122134111937719</v>
      </c>
      <c r="J247" s="1"/>
    </row>
    <row r="248" spans="1:10" ht="14.25" customHeight="1" x14ac:dyDescent="0.3">
      <c r="A248" s="1" t="s">
        <v>62</v>
      </c>
      <c r="B248">
        <v>16</v>
      </c>
      <c r="C248" t="s">
        <v>762</v>
      </c>
      <c r="D248">
        <v>11</v>
      </c>
      <c r="E248" t="s">
        <v>93</v>
      </c>
      <c r="F248" t="s">
        <v>101</v>
      </c>
      <c r="G248" s="52">
        <f t="shared" si="3"/>
        <v>18.740278480538219</v>
      </c>
      <c r="J248" s="1"/>
    </row>
    <row r="249" spans="1:10" ht="14.25" customHeight="1" x14ac:dyDescent="0.3">
      <c r="A249" s="1" t="s">
        <v>62</v>
      </c>
      <c r="B249">
        <v>17</v>
      </c>
      <c r="C249" t="s">
        <v>760</v>
      </c>
      <c r="G249" s="52">
        <f t="shared" si="3"/>
        <v>0</v>
      </c>
      <c r="H249" s="15">
        <v>0</v>
      </c>
      <c r="I249">
        <v>0</v>
      </c>
      <c r="J249" s="1" t="s">
        <v>765</v>
      </c>
    </row>
    <row r="250" spans="1:10" ht="14.25" customHeight="1" x14ac:dyDescent="0.3">
      <c r="A250" s="1" t="s">
        <v>62</v>
      </c>
      <c r="B250">
        <v>17</v>
      </c>
      <c r="C250" t="s">
        <v>761</v>
      </c>
      <c r="G250" s="52">
        <f t="shared" si="3"/>
        <v>0</v>
      </c>
      <c r="H250">
        <v>0</v>
      </c>
      <c r="I250">
        <v>0</v>
      </c>
      <c r="J250" s="1" t="s">
        <v>765</v>
      </c>
    </row>
    <row r="251" spans="1:10" ht="14.25" customHeight="1" x14ac:dyDescent="0.3">
      <c r="A251" s="1" t="s">
        <v>62</v>
      </c>
      <c r="B251">
        <v>17</v>
      </c>
      <c r="C251" t="s">
        <v>101</v>
      </c>
      <c r="G251" s="52">
        <f t="shared" si="3"/>
        <v>0</v>
      </c>
      <c r="H251">
        <v>0</v>
      </c>
      <c r="I251">
        <v>0</v>
      </c>
      <c r="J251" s="1" t="s">
        <v>765</v>
      </c>
    </row>
    <row r="252" spans="1:10" ht="14.25" customHeight="1" x14ac:dyDescent="0.3">
      <c r="A252" s="1" t="s">
        <v>62</v>
      </c>
      <c r="B252">
        <v>17</v>
      </c>
      <c r="C252" t="s">
        <v>762</v>
      </c>
      <c r="G252" s="52">
        <f t="shared" si="3"/>
        <v>0</v>
      </c>
      <c r="H252" s="15">
        <v>0</v>
      </c>
      <c r="I252">
        <v>0</v>
      </c>
      <c r="J252" s="1" t="s">
        <v>765</v>
      </c>
    </row>
    <row r="253" spans="1:10" ht="14.25" customHeight="1" x14ac:dyDescent="0.3">
      <c r="A253" s="1" t="s">
        <v>62</v>
      </c>
      <c r="B253">
        <v>18</v>
      </c>
      <c r="C253" t="s">
        <v>760</v>
      </c>
      <c r="D253">
        <v>8</v>
      </c>
      <c r="E253" t="s">
        <v>93</v>
      </c>
      <c r="F253" t="s">
        <v>101</v>
      </c>
      <c r="G253" s="52">
        <f t="shared" si="3"/>
        <v>9.9122134111937719</v>
      </c>
      <c r="H253" s="41">
        <f>SUM(G253:G254)</f>
        <v>25.400046866184038</v>
      </c>
      <c r="I253">
        <v>0</v>
      </c>
      <c r="J253" s="1"/>
    </row>
    <row r="254" spans="1:10" ht="14.25" customHeight="1" x14ac:dyDescent="0.3">
      <c r="A254" s="1" t="s">
        <v>62</v>
      </c>
      <c r="B254">
        <v>18</v>
      </c>
      <c r="C254" t="s">
        <v>760</v>
      </c>
      <c r="D254">
        <v>10</v>
      </c>
      <c r="E254" t="s">
        <v>93</v>
      </c>
      <c r="F254" t="s">
        <v>101</v>
      </c>
      <c r="G254" s="52">
        <f t="shared" si="3"/>
        <v>15.487833454990266</v>
      </c>
      <c r="J254" s="1"/>
    </row>
    <row r="255" spans="1:10" ht="14.25" customHeight="1" x14ac:dyDescent="0.3">
      <c r="A255" s="1" t="s">
        <v>62</v>
      </c>
      <c r="B255">
        <v>18</v>
      </c>
      <c r="C255" t="s">
        <v>761</v>
      </c>
      <c r="G255" s="52">
        <f t="shared" si="3"/>
        <v>0</v>
      </c>
      <c r="H255">
        <v>0</v>
      </c>
      <c r="I255">
        <v>0</v>
      </c>
      <c r="J255" t="s">
        <v>765</v>
      </c>
    </row>
    <row r="256" spans="1:10" ht="14.25" customHeight="1" x14ac:dyDescent="0.3">
      <c r="A256" s="1" t="s">
        <v>62</v>
      </c>
      <c r="B256">
        <v>18</v>
      </c>
      <c r="C256" t="s">
        <v>101</v>
      </c>
      <c r="G256" s="52">
        <f t="shared" si="3"/>
        <v>0</v>
      </c>
      <c r="H256">
        <v>0</v>
      </c>
      <c r="I256">
        <v>0</v>
      </c>
      <c r="J256" t="s">
        <v>765</v>
      </c>
    </row>
    <row r="257" spans="1:10" ht="14.25" customHeight="1" x14ac:dyDescent="0.3">
      <c r="A257" s="1" t="s">
        <v>62</v>
      </c>
      <c r="B257">
        <v>18</v>
      </c>
      <c r="C257" t="s">
        <v>762</v>
      </c>
      <c r="D257">
        <v>21</v>
      </c>
      <c r="E257" t="s">
        <v>96</v>
      </c>
      <c r="F257" t="s">
        <v>766</v>
      </c>
      <c r="G257" s="52">
        <f t="shared" si="3"/>
        <v>68.301345536507085</v>
      </c>
      <c r="H257">
        <v>0</v>
      </c>
      <c r="I257" s="41">
        <f>G257</f>
        <v>68.301345536507085</v>
      </c>
      <c r="J257" s="1"/>
    </row>
    <row r="258" spans="1:10" ht="14.25" customHeight="1" x14ac:dyDescent="0.3">
      <c r="A258" s="1" t="s">
        <v>62</v>
      </c>
      <c r="B258">
        <v>19</v>
      </c>
      <c r="C258" s="1" t="s">
        <v>760</v>
      </c>
      <c r="G258" s="52">
        <f t="shared" si="3"/>
        <v>0</v>
      </c>
      <c r="H258">
        <v>0</v>
      </c>
      <c r="I258">
        <v>0</v>
      </c>
      <c r="J258" s="1" t="s">
        <v>765</v>
      </c>
    </row>
    <row r="259" spans="1:10" ht="14.25" customHeight="1" x14ac:dyDescent="0.3">
      <c r="A259" s="1" t="s">
        <v>62</v>
      </c>
      <c r="B259">
        <v>19</v>
      </c>
      <c r="C259" t="s">
        <v>761</v>
      </c>
      <c r="G259" s="52">
        <f t="shared" si="3"/>
        <v>0</v>
      </c>
      <c r="H259">
        <v>0</v>
      </c>
      <c r="I259">
        <v>0</v>
      </c>
      <c r="J259" s="1" t="s">
        <v>765</v>
      </c>
    </row>
    <row r="260" spans="1:10" ht="14.25" customHeight="1" x14ac:dyDescent="0.3">
      <c r="A260" s="1" t="s">
        <v>62</v>
      </c>
      <c r="B260">
        <v>19</v>
      </c>
      <c r="C260" t="s">
        <v>101</v>
      </c>
      <c r="G260" s="52">
        <f t="shared" si="3"/>
        <v>0</v>
      </c>
      <c r="H260">
        <v>0</v>
      </c>
      <c r="I260">
        <v>0</v>
      </c>
      <c r="J260" s="1" t="s">
        <v>765</v>
      </c>
    </row>
    <row r="261" spans="1:10" ht="14.25" customHeight="1" x14ac:dyDescent="0.3">
      <c r="A261" s="1" t="s">
        <v>62</v>
      </c>
      <c r="B261">
        <v>19</v>
      </c>
      <c r="C261" t="s">
        <v>762</v>
      </c>
      <c r="G261" s="52">
        <f t="shared" si="3"/>
        <v>0</v>
      </c>
      <c r="H261">
        <v>0</v>
      </c>
      <c r="I261">
        <v>0</v>
      </c>
      <c r="J261" s="1" t="s">
        <v>765</v>
      </c>
    </row>
    <row r="262" spans="1:10" ht="14.25" customHeight="1" x14ac:dyDescent="0.3">
      <c r="A262" s="1" t="s">
        <v>62</v>
      </c>
      <c r="B262" s="1">
        <v>20</v>
      </c>
      <c r="C262" t="s">
        <v>760</v>
      </c>
      <c r="G262" s="52">
        <f t="shared" si="3"/>
        <v>0</v>
      </c>
      <c r="H262">
        <v>0</v>
      </c>
      <c r="I262">
        <v>0</v>
      </c>
      <c r="J262" s="1" t="s">
        <v>765</v>
      </c>
    </row>
    <row r="263" spans="1:10" ht="14.25" customHeight="1" x14ac:dyDescent="0.3">
      <c r="A263" s="1" t="s">
        <v>62</v>
      </c>
      <c r="B263">
        <v>20</v>
      </c>
      <c r="C263" t="s">
        <v>761</v>
      </c>
      <c r="G263" s="52">
        <f t="shared" si="3"/>
        <v>0</v>
      </c>
      <c r="H263">
        <v>0</v>
      </c>
      <c r="I263">
        <v>0</v>
      </c>
      <c r="J263" s="1" t="s">
        <v>765</v>
      </c>
    </row>
    <row r="264" spans="1:10" ht="14.25" customHeight="1" x14ac:dyDescent="0.3">
      <c r="A264" s="1" t="s">
        <v>62</v>
      </c>
      <c r="B264">
        <v>20</v>
      </c>
      <c r="C264" t="s">
        <v>101</v>
      </c>
      <c r="G264" s="52">
        <f t="shared" si="3"/>
        <v>0</v>
      </c>
      <c r="H264">
        <v>0</v>
      </c>
      <c r="I264">
        <v>0</v>
      </c>
      <c r="J264" s="1" t="s">
        <v>765</v>
      </c>
    </row>
    <row r="265" spans="1:10" ht="14.25" customHeight="1" x14ac:dyDescent="0.3">
      <c r="A265" s="1" t="s">
        <v>62</v>
      </c>
      <c r="B265">
        <v>20</v>
      </c>
      <c r="C265" t="s">
        <v>762</v>
      </c>
      <c r="G265" s="52">
        <f t="shared" si="3"/>
        <v>0</v>
      </c>
      <c r="H265">
        <v>0</v>
      </c>
      <c r="I265">
        <v>0</v>
      </c>
      <c r="J265" s="1" t="s">
        <v>765</v>
      </c>
    </row>
    <row r="266" spans="1:10" ht="14.25" customHeight="1" x14ac:dyDescent="0.3">
      <c r="A266" s="1" t="s">
        <v>62</v>
      </c>
      <c r="B266">
        <v>21</v>
      </c>
      <c r="C266" t="s">
        <v>760</v>
      </c>
      <c r="G266" s="52">
        <f t="shared" si="3"/>
        <v>0</v>
      </c>
      <c r="H266">
        <v>0</v>
      </c>
      <c r="I266">
        <v>0</v>
      </c>
      <c r="J266" s="1" t="s">
        <v>765</v>
      </c>
    </row>
    <row r="267" spans="1:10" ht="14.25" customHeight="1" x14ac:dyDescent="0.3">
      <c r="A267" s="1" t="s">
        <v>62</v>
      </c>
      <c r="B267">
        <v>21</v>
      </c>
      <c r="C267" t="s">
        <v>761</v>
      </c>
      <c r="G267" s="52">
        <f t="shared" si="3"/>
        <v>0</v>
      </c>
      <c r="H267">
        <v>0</v>
      </c>
      <c r="I267">
        <v>0</v>
      </c>
      <c r="J267" s="1" t="s">
        <v>765</v>
      </c>
    </row>
    <row r="268" spans="1:10" ht="14.25" customHeight="1" x14ac:dyDescent="0.3">
      <c r="A268" s="1" t="s">
        <v>62</v>
      </c>
      <c r="B268">
        <v>21</v>
      </c>
      <c r="C268" t="s">
        <v>101</v>
      </c>
      <c r="G268" s="52">
        <f t="shared" si="3"/>
        <v>0</v>
      </c>
      <c r="H268">
        <v>0</v>
      </c>
      <c r="I268">
        <v>0</v>
      </c>
      <c r="J268" s="1" t="s">
        <v>765</v>
      </c>
    </row>
    <row r="269" spans="1:10" ht="14.25" customHeight="1" x14ac:dyDescent="0.3">
      <c r="A269" s="1" t="s">
        <v>62</v>
      </c>
      <c r="B269">
        <v>21</v>
      </c>
      <c r="C269" t="s">
        <v>762</v>
      </c>
      <c r="D269">
        <v>26</v>
      </c>
      <c r="E269" t="s">
        <v>93</v>
      </c>
      <c r="F269" t="s">
        <v>101</v>
      </c>
      <c r="G269" s="52">
        <f t="shared" si="3"/>
        <v>104.69775415573419</v>
      </c>
      <c r="H269" s="41">
        <f>G269</f>
        <v>104.69775415573419</v>
      </c>
      <c r="I269">
        <v>0</v>
      </c>
      <c r="J269" s="1"/>
    </row>
    <row r="270" spans="1:10" ht="14.25" customHeight="1" x14ac:dyDescent="0.3">
      <c r="A270" s="1" t="s">
        <v>62</v>
      </c>
      <c r="B270">
        <v>22</v>
      </c>
      <c r="C270" t="s">
        <v>760</v>
      </c>
      <c r="D270">
        <v>26</v>
      </c>
      <c r="E270" t="s">
        <v>106</v>
      </c>
      <c r="F270" t="s">
        <v>101</v>
      </c>
      <c r="G270" s="52">
        <f t="shared" si="3"/>
        <v>104.69775415573419</v>
      </c>
      <c r="H270" s="41">
        <f>G270</f>
        <v>104.69775415573419</v>
      </c>
      <c r="I270">
        <v>1</v>
      </c>
      <c r="J270" s="1"/>
    </row>
    <row r="271" spans="1:10" ht="14.25" customHeight="1" x14ac:dyDescent="0.3">
      <c r="A271" s="1" t="s">
        <v>62</v>
      </c>
      <c r="B271">
        <v>22</v>
      </c>
      <c r="C271" t="s">
        <v>761</v>
      </c>
      <c r="G271" s="52">
        <f t="shared" si="3"/>
        <v>0</v>
      </c>
      <c r="H271">
        <v>0</v>
      </c>
      <c r="I271">
        <v>0</v>
      </c>
      <c r="J271" s="1" t="s">
        <v>765</v>
      </c>
    </row>
    <row r="272" spans="1:10" ht="14.25" customHeight="1" x14ac:dyDescent="0.3">
      <c r="A272" s="1" t="s">
        <v>62</v>
      </c>
      <c r="B272">
        <v>22</v>
      </c>
      <c r="C272" t="s">
        <v>101</v>
      </c>
      <c r="G272" s="52">
        <f t="shared" si="3"/>
        <v>0</v>
      </c>
      <c r="H272">
        <v>0</v>
      </c>
      <c r="I272">
        <v>0</v>
      </c>
      <c r="J272" s="1" t="s">
        <v>765</v>
      </c>
    </row>
    <row r="273" spans="1:10" ht="14.25" customHeight="1" x14ac:dyDescent="0.3">
      <c r="A273" s="1" t="s">
        <v>62</v>
      </c>
      <c r="B273">
        <v>22</v>
      </c>
      <c r="C273" t="s">
        <v>762</v>
      </c>
      <c r="G273" s="52">
        <f t="shared" si="3"/>
        <v>0</v>
      </c>
      <c r="H273">
        <v>0</v>
      </c>
      <c r="I273">
        <v>0</v>
      </c>
      <c r="J273" s="1" t="s">
        <v>765</v>
      </c>
    </row>
    <row r="274" spans="1:10" ht="14.25" customHeight="1" x14ac:dyDescent="0.3">
      <c r="A274" s="1" t="s">
        <v>68</v>
      </c>
      <c r="B274" s="1">
        <v>1</v>
      </c>
      <c r="C274" s="1" t="s">
        <v>761</v>
      </c>
      <c r="D274" s="1">
        <v>12</v>
      </c>
      <c r="E274" s="1" t="s">
        <v>93</v>
      </c>
      <c r="F274" s="1" t="s">
        <v>101</v>
      </c>
      <c r="G274" s="52">
        <f t="shared" si="2"/>
        <v>22.30248017518598</v>
      </c>
      <c r="H274" s="52">
        <f>SUM(G274:G275)</f>
        <v>143.72709446230968</v>
      </c>
      <c r="I274">
        <v>0</v>
      </c>
    </row>
    <row r="275" spans="1:10" ht="14.25" customHeight="1" x14ac:dyDescent="0.3">
      <c r="A275" s="1" t="s">
        <v>68</v>
      </c>
      <c r="B275" s="1">
        <v>1</v>
      </c>
      <c r="C275" s="1" t="s">
        <v>761</v>
      </c>
      <c r="D275" s="1">
        <v>28</v>
      </c>
      <c r="E275" s="1" t="s">
        <v>93</v>
      </c>
      <c r="F275" s="1" t="s">
        <v>101</v>
      </c>
      <c r="G275" s="52">
        <f t="shared" si="2"/>
        <v>121.4246142871237</v>
      </c>
      <c r="H275" s="1"/>
      <c r="I275" s="1"/>
    </row>
    <row r="276" spans="1:10" ht="14.25" customHeight="1" x14ac:dyDescent="0.3">
      <c r="A276" s="1" t="s">
        <v>68</v>
      </c>
      <c r="B276" s="1">
        <v>1</v>
      </c>
      <c r="C276" s="1" t="s">
        <v>760</v>
      </c>
      <c r="D276" s="1">
        <v>13</v>
      </c>
      <c r="E276" s="1" t="s">
        <v>106</v>
      </c>
      <c r="F276" s="1" t="s">
        <v>766</v>
      </c>
      <c r="G276" s="52">
        <f t="shared" si="2"/>
        <v>26.174438538933547</v>
      </c>
      <c r="H276" s="52">
        <f>G277</f>
        <v>313.6286274635529</v>
      </c>
      <c r="I276" s="52">
        <f>G276</f>
        <v>26.174438538933547</v>
      </c>
    </row>
    <row r="277" spans="1:10" ht="14.25" customHeight="1" x14ac:dyDescent="0.3">
      <c r="A277" s="1" t="s">
        <v>68</v>
      </c>
      <c r="B277" s="1">
        <v>1</v>
      </c>
      <c r="C277" s="1" t="s">
        <v>760</v>
      </c>
      <c r="D277" s="1">
        <v>45</v>
      </c>
      <c r="E277" s="1" t="s">
        <v>93</v>
      </c>
      <c r="F277" s="1" t="s">
        <v>101</v>
      </c>
      <c r="G277" s="52">
        <f t="shared" si="2"/>
        <v>313.6286274635529</v>
      </c>
      <c r="H277" s="1"/>
      <c r="I277" s="1"/>
    </row>
    <row r="278" spans="1:10" ht="14.25" customHeight="1" x14ac:dyDescent="0.3">
      <c r="A278" s="1" t="s">
        <v>68</v>
      </c>
      <c r="B278" s="1">
        <v>1</v>
      </c>
      <c r="C278" s="1" t="s">
        <v>101</v>
      </c>
      <c r="G278" s="52">
        <f t="shared" si="2"/>
        <v>0</v>
      </c>
      <c r="H278">
        <v>0</v>
      </c>
      <c r="I278">
        <v>0</v>
      </c>
      <c r="J278" s="1" t="s">
        <v>765</v>
      </c>
    </row>
    <row r="279" spans="1:10" ht="14.25" customHeight="1" x14ac:dyDescent="0.3">
      <c r="A279" s="1" t="s">
        <v>68</v>
      </c>
      <c r="B279" s="1">
        <v>1</v>
      </c>
      <c r="C279" s="1" t="s">
        <v>762</v>
      </c>
      <c r="G279" s="52">
        <f t="shared" si="2"/>
        <v>0</v>
      </c>
      <c r="H279">
        <v>0</v>
      </c>
      <c r="I279">
        <v>0</v>
      </c>
      <c r="J279" s="1" t="s">
        <v>765</v>
      </c>
    </row>
    <row r="280" spans="1:10" ht="14.25" customHeight="1" x14ac:dyDescent="0.3">
      <c r="A280" s="1" t="s">
        <v>68</v>
      </c>
      <c r="B280" s="1">
        <v>2</v>
      </c>
      <c r="C280" s="1" t="s">
        <v>761</v>
      </c>
      <c r="D280" s="1">
        <v>33</v>
      </c>
      <c r="E280" s="1" t="s">
        <v>106</v>
      </c>
      <c r="F280" s="1" t="s">
        <v>101</v>
      </c>
      <c r="G280" s="52">
        <f t="shared" si="2"/>
        <v>168.66250632484397</v>
      </c>
      <c r="H280" s="52">
        <f>G280</f>
        <v>168.66250632484397</v>
      </c>
      <c r="I280" s="1">
        <v>0</v>
      </c>
    </row>
    <row r="281" spans="1:10" ht="14.25" customHeight="1" x14ac:dyDescent="0.3">
      <c r="A281" s="1" t="s">
        <v>68</v>
      </c>
      <c r="B281" s="1">
        <v>2</v>
      </c>
      <c r="C281" s="1" t="s">
        <v>760</v>
      </c>
      <c r="G281" s="52">
        <f t="shared" si="2"/>
        <v>0</v>
      </c>
      <c r="H281">
        <v>0</v>
      </c>
      <c r="I281">
        <v>0</v>
      </c>
      <c r="J281" s="1" t="s">
        <v>765</v>
      </c>
    </row>
    <row r="282" spans="1:10" ht="14.25" customHeight="1" x14ac:dyDescent="0.3">
      <c r="A282" s="1" t="s">
        <v>68</v>
      </c>
      <c r="B282" s="1">
        <v>2</v>
      </c>
      <c r="C282" s="1" t="s">
        <v>101</v>
      </c>
      <c r="G282" s="52">
        <f t="shared" si="2"/>
        <v>0</v>
      </c>
      <c r="H282">
        <v>0</v>
      </c>
      <c r="I282">
        <v>0</v>
      </c>
      <c r="J282" s="1" t="s">
        <v>765</v>
      </c>
    </row>
    <row r="283" spans="1:10" ht="14.25" customHeight="1" x14ac:dyDescent="0.3">
      <c r="A283" s="1" t="s">
        <v>68</v>
      </c>
      <c r="B283" s="1">
        <v>2</v>
      </c>
      <c r="C283" s="1" t="s">
        <v>762</v>
      </c>
      <c r="G283" s="52">
        <f t="shared" si="2"/>
        <v>0</v>
      </c>
      <c r="H283">
        <v>0</v>
      </c>
      <c r="I283">
        <v>0</v>
      </c>
      <c r="J283" s="1" t="s">
        <v>765</v>
      </c>
    </row>
    <row r="284" spans="1:10" ht="14.25" customHeight="1" x14ac:dyDescent="0.3">
      <c r="A284" s="1" t="s">
        <v>68</v>
      </c>
      <c r="B284" s="1">
        <v>3</v>
      </c>
      <c r="C284" s="1" t="s">
        <v>761</v>
      </c>
      <c r="D284" s="1">
        <v>10</v>
      </c>
      <c r="E284" s="1" t="s">
        <v>93</v>
      </c>
      <c r="F284" s="1" t="s">
        <v>101</v>
      </c>
      <c r="G284" s="52">
        <f t="shared" si="2"/>
        <v>15.487833454990266</v>
      </c>
      <c r="H284" s="52">
        <f>SUM(G284:G285)</f>
        <v>154.87833454990269</v>
      </c>
      <c r="I284" s="1">
        <v>0</v>
      </c>
    </row>
    <row r="285" spans="1:10" ht="14.25" customHeight="1" x14ac:dyDescent="0.3">
      <c r="A285" s="1" t="s">
        <v>68</v>
      </c>
      <c r="B285" s="1">
        <v>3</v>
      </c>
      <c r="C285" s="1" t="s">
        <v>761</v>
      </c>
      <c r="D285" s="1">
        <v>30</v>
      </c>
      <c r="E285" s="1" t="s">
        <v>93</v>
      </c>
      <c r="F285" s="1" t="s">
        <v>101</v>
      </c>
      <c r="G285" s="52">
        <f t="shared" si="2"/>
        <v>139.39050109491242</v>
      </c>
      <c r="H285" s="1"/>
      <c r="I285" s="1"/>
    </row>
    <row r="286" spans="1:10" ht="14.25" customHeight="1" x14ac:dyDescent="0.3">
      <c r="A286" s="1" t="s">
        <v>68</v>
      </c>
      <c r="B286" s="1">
        <v>3</v>
      </c>
      <c r="C286" s="1" t="s">
        <v>760</v>
      </c>
      <c r="D286" s="1">
        <v>7</v>
      </c>
      <c r="E286" s="1" t="s">
        <v>96</v>
      </c>
      <c r="F286" s="1" t="s">
        <v>101</v>
      </c>
      <c r="G286" s="52">
        <f t="shared" si="2"/>
        <v>7.5890383929452314</v>
      </c>
      <c r="H286" s="52">
        <f>SUM(G286:G289)</f>
        <v>743.26112750498282</v>
      </c>
      <c r="I286">
        <v>0</v>
      </c>
    </row>
    <row r="287" spans="1:10" ht="14.25" customHeight="1" x14ac:dyDescent="0.3">
      <c r="A287" s="1" t="s">
        <v>68</v>
      </c>
      <c r="B287" s="1">
        <v>3</v>
      </c>
      <c r="C287" s="1" t="s">
        <v>760</v>
      </c>
      <c r="D287" s="1">
        <v>13</v>
      </c>
      <c r="E287" s="1" t="s">
        <v>96</v>
      </c>
      <c r="F287" s="1" t="s">
        <v>101</v>
      </c>
      <c r="G287" s="52">
        <f t="shared" si="2"/>
        <v>26.174438538933547</v>
      </c>
      <c r="H287" s="1"/>
      <c r="I287" s="1"/>
    </row>
    <row r="288" spans="1:10" ht="14.25" customHeight="1" x14ac:dyDescent="0.3">
      <c r="A288" s="1" t="s">
        <v>68</v>
      </c>
      <c r="B288" s="1">
        <v>3</v>
      </c>
      <c r="C288" s="1" t="s">
        <v>760</v>
      </c>
      <c r="D288" s="1">
        <v>15</v>
      </c>
      <c r="E288" s="1" t="s">
        <v>96</v>
      </c>
      <c r="F288" s="1" t="s">
        <v>101</v>
      </c>
      <c r="G288" s="52">
        <f t="shared" si="2"/>
        <v>34.847625273728106</v>
      </c>
      <c r="H288" s="1"/>
      <c r="I288" s="1"/>
    </row>
    <row r="289" spans="1:10" ht="14.25" customHeight="1" x14ac:dyDescent="0.3">
      <c r="A289" s="1" t="s">
        <v>68</v>
      </c>
      <c r="B289" s="1">
        <v>3</v>
      </c>
      <c r="C289" s="1" t="s">
        <v>760</v>
      </c>
      <c r="D289" s="1">
        <v>66</v>
      </c>
      <c r="E289" s="1" t="s">
        <v>96</v>
      </c>
      <c r="F289" s="1" t="s">
        <v>101</v>
      </c>
      <c r="G289" s="52">
        <f t="shared" si="2"/>
        <v>674.6500252993759</v>
      </c>
      <c r="H289" s="1"/>
      <c r="I289" s="1"/>
    </row>
    <row r="290" spans="1:10" ht="14.25" customHeight="1" x14ac:dyDescent="0.3">
      <c r="A290" s="1" t="s">
        <v>68</v>
      </c>
      <c r="B290" s="1">
        <v>3</v>
      </c>
      <c r="C290" s="1" t="s">
        <v>101</v>
      </c>
      <c r="G290" s="52">
        <f t="shared" si="2"/>
        <v>0</v>
      </c>
      <c r="H290">
        <v>0</v>
      </c>
      <c r="I290">
        <v>0</v>
      </c>
      <c r="J290" s="1" t="s">
        <v>765</v>
      </c>
    </row>
    <row r="291" spans="1:10" ht="14.25" customHeight="1" x14ac:dyDescent="0.3">
      <c r="A291" s="1" t="s">
        <v>68</v>
      </c>
      <c r="B291" s="1">
        <v>3</v>
      </c>
      <c r="C291" s="1" t="s">
        <v>762</v>
      </c>
      <c r="D291" s="1">
        <v>10</v>
      </c>
      <c r="E291" s="1" t="s">
        <v>96</v>
      </c>
      <c r="F291" s="1" t="s">
        <v>101</v>
      </c>
      <c r="G291" s="52">
        <f t="shared" ref="G291:G354" si="4">(D291/2.541)^2</f>
        <v>15.487833454990266</v>
      </c>
      <c r="H291" s="52">
        <f>SUM(G291:G292)</f>
        <v>60.24767213991214</v>
      </c>
      <c r="I291" s="1">
        <v>0</v>
      </c>
    </row>
    <row r="292" spans="1:10" ht="14.25" customHeight="1" x14ac:dyDescent="0.3">
      <c r="A292" s="1" t="s">
        <v>68</v>
      </c>
      <c r="B292" s="1">
        <v>3</v>
      </c>
      <c r="C292" s="1" t="s">
        <v>762</v>
      </c>
      <c r="D292" s="1">
        <v>17</v>
      </c>
      <c r="E292" s="1" t="s">
        <v>96</v>
      </c>
      <c r="F292" s="1" t="s">
        <v>101</v>
      </c>
      <c r="G292" s="52">
        <f t="shared" si="4"/>
        <v>44.759838684921874</v>
      </c>
      <c r="H292" s="1"/>
      <c r="I292" s="1"/>
    </row>
    <row r="293" spans="1:10" ht="14.25" customHeight="1" x14ac:dyDescent="0.3">
      <c r="A293" s="1" t="s">
        <v>68</v>
      </c>
      <c r="B293" s="1">
        <v>4</v>
      </c>
      <c r="C293" s="1" t="s">
        <v>761</v>
      </c>
      <c r="D293" s="1">
        <v>86</v>
      </c>
      <c r="E293" s="1" t="s">
        <v>106</v>
      </c>
      <c r="F293" s="1" t="s">
        <v>766</v>
      </c>
      <c r="G293" s="52">
        <f t="shared" si="4"/>
        <v>1145.4801623310798</v>
      </c>
      <c r="H293" s="1">
        <v>0</v>
      </c>
      <c r="I293" s="52">
        <f>G293</f>
        <v>1145.4801623310798</v>
      </c>
    </row>
    <row r="294" spans="1:10" ht="14.25" customHeight="1" x14ac:dyDescent="0.3">
      <c r="A294" s="1" t="s">
        <v>68</v>
      </c>
      <c r="B294" s="1">
        <v>4</v>
      </c>
      <c r="C294" s="1" t="s">
        <v>760</v>
      </c>
      <c r="G294" s="52">
        <f t="shared" si="4"/>
        <v>0</v>
      </c>
      <c r="H294">
        <v>0</v>
      </c>
      <c r="I294">
        <v>0</v>
      </c>
      <c r="J294" s="1" t="s">
        <v>765</v>
      </c>
    </row>
    <row r="295" spans="1:10" ht="14.25" customHeight="1" x14ac:dyDescent="0.3">
      <c r="A295" s="1" t="s">
        <v>68</v>
      </c>
      <c r="B295" s="1">
        <v>4</v>
      </c>
      <c r="C295" s="1" t="s">
        <v>101</v>
      </c>
      <c r="G295" s="52">
        <f t="shared" si="4"/>
        <v>0</v>
      </c>
      <c r="H295">
        <v>0</v>
      </c>
      <c r="I295">
        <v>0</v>
      </c>
      <c r="J295" s="1" t="s">
        <v>765</v>
      </c>
    </row>
    <row r="296" spans="1:10" ht="14.25" customHeight="1" x14ac:dyDescent="0.3">
      <c r="A296" s="1" t="s">
        <v>68</v>
      </c>
      <c r="B296" s="1">
        <v>4</v>
      </c>
      <c r="C296" s="1" t="s">
        <v>762</v>
      </c>
      <c r="G296" s="52">
        <f t="shared" si="4"/>
        <v>0</v>
      </c>
      <c r="H296">
        <v>0</v>
      </c>
      <c r="I296">
        <v>0</v>
      </c>
      <c r="J296" s="1" t="s">
        <v>770</v>
      </c>
    </row>
    <row r="297" spans="1:10" ht="14.25" customHeight="1" x14ac:dyDescent="0.3">
      <c r="A297" s="1" t="s">
        <v>68</v>
      </c>
      <c r="B297" s="1">
        <v>5</v>
      </c>
      <c r="C297" s="1" t="s">
        <v>761</v>
      </c>
      <c r="G297" s="52">
        <f t="shared" si="4"/>
        <v>0</v>
      </c>
      <c r="H297">
        <v>0</v>
      </c>
      <c r="I297">
        <v>0</v>
      </c>
      <c r="J297" s="1" t="s">
        <v>765</v>
      </c>
    </row>
    <row r="298" spans="1:10" ht="14.25" customHeight="1" x14ac:dyDescent="0.3">
      <c r="A298" s="1" t="s">
        <v>68</v>
      </c>
      <c r="B298" s="1">
        <v>5</v>
      </c>
      <c r="C298" s="1" t="s">
        <v>760</v>
      </c>
      <c r="G298" s="52">
        <f t="shared" si="4"/>
        <v>0</v>
      </c>
      <c r="H298">
        <v>0</v>
      </c>
      <c r="I298">
        <v>0</v>
      </c>
      <c r="J298" s="1" t="s">
        <v>765</v>
      </c>
    </row>
    <row r="299" spans="1:10" ht="14.25" customHeight="1" x14ac:dyDescent="0.3">
      <c r="A299" s="1" t="s">
        <v>68</v>
      </c>
      <c r="B299" s="1">
        <v>5</v>
      </c>
      <c r="C299" s="1" t="s">
        <v>101</v>
      </c>
      <c r="G299" s="52">
        <f t="shared" si="4"/>
        <v>0</v>
      </c>
      <c r="H299">
        <v>0</v>
      </c>
      <c r="I299">
        <v>0</v>
      </c>
      <c r="J299" s="1" t="s">
        <v>765</v>
      </c>
    </row>
    <row r="300" spans="1:10" ht="14.25" customHeight="1" x14ac:dyDescent="0.3">
      <c r="A300" s="1" t="s">
        <v>68</v>
      </c>
      <c r="B300" s="1">
        <v>5</v>
      </c>
      <c r="C300" s="1" t="s">
        <v>762</v>
      </c>
      <c r="G300" s="52">
        <f t="shared" si="4"/>
        <v>0</v>
      </c>
      <c r="H300">
        <v>0</v>
      </c>
      <c r="I300">
        <v>0</v>
      </c>
      <c r="J300" s="1" t="s">
        <v>771</v>
      </c>
    </row>
    <row r="301" spans="1:10" ht="14.25" customHeight="1" x14ac:dyDescent="0.3">
      <c r="A301" s="1" t="s">
        <v>68</v>
      </c>
      <c r="B301" s="1">
        <v>6</v>
      </c>
      <c r="C301" s="1" t="s">
        <v>761</v>
      </c>
      <c r="G301" s="52">
        <f t="shared" si="4"/>
        <v>0</v>
      </c>
      <c r="H301">
        <v>0</v>
      </c>
      <c r="I301">
        <v>0</v>
      </c>
      <c r="J301" s="1" t="s">
        <v>765</v>
      </c>
    </row>
    <row r="302" spans="1:10" ht="14.25" customHeight="1" x14ac:dyDescent="0.3">
      <c r="A302" s="1" t="s">
        <v>68</v>
      </c>
      <c r="B302" s="1">
        <v>6</v>
      </c>
      <c r="C302" s="1" t="s">
        <v>760</v>
      </c>
      <c r="G302" s="52">
        <f t="shared" si="4"/>
        <v>0</v>
      </c>
      <c r="H302">
        <v>0</v>
      </c>
      <c r="I302">
        <v>0</v>
      </c>
      <c r="J302" s="1" t="s">
        <v>765</v>
      </c>
    </row>
    <row r="303" spans="1:10" ht="14.25" customHeight="1" x14ac:dyDescent="0.3">
      <c r="A303" s="1" t="s">
        <v>68</v>
      </c>
      <c r="B303" s="1">
        <v>6</v>
      </c>
      <c r="C303" s="1" t="s">
        <v>101</v>
      </c>
      <c r="G303" s="52">
        <f t="shared" si="4"/>
        <v>0</v>
      </c>
      <c r="H303">
        <v>0</v>
      </c>
      <c r="I303">
        <v>0</v>
      </c>
      <c r="J303" s="1" t="s">
        <v>765</v>
      </c>
    </row>
    <row r="304" spans="1:10" ht="14.25" customHeight="1" x14ac:dyDescent="0.3">
      <c r="A304" s="1" t="s">
        <v>68</v>
      </c>
      <c r="B304" s="1">
        <v>6</v>
      </c>
      <c r="C304" s="1" t="s">
        <v>762</v>
      </c>
      <c r="G304" s="52">
        <f t="shared" si="4"/>
        <v>0</v>
      </c>
      <c r="H304">
        <v>0</v>
      </c>
      <c r="I304">
        <v>0</v>
      </c>
      <c r="J304" s="1" t="s">
        <v>765</v>
      </c>
    </row>
    <row r="305" spans="1:10" ht="14.25" customHeight="1" x14ac:dyDescent="0.3">
      <c r="A305" s="1" t="s">
        <v>68</v>
      </c>
      <c r="B305" s="1">
        <v>7</v>
      </c>
      <c r="C305" s="1" t="s">
        <v>761</v>
      </c>
      <c r="D305" s="1">
        <v>10</v>
      </c>
      <c r="E305" s="1" t="s">
        <v>109</v>
      </c>
      <c r="F305" s="1" t="s">
        <v>101</v>
      </c>
      <c r="G305" s="52">
        <f t="shared" si="4"/>
        <v>15.487833454990266</v>
      </c>
      <c r="H305" s="52">
        <f>G305</f>
        <v>15.487833454990266</v>
      </c>
      <c r="I305">
        <v>0</v>
      </c>
    </row>
    <row r="306" spans="1:10" ht="14.25" customHeight="1" x14ac:dyDescent="0.3">
      <c r="A306" s="1" t="s">
        <v>68</v>
      </c>
      <c r="B306" s="1">
        <v>7</v>
      </c>
      <c r="C306" s="1" t="s">
        <v>760</v>
      </c>
      <c r="G306" s="52">
        <f t="shared" si="4"/>
        <v>0</v>
      </c>
      <c r="H306">
        <v>0</v>
      </c>
      <c r="I306">
        <v>0</v>
      </c>
      <c r="J306" s="1" t="s">
        <v>765</v>
      </c>
    </row>
    <row r="307" spans="1:10" ht="14.25" customHeight="1" x14ac:dyDescent="0.3">
      <c r="A307" s="1" t="s">
        <v>68</v>
      </c>
      <c r="B307" s="1">
        <v>7</v>
      </c>
      <c r="C307" s="1" t="s">
        <v>101</v>
      </c>
      <c r="D307" s="1">
        <v>34</v>
      </c>
      <c r="E307" s="1" t="s">
        <v>93</v>
      </c>
      <c r="F307" s="1" t="s">
        <v>101</v>
      </c>
      <c r="G307" s="52">
        <f t="shared" si="4"/>
        <v>179.0393547396875</v>
      </c>
      <c r="H307" s="52">
        <f>G307</f>
        <v>179.0393547396875</v>
      </c>
      <c r="I307" s="1">
        <v>0</v>
      </c>
    </row>
    <row r="308" spans="1:10" ht="14.25" customHeight="1" x14ac:dyDescent="0.3">
      <c r="A308" s="1" t="s">
        <v>68</v>
      </c>
      <c r="B308" s="1">
        <v>7</v>
      </c>
      <c r="C308" s="1" t="s">
        <v>762</v>
      </c>
      <c r="G308" s="52">
        <f t="shared" si="4"/>
        <v>0</v>
      </c>
      <c r="H308">
        <v>0</v>
      </c>
      <c r="I308">
        <v>0</v>
      </c>
      <c r="J308" s="1" t="s">
        <v>772</v>
      </c>
    </row>
    <row r="309" spans="1:10" ht="14.25" customHeight="1" x14ac:dyDescent="0.3">
      <c r="A309" s="1" t="s">
        <v>68</v>
      </c>
      <c r="B309" s="1">
        <v>8</v>
      </c>
      <c r="C309" s="1" t="s">
        <v>761</v>
      </c>
      <c r="D309" s="1">
        <v>10</v>
      </c>
      <c r="E309" s="1" t="s">
        <v>96</v>
      </c>
      <c r="F309" s="1" t="s">
        <v>766</v>
      </c>
      <c r="G309" s="52">
        <f t="shared" si="4"/>
        <v>15.487833454990266</v>
      </c>
      <c r="H309" s="52">
        <f>SUM(G310:G311)</f>
        <v>1003.7664862179191</v>
      </c>
      <c r="I309" s="52">
        <f>G309</f>
        <v>15.487833454990266</v>
      </c>
    </row>
    <row r="310" spans="1:10" ht="14.25" customHeight="1" x14ac:dyDescent="0.3">
      <c r="A310" s="1" t="s">
        <v>68</v>
      </c>
      <c r="B310" s="1">
        <v>8</v>
      </c>
      <c r="C310" s="1" t="s">
        <v>761</v>
      </c>
      <c r="D310" s="1">
        <v>9</v>
      </c>
      <c r="E310" s="1" t="s">
        <v>96</v>
      </c>
      <c r="F310" s="1" t="s">
        <v>101</v>
      </c>
      <c r="G310" s="52">
        <f t="shared" si="4"/>
        <v>12.545145098542116</v>
      </c>
      <c r="H310" s="1"/>
      <c r="I310" s="1"/>
    </row>
    <row r="311" spans="1:10" ht="14.25" customHeight="1" x14ac:dyDescent="0.3">
      <c r="A311" s="1" t="s">
        <v>68</v>
      </c>
      <c r="B311" s="1">
        <v>8</v>
      </c>
      <c r="C311" s="1" t="s">
        <v>761</v>
      </c>
      <c r="D311" s="1">
        <v>80</v>
      </c>
      <c r="E311" s="1" t="s">
        <v>109</v>
      </c>
      <c r="F311" s="1" t="s">
        <v>101</v>
      </c>
      <c r="G311" s="52">
        <f t="shared" si="4"/>
        <v>991.22134111937703</v>
      </c>
      <c r="H311" s="1"/>
      <c r="I311" s="1"/>
    </row>
    <row r="312" spans="1:10" ht="14.25" customHeight="1" x14ac:dyDescent="0.3">
      <c r="A312" s="1" t="s">
        <v>68</v>
      </c>
      <c r="B312" s="1">
        <v>8</v>
      </c>
      <c r="C312" s="1" t="s">
        <v>760</v>
      </c>
      <c r="G312" s="52">
        <f t="shared" si="4"/>
        <v>0</v>
      </c>
      <c r="H312">
        <v>0</v>
      </c>
      <c r="I312">
        <v>0</v>
      </c>
      <c r="J312" s="1" t="s">
        <v>765</v>
      </c>
    </row>
    <row r="313" spans="1:10" ht="14.25" customHeight="1" x14ac:dyDescent="0.3">
      <c r="A313" s="1" t="s">
        <v>68</v>
      </c>
      <c r="B313" s="1">
        <v>8</v>
      </c>
      <c r="C313" s="1" t="s">
        <v>101</v>
      </c>
      <c r="G313" s="52">
        <f t="shared" si="4"/>
        <v>0</v>
      </c>
      <c r="H313">
        <v>0</v>
      </c>
      <c r="I313">
        <v>0</v>
      </c>
      <c r="J313" s="1" t="s">
        <v>765</v>
      </c>
    </row>
    <row r="314" spans="1:10" ht="14.25" customHeight="1" x14ac:dyDescent="0.3">
      <c r="A314" s="1" t="s">
        <v>68</v>
      </c>
      <c r="B314" s="1">
        <v>8</v>
      </c>
      <c r="C314" s="1" t="s">
        <v>762</v>
      </c>
      <c r="G314" s="52">
        <f t="shared" si="4"/>
        <v>0</v>
      </c>
      <c r="H314">
        <v>0</v>
      </c>
      <c r="I314">
        <v>0</v>
      </c>
      <c r="J314" s="1" t="s">
        <v>765</v>
      </c>
    </row>
    <row r="315" spans="1:10" ht="14.25" customHeight="1" x14ac:dyDescent="0.3">
      <c r="A315" s="1" t="s">
        <v>68</v>
      </c>
      <c r="B315" s="1">
        <v>9</v>
      </c>
      <c r="C315" s="1" t="s">
        <v>761</v>
      </c>
      <c r="D315" s="1">
        <v>10.5</v>
      </c>
      <c r="E315" s="1" t="s">
        <v>106</v>
      </c>
      <c r="F315" s="1" t="s">
        <v>766</v>
      </c>
      <c r="G315" s="52">
        <f t="shared" si="4"/>
        <v>17.075336384126771</v>
      </c>
      <c r="H315" s="1">
        <v>0</v>
      </c>
      <c r="I315" s="52">
        <f>G315</f>
        <v>17.075336384126771</v>
      </c>
    </row>
    <row r="316" spans="1:10" ht="14.25" customHeight="1" x14ac:dyDescent="0.3">
      <c r="A316" s="1" t="s">
        <v>68</v>
      </c>
      <c r="B316" s="1">
        <v>9</v>
      </c>
      <c r="C316" s="1" t="s">
        <v>760</v>
      </c>
      <c r="D316" s="1">
        <v>11</v>
      </c>
      <c r="E316" s="1" t="s">
        <v>93</v>
      </c>
      <c r="F316" s="1" t="s">
        <v>101</v>
      </c>
      <c r="G316" s="52">
        <f t="shared" si="4"/>
        <v>18.740278480538219</v>
      </c>
      <c r="H316" s="52">
        <f>G316</f>
        <v>18.740278480538219</v>
      </c>
      <c r="I316" s="1">
        <v>0</v>
      </c>
    </row>
    <row r="317" spans="1:10" ht="14.25" customHeight="1" x14ac:dyDescent="0.3">
      <c r="A317" s="1" t="s">
        <v>68</v>
      </c>
      <c r="B317" s="1">
        <v>9</v>
      </c>
      <c r="C317" s="1" t="s">
        <v>101</v>
      </c>
      <c r="D317" s="1">
        <v>13</v>
      </c>
      <c r="E317" s="1" t="s">
        <v>93</v>
      </c>
      <c r="F317" s="1" t="s">
        <v>766</v>
      </c>
      <c r="G317" s="52">
        <f t="shared" si="4"/>
        <v>26.174438538933547</v>
      </c>
      <c r="H317" s="52">
        <f>SUM(G317:G319)</f>
        <v>96.566641591864311</v>
      </c>
      <c r="I317" s="52">
        <f>G320</f>
        <v>139.39050109491242</v>
      </c>
    </row>
    <row r="318" spans="1:10" ht="14.25" customHeight="1" x14ac:dyDescent="0.3">
      <c r="A318" s="1" t="s">
        <v>68</v>
      </c>
      <c r="B318" s="1">
        <v>9</v>
      </c>
      <c r="C318" s="1" t="s">
        <v>101</v>
      </c>
      <c r="D318" s="1">
        <v>13.5</v>
      </c>
      <c r="E318" s="1" t="s">
        <v>93</v>
      </c>
      <c r="F318" s="1" t="s">
        <v>766</v>
      </c>
      <c r="G318" s="52">
        <f t="shared" si="4"/>
        <v>28.22657647171976</v>
      </c>
      <c r="H318" s="1"/>
      <c r="I318" s="1"/>
    </row>
    <row r="319" spans="1:10" ht="14.25" customHeight="1" x14ac:dyDescent="0.3">
      <c r="A319" s="1" t="s">
        <v>68</v>
      </c>
      <c r="B319" s="1">
        <v>9</v>
      </c>
      <c r="C319" s="1" t="s">
        <v>101</v>
      </c>
      <c r="D319" s="1">
        <v>16.5</v>
      </c>
      <c r="E319" s="1" t="s">
        <v>93</v>
      </c>
      <c r="F319" s="1" t="s">
        <v>766</v>
      </c>
      <c r="G319" s="52">
        <f t="shared" si="4"/>
        <v>42.165626581210994</v>
      </c>
      <c r="H319" s="1"/>
      <c r="I319" s="1"/>
    </row>
    <row r="320" spans="1:10" ht="14.25" customHeight="1" x14ac:dyDescent="0.3">
      <c r="A320" s="1" t="s">
        <v>68</v>
      </c>
      <c r="B320" s="1">
        <v>9</v>
      </c>
      <c r="C320" s="1" t="s">
        <v>101</v>
      </c>
      <c r="D320" s="1">
        <v>30</v>
      </c>
      <c r="E320" s="1" t="s">
        <v>93</v>
      </c>
      <c r="F320" s="1" t="s">
        <v>101</v>
      </c>
      <c r="G320" s="52">
        <f t="shared" si="4"/>
        <v>139.39050109491242</v>
      </c>
      <c r="H320" s="1"/>
      <c r="I320" s="1"/>
    </row>
    <row r="321" spans="1:10" ht="14.25" customHeight="1" x14ac:dyDescent="0.3">
      <c r="A321" s="1" t="s">
        <v>68</v>
      </c>
      <c r="B321" s="1">
        <v>9</v>
      </c>
      <c r="C321" s="1" t="s">
        <v>762</v>
      </c>
      <c r="G321" s="52">
        <f t="shared" si="4"/>
        <v>0</v>
      </c>
      <c r="H321">
        <v>0</v>
      </c>
      <c r="I321">
        <v>0</v>
      </c>
      <c r="J321" s="1" t="s">
        <v>765</v>
      </c>
    </row>
    <row r="322" spans="1:10" ht="14.25" customHeight="1" x14ac:dyDescent="0.3">
      <c r="A322" s="1" t="s">
        <v>68</v>
      </c>
      <c r="B322" s="1">
        <v>10</v>
      </c>
      <c r="C322" s="1" t="s">
        <v>761</v>
      </c>
      <c r="G322" s="52">
        <f t="shared" si="4"/>
        <v>0</v>
      </c>
      <c r="H322">
        <v>0</v>
      </c>
      <c r="I322">
        <v>0</v>
      </c>
      <c r="J322" s="1" t="s">
        <v>765</v>
      </c>
    </row>
    <row r="323" spans="1:10" ht="14.25" customHeight="1" x14ac:dyDescent="0.3">
      <c r="A323" s="1" t="s">
        <v>68</v>
      </c>
      <c r="B323" s="1">
        <v>10</v>
      </c>
      <c r="C323" s="1" t="s">
        <v>760</v>
      </c>
      <c r="D323" s="1">
        <v>48</v>
      </c>
      <c r="E323" s="1" t="s">
        <v>96</v>
      </c>
      <c r="F323" s="1" t="s">
        <v>101</v>
      </c>
      <c r="G323" s="52">
        <f t="shared" si="4"/>
        <v>356.83968280297569</v>
      </c>
      <c r="H323" s="52">
        <f>G323</f>
        <v>356.83968280297569</v>
      </c>
      <c r="I323" s="1">
        <v>0</v>
      </c>
    </row>
    <row r="324" spans="1:10" ht="14.25" customHeight="1" x14ac:dyDescent="0.3">
      <c r="A324" s="1" t="s">
        <v>68</v>
      </c>
      <c r="B324" s="1">
        <v>10</v>
      </c>
      <c r="C324" s="1" t="s">
        <v>101</v>
      </c>
      <c r="D324" s="1">
        <v>30</v>
      </c>
      <c r="E324" s="1" t="s">
        <v>93</v>
      </c>
      <c r="F324" s="1" t="s">
        <v>101</v>
      </c>
      <c r="G324" s="52">
        <f t="shared" si="4"/>
        <v>139.39050109491242</v>
      </c>
      <c r="H324" s="52">
        <f>G324</f>
        <v>139.39050109491242</v>
      </c>
      <c r="I324">
        <v>0</v>
      </c>
    </row>
    <row r="325" spans="1:10" ht="14.25" customHeight="1" x14ac:dyDescent="0.3">
      <c r="A325" s="1" t="s">
        <v>68</v>
      </c>
      <c r="B325" s="1">
        <v>10</v>
      </c>
      <c r="C325" s="1" t="s">
        <v>762</v>
      </c>
      <c r="D325" s="1">
        <v>45</v>
      </c>
      <c r="E325" s="1" t="s">
        <v>93</v>
      </c>
      <c r="F325" s="1" t="s">
        <v>766</v>
      </c>
      <c r="G325" s="52">
        <f t="shared" si="4"/>
        <v>313.6286274635529</v>
      </c>
      <c r="H325" s="1">
        <v>0</v>
      </c>
      <c r="I325" s="52">
        <f>G325</f>
        <v>313.6286274635529</v>
      </c>
      <c r="J325" s="1" t="s">
        <v>769</v>
      </c>
    </row>
    <row r="326" spans="1:10" ht="14.25" customHeight="1" x14ac:dyDescent="0.3">
      <c r="A326" s="1" t="s">
        <v>68</v>
      </c>
      <c r="B326" s="1">
        <v>11</v>
      </c>
      <c r="C326" s="1" t="s">
        <v>761</v>
      </c>
      <c r="G326" s="52">
        <f t="shared" si="4"/>
        <v>0</v>
      </c>
      <c r="H326">
        <v>0</v>
      </c>
      <c r="I326">
        <v>0</v>
      </c>
      <c r="J326" s="1" t="s">
        <v>765</v>
      </c>
    </row>
    <row r="327" spans="1:10" ht="14.25" customHeight="1" x14ac:dyDescent="0.3">
      <c r="A327" s="1" t="s">
        <v>68</v>
      </c>
      <c r="B327" s="1">
        <v>11</v>
      </c>
      <c r="C327" s="1" t="s">
        <v>760</v>
      </c>
      <c r="G327" s="52">
        <f t="shared" si="4"/>
        <v>0</v>
      </c>
      <c r="H327">
        <v>0</v>
      </c>
      <c r="I327">
        <v>0</v>
      </c>
      <c r="J327" s="1" t="s">
        <v>765</v>
      </c>
    </row>
    <row r="328" spans="1:10" ht="14.25" customHeight="1" x14ac:dyDescent="0.3">
      <c r="A328" s="1" t="s">
        <v>68</v>
      </c>
      <c r="B328" s="1">
        <v>11</v>
      </c>
      <c r="C328" s="1" t="s">
        <v>101</v>
      </c>
      <c r="D328" s="1">
        <v>7</v>
      </c>
      <c r="E328" s="1" t="s">
        <v>93</v>
      </c>
      <c r="F328" s="1" t="s">
        <v>101</v>
      </c>
      <c r="G328" s="52">
        <f t="shared" si="4"/>
        <v>7.5890383929452314</v>
      </c>
      <c r="H328" s="52">
        <f>G328</f>
        <v>7.5890383929452314</v>
      </c>
      <c r="I328">
        <v>0</v>
      </c>
    </row>
    <row r="329" spans="1:10" ht="14.25" customHeight="1" x14ac:dyDescent="0.3">
      <c r="A329" s="1" t="s">
        <v>68</v>
      </c>
      <c r="B329" s="1">
        <v>11</v>
      </c>
      <c r="C329" s="1" t="s">
        <v>762</v>
      </c>
      <c r="G329" s="52">
        <f t="shared" si="4"/>
        <v>0</v>
      </c>
      <c r="H329">
        <v>0</v>
      </c>
      <c r="I329">
        <v>0</v>
      </c>
      <c r="J329" s="1" t="s">
        <v>765</v>
      </c>
    </row>
    <row r="330" spans="1:10" ht="14.25" customHeight="1" x14ac:dyDescent="0.3">
      <c r="A330" s="1" t="s">
        <v>68</v>
      </c>
      <c r="B330" s="1">
        <v>12</v>
      </c>
      <c r="C330" s="1" t="s">
        <v>761</v>
      </c>
      <c r="G330" s="52">
        <f t="shared" si="4"/>
        <v>0</v>
      </c>
      <c r="H330">
        <v>0</v>
      </c>
      <c r="I330">
        <v>0</v>
      </c>
      <c r="J330" s="1" t="s">
        <v>765</v>
      </c>
    </row>
    <row r="331" spans="1:10" ht="14.25" customHeight="1" x14ac:dyDescent="0.3">
      <c r="A331" s="1" t="s">
        <v>68</v>
      </c>
      <c r="B331" s="1">
        <v>12</v>
      </c>
      <c r="C331" s="1" t="s">
        <v>760</v>
      </c>
      <c r="D331" s="1">
        <v>13</v>
      </c>
      <c r="E331" s="1" t="s">
        <v>109</v>
      </c>
      <c r="F331" s="1" t="s">
        <v>101</v>
      </c>
      <c r="G331" s="52">
        <f t="shared" si="4"/>
        <v>26.174438538933547</v>
      </c>
      <c r="H331" s="52">
        <f>G331</f>
        <v>26.174438538933547</v>
      </c>
      <c r="I331">
        <v>0</v>
      </c>
    </row>
    <row r="332" spans="1:10" ht="14.25" customHeight="1" x14ac:dyDescent="0.3">
      <c r="A332" s="1" t="s">
        <v>68</v>
      </c>
      <c r="B332" s="1">
        <v>12</v>
      </c>
      <c r="C332" s="1" t="s">
        <v>101</v>
      </c>
      <c r="D332" s="1">
        <v>25</v>
      </c>
      <c r="E332" s="1" t="s">
        <v>109</v>
      </c>
      <c r="F332" s="1" t="s">
        <v>766</v>
      </c>
      <c r="G332" s="52">
        <f t="shared" si="4"/>
        <v>96.798959093689163</v>
      </c>
      <c r="H332">
        <v>0</v>
      </c>
      <c r="I332" s="52">
        <f>G332</f>
        <v>96.798959093689163</v>
      </c>
    </row>
    <row r="333" spans="1:10" ht="14.25" customHeight="1" x14ac:dyDescent="0.3">
      <c r="A333" s="1" t="s">
        <v>68</v>
      </c>
      <c r="B333" s="1">
        <v>12</v>
      </c>
      <c r="C333" s="1" t="s">
        <v>762</v>
      </c>
      <c r="G333" s="52">
        <f t="shared" si="4"/>
        <v>0</v>
      </c>
      <c r="H333">
        <v>0</v>
      </c>
      <c r="I333">
        <v>0</v>
      </c>
      <c r="J333" s="1" t="s">
        <v>765</v>
      </c>
    </row>
    <row r="334" spans="1:10" ht="14.25" customHeight="1" x14ac:dyDescent="0.3">
      <c r="A334" s="1" t="s">
        <v>68</v>
      </c>
      <c r="B334" s="1">
        <v>13</v>
      </c>
      <c r="C334" s="1" t="s">
        <v>761</v>
      </c>
      <c r="G334" s="52">
        <f t="shared" si="4"/>
        <v>0</v>
      </c>
      <c r="H334">
        <v>0</v>
      </c>
      <c r="I334">
        <v>0</v>
      </c>
      <c r="J334" s="1" t="s">
        <v>765</v>
      </c>
    </row>
    <row r="335" spans="1:10" ht="14.25" customHeight="1" x14ac:dyDescent="0.3">
      <c r="A335" s="1" t="s">
        <v>68</v>
      </c>
      <c r="B335" s="1">
        <v>13</v>
      </c>
      <c r="C335" s="1" t="s">
        <v>760</v>
      </c>
      <c r="G335" s="52">
        <f t="shared" si="4"/>
        <v>0</v>
      </c>
      <c r="H335">
        <v>0</v>
      </c>
      <c r="I335">
        <v>0</v>
      </c>
      <c r="J335" s="1" t="s">
        <v>765</v>
      </c>
    </row>
    <row r="336" spans="1:10" ht="14.25" customHeight="1" x14ac:dyDescent="0.3">
      <c r="A336" s="1" t="s">
        <v>68</v>
      </c>
      <c r="B336" s="1">
        <v>13</v>
      </c>
      <c r="C336" s="1" t="s">
        <v>101</v>
      </c>
      <c r="D336" s="1">
        <v>10</v>
      </c>
      <c r="E336" s="1" t="s">
        <v>109</v>
      </c>
      <c r="F336" s="1" t="s">
        <v>101</v>
      </c>
      <c r="G336" s="52">
        <f t="shared" si="4"/>
        <v>15.487833454990266</v>
      </c>
      <c r="H336" s="52">
        <f>SUM(G336:G337)</f>
        <v>35.9704931992149</v>
      </c>
      <c r="I336">
        <v>0</v>
      </c>
    </row>
    <row r="337" spans="1:10" ht="14.25" customHeight="1" x14ac:dyDescent="0.3">
      <c r="A337" s="1" t="s">
        <v>68</v>
      </c>
      <c r="B337" s="1">
        <v>13</v>
      </c>
      <c r="C337" s="1" t="s">
        <v>101</v>
      </c>
      <c r="D337" s="1">
        <v>11.5</v>
      </c>
      <c r="E337" s="1" t="s">
        <v>93</v>
      </c>
      <c r="F337" s="1" t="s">
        <v>101</v>
      </c>
      <c r="G337" s="52">
        <f t="shared" si="4"/>
        <v>20.48265974422463</v>
      </c>
      <c r="H337" s="1"/>
    </row>
    <row r="338" spans="1:10" ht="14.25" customHeight="1" x14ac:dyDescent="0.3">
      <c r="A338" s="1" t="s">
        <v>68</v>
      </c>
      <c r="B338" s="1">
        <v>13</v>
      </c>
      <c r="C338" s="1" t="s">
        <v>762</v>
      </c>
      <c r="G338" s="52">
        <f t="shared" si="4"/>
        <v>0</v>
      </c>
      <c r="H338">
        <v>0</v>
      </c>
      <c r="I338">
        <v>0</v>
      </c>
      <c r="J338" s="1" t="s">
        <v>765</v>
      </c>
    </row>
    <row r="339" spans="1:10" ht="14.25" customHeight="1" x14ac:dyDescent="0.3">
      <c r="A339" s="1" t="s">
        <v>68</v>
      </c>
      <c r="B339" s="1">
        <v>14</v>
      </c>
      <c r="C339" s="1" t="s">
        <v>761</v>
      </c>
      <c r="G339" s="52">
        <f t="shared" si="4"/>
        <v>0</v>
      </c>
      <c r="H339">
        <v>0</v>
      </c>
      <c r="I339">
        <v>0</v>
      </c>
      <c r="J339" s="1" t="s">
        <v>765</v>
      </c>
    </row>
    <row r="340" spans="1:10" ht="14.25" customHeight="1" x14ac:dyDescent="0.3">
      <c r="A340" s="1" t="s">
        <v>68</v>
      </c>
      <c r="B340" s="1">
        <v>14</v>
      </c>
      <c r="C340" s="1" t="s">
        <v>760</v>
      </c>
      <c r="D340" s="1">
        <v>19</v>
      </c>
      <c r="E340" s="1" t="s">
        <v>109</v>
      </c>
      <c r="F340" s="1" t="s">
        <v>101</v>
      </c>
      <c r="G340" s="52">
        <f t="shared" si="4"/>
        <v>55.911078772514863</v>
      </c>
      <c r="H340" s="52">
        <f>SUM(G340:G341)</f>
        <v>117.86241259247592</v>
      </c>
      <c r="I340">
        <v>0</v>
      </c>
    </row>
    <row r="341" spans="1:10" ht="14.25" customHeight="1" x14ac:dyDescent="0.3">
      <c r="A341" s="1" t="s">
        <v>68</v>
      </c>
      <c r="B341" s="1">
        <v>14</v>
      </c>
      <c r="C341" s="1" t="s">
        <v>760</v>
      </c>
      <c r="D341" s="1">
        <v>20</v>
      </c>
      <c r="E341" s="1" t="s">
        <v>109</v>
      </c>
      <c r="F341" s="1" t="s">
        <v>101</v>
      </c>
      <c r="G341" s="52">
        <f t="shared" si="4"/>
        <v>61.951333819961064</v>
      </c>
      <c r="H341" s="1"/>
      <c r="I341" s="1"/>
    </row>
    <row r="342" spans="1:10" ht="14.25" customHeight="1" x14ac:dyDescent="0.3">
      <c r="A342" s="1" t="s">
        <v>68</v>
      </c>
      <c r="B342" s="1">
        <v>14</v>
      </c>
      <c r="C342" s="1" t="s">
        <v>101</v>
      </c>
      <c r="G342" s="52">
        <f t="shared" si="4"/>
        <v>0</v>
      </c>
      <c r="H342">
        <v>0</v>
      </c>
      <c r="I342">
        <v>0</v>
      </c>
      <c r="J342" s="1" t="s">
        <v>765</v>
      </c>
    </row>
    <row r="343" spans="1:10" ht="14.25" customHeight="1" x14ac:dyDescent="0.3">
      <c r="A343" s="1" t="s">
        <v>68</v>
      </c>
      <c r="B343" s="1">
        <v>14</v>
      </c>
      <c r="C343" s="1" t="s">
        <v>762</v>
      </c>
      <c r="D343" s="1">
        <v>11</v>
      </c>
      <c r="E343" s="1" t="s">
        <v>109</v>
      </c>
      <c r="F343" s="1" t="s">
        <v>101</v>
      </c>
      <c r="G343" s="52">
        <f t="shared" si="4"/>
        <v>18.740278480538219</v>
      </c>
      <c r="H343" s="52">
        <f>SUM(G343:G344)</f>
        <v>44.914717019471766</v>
      </c>
      <c r="I343">
        <v>0</v>
      </c>
    </row>
    <row r="344" spans="1:10" ht="14.25" customHeight="1" x14ac:dyDescent="0.3">
      <c r="A344" s="1" t="s">
        <v>68</v>
      </c>
      <c r="B344" s="1">
        <v>14</v>
      </c>
      <c r="C344" s="1" t="s">
        <v>762</v>
      </c>
      <c r="D344" s="1">
        <v>13</v>
      </c>
      <c r="E344" s="1" t="s">
        <v>109</v>
      </c>
      <c r="F344" s="1" t="s">
        <v>101</v>
      </c>
      <c r="G344" s="52">
        <f t="shared" si="4"/>
        <v>26.174438538933547</v>
      </c>
      <c r="H344" s="1"/>
      <c r="I344" s="1"/>
    </row>
    <row r="345" spans="1:10" ht="14.25" customHeight="1" x14ac:dyDescent="0.3">
      <c r="A345" s="1" t="s">
        <v>68</v>
      </c>
      <c r="B345" s="1">
        <v>15</v>
      </c>
      <c r="C345" s="1" t="s">
        <v>761</v>
      </c>
      <c r="G345" s="52">
        <f t="shared" si="4"/>
        <v>0</v>
      </c>
      <c r="H345">
        <v>0</v>
      </c>
      <c r="I345">
        <v>0</v>
      </c>
      <c r="J345" s="1" t="s">
        <v>765</v>
      </c>
    </row>
    <row r="346" spans="1:10" ht="14.25" customHeight="1" x14ac:dyDescent="0.3">
      <c r="A346" s="1" t="s">
        <v>68</v>
      </c>
      <c r="B346" s="1">
        <v>15</v>
      </c>
      <c r="C346" s="1" t="s">
        <v>760</v>
      </c>
      <c r="G346" s="52">
        <f t="shared" si="4"/>
        <v>0</v>
      </c>
      <c r="H346">
        <v>0</v>
      </c>
      <c r="I346">
        <v>0</v>
      </c>
      <c r="J346" s="1" t="s">
        <v>765</v>
      </c>
    </row>
    <row r="347" spans="1:10" ht="14.25" customHeight="1" x14ac:dyDescent="0.3">
      <c r="A347" s="1" t="s">
        <v>68</v>
      </c>
      <c r="B347" s="1">
        <v>15</v>
      </c>
      <c r="C347" s="1" t="s">
        <v>101</v>
      </c>
      <c r="G347" s="52">
        <f t="shared" si="4"/>
        <v>0</v>
      </c>
      <c r="H347">
        <v>0</v>
      </c>
      <c r="I347">
        <v>0</v>
      </c>
      <c r="J347" s="1" t="s">
        <v>765</v>
      </c>
    </row>
    <row r="348" spans="1:10" ht="14.25" customHeight="1" x14ac:dyDescent="0.3">
      <c r="A348" s="1" t="s">
        <v>68</v>
      </c>
      <c r="B348" s="1">
        <v>15</v>
      </c>
      <c r="C348" s="1" t="s">
        <v>762</v>
      </c>
      <c r="G348" s="52">
        <f t="shared" si="4"/>
        <v>0</v>
      </c>
      <c r="H348">
        <v>0</v>
      </c>
      <c r="I348">
        <v>0</v>
      </c>
      <c r="J348" s="1" t="s">
        <v>765</v>
      </c>
    </row>
    <row r="349" spans="1:10" ht="14.25" customHeight="1" x14ac:dyDescent="0.3">
      <c r="A349" s="1" t="s">
        <v>68</v>
      </c>
      <c r="B349" s="1">
        <v>16</v>
      </c>
      <c r="C349" s="1" t="s">
        <v>761</v>
      </c>
      <c r="D349" s="1">
        <v>45</v>
      </c>
      <c r="E349" s="1" t="s">
        <v>106</v>
      </c>
      <c r="F349" s="1" t="s">
        <v>101</v>
      </c>
      <c r="G349" s="52">
        <f t="shared" si="4"/>
        <v>313.6286274635529</v>
      </c>
      <c r="H349" s="52">
        <f>G349</f>
        <v>313.6286274635529</v>
      </c>
      <c r="I349">
        <v>0</v>
      </c>
    </row>
    <row r="350" spans="1:10" ht="14.25" customHeight="1" x14ac:dyDescent="0.3">
      <c r="A350" s="1" t="s">
        <v>68</v>
      </c>
      <c r="B350" s="1">
        <v>16</v>
      </c>
      <c r="C350" s="1" t="s">
        <v>760</v>
      </c>
      <c r="D350" s="1">
        <v>34</v>
      </c>
      <c r="E350" s="1" t="s">
        <v>93</v>
      </c>
      <c r="F350" s="1" t="s">
        <v>766</v>
      </c>
      <c r="G350" s="52">
        <f t="shared" si="4"/>
        <v>179.0393547396875</v>
      </c>
      <c r="H350" s="52">
        <f>G351</f>
        <v>61.951333819961064</v>
      </c>
      <c r="I350" s="52">
        <f>G350</f>
        <v>179.0393547396875</v>
      </c>
    </row>
    <row r="351" spans="1:10" ht="14.25" customHeight="1" x14ac:dyDescent="0.3">
      <c r="A351" s="1" t="s">
        <v>68</v>
      </c>
      <c r="B351" s="1">
        <v>16</v>
      </c>
      <c r="C351" s="1" t="s">
        <v>760</v>
      </c>
      <c r="D351" s="1">
        <v>20</v>
      </c>
      <c r="E351" s="1" t="s">
        <v>93</v>
      </c>
      <c r="F351" s="1" t="s">
        <v>101</v>
      </c>
      <c r="G351" s="52">
        <f t="shared" si="4"/>
        <v>61.951333819961064</v>
      </c>
      <c r="H351" s="1"/>
      <c r="I351" s="1"/>
    </row>
    <row r="352" spans="1:10" ht="14.25" customHeight="1" x14ac:dyDescent="0.3">
      <c r="A352" s="1" t="s">
        <v>68</v>
      </c>
      <c r="B352" s="1">
        <v>16</v>
      </c>
      <c r="C352" s="1" t="s">
        <v>101</v>
      </c>
      <c r="G352" s="52">
        <f t="shared" si="4"/>
        <v>0</v>
      </c>
      <c r="H352">
        <v>0</v>
      </c>
      <c r="I352">
        <v>0</v>
      </c>
      <c r="J352" s="1" t="s">
        <v>765</v>
      </c>
    </row>
    <row r="353" spans="1:10" ht="14.25" customHeight="1" x14ac:dyDescent="0.3">
      <c r="A353" s="1" t="s">
        <v>68</v>
      </c>
      <c r="B353" s="1">
        <v>16</v>
      </c>
      <c r="C353" s="1" t="s">
        <v>762</v>
      </c>
      <c r="D353" s="1">
        <v>13</v>
      </c>
      <c r="E353" s="1" t="s">
        <v>106</v>
      </c>
      <c r="F353" s="1" t="s">
        <v>766</v>
      </c>
      <c r="G353" s="52">
        <f t="shared" si="4"/>
        <v>26.174438538933547</v>
      </c>
      <c r="H353" s="1">
        <v>0</v>
      </c>
      <c r="I353" s="52">
        <f>G353</f>
        <v>26.174438538933547</v>
      </c>
    </row>
    <row r="354" spans="1:10" ht="14.25" customHeight="1" x14ac:dyDescent="0.3">
      <c r="A354" s="1" t="s">
        <v>68</v>
      </c>
      <c r="B354" s="1">
        <v>17</v>
      </c>
      <c r="C354" s="1" t="s">
        <v>761</v>
      </c>
      <c r="G354" s="52">
        <f t="shared" si="4"/>
        <v>0</v>
      </c>
      <c r="H354">
        <v>0</v>
      </c>
      <c r="I354">
        <v>0</v>
      </c>
      <c r="J354" s="1" t="s">
        <v>765</v>
      </c>
    </row>
    <row r="355" spans="1:10" ht="14.25" customHeight="1" x14ac:dyDescent="0.3">
      <c r="A355" s="1" t="s">
        <v>68</v>
      </c>
      <c r="B355" s="1">
        <v>17</v>
      </c>
      <c r="C355" s="1" t="s">
        <v>760</v>
      </c>
      <c r="G355" s="52">
        <f t="shared" ref="G355:G418" si="5">(D355/2.541)^2</f>
        <v>0</v>
      </c>
      <c r="H355">
        <v>0</v>
      </c>
      <c r="I355">
        <v>0</v>
      </c>
      <c r="J355" s="1" t="s">
        <v>765</v>
      </c>
    </row>
    <row r="356" spans="1:10" ht="14.25" customHeight="1" x14ac:dyDescent="0.3">
      <c r="A356" s="1" t="s">
        <v>68</v>
      </c>
      <c r="B356" s="1">
        <v>17</v>
      </c>
      <c r="C356" s="1" t="s">
        <v>101</v>
      </c>
      <c r="G356" s="52">
        <f t="shared" si="5"/>
        <v>0</v>
      </c>
      <c r="H356">
        <v>0</v>
      </c>
      <c r="I356">
        <v>0</v>
      </c>
      <c r="J356" s="1" t="s">
        <v>765</v>
      </c>
    </row>
    <row r="357" spans="1:10" ht="14.25" customHeight="1" x14ac:dyDescent="0.3">
      <c r="A357" s="1" t="s">
        <v>68</v>
      </c>
      <c r="B357" s="1">
        <v>17</v>
      </c>
      <c r="C357" s="1" t="s">
        <v>762</v>
      </c>
      <c r="G357" s="52">
        <f t="shared" si="5"/>
        <v>0</v>
      </c>
      <c r="H357">
        <v>0</v>
      </c>
      <c r="I357">
        <v>0</v>
      </c>
      <c r="J357" s="1" t="s">
        <v>765</v>
      </c>
    </row>
    <row r="358" spans="1:10" ht="14.25" customHeight="1" x14ac:dyDescent="0.3">
      <c r="A358" s="1" t="s">
        <v>70</v>
      </c>
      <c r="B358" s="1">
        <v>12</v>
      </c>
      <c r="C358" s="1" t="s">
        <v>761</v>
      </c>
      <c r="G358" s="52">
        <f t="shared" si="5"/>
        <v>0</v>
      </c>
      <c r="H358">
        <v>0</v>
      </c>
      <c r="I358">
        <v>0</v>
      </c>
      <c r="J358" s="1" t="s">
        <v>765</v>
      </c>
    </row>
    <row r="359" spans="1:10" ht="14.25" customHeight="1" x14ac:dyDescent="0.3">
      <c r="A359" s="1" t="s">
        <v>70</v>
      </c>
      <c r="B359" s="1">
        <v>12</v>
      </c>
      <c r="C359" s="1" t="s">
        <v>760</v>
      </c>
      <c r="G359" s="52">
        <f t="shared" si="5"/>
        <v>0</v>
      </c>
      <c r="H359">
        <v>0</v>
      </c>
      <c r="I359">
        <v>0</v>
      </c>
      <c r="J359" s="1" t="s">
        <v>765</v>
      </c>
    </row>
    <row r="360" spans="1:10" ht="14.25" customHeight="1" x14ac:dyDescent="0.3">
      <c r="A360" s="1" t="s">
        <v>70</v>
      </c>
      <c r="B360" s="1">
        <v>12</v>
      </c>
      <c r="C360" s="1" t="s">
        <v>101</v>
      </c>
      <c r="D360" s="1">
        <v>17</v>
      </c>
      <c r="E360" s="1" t="s">
        <v>111</v>
      </c>
      <c r="F360" s="1" t="s">
        <v>766</v>
      </c>
      <c r="G360" s="52">
        <f t="shared" si="5"/>
        <v>44.759838684921874</v>
      </c>
      <c r="H360" s="1">
        <v>0</v>
      </c>
      <c r="I360" s="52">
        <f>G360</f>
        <v>44.759838684921874</v>
      </c>
    </row>
    <row r="361" spans="1:10" ht="14.25" customHeight="1" x14ac:dyDescent="0.3">
      <c r="A361" s="1" t="s">
        <v>70</v>
      </c>
      <c r="B361" s="1">
        <v>12</v>
      </c>
      <c r="C361" s="1" t="s">
        <v>762</v>
      </c>
      <c r="G361" s="52">
        <f t="shared" si="5"/>
        <v>0</v>
      </c>
      <c r="H361">
        <v>0</v>
      </c>
      <c r="I361">
        <v>0</v>
      </c>
      <c r="J361" s="1" t="s">
        <v>765</v>
      </c>
    </row>
    <row r="362" spans="1:10" ht="14.25" customHeight="1" x14ac:dyDescent="0.3">
      <c r="A362" s="1" t="s">
        <v>70</v>
      </c>
      <c r="B362" s="1">
        <v>13</v>
      </c>
      <c r="C362" s="1" t="s">
        <v>761</v>
      </c>
      <c r="D362" s="1">
        <v>10.1</v>
      </c>
      <c r="E362" s="1" t="s">
        <v>96</v>
      </c>
      <c r="F362" s="1" t="s">
        <v>101</v>
      </c>
      <c r="G362" s="52">
        <f t="shared" si="5"/>
        <v>15.799138907435571</v>
      </c>
      <c r="H362" s="52">
        <f>G362</f>
        <v>15.799138907435571</v>
      </c>
      <c r="I362">
        <v>0</v>
      </c>
    </row>
    <row r="363" spans="1:10" ht="14.25" customHeight="1" x14ac:dyDescent="0.3">
      <c r="A363" s="1" t="s">
        <v>70</v>
      </c>
      <c r="B363" s="1">
        <v>13</v>
      </c>
      <c r="C363" s="1" t="s">
        <v>760</v>
      </c>
      <c r="D363" s="1">
        <v>10.1</v>
      </c>
      <c r="E363" s="1" t="s">
        <v>96</v>
      </c>
      <c r="F363" s="1" t="s">
        <v>101</v>
      </c>
      <c r="G363" s="52">
        <f t="shared" si="5"/>
        <v>15.799138907435571</v>
      </c>
      <c r="H363" s="52">
        <f>G363</f>
        <v>15.799138907435571</v>
      </c>
      <c r="I363">
        <v>0</v>
      </c>
    </row>
    <row r="364" spans="1:10" ht="14.25" customHeight="1" x14ac:dyDescent="0.3">
      <c r="A364" s="1" t="s">
        <v>70</v>
      </c>
      <c r="B364" s="1">
        <v>13</v>
      </c>
      <c r="C364" s="1" t="s">
        <v>101</v>
      </c>
      <c r="D364" s="1">
        <v>25</v>
      </c>
      <c r="E364" s="1" t="s">
        <v>96</v>
      </c>
      <c r="F364" s="1" t="s">
        <v>101</v>
      </c>
      <c r="G364" s="52">
        <f t="shared" si="5"/>
        <v>96.798959093689163</v>
      </c>
      <c r="H364" s="52">
        <f>SUM(G364:G365)</f>
        <v>1015.0726046400621</v>
      </c>
      <c r="I364" s="1">
        <v>0</v>
      </c>
    </row>
    <row r="365" spans="1:10" ht="14.25" customHeight="1" x14ac:dyDescent="0.3">
      <c r="A365" s="1" t="s">
        <v>70</v>
      </c>
      <c r="B365" s="1">
        <v>13</v>
      </c>
      <c r="C365" s="1" t="s">
        <v>101</v>
      </c>
      <c r="D365" s="1">
        <v>77</v>
      </c>
      <c r="E365" s="1" t="s">
        <v>96</v>
      </c>
      <c r="F365" s="1" t="s">
        <v>101</v>
      </c>
      <c r="G365" s="52">
        <f t="shared" si="5"/>
        <v>918.2736455463729</v>
      </c>
      <c r="H365" s="1"/>
      <c r="I365" s="1"/>
    </row>
    <row r="366" spans="1:10" ht="14.25" customHeight="1" x14ac:dyDescent="0.3">
      <c r="A366" s="1" t="s">
        <v>70</v>
      </c>
      <c r="B366" s="1">
        <v>13</v>
      </c>
      <c r="C366" s="1" t="s">
        <v>762</v>
      </c>
      <c r="G366" s="52">
        <f t="shared" si="5"/>
        <v>0</v>
      </c>
      <c r="H366">
        <v>0</v>
      </c>
      <c r="I366">
        <v>0</v>
      </c>
      <c r="J366" s="19" t="s">
        <v>765</v>
      </c>
    </row>
    <row r="367" spans="1:10" ht="14.25" customHeight="1" x14ac:dyDescent="0.3">
      <c r="A367" s="1" t="s">
        <v>70</v>
      </c>
      <c r="B367" s="1">
        <v>16</v>
      </c>
      <c r="C367" s="1" t="s">
        <v>761</v>
      </c>
      <c r="G367" s="52">
        <f t="shared" si="5"/>
        <v>0</v>
      </c>
      <c r="H367">
        <v>0</v>
      </c>
      <c r="I367">
        <v>0</v>
      </c>
      <c r="J367" s="1" t="s">
        <v>765</v>
      </c>
    </row>
    <row r="368" spans="1:10" ht="14.25" customHeight="1" x14ac:dyDescent="0.3">
      <c r="A368" s="1" t="s">
        <v>70</v>
      </c>
      <c r="B368" s="1">
        <v>16</v>
      </c>
      <c r="C368" s="1" t="s">
        <v>760</v>
      </c>
      <c r="G368" s="52">
        <f t="shared" si="5"/>
        <v>0</v>
      </c>
      <c r="H368">
        <v>0</v>
      </c>
      <c r="I368">
        <v>0</v>
      </c>
      <c r="J368" s="1" t="s">
        <v>765</v>
      </c>
    </row>
    <row r="369" spans="1:10" ht="14.25" customHeight="1" x14ac:dyDescent="0.3">
      <c r="A369" s="1" t="s">
        <v>70</v>
      </c>
      <c r="B369" s="1">
        <v>16</v>
      </c>
      <c r="C369" s="1" t="s">
        <v>101</v>
      </c>
      <c r="G369" s="52">
        <f t="shared" si="5"/>
        <v>0</v>
      </c>
      <c r="H369">
        <v>0</v>
      </c>
      <c r="I369">
        <v>0</v>
      </c>
      <c r="J369" s="1" t="s">
        <v>765</v>
      </c>
    </row>
    <row r="370" spans="1:10" ht="14.25" customHeight="1" x14ac:dyDescent="0.3">
      <c r="A370" s="1" t="s">
        <v>70</v>
      </c>
      <c r="B370" s="1">
        <v>16</v>
      </c>
      <c r="C370" s="1" t="s">
        <v>762</v>
      </c>
      <c r="D370" s="1">
        <v>27</v>
      </c>
      <c r="E370" s="1" t="s">
        <v>96</v>
      </c>
      <c r="F370" s="1" t="s">
        <v>101</v>
      </c>
      <c r="G370" s="52">
        <f t="shared" si="5"/>
        <v>112.90630588687904</v>
      </c>
      <c r="H370" s="41">
        <f>G370</f>
        <v>112.90630588687904</v>
      </c>
      <c r="I370">
        <v>0</v>
      </c>
    </row>
    <row r="371" spans="1:10" ht="14.25" customHeight="1" x14ac:dyDescent="0.3">
      <c r="A371" s="1" t="s">
        <v>70</v>
      </c>
      <c r="B371" s="1">
        <v>17</v>
      </c>
      <c r="C371" s="1" t="s">
        <v>761</v>
      </c>
      <c r="G371" s="52">
        <f t="shared" si="5"/>
        <v>0</v>
      </c>
      <c r="H371">
        <v>0</v>
      </c>
      <c r="I371">
        <v>0</v>
      </c>
      <c r="J371" s="1" t="s">
        <v>765</v>
      </c>
    </row>
    <row r="372" spans="1:10" ht="14.25" customHeight="1" x14ac:dyDescent="0.3">
      <c r="A372" s="1" t="s">
        <v>70</v>
      </c>
      <c r="B372" s="1">
        <v>17</v>
      </c>
      <c r="C372" s="1" t="s">
        <v>760</v>
      </c>
      <c r="G372" s="52">
        <f t="shared" si="5"/>
        <v>0</v>
      </c>
      <c r="H372">
        <v>0</v>
      </c>
      <c r="I372">
        <v>0</v>
      </c>
      <c r="J372" s="1" t="s">
        <v>765</v>
      </c>
    </row>
    <row r="373" spans="1:10" ht="14.25" customHeight="1" x14ac:dyDescent="0.3">
      <c r="A373" s="1" t="s">
        <v>70</v>
      </c>
      <c r="B373" s="1">
        <v>17</v>
      </c>
      <c r="C373" s="1" t="s">
        <v>101</v>
      </c>
      <c r="G373" s="52">
        <f t="shared" si="5"/>
        <v>0</v>
      </c>
      <c r="H373">
        <v>0</v>
      </c>
      <c r="I373">
        <v>0</v>
      </c>
      <c r="J373" s="1" t="s">
        <v>765</v>
      </c>
    </row>
    <row r="374" spans="1:10" ht="14.25" customHeight="1" x14ac:dyDescent="0.3">
      <c r="A374" s="1" t="s">
        <v>70</v>
      </c>
      <c r="B374" s="1">
        <v>17</v>
      </c>
      <c r="C374" s="1" t="s">
        <v>762</v>
      </c>
      <c r="G374" s="52">
        <f t="shared" si="5"/>
        <v>0</v>
      </c>
      <c r="H374">
        <v>0</v>
      </c>
      <c r="I374">
        <v>0</v>
      </c>
      <c r="J374" s="1" t="s">
        <v>765</v>
      </c>
    </row>
    <row r="375" spans="1:10" ht="14.25" customHeight="1" x14ac:dyDescent="0.3">
      <c r="A375" s="1" t="s">
        <v>70</v>
      </c>
      <c r="B375" s="1">
        <v>18</v>
      </c>
      <c r="C375" s="1" t="s">
        <v>761</v>
      </c>
      <c r="D375" s="1">
        <v>80</v>
      </c>
      <c r="E375" s="1" t="s">
        <v>93</v>
      </c>
      <c r="F375" s="1" t="s">
        <v>101</v>
      </c>
      <c r="G375" s="52">
        <f t="shared" si="5"/>
        <v>991.22134111937703</v>
      </c>
      <c r="H375" s="41">
        <f>G375</f>
        <v>991.22134111937703</v>
      </c>
      <c r="I375">
        <v>0</v>
      </c>
    </row>
    <row r="376" spans="1:10" ht="14.25" customHeight="1" x14ac:dyDescent="0.3">
      <c r="A376" s="1" t="s">
        <v>70</v>
      </c>
      <c r="B376" s="1">
        <v>18</v>
      </c>
      <c r="C376" s="1" t="s">
        <v>760</v>
      </c>
      <c r="G376" s="52">
        <f t="shared" si="5"/>
        <v>0</v>
      </c>
      <c r="H376">
        <v>0</v>
      </c>
      <c r="I376">
        <v>0</v>
      </c>
      <c r="J376" s="19" t="s">
        <v>774</v>
      </c>
    </row>
    <row r="377" spans="1:10" ht="14.25" customHeight="1" x14ac:dyDescent="0.3">
      <c r="A377" s="1" t="s">
        <v>70</v>
      </c>
      <c r="B377" s="1">
        <v>18</v>
      </c>
      <c r="C377" s="1" t="s">
        <v>101</v>
      </c>
      <c r="G377" s="52">
        <f t="shared" si="5"/>
        <v>0</v>
      </c>
      <c r="H377">
        <v>0</v>
      </c>
      <c r="I377">
        <v>0</v>
      </c>
      <c r="J377" s="19" t="s">
        <v>775</v>
      </c>
    </row>
    <row r="378" spans="1:10" ht="14.25" customHeight="1" x14ac:dyDescent="0.3">
      <c r="A378" s="1" t="s">
        <v>70</v>
      </c>
      <c r="B378" s="1">
        <v>18</v>
      </c>
      <c r="C378" s="1" t="s">
        <v>762</v>
      </c>
      <c r="G378" s="52">
        <f t="shared" si="5"/>
        <v>0</v>
      </c>
      <c r="H378">
        <v>0</v>
      </c>
      <c r="I378">
        <v>0</v>
      </c>
      <c r="J378" s="19" t="s">
        <v>765</v>
      </c>
    </row>
    <row r="379" spans="1:10" ht="14.25" customHeight="1" x14ac:dyDescent="0.3">
      <c r="A379" s="1" t="s">
        <v>70</v>
      </c>
      <c r="B379" s="1">
        <v>19</v>
      </c>
      <c r="C379" s="1" t="s">
        <v>761</v>
      </c>
      <c r="D379" s="1">
        <v>55</v>
      </c>
      <c r="E379" s="1" t="s">
        <v>106</v>
      </c>
      <c r="F379" s="1" t="s">
        <v>101</v>
      </c>
      <c r="G379" s="52">
        <f t="shared" si="5"/>
        <v>468.50696201345556</v>
      </c>
      <c r="H379" s="41">
        <f>G379</f>
        <v>468.50696201345556</v>
      </c>
      <c r="I379">
        <v>0</v>
      </c>
    </row>
    <row r="380" spans="1:10" ht="14.25" customHeight="1" x14ac:dyDescent="0.3">
      <c r="A380" s="1" t="s">
        <v>70</v>
      </c>
      <c r="B380" s="1">
        <v>19</v>
      </c>
      <c r="C380" s="1" t="s">
        <v>760</v>
      </c>
      <c r="G380" s="52">
        <f t="shared" si="5"/>
        <v>0</v>
      </c>
      <c r="H380">
        <v>0</v>
      </c>
      <c r="I380">
        <v>0</v>
      </c>
      <c r="J380" s="1" t="s">
        <v>765</v>
      </c>
    </row>
    <row r="381" spans="1:10" ht="14.25" customHeight="1" x14ac:dyDescent="0.3">
      <c r="A381" s="1" t="s">
        <v>70</v>
      </c>
      <c r="B381" s="1">
        <v>19</v>
      </c>
      <c r="C381" s="1" t="s">
        <v>101</v>
      </c>
      <c r="D381" s="1">
        <v>18</v>
      </c>
      <c r="E381" s="1" t="s">
        <v>106</v>
      </c>
      <c r="F381" s="1" t="s">
        <v>101</v>
      </c>
      <c r="G381" s="52">
        <f t="shared" si="5"/>
        <v>50.180580394168466</v>
      </c>
      <c r="H381" s="41">
        <f>G381</f>
        <v>50.180580394168466</v>
      </c>
      <c r="I381">
        <v>0</v>
      </c>
    </row>
    <row r="382" spans="1:10" ht="14.25" customHeight="1" x14ac:dyDescent="0.3">
      <c r="A382" s="1" t="s">
        <v>70</v>
      </c>
      <c r="B382" s="1">
        <v>19</v>
      </c>
      <c r="C382" s="1" t="s">
        <v>762</v>
      </c>
      <c r="G382" s="52">
        <f t="shared" si="5"/>
        <v>0</v>
      </c>
      <c r="H382">
        <v>0</v>
      </c>
      <c r="I382">
        <v>0</v>
      </c>
      <c r="J382" s="1" t="s">
        <v>765</v>
      </c>
    </row>
    <row r="383" spans="1:10" ht="14.25" customHeight="1" x14ac:dyDescent="0.3">
      <c r="A383" s="1" t="s">
        <v>70</v>
      </c>
      <c r="B383" s="1">
        <v>20</v>
      </c>
      <c r="C383" s="1" t="s">
        <v>761</v>
      </c>
      <c r="D383" s="1">
        <v>8</v>
      </c>
      <c r="E383" s="1" t="s">
        <v>106</v>
      </c>
      <c r="F383" s="1" t="s">
        <v>101</v>
      </c>
      <c r="G383" s="52">
        <f t="shared" si="5"/>
        <v>9.9122134111937719</v>
      </c>
      <c r="H383" s="52">
        <f>G383</f>
        <v>9.9122134111937719</v>
      </c>
      <c r="I383">
        <v>0</v>
      </c>
    </row>
    <row r="384" spans="1:10" ht="14.25" customHeight="1" x14ac:dyDescent="0.3">
      <c r="A384" s="1" t="s">
        <v>70</v>
      </c>
      <c r="B384" s="1">
        <v>20</v>
      </c>
      <c r="C384" s="1" t="s">
        <v>760</v>
      </c>
      <c r="G384" s="52">
        <f t="shared" si="5"/>
        <v>0</v>
      </c>
      <c r="H384">
        <v>0</v>
      </c>
      <c r="I384">
        <v>0</v>
      </c>
      <c r="J384" s="1" t="s">
        <v>765</v>
      </c>
    </row>
    <row r="385" spans="1:10" ht="14.25" customHeight="1" x14ac:dyDescent="0.3">
      <c r="A385" s="1" t="s">
        <v>70</v>
      </c>
      <c r="B385" s="1">
        <v>20</v>
      </c>
      <c r="C385" s="1" t="s">
        <v>101</v>
      </c>
      <c r="G385" s="52">
        <f t="shared" si="5"/>
        <v>0</v>
      </c>
      <c r="H385" s="41">
        <v>0</v>
      </c>
      <c r="I385">
        <v>0</v>
      </c>
      <c r="J385" s="1" t="s">
        <v>765</v>
      </c>
    </row>
    <row r="386" spans="1:10" ht="14.25" customHeight="1" x14ac:dyDescent="0.3">
      <c r="A386" s="1" t="s">
        <v>70</v>
      </c>
      <c r="B386" s="1">
        <v>20</v>
      </c>
      <c r="C386" s="1" t="s">
        <v>762</v>
      </c>
      <c r="G386" s="52">
        <f t="shared" si="5"/>
        <v>0</v>
      </c>
      <c r="H386">
        <v>0</v>
      </c>
      <c r="I386">
        <v>0</v>
      </c>
      <c r="J386" s="1" t="s">
        <v>765</v>
      </c>
    </row>
    <row r="387" spans="1:10" ht="14.25" customHeight="1" x14ac:dyDescent="0.3">
      <c r="A387" s="1" t="s">
        <v>70</v>
      </c>
      <c r="B387" s="1">
        <v>21</v>
      </c>
      <c r="C387" s="1" t="s">
        <v>761</v>
      </c>
      <c r="G387" s="52">
        <f t="shared" si="5"/>
        <v>0</v>
      </c>
      <c r="H387" s="41">
        <v>0</v>
      </c>
      <c r="I387">
        <v>0</v>
      </c>
      <c r="J387" s="1" t="s">
        <v>765</v>
      </c>
    </row>
    <row r="388" spans="1:10" ht="14.25" customHeight="1" x14ac:dyDescent="0.3">
      <c r="A388" s="1" t="s">
        <v>70</v>
      </c>
      <c r="B388" s="1">
        <v>21</v>
      </c>
      <c r="C388" s="1" t="s">
        <v>760</v>
      </c>
      <c r="D388" s="1">
        <v>16</v>
      </c>
      <c r="E388" s="1" t="s">
        <v>93</v>
      </c>
      <c r="F388" s="1" t="s">
        <v>101</v>
      </c>
      <c r="G388" s="52">
        <f t="shared" si="5"/>
        <v>39.648853644775087</v>
      </c>
      <c r="H388" s="52">
        <f>G388</f>
        <v>39.648853644775087</v>
      </c>
      <c r="I388" s="1">
        <v>0</v>
      </c>
    </row>
    <row r="389" spans="1:10" ht="14.25" customHeight="1" x14ac:dyDescent="0.3">
      <c r="A389" s="1" t="s">
        <v>70</v>
      </c>
      <c r="B389" s="1">
        <v>21</v>
      </c>
      <c r="C389" s="1" t="s">
        <v>101</v>
      </c>
      <c r="D389" s="1">
        <v>16</v>
      </c>
      <c r="E389" s="1" t="s">
        <v>93</v>
      </c>
      <c r="F389" s="1" t="s">
        <v>101</v>
      </c>
      <c r="G389" s="52">
        <f t="shared" si="5"/>
        <v>39.648853644775087</v>
      </c>
      <c r="H389" s="52">
        <f t="shared" ref="H389:H390" si="6">G389</f>
        <v>39.648853644775087</v>
      </c>
      <c r="I389">
        <v>0</v>
      </c>
    </row>
    <row r="390" spans="1:10" ht="14.25" customHeight="1" x14ac:dyDescent="0.3">
      <c r="A390" s="1" t="s">
        <v>70</v>
      </c>
      <c r="B390" s="1">
        <v>21</v>
      </c>
      <c r="C390" s="1" t="s">
        <v>762</v>
      </c>
      <c r="D390" s="1">
        <v>23</v>
      </c>
      <c r="E390" s="1" t="s">
        <v>93</v>
      </c>
      <c r="F390" s="1" t="s">
        <v>101</v>
      </c>
      <c r="G390" s="52">
        <f t="shared" si="5"/>
        <v>81.930638976898521</v>
      </c>
      <c r="H390" s="52">
        <f t="shared" si="6"/>
        <v>81.930638976898521</v>
      </c>
      <c r="I390">
        <v>0</v>
      </c>
    </row>
    <row r="391" spans="1:10" ht="14.25" customHeight="1" x14ac:dyDescent="0.3">
      <c r="A391" s="1" t="s">
        <v>70</v>
      </c>
      <c r="B391" s="1">
        <v>22</v>
      </c>
      <c r="C391" s="1" t="s">
        <v>761</v>
      </c>
      <c r="G391" s="52">
        <f t="shared" si="5"/>
        <v>0</v>
      </c>
      <c r="H391">
        <v>0</v>
      </c>
      <c r="I391">
        <v>0</v>
      </c>
      <c r="J391" s="1" t="s">
        <v>765</v>
      </c>
    </row>
    <row r="392" spans="1:10" ht="14.25" customHeight="1" x14ac:dyDescent="0.3">
      <c r="A392" s="1" t="s">
        <v>70</v>
      </c>
      <c r="B392" s="1">
        <v>22</v>
      </c>
      <c r="C392" s="1" t="s">
        <v>760</v>
      </c>
      <c r="D392" s="1">
        <v>7</v>
      </c>
      <c r="E392" s="1" t="s">
        <v>93</v>
      </c>
      <c r="F392" s="1" t="s">
        <v>101</v>
      </c>
      <c r="G392" s="52">
        <f t="shared" si="5"/>
        <v>7.5890383929452314</v>
      </c>
      <c r="H392" s="52">
        <f>SUM(G392:G394)</f>
        <v>54.981808765215455</v>
      </c>
      <c r="I392" s="1">
        <v>0</v>
      </c>
    </row>
    <row r="393" spans="1:10" ht="14.25" customHeight="1" x14ac:dyDescent="0.3">
      <c r="A393" s="1" t="s">
        <v>70</v>
      </c>
      <c r="B393" s="1">
        <v>22</v>
      </c>
      <c r="C393" s="1" t="s">
        <v>760</v>
      </c>
      <c r="D393" s="1">
        <v>9</v>
      </c>
      <c r="E393" s="1" t="s">
        <v>93</v>
      </c>
      <c r="F393" s="1" t="s">
        <v>101</v>
      </c>
      <c r="G393" s="52">
        <f t="shared" si="5"/>
        <v>12.545145098542116</v>
      </c>
      <c r="H393" s="1"/>
      <c r="I393" s="1"/>
    </row>
    <row r="394" spans="1:10" ht="14.25" customHeight="1" x14ac:dyDescent="0.3">
      <c r="A394" s="1" t="s">
        <v>70</v>
      </c>
      <c r="B394" s="1">
        <v>22</v>
      </c>
      <c r="C394" s="1" t="s">
        <v>760</v>
      </c>
      <c r="D394" s="1">
        <v>15</v>
      </c>
      <c r="E394" s="1" t="s">
        <v>93</v>
      </c>
      <c r="F394" s="1" t="s">
        <v>101</v>
      </c>
      <c r="G394" s="52">
        <f t="shared" si="5"/>
        <v>34.847625273728106</v>
      </c>
      <c r="H394" s="1"/>
      <c r="I394" s="1"/>
    </row>
    <row r="395" spans="1:10" ht="14.25" customHeight="1" x14ac:dyDescent="0.3">
      <c r="A395" s="1" t="s">
        <v>70</v>
      </c>
      <c r="B395" s="1">
        <v>22</v>
      </c>
      <c r="C395" s="1" t="s">
        <v>101</v>
      </c>
      <c r="D395" s="1">
        <v>13</v>
      </c>
      <c r="E395" s="1" t="s">
        <v>98</v>
      </c>
      <c r="F395" s="1" t="s">
        <v>101</v>
      </c>
      <c r="G395" s="52">
        <f t="shared" si="5"/>
        <v>26.174438538933547</v>
      </c>
      <c r="H395" s="52">
        <f>G395</f>
        <v>26.174438538933547</v>
      </c>
      <c r="I395">
        <v>0</v>
      </c>
    </row>
    <row r="396" spans="1:10" ht="14.25" customHeight="1" x14ac:dyDescent="0.3">
      <c r="A396" s="1" t="s">
        <v>70</v>
      </c>
      <c r="B396" s="1">
        <v>22</v>
      </c>
      <c r="C396" s="1" t="s">
        <v>762</v>
      </c>
      <c r="G396" s="52">
        <f t="shared" si="5"/>
        <v>0</v>
      </c>
      <c r="H396">
        <v>0</v>
      </c>
      <c r="I396">
        <v>0</v>
      </c>
      <c r="J396" s="1" t="s">
        <v>765</v>
      </c>
    </row>
    <row r="397" spans="1:10" ht="14.25" customHeight="1" x14ac:dyDescent="0.3">
      <c r="A397" s="1" t="s">
        <v>70</v>
      </c>
      <c r="B397" s="1">
        <v>23</v>
      </c>
      <c r="C397" s="1" t="s">
        <v>761</v>
      </c>
      <c r="G397" s="52">
        <f t="shared" si="5"/>
        <v>0</v>
      </c>
      <c r="H397">
        <v>0</v>
      </c>
      <c r="I397">
        <v>0</v>
      </c>
      <c r="J397" s="1" t="s">
        <v>765</v>
      </c>
    </row>
    <row r="398" spans="1:10" ht="14.25" customHeight="1" x14ac:dyDescent="0.3">
      <c r="A398" s="1" t="s">
        <v>70</v>
      </c>
      <c r="B398" s="1">
        <v>23</v>
      </c>
      <c r="C398" s="1" t="s">
        <v>760</v>
      </c>
      <c r="D398" s="1">
        <v>16</v>
      </c>
      <c r="E398" s="1" t="s">
        <v>111</v>
      </c>
      <c r="F398" s="1" t="s">
        <v>101</v>
      </c>
      <c r="G398" s="52">
        <f t="shared" si="5"/>
        <v>39.648853644775087</v>
      </c>
      <c r="H398" s="52">
        <f>G398</f>
        <v>39.648853644775087</v>
      </c>
      <c r="I398">
        <v>0</v>
      </c>
    </row>
    <row r="399" spans="1:10" ht="14.25" customHeight="1" x14ac:dyDescent="0.3">
      <c r="A399" s="1" t="s">
        <v>70</v>
      </c>
      <c r="B399" s="1">
        <v>23</v>
      </c>
      <c r="C399" s="1" t="s">
        <v>101</v>
      </c>
      <c r="D399" s="1">
        <v>14</v>
      </c>
      <c r="E399" s="1" t="s">
        <v>111</v>
      </c>
      <c r="F399" s="1" t="s">
        <v>101</v>
      </c>
      <c r="G399" s="52">
        <f t="shared" si="5"/>
        <v>30.356153571780926</v>
      </c>
      <c r="H399" s="52">
        <f>G399</f>
        <v>30.356153571780926</v>
      </c>
      <c r="I399">
        <v>0</v>
      </c>
    </row>
    <row r="400" spans="1:10" ht="14.25" customHeight="1" x14ac:dyDescent="0.3">
      <c r="A400" s="1" t="s">
        <v>70</v>
      </c>
      <c r="B400" s="1">
        <v>23</v>
      </c>
      <c r="C400" s="1" t="s">
        <v>101</v>
      </c>
      <c r="G400" s="52">
        <f t="shared" si="5"/>
        <v>0</v>
      </c>
      <c r="H400">
        <v>0</v>
      </c>
      <c r="I400">
        <v>0</v>
      </c>
      <c r="J400" s="1" t="s">
        <v>765</v>
      </c>
    </row>
    <row r="401" spans="1:10" ht="14.25" customHeight="1" x14ac:dyDescent="0.3">
      <c r="A401" s="1" t="s">
        <v>70</v>
      </c>
      <c r="B401" s="1">
        <v>24</v>
      </c>
      <c r="C401" s="1" t="s">
        <v>761</v>
      </c>
      <c r="G401" s="52">
        <f t="shared" si="5"/>
        <v>0</v>
      </c>
      <c r="H401">
        <v>0</v>
      </c>
      <c r="I401">
        <v>0</v>
      </c>
      <c r="J401" s="1" t="s">
        <v>765</v>
      </c>
    </row>
    <row r="402" spans="1:10" ht="14.25" customHeight="1" x14ac:dyDescent="0.3">
      <c r="A402" s="1" t="s">
        <v>70</v>
      </c>
      <c r="B402" s="1">
        <v>24</v>
      </c>
      <c r="C402" s="1" t="s">
        <v>760</v>
      </c>
      <c r="G402" s="52">
        <f t="shared" si="5"/>
        <v>0</v>
      </c>
      <c r="H402">
        <v>0</v>
      </c>
      <c r="I402">
        <v>0</v>
      </c>
      <c r="J402" s="1" t="s">
        <v>765</v>
      </c>
    </row>
    <row r="403" spans="1:10" ht="14.25" customHeight="1" x14ac:dyDescent="0.3">
      <c r="A403" s="1" t="s">
        <v>70</v>
      </c>
      <c r="B403" s="1">
        <v>24</v>
      </c>
      <c r="C403" s="1" t="s">
        <v>101</v>
      </c>
      <c r="G403" s="52">
        <f t="shared" si="5"/>
        <v>0</v>
      </c>
      <c r="H403">
        <v>0</v>
      </c>
      <c r="I403">
        <v>0</v>
      </c>
      <c r="J403" s="1" t="s">
        <v>765</v>
      </c>
    </row>
    <row r="404" spans="1:10" ht="14.25" customHeight="1" x14ac:dyDescent="0.3">
      <c r="A404" s="1" t="s">
        <v>70</v>
      </c>
      <c r="B404" s="1">
        <v>24</v>
      </c>
      <c r="C404" s="1" t="s">
        <v>762</v>
      </c>
      <c r="G404" s="52">
        <f t="shared" si="5"/>
        <v>0</v>
      </c>
      <c r="H404">
        <v>0</v>
      </c>
      <c r="I404">
        <v>0</v>
      </c>
      <c r="J404" s="1" t="s">
        <v>765</v>
      </c>
    </row>
    <row r="405" spans="1:10" ht="14.25" customHeight="1" x14ac:dyDescent="0.3">
      <c r="A405" s="1" t="s">
        <v>70</v>
      </c>
      <c r="B405" s="1">
        <v>25</v>
      </c>
      <c r="C405" s="1" t="s">
        <v>761</v>
      </c>
      <c r="G405" s="52">
        <f t="shared" si="5"/>
        <v>0</v>
      </c>
      <c r="H405">
        <v>0</v>
      </c>
      <c r="I405">
        <v>0</v>
      </c>
      <c r="J405" s="1" t="s">
        <v>765</v>
      </c>
    </row>
    <row r="406" spans="1:10" ht="14.25" customHeight="1" x14ac:dyDescent="0.3">
      <c r="A406" s="1" t="s">
        <v>70</v>
      </c>
      <c r="B406" s="1">
        <v>25</v>
      </c>
      <c r="C406" s="1" t="s">
        <v>760</v>
      </c>
      <c r="G406" s="52">
        <f t="shared" si="5"/>
        <v>0</v>
      </c>
      <c r="H406">
        <v>0</v>
      </c>
      <c r="I406">
        <v>0</v>
      </c>
      <c r="J406" s="1" t="s">
        <v>765</v>
      </c>
    </row>
    <row r="407" spans="1:10" ht="14.25" customHeight="1" x14ac:dyDescent="0.3">
      <c r="A407" s="1" t="s">
        <v>70</v>
      </c>
      <c r="B407" s="1">
        <v>25</v>
      </c>
      <c r="C407" s="1" t="s">
        <v>101</v>
      </c>
      <c r="G407" s="52">
        <f t="shared" si="5"/>
        <v>0</v>
      </c>
      <c r="H407">
        <v>0</v>
      </c>
      <c r="I407">
        <v>0</v>
      </c>
      <c r="J407" s="1" t="s">
        <v>765</v>
      </c>
    </row>
    <row r="408" spans="1:10" ht="14.25" customHeight="1" x14ac:dyDescent="0.3">
      <c r="A408" s="1" t="s">
        <v>70</v>
      </c>
      <c r="B408" s="1">
        <v>25</v>
      </c>
      <c r="C408" s="1" t="s">
        <v>762</v>
      </c>
      <c r="D408" s="1">
        <v>16</v>
      </c>
      <c r="E408" s="1" t="s">
        <v>93</v>
      </c>
      <c r="F408" s="1" t="s">
        <v>101</v>
      </c>
      <c r="G408" s="52">
        <f t="shared" si="5"/>
        <v>39.648853644775087</v>
      </c>
      <c r="H408" s="41">
        <f>G408</f>
        <v>39.648853644775087</v>
      </c>
      <c r="I408">
        <v>0</v>
      </c>
    </row>
    <row r="409" spans="1:10" ht="14.25" customHeight="1" x14ac:dyDescent="0.3">
      <c r="A409" s="1" t="s">
        <v>70</v>
      </c>
      <c r="B409" s="1">
        <v>26</v>
      </c>
      <c r="C409" s="1" t="s">
        <v>761</v>
      </c>
      <c r="G409" s="52">
        <f t="shared" si="5"/>
        <v>0</v>
      </c>
      <c r="H409">
        <v>0</v>
      </c>
      <c r="I409">
        <v>0</v>
      </c>
      <c r="J409" s="1" t="s">
        <v>765</v>
      </c>
    </row>
    <row r="410" spans="1:10" ht="14.25" customHeight="1" x14ac:dyDescent="0.3">
      <c r="A410" s="1" t="s">
        <v>70</v>
      </c>
      <c r="B410" s="1">
        <v>26</v>
      </c>
      <c r="C410" s="1" t="s">
        <v>760</v>
      </c>
      <c r="G410" s="52">
        <f t="shared" si="5"/>
        <v>0</v>
      </c>
      <c r="H410">
        <v>0</v>
      </c>
      <c r="I410">
        <v>0</v>
      </c>
      <c r="J410" s="1" t="s">
        <v>765</v>
      </c>
    </row>
    <row r="411" spans="1:10" ht="14.25" customHeight="1" x14ac:dyDescent="0.3">
      <c r="A411" s="1" t="s">
        <v>70</v>
      </c>
      <c r="B411" s="1">
        <v>26</v>
      </c>
      <c r="C411" s="1" t="s">
        <v>101</v>
      </c>
      <c r="G411" s="52">
        <f t="shared" si="5"/>
        <v>0</v>
      </c>
      <c r="H411">
        <v>0</v>
      </c>
      <c r="I411">
        <v>0</v>
      </c>
      <c r="J411" s="1" t="s">
        <v>765</v>
      </c>
    </row>
    <row r="412" spans="1:10" ht="14.25" customHeight="1" x14ac:dyDescent="0.3">
      <c r="A412" s="1" t="s">
        <v>70</v>
      </c>
      <c r="B412" s="1">
        <v>26</v>
      </c>
      <c r="C412" s="1" t="s">
        <v>762</v>
      </c>
      <c r="D412" s="1">
        <v>12</v>
      </c>
      <c r="E412" s="1" t="s">
        <v>109</v>
      </c>
      <c r="F412" s="1" t="s">
        <v>101</v>
      </c>
      <c r="G412" s="52">
        <f t="shared" si="5"/>
        <v>22.30248017518598</v>
      </c>
      <c r="H412" s="52">
        <f>G412</f>
        <v>22.30248017518598</v>
      </c>
      <c r="I412">
        <v>0</v>
      </c>
    </row>
    <row r="413" spans="1:10" ht="14.25" customHeight="1" x14ac:dyDescent="0.3">
      <c r="A413" s="1" t="s">
        <v>73</v>
      </c>
      <c r="B413" s="1">
        <v>1</v>
      </c>
      <c r="C413" s="1" t="s">
        <v>761</v>
      </c>
      <c r="D413" s="1">
        <v>7</v>
      </c>
      <c r="E413" s="1" t="s">
        <v>109</v>
      </c>
      <c r="F413" s="1" t="s">
        <v>101</v>
      </c>
      <c r="G413" s="52">
        <f t="shared" si="5"/>
        <v>7.5890383929452314</v>
      </c>
      <c r="H413" s="52">
        <f>SUM(G413:G414)</f>
        <v>280.79442053897355</v>
      </c>
      <c r="I413">
        <v>0</v>
      </c>
    </row>
    <row r="414" spans="1:10" ht="14.25" customHeight="1" x14ac:dyDescent="0.3">
      <c r="A414" s="1" t="s">
        <v>73</v>
      </c>
      <c r="B414" s="1">
        <v>1</v>
      </c>
      <c r="C414" s="1" t="s">
        <v>761</v>
      </c>
      <c r="D414" s="1">
        <v>42</v>
      </c>
      <c r="E414" s="1" t="s">
        <v>93</v>
      </c>
      <c r="F414" s="1" t="s">
        <v>101</v>
      </c>
      <c r="G414" s="52">
        <f t="shared" si="5"/>
        <v>273.20538214602834</v>
      </c>
      <c r="H414" s="1"/>
      <c r="I414" s="1"/>
    </row>
    <row r="415" spans="1:10" ht="14.25" customHeight="1" x14ac:dyDescent="0.3">
      <c r="A415" s="1" t="s">
        <v>73</v>
      </c>
      <c r="B415" s="1">
        <v>1</v>
      </c>
      <c r="C415" s="1" t="s">
        <v>760</v>
      </c>
      <c r="D415" s="1">
        <v>9</v>
      </c>
      <c r="E415" s="1" t="s">
        <v>109</v>
      </c>
      <c r="F415" s="1" t="s">
        <v>101</v>
      </c>
      <c r="G415" s="52">
        <f t="shared" si="5"/>
        <v>12.545145098542116</v>
      </c>
      <c r="H415" s="52">
        <f>SUM(G415:G416)</f>
        <v>133.96975938566581</v>
      </c>
      <c r="I415">
        <v>0</v>
      </c>
    </row>
    <row r="416" spans="1:10" ht="14.25" customHeight="1" x14ac:dyDescent="0.3">
      <c r="A416" s="1" t="s">
        <v>73</v>
      </c>
      <c r="B416" s="1">
        <v>1</v>
      </c>
      <c r="C416" s="1" t="s">
        <v>760</v>
      </c>
      <c r="D416" s="1">
        <v>28</v>
      </c>
      <c r="E416" s="1" t="s">
        <v>109</v>
      </c>
      <c r="F416" s="1" t="s">
        <v>101</v>
      </c>
      <c r="G416" s="52">
        <f t="shared" si="5"/>
        <v>121.4246142871237</v>
      </c>
      <c r="H416" s="1"/>
      <c r="I416" s="1"/>
      <c r="J416" s="20"/>
    </row>
    <row r="417" spans="1:10" ht="14.25" customHeight="1" x14ac:dyDescent="0.3">
      <c r="A417" s="1" t="s">
        <v>73</v>
      </c>
      <c r="B417" s="1">
        <v>1</v>
      </c>
      <c r="C417" s="1" t="s">
        <v>101</v>
      </c>
      <c r="D417" s="1">
        <v>8</v>
      </c>
      <c r="E417" s="1" t="s">
        <v>93</v>
      </c>
      <c r="F417" s="1" t="s">
        <v>101</v>
      </c>
      <c r="G417" s="52">
        <f t="shared" si="5"/>
        <v>9.9122134111937719</v>
      </c>
      <c r="H417" s="52">
        <f>SUM(G417:G420)</f>
        <v>226.74188178105754</v>
      </c>
      <c r="I417">
        <v>0</v>
      </c>
      <c r="J417" s="20"/>
    </row>
    <row r="418" spans="1:10" ht="14.25" customHeight="1" x14ac:dyDescent="0.3">
      <c r="A418" s="1" t="s">
        <v>73</v>
      </c>
      <c r="B418" s="1">
        <v>1</v>
      </c>
      <c r="C418" s="1" t="s">
        <v>101</v>
      </c>
      <c r="D418" s="1">
        <v>10</v>
      </c>
      <c r="E418" s="1" t="s">
        <v>109</v>
      </c>
      <c r="F418" s="1" t="s">
        <v>101</v>
      </c>
      <c r="G418" s="52">
        <f t="shared" si="5"/>
        <v>15.487833454990266</v>
      </c>
      <c r="H418" s="1"/>
      <c r="I418" s="1"/>
    </row>
    <row r="419" spans="1:10" ht="14.25" customHeight="1" x14ac:dyDescent="0.3">
      <c r="A419" s="1" t="s">
        <v>73</v>
      </c>
      <c r="B419" s="1">
        <v>1</v>
      </c>
      <c r="C419" s="1" t="s">
        <v>101</v>
      </c>
      <c r="D419" s="1">
        <v>20</v>
      </c>
      <c r="E419" s="1" t="s">
        <v>109</v>
      </c>
      <c r="F419" s="1" t="s">
        <v>101</v>
      </c>
      <c r="G419" s="52">
        <f t="shared" ref="G419:G482" si="7">(D419/2.541)^2</f>
        <v>61.951333819961064</v>
      </c>
      <c r="H419" s="1"/>
      <c r="I419" s="1"/>
      <c r="J419" s="20"/>
    </row>
    <row r="420" spans="1:10" ht="14.25" customHeight="1" x14ac:dyDescent="0.3">
      <c r="A420" s="1" t="s">
        <v>73</v>
      </c>
      <c r="B420" s="1">
        <v>1</v>
      </c>
      <c r="C420" s="1" t="s">
        <v>101</v>
      </c>
      <c r="D420" s="1">
        <v>30</v>
      </c>
      <c r="E420" s="1" t="s">
        <v>93</v>
      </c>
      <c r="F420" s="1" t="s">
        <v>101</v>
      </c>
      <c r="G420" s="52">
        <f t="shared" si="7"/>
        <v>139.39050109491242</v>
      </c>
      <c r="H420" s="1"/>
      <c r="I420" s="1"/>
      <c r="J420" s="20"/>
    </row>
    <row r="421" spans="1:10" ht="14.25" customHeight="1" x14ac:dyDescent="0.3">
      <c r="A421" s="1" t="s">
        <v>73</v>
      </c>
      <c r="B421" s="1">
        <v>1</v>
      </c>
      <c r="C421" s="1" t="s">
        <v>762</v>
      </c>
      <c r="D421" s="1">
        <v>12</v>
      </c>
      <c r="E421" s="1" t="s">
        <v>109</v>
      </c>
      <c r="F421" s="1" t="s">
        <v>101</v>
      </c>
      <c r="G421" s="52">
        <f t="shared" si="7"/>
        <v>22.30248017518598</v>
      </c>
      <c r="H421" s="52">
        <f>SUM(G421:G422)</f>
        <v>180.89789475428634</v>
      </c>
      <c r="I421" s="1">
        <v>0</v>
      </c>
    </row>
    <row r="422" spans="1:10" ht="14.25" customHeight="1" x14ac:dyDescent="0.3">
      <c r="A422" s="1" t="s">
        <v>73</v>
      </c>
      <c r="B422" s="1">
        <v>1</v>
      </c>
      <c r="C422" s="1" t="s">
        <v>762</v>
      </c>
      <c r="D422" s="1">
        <v>32</v>
      </c>
      <c r="E422" s="1" t="s">
        <v>93</v>
      </c>
      <c r="F422" s="1" t="s">
        <v>101</v>
      </c>
      <c r="G422" s="52">
        <f t="shared" si="7"/>
        <v>158.59541457910035</v>
      </c>
      <c r="H422" s="1"/>
      <c r="I422" s="1"/>
    </row>
    <row r="423" spans="1:10" ht="14.25" customHeight="1" x14ac:dyDescent="0.3">
      <c r="A423" s="1" t="s">
        <v>73</v>
      </c>
      <c r="B423" s="1">
        <v>2</v>
      </c>
      <c r="C423" s="1" t="s">
        <v>761</v>
      </c>
      <c r="D423" s="1">
        <v>9</v>
      </c>
      <c r="E423" s="1" t="s">
        <v>109</v>
      </c>
      <c r="F423" s="1" t="s">
        <v>101</v>
      </c>
      <c r="G423" s="52">
        <f t="shared" si="7"/>
        <v>12.545145098542116</v>
      </c>
      <c r="H423" s="52">
        <f>SUM(G423:G425)</f>
        <v>399.43122480419902</v>
      </c>
      <c r="I423" s="1">
        <v>0</v>
      </c>
    </row>
    <row r="424" spans="1:10" ht="14.25" customHeight="1" x14ac:dyDescent="0.3">
      <c r="A424" s="1" t="s">
        <v>73</v>
      </c>
      <c r="B424" s="1">
        <v>2</v>
      </c>
      <c r="C424" s="1" t="s">
        <v>761</v>
      </c>
      <c r="D424" s="1">
        <v>17</v>
      </c>
      <c r="E424" s="1" t="s">
        <v>93</v>
      </c>
      <c r="F424" s="1" t="s">
        <v>101</v>
      </c>
      <c r="G424" s="52">
        <f t="shared" si="7"/>
        <v>44.759838684921874</v>
      </c>
      <c r="H424" s="1"/>
      <c r="I424" s="1"/>
    </row>
    <row r="425" spans="1:10" ht="14.25" customHeight="1" x14ac:dyDescent="0.3">
      <c r="A425" s="1" t="s">
        <v>73</v>
      </c>
      <c r="B425" s="1">
        <v>2</v>
      </c>
      <c r="C425" s="1" t="s">
        <v>761</v>
      </c>
      <c r="D425" s="1">
        <v>47</v>
      </c>
      <c r="E425" s="1" t="s">
        <v>106</v>
      </c>
      <c r="F425" s="1" t="s">
        <v>101</v>
      </c>
      <c r="G425" s="52">
        <f t="shared" si="7"/>
        <v>342.12624102073505</v>
      </c>
      <c r="H425" s="1"/>
      <c r="I425" s="1"/>
    </row>
    <row r="426" spans="1:10" ht="14.25" customHeight="1" x14ac:dyDescent="0.3">
      <c r="A426" s="1" t="s">
        <v>73</v>
      </c>
      <c r="B426" s="1">
        <v>2</v>
      </c>
      <c r="C426" s="1" t="s">
        <v>760</v>
      </c>
      <c r="D426" s="1">
        <v>7</v>
      </c>
      <c r="E426" s="1" t="s">
        <v>109</v>
      </c>
      <c r="F426" s="1" t="s">
        <v>101</v>
      </c>
      <c r="G426" s="52">
        <f t="shared" si="7"/>
        <v>7.5890383929452314</v>
      </c>
      <c r="H426" s="52">
        <f>SUM(G426:G427)</f>
        <v>602.94135640277102</v>
      </c>
      <c r="I426" s="1">
        <v>0</v>
      </c>
    </row>
    <row r="427" spans="1:10" ht="14.25" customHeight="1" x14ac:dyDescent="0.3">
      <c r="A427" s="1" t="s">
        <v>73</v>
      </c>
      <c r="B427" s="1">
        <v>2</v>
      </c>
      <c r="C427" s="1" t="s">
        <v>760</v>
      </c>
      <c r="D427" s="1">
        <v>62</v>
      </c>
      <c r="E427" s="1" t="s">
        <v>106</v>
      </c>
      <c r="F427" s="1" t="s">
        <v>101</v>
      </c>
      <c r="G427" s="52">
        <f t="shared" si="7"/>
        <v>595.35231800982581</v>
      </c>
      <c r="H427" s="1"/>
      <c r="I427" s="1"/>
    </row>
    <row r="428" spans="1:10" ht="14.25" customHeight="1" x14ac:dyDescent="0.3">
      <c r="A428" s="1" t="s">
        <v>73</v>
      </c>
      <c r="B428" s="1">
        <v>2</v>
      </c>
      <c r="C428" s="1" t="s">
        <v>101</v>
      </c>
      <c r="G428" s="52">
        <f t="shared" si="7"/>
        <v>0</v>
      </c>
      <c r="H428">
        <v>0</v>
      </c>
      <c r="I428">
        <v>0</v>
      </c>
      <c r="J428" s="1" t="s">
        <v>765</v>
      </c>
    </row>
    <row r="429" spans="1:10" ht="14.25" customHeight="1" x14ac:dyDescent="0.3">
      <c r="A429" s="1" t="s">
        <v>73</v>
      </c>
      <c r="B429" s="1">
        <v>2</v>
      </c>
      <c r="C429" s="1" t="s">
        <v>762</v>
      </c>
      <c r="G429" s="52">
        <f t="shared" si="7"/>
        <v>0</v>
      </c>
      <c r="H429">
        <v>0</v>
      </c>
      <c r="I429">
        <v>0</v>
      </c>
      <c r="J429" s="1" t="s">
        <v>765</v>
      </c>
    </row>
    <row r="430" spans="1:10" ht="14.25" customHeight="1" x14ac:dyDescent="0.3">
      <c r="A430" s="1" t="s">
        <v>73</v>
      </c>
      <c r="B430" s="1">
        <v>3</v>
      </c>
      <c r="G430" s="52">
        <f t="shared" si="7"/>
        <v>0</v>
      </c>
      <c r="H430">
        <v>0</v>
      </c>
      <c r="I430">
        <v>0</v>
      </c>
      <c r="J430" s="1" t="s">
        <v>765</v>
      </c>
    </row>
    <row r="431" spans="1:10" ht="14.25" customHeight="1" x14ac:dyDescent="0.3">
      <c r="A431" s="1" t="s">
        <v>73</v>
      </c>
      <c r="B431" s="1">
        <v>3</v>
      </c>
      <c r="G431" s="52">
        <f t="shared" si="7"/>
        <v>0</v>
      </c>
      <c r="H431">
        <v>0</v>
      </c>
      <c r="I431">
        <v>0</v>
      </c>
      <c r="J431" s="1" t="s">
        <v>765</v>
      </c>
    </row>
    <row r="432" spans="1:10" ht="14.25" customHeight="1" x14ac:dyDescent="0.3">
      <c r="A432" s="1" t="s">
        <v>73</v>
      </c>
      <c r="B432" s="1">
        <v>3</v>
      </c>
      <c r="G432" s="52">
        <f t="shared" si="7"/>
        <v>0</v>
      </c>
      <c r="H432">
        <v>0</v>
      </c>
      <c r="I432">
        <v>0</v>
      </c>
      <c r="J432" s="1" t="s">
        <v>765</v>
      </c>
    </row>
    <row r="433" spans="1:10" ht="14.25" customHeight="1" x14ac:dyDescent="0.3">
      <c r="A433" s="1" t="s">
        <v>73</v>
      </c>
      <c r="B433" s="1">
        <v>3</v>
      </c>
      <c r="G433" s="52">
        <f t="shared" si="7"/>
        <v>0</v>
      </c>
      <c r="H433">
        <v>0</v>
      </c>
      <c r="I433">
        <v>0</v>
      </c>
      <c r="J433" s="1" t="s">
        <v>765</v>
      </c>
    </row>
    <row r="434" spans="1:10" ht="14.25" customHeight="1" x14ac:dyDescent="0.3">
      <c r="A434" s="1" t="s">
        <v>73</v>
      </c>
      <c r="B434" s="1">
        <v>4</v>
      </c>
      <c r="C434" s="1" t="s">
        <v>761</v>
      </c>
      <c r="D434" s="1">
        <v>10</v>
      </c>
      <c r="E434" s="1" t="s">
        <v>96</v>
      </c>
      <c r="F434" s="1" t="s">
        <v>101</v>
      </c>
      <c r="G434" s="52">
        <f t="shared" si="7"/>
        <v>15.487833454990266</v>
      </c>
      <c r="H434" s="52">
        <f>SUM(G434:G437)</f>
        <v>6782.1222699402369</v>
      </c>
      <c r="I434" s="1">
        <v>0</v>
      </c>
    </row>
    <row r="435" spans="1:10" ht="14.25" customHeight="1" x14ac:dyDescent="0.3">
      <c r="A435" s="1" t="s">
        <v>73</v>
      </c>
      <c r="B435" s="1">
        <v>4</v>
      </c>
      <c r="C435" s="1" t="s">
        <v>761</v>
      </c>
      <c r="D435" s="1">
        <v>24</v>
      </c>
      <c r="E435" s="1" t="s">
        <v>96</v>
      </c>
      <c r="F435" s="1" t="s">
        <v>101</v>
      </c>
      <c r="G435" s="52">
        <f t="shared" si="7"/>
        <v>89.209920700743922</v>
      </c>
      <c r="H435" s="1"/>
      <c r="I435" s="1"/>
    </row>
    <row r="436" spans="1:10" ht="14.25" customHeight="1" x14ac:dyDescent="0.3">
      <c r="A436" s="1" t="s">
        <v>73</v>
      </c>
      <c r="B436" s="1">
        <v>4</v>
      </c>
      <c r="C436" s="1" t="s">
        <v>761</v>
      </c>
      <c r="D436" s="1">
        <v>33</v>
      </c>
      <c r="E436" s="1" t="s">
        <v>96</v>
      </c>
      <c r="F436" s="1" t="s">
        <v>101</v>
      </c>
      <c r="G436" s="52">
        <f t="shared" si="7"/>
        <v>168.66250632484397</v>
      </c>
      <c r="H436" s="1"/>
      <c r="I436" s="1"/>
    </row>
    <row r="437" spans="1:10" ht="14.25" customHeight="1" x14ac:dyDescent="0.3">
      <c r="A437" s="1" t="s">
        <v>73</v>
      </c>
      <c r="B437" s="1">
        <v>4</v>
      </c>
      <c r="C437" s="1" t="s">
        <v>761</v>
      </c>
      <c r="D437" s="1">
        <v>205</v>
      </c>
      <c r="E437" s="1" t="s">
        <v>96</v>
      </c>
      <c r="F437" s="1" t="s">
        <v>101</v>
      </c>
      <c r="G437" s="52">
        <f t="shared" si="7"/>
        <v>6508.7620094596587</v>
      </c>
      <c r="H437" s="1"/>
      <c r="I437" s="1"/>
    </row>
    <row r="438" spans="1:10" ht="14.25" customHeight="1" x14ac:dyDescent="0.3">
      <c r="A438" s="1" t="s">
        <v>73</v>
      </c>
      <c r="B438" s="1">
        <v>4</v>
      </c>
      <c r="C438" s="1" t="s">
        <v>760</v>
      </c>
      <c r="D438" s="1">
        <v>23</v>
      </c>
      <c r="E438" s="1" t="s">
        <v>96</v>
      </c>
      <c r="F438" s="1" t="s">
        <v>101</v>
      </c>
      <c r="G438" s="52">
        <f t="shared" si="7"/>
        <v>81.930638976898521</v>
      </c>
      <c r="H438" s="52">
        <f>SUM(G438:G440)</f>
        <v>35549.069250904606</v>
      </c>
      <c r="I438" s="1">
        <v>0</v>
      </c>
    </row>
    <row r="439" spans="1:10" ht="14.25" customHeight="1" x14ac:dyDescent="0.3">
      <c r="A439" s="1" t="s">
        <v>73</v>
      </c>
      <c r="B439" s="1">
        <v>4</v>
      </c>
      <c r="C439" s="1" t="s">
        <v>760</v>
      </c>
      <c r="D439" s="1">
        <v>90</v>
      </c>
      <c r="E439" s="1" t="s">
        <v>96</v>
      </c>
      <c r="F439" s="1" t="s">
        <v>101</v>
      </c>
      <c r="G439" s="52">
        <f t="shared" si="7"/>
        <v>1254.5145098542116</v>
      </c>
      <c r="H439" s="1"/>
      <c r="I439" s="1"/>
    </row>
    <row r="440" spans="1:10" ht="14.25" customHeight="1" x14ac:dyDescent="0.3">
      <c r="A440" s="1" t="s">
        <v>73</v>
      </c>
      <c r="B440" s="1">
        <v>4</v>
      </c>
      <c r="C440" s="1" t="s">
        <v>760</v>
      </c>
      <c r="D440" s="1">
        <v>470</v>
      </c>
      <c r="E440" s="1" t="s">
        <v>96</v>
      </c>
      <c r="F440" s="1" t="s">
        <v>101</v>
      </c>
      <c r="G440" s="52">
        <f t="shared" si="7"/>
        <v>34212.624102073496</v>
      </c>
      <c r="H440" s="1"/>
      <c r="I440" s="1"/>
    </row>
    <row r="441" spans="1:10" ht="14.25" customHeight="1" x14ac:dyDescent="0.3">
      <c r="A441" s="1" t="s">
        <v>73</v>
      </c>
      <c r="B441" s="1">
        <v>4</v>
      </c>
      <c r="C441" s="1" t="s">
        <v>101</v>
      </c>
      <c r="D441" s="1">
        <v>6</v>
      </c>
      <c r="E441" s="1" t="s">
        <v>96</v>
      </c>
      <c r="F441" s="1" t="s">
        <v>101</v>
      </c>
      <c r="G441" s="52">
        <f t="shared" si="7"/>
        <v>5.5756200437964951</v>
      </c>
      <c r="H441" s="52">
        <f>SUM(G441:G446)</f>
        <v>45028.862352035052</v>
      </c>
      <c r="I441" s="1">
        <v>0</v>
      </c>
    </row>
    <row r="442" spans="1:10" ht="14.25" customHeight="1" x14ac:dyDescent="0.3">
      <c r="A442" s="1" t="s">
        <v>73</v>
      </c>
      <c r="B442" s="1">
        <v>4</v>
      </c>
      <c r="C442" s="1" t="s">
        <v>101</v>
      </c>
      <c r="D442" s="1">
        <v>90</v>
      </c>
      <c r="E442" s="1" t="s">
        <v>96</v>
      </c>
      <c r="F442" s="1" t="s">
        <v>101</v>
      </c>
      <c r="G442" s="52">
        <f t="shared" si="7"/>
        <v>1254.5145098542116</v>
      </c>
      <c r="H442" s="1"/>
      <c r="I442" s="1"/>
    </row>
    <row r="443" spans="1:10" ht="14.25" customHeight="1" x14ac:dyDescent="0.3">
      <c r="A443" s="1" t="s">
        <v>73</v>
      </c>
      <c r="B443" s="1">
        <v>4</v>
      </c>
      <c r="C443" s="1" t="s">
        <v>101</v>
      </c>
      <c r="D443" s="1">
        <v>100</v>
      </c>
      <c r="E443" s="1" t="s">
        <v>96</v>
      </c>
      <c r="F443" s="1" t="s">
        <v>101</v>
      </c>
      <c r="G443" s="52">
        <f t="shared" si="7"/>
        <v>1548.7833454990266</v>
      </c>
      <c r="H443" s="1"/>
      <c r="I443" s="1"/>
    </row>
    <row r="444" spans="1:10" ht="14.25" customHeight="1" x14ac:dyDescent="0.3">
      <c r="A444" s="1" t="s">
        <v>73</v>
      </c>
      <c r="B444" s="1">
        <v>4</v>
      </c>
      <c r="C444" s="1" t="s">
        <v>101</v>
      </c>
      <c r="D444" s="1">
        <v>110</v>
      </c>
      <c r="E444" s="1" t="s">
        <v>96</v>
      </c>
      <c r="F444" s="1" t="s">
        <v>101</v>
      </c>
      <c r="G444" s="52">
        <f t="shared" si="7"/>
        <v>1874.0278480538223</v>
      </c>
      <c r="H444" s="1"/>
      <c r="I444" s="1"/>
    </row>
    <row r="445" spans="1:10" ht="14.25" customHeight="1" x14ac:dyDescent="0.3">
      <c r="A445" s="1" t="s">
        <v>73</v>
      </c>
      <c r="B445" s="1">
        <v>4</v>
      </c>
      <c r="C445" s="1" t="s">
        <v>101</v>
      </c>
      <c r="D445" s="1">
        <v>199</v>
      </c>
      <c r="E445" s="1" t="s">
        <v>96</v>
      </c>
      <c r="F445" s="1" t="s">
        <v>101</v>
      </c>
      <c r="G445" s="52">
        <f t="shared" si="7"/>
        <v>6133.3369265106949</v>
      </c>
      <c r="H445" s="1"/>
      <c r="I445" s="1"/>
    </row>
    <row r="446" spans="1:10" ht="14.25" customHeight="1" x14ac:dyDescent="0.3">
      <c r="A446" s="1" t="s">
        <v>73</v>
      </c>
      <c r="B446" s="1">
        <v>4</v>
      </c>
      <c r="C446" s="1" t="s">
        <v>101</v>
      </c>
      <c r="D446" s="1">
        <v>470</v>
      </c>
      <c r="E446" s="1" t="s">
        <v>96</v>
      </c>
      <c r="F446" s="1" t="s">
        <v>101</v>
      </c>
      <c r="G446" s="52">
        <f t="shared" si="7"/>
        <v>34212.624102073496</v>
      </c>
      <c r="H446" s="1"/>
      <c r="I446" s="1"/>
    </row>
    <row r="447" spans="1:10" ht="14.25" customHeight="1" x14ac:dyDescent="0.3">
      <c r="A447" s="1" t="s">
        <v>73</v>
      </c>
      <c r="B447" s="1">
        <v>4</v>
      </c>
      <c r="C447" s="1" t="s">
        <v>762</v>
      </c>
      <c r="D447" s="1">
        <v>8</v>
      </c>
      <c r="E447" s="1" t="s">
        <v>96</v>
      </c>
      <c r="F447" s="1" t="s">
        <v>101</v>
      </c>
      <c r="G447" s="52">
        <f t="shared" si="7"/>
        <v>9.9122134111937719</v>
      </c>
      <c r="H447" s="52">
        <f>SUM(G447:G460)</f>
        <v>25561.430090785034</v>
      </c>
      <c r="I447" s="1">
        <v>0</v>
      </c>
    </row>
    <row r="448" spans="1:10" ht="14.25" customHeight="1" x14ac:dyDescent="0.3">
      <c r="A448" s="1" t="s">
        <v>73</v>
      </c>
      <c r="B448" s="1">
        <v>4</v>
      </c>
      <c r="C448" s="1" t="s">
        <v>762</v>
      </c>
      <c r="D448" s="1">
        <v>10</v>
      </c>
      <c r="E448" s="1" t="s">
        <v>96</v>
      </c>
      <c r="F448" s="1" t="s">
        <v>101</v>
      </c>
      <c r="G448" s="52">
        <f t="shared" si="7"/>
        <v>15.487833454990266</v>
      </c>
      <c r="H448" s="1"/>
      <c r="I448" s="1"/>
    </row>
    <row r="449" spans="1:10" ht="14.25" customHeight="1" x14ac:dyDescent="0.3">
      <c r="A449" s="1" t="s">
        <v>73</v>
      </c>
      <c r="B449" s="1">
        <v>4</v>
      </c>
      <c r="C449" s="1" t="s">
        <v>762</v>
      </c>
      <c r="D449" s="1">
        <v>12</v>
      </c>
      <c r="E449" s="1" t="s">
        <v>96</v>
      </c>
      <c r="F449" s="1" t="s">
        <v>101</v>
      </c>
      <c r="G449" s="52">
        <f t="shared" si="7"/>
        <v>22.30248017518598</v>
      </c>
      <c r="H449" s="1"/>
      <c r="I449" s="1"/>
    </row>
    <row r="450" spans="1:10" ht="14.25" customHeight="1" x14ac:dyDescent="0.3">
      <c r="A450" s="1" t="s">
        <v>73</v>
      </c>
      <c r="B450" s="1">
        <v>4</v>
      </c>
      <c r="C450" s="1" t="s">
        <v>762</v>
      </c>
      <c r="D450" s="1">
        <v>15</v>
      </c>
      <c r="E450" s="1" t="s">
        <v>96</v>
      </c>
      <c r="F450" s="1" t="s">
        <v>101</v>
      </c>
      <c r="G450" s="52">
        <f t="shared" si="7"/>
        <v>34.847625273728106</v>
      </c>
      <c r="H450" s="1"/>
      <c r="I450" s="1"/>
    </row>
    <row r="451" spans="1:10" ht="14.25" customHeight="1" x14ac:dyDescent="0.3">
      <c r="A451" s="1" t="s">
        <v>73</v>
      </c>
      <c r="B451" s="1">
        <v>4</v>
      </c>
      <c r="C451" s="1" t="s">
        <v>762</v>
      </c>
      <c r="D451" s="1">
        <v>16</v>
      </c>
      <c r="E451" s="1" t="s">
        <v>96</v>
      </c>
      <c r="F451" s="1" t="s">
        <v>101</v>
      </c>
      <c r="G451" s="52">
        <f t="shared" si="7"/>
        <v>39.648853644775087</v>
      </c>
      <c r="H451" s="1"/>
      <c r="I451" s="1"/>
    </row>
    <row r="452" spans="1:10" ht="14.25" customHeight="1" x14ac:dyDescent="0.3">
      <c r="A452" s="1" t="s">
        <v>73</v>
      </c>
      <c r="B452" s="1">
        <v>4</v>
      </c>
      <c r="C452" s="1" t="s">
        <v>762</v>
      </c>
      <c r="D452" s="1">
        <v>18</v>
      </c>
      <c r="E452" s="1" t="s">
        <v>96</v>
      </c>
      <c r="F452" s="1" t="s">
        <v>101</v>
      </c>
      <c r="G452" s="52">
        <f t="shared" si="7"/>
        <v>50.180580394168466</v>
      </c>
      <c r="H452" s="1"/>
      <c r="I452" s="1"/>
    </row>
    <row r="453" spans="1:10" ht="14.25" customHeight="1" x14ac:dyDescent="0.3">
      <c r="A453" s="1" t="s">
        <v>73</v>
      </c>
      <c r="B453" s="1">
        <v>4</v>
      </c>
      <c r="C453" s="1" t="s">
        <v>762</v>
      </c>
      <c r="D453" s="1">
        <v>30</v>
      </c>
      <c r="E453" s="1" t="s">
        <v>96</v>
      </c>
      <c r="F453" s="1" t="s">
        <v>101</v>
      </c>
      <c r="G453" s="52">
        <f t="shared" si="7"/>
        <v>139.39050109491242</v>
      </c>
      <c r="H453" s="1"/>
      <c r="I453" s="1"/>
    </row>
    <row r="454" spans="1:10" ht="14.25" customHeight="1" x14ac:dyDescent="0.3">
      <c r="A454" s="1" t="s">
        <v>73</v>
      </c>
      <c r="B454" s="1">
        <v>4</v>
      </c>
      <c r="C454" s="1" t="s">
        <v>762</v>
      </c>
      <c r="D454" s="1">
        <v>40</v>
      </c>
      <c r="E454" s="1" t="s">
        <v>96</v>
      </c>
      <c r="F454" s="1" t="s">
        <v>101</v>
      </c>
      <c r="G454" s="52">
        <f t="shared" si="7"/>
        <v>247.80533527984426</v>
      </c>
      <c r="H454" s="1"/>
      <c r="I454" s="1"/>
    </row>
    <row r="455" spans="1:10" ht="14.25" customHeight="1" x14ac:dyDescent="0.3">
      <c r="A455" s="1" t="s">
        <v>73</v>
      </c>
      <c r="B455" s="1">
        <v>4</v>
      </c>
      <c r="C455" s="1" t="s">
        <v>762</v>
      </c>
      <c r="D455" s="1">
        <v>50</v>
      </c>
      <c r="E455" s="1" t="s">
        <v>96</v>
      </c>
      <c r="F455" s="1" t="s">
        <v>101</v>
      </c>
      <c r="G455" s="52">
        <f t="shared" si="7"/>
        <v>387.19583637475665</v>
      </c>
      <c r="H455" s="1"/>
      <c r="I455" s="1"/>
    </row>
    <row r="456" spans="1:10" ht="14.25" customHeight="1" x14ac:dyDescent="0.3">
      <c r="A456" s="1" t="s">
        <v>73</v>
      </c>
      <c r="B456" s="1">
        <v>4</v>
      </c>
      <c r="C456" s="1" t="s">
        <v>762</v>
      </c>
      <c r="D456" s="1">
        <v>52</v>
      </c>
      <c r="E456" s="1" t="s">
        <v>96</v>
      </c>
      <c r="F456" s="1" t="s">
        <v>101</v>
      </c>
      <c r="G456" s="52">
        <f t="shared" si="7"/>
        <v>418.79101662293675</v>
      </c>
      <c r="H456" s="1"/>
      <c r="I456" s="1"/>
    </row>
    <row r="457" spans="1:10" ht="14.25" customHeight="1" x14ac:dyDescent="0.3">
      <c r="A457" s="1" t="s">
        <v>73</v>
      </c>
      <c r="B457" s="1">
        <v>4</v>
      </c>
      <c r="C457" s="1" t="s">
        <v>762</v>
      </c>
      <c r="D457" s="1">
        <v>110</v>
      </c>
      <c r="E457" s="1" t="s">
        <v>96</v>
      </c>
      <c r="F457" s="1" t="s">
        <v>101</v>
      </c>
      <c r="G457" s="52">
        <f t="shared" si="7"/>
        <v>1874.0278480538223</v>
      </c>
      <c r="H457" s="1"/>
      <c r="I457" s="1"/>
    </row>
    <row r="458" spans="1:10" ht="14.25" customHeight="1" x14ac:dyDescent="0.3">
      <c r="A458" s="1" t="s">
        <v>73</v>
      </c>
      <c r="B458" s="1">
        <v>4</v>
      </c>
      <c r="C458" s="1" t="s">
        <v>762</v>
      </c>
      <c r="D458" s="1">
        <v>110</v>
      </c>
      <c r="E458" s="1" t="s">
        <v>96</v>
      </c>
      <c r="F458" s="1" t="s">
        <v>101</v>
      </c>
      <c r="G458" s="52">
        <f t="shared" si="7"/>
        <v>1874.0278480538223</v>
      </c>
      <c r="H458" s="1"/>
      <c r="I458" s="1"/>
    </row>
    <row r="459" spans="1:10" ht="14.25" customHeight="1" x14ac:dyDescent="0.3">
      <c r="A459" s="1" t="s">
        <v>73</v>
      </c>
      <c r="B459" s="1">
        <v>4</v>
      </c>
      <c r="C459" s="1" t="s">
        <v>762</v>
      </c>
      <c r="D459" s="1">
        <v>205</v>
      </c>
      <c r="E459" s="1" t="s">
        <v>96</v>
      </c>
      <c r="F459" s="1" t="s">
        <v>101</v>
      </c>
      <c r="G459" s="52">
        <f t="shared" si="7"/>
        <v>6508.7620094596587</v>
      </c>
      <c r="H459" s="1"/>
      <c r="I459" s="1"/>
    </row>
    <row r="460" spans="1:10" ht="14.25" customHeight="1" x14ac:dyDescent="0.3">
      <c r="A460" s="1" t="s">
        <v>73</v>
      </c>
      <c r="B460" s="1">
        <v>4</v>
      </c>
      <c r="C460" s="1" t="s">
        <v>762</v>
      </c>
      <c r="D460" s="1">
        <v>300</v>
      </c>
      <c r="E460" s="1" t="s">
        <v>96</v>
      </c>
      <c r="F460" s="1" t="s">
        <v>101</v>
      </c>
      <c r="G460" s="52">
        <f t="shared" si="7"/>
        <v>13939.050109491238</v>
      </c>
      <c r="H460" s="1"/>
      <c r="I460" s="1"/>
    </row>
    <row r="461" spans="1:10" ht="14.25" customHeight="1" x14ac:dyDescent="0.3">
      <c r="A461" s="1" t="s">
        <v>73</v>
      </c>
      <c r="B461" s="1">
        <v>5</v>
      </c>
      <c r="C461" s="1" t="s">
        <v>761</v>
      </c>
      <c r="D461" s="1">
        <v>10</v>
      </c>
      <c r="E461" s="1" t="s">
        <v>108</v>
      </c>
      <c r="F461" s="1" t="s">
        <v>101</v>
      </c>
      <c r="G461" s="52">
        <f t="shared" si="7"/>
        <v>15.487833454990266</v>
      </c>
      <c r="H461" s="52">
        <f>G461</f>
        <v>15.487833454990266</v>
      </c>
      <c r="I461" s="1">
        <v>0</v>
      </c>
    </row>
    <row r="462" spans="1:10" ht="14.25" customHeight="1" x14ac:dyDescent="0.3">
      <c r="A462" s="1" t="s">
        <v>73</v>
      </c>
      <c r="B462" s="1">
        <v>5</v>
      </c>
      <c r="C462" s="1" t="s">
        <v>760</v>
      </c>
      <c r="G462" s="52">
        <f t="shared" si="7"/>
        <v>0</v>
      </c>
      <c r="H462">
        <v>0</v>
      </c>
      <c r="I462">
        <v>0</v>
      </c>
      <c r="J462" s="1" t="s">
        <v>765</v>
      </c>
    </row>
    <row r="463" spans="1:10" ht="14.25" customHeight="1" x14ac:dyDescent="0.3">
      <c r="A463" s="1" t="s">
        <v>73</v>
      </c>
      <c r="B463" s="1">
        <v>5</v>
      </c>
      <c r="C463" s="1" t="s">
        <v>101</v>
      </c>
      <c r="G463" s="52">
        <f t="shared" si="7"/>
        <v>0</v>
      </c>
      <c r="H463">
        <v>0</v>
      </c>
      <c r="I463">
        <v>0</v>
      </c>
      <c r="J463" s="1" t="s">
        <v>765</v>
      </c>
    </row>
    <row r="464" spans="1:10" ht="14.25" customHeight="1" x14ac:dyDescent="0.3">
      <c r="A464" s="1" t="s">
        <v>73</v>
      </c>
      <c r="B464" s="1">
        <v>5</v>
      </c>
      <c r="C464" s="1" t="s">
        <v>762</v>
      </c>
      <c r="D464" s="1">
        <v>28</v>
      </c>
      <c r="E464" s="1" t="s">
        <v>106</v>
      </c>
      <c r="F464" s="1" t="s">
        <v>101</v>
      </c>
      <c r="G464" s="52">
        <f t="shared" si="7"/>
        <v>121.4246142871237</v>
      </c>
      <c r="H464" s="52">
        <f>G464</f>
        <v>121.4246142871237</v>
      </c>
      <c r="I464" s="1">
        <v>0</v>
      </c>
    </row>
    <row r="465" spans="1:10" ht="14.25" customHeight="1" x14ac:dyDescent="0.3">
      <c r="A465" s="1" t="s">
        <v>73</v>
      </c>
      <c r="B465" s="1">
        <v>6</v>
      </c>
      <c r="C465" s="1" t="s">
        <v>761</v>
      </c>
      <c r="D465" s="1">
        <v>34</v>
      </c>
      <c r="E465" s="1" t="s">
        <v>106</v>
      </c>
      <c r="F465" s="1" t="s">
        <v>101</v>
      </c>
      <c r="G465" s="52">
        <f t="shared" si="7"/>
        <v>179.0393547396875</v>
      </c>
      <c r="H465" s="52">
        <f>G465</f>
        <v>179.0393547396875</v>
      </c>
      <c r="I465">
        <v>0</v>
      </c>
    </row>
    <row r="466" spans="1:10" ht="14.25" customHeight="1" x14ac:dyDescent="0.3">
      <c r="A466" s="1" t="s">
        <v>73</v>
      </c>
      <c r="B466" s="1">
        <v>6</v>
      </c>
      <c r="C466" s="1" t="s">
        <v>760</v>
      </c>
      <c r="G466" s="52">
        <f t="shared" si="7"/>
        <v>0</v>
      </c>
      <c r="H466">
        <v>0</v>
      </c>
      <c r="I466">
        <v>0</v>
      </c>
      <c r="J466" s="1" t="s">
        <v>765</v>
      </c>
    </row>
    <row r="467" spans="1:10" ht="14.25" customHeight="1" x14ac:dyDescent="0.3">
      <c r="A467" s="1" t="s">
        <v>73</v>
      </c>
      <c r="B467" s="1">
        <v>6</v>
      </c>
      <c r="C467" s="1" t="s">
        <v>101</v>
      </c>
      <c r="G467" s="52">
        <f t="shared" si="7"/>
        <v>0</v>
      </c>
      <c r="H467">
        <v>0</v>
      </c>
      <c r="I467">
        <v>0</v>
      </c>
      <c r="J467" s="1" t="s">
        <v>765</v>
      </c>
    </row>
    <row r="468" spans="1:10" ht="14.25" customHeight="1" x14ac:dyDescent="0.3">
      <c r="A468" s="1" t="s">
        <v>73</v>
      </c>
      <c r="B468" s="1">
        <v>6</v>
      </c>
      <c r="C468" s="1" t="s">
        <v>762</v>
      </c>
      <c r="D468" s="1">
        <v>20</v>
      </c>
      <c r="E468" s="1" t="s">
        <v>93</v>
      </c>
      <c r="F468" s="1" t="s">
        <v>101</v>
      </c>
      <c r="G468" s="52">
        <f t="shared" si="7"/>
        <v>61.951333819961064</v>
      </c>
      <c r="H468" s="52">
        <f>G468</f>
        <v>61.951333819961064</v>
      </c>
      <c r="I468">
        <v>0</v>
      </c>
    </row>
    <row r="469" spans="1:10" ht="14.25" customHeight="1" x14ac:dyDescent="0.3">
      <c r="A469" s="1" t="s">
        <v>73</v>
      </c>
      <c r="B469" s="1">
        <v>7</v>
      </c>
      <c r="C469" s="1" t="s">
        <v>761</v>
      </c>
      <c r="D469" s="1">
        <v>10</v>
      </c>
      <c r="E469" s="1" t="s">
        <v>93</v>
      </c>
      <c r="F469" s="1" t="s">
        <v>101</v>
      </c>
      <c r="G469" s="52">
        <f t="shared" si="7"/>
        <v>15.487833454990266</v>
      </c>
      <c r="H469" s="52">
        <f>SUM(G469:G470)</f>
        <v>288.69321560101861</v>
      </c>
      <c r="I469">
        <v>0</v>
      </c>
    </row>
    <row r="470" spans="1:10" ht="14.25" customHeight="1" x14ac:dyDescent="0.3">
      <c r="A470" s="1" t="s">
        <v>73</v>
      </c>
      <c r="B470" s="1">
        <v>7</v>
      </c>
      <c r="C470" s="1" t="s">
        <v>761</v>
      </c>
      <c r="D470" s="1">
        <v>42</v>
      </c>
      <c r="E470" s="1" t="s">
        <v>93</v>
      </c>
      <c r="F470" s="1" t="s">
        <v>101</v>
      </c>
      <c r="G470" s="52">
        <f t="shared" si="7"/>
        <v>273.20538214602834</v>
      </c>
      <c r="H470" s="1"/>
      <c r="I470" s="1"/>
    </row>
    <row r="471" spans="1:10" ht="14.25" customHeight="1" x14ac:dyDescent="0.3">
      <c r="A471" s="1" t="s">
        <v>73</v>
      </c>
      <c r="B471" s="1">
        <v>7</v>
      </c>
      <c r="C471" s="1" t="s">
        <v>760</v>
      </c>
      <c r="G471" s="52">
        <f t="shared" si="7"/>
        <v>0</v>
      </c>
      <c r="H471">
        <v>0</v>
      </c>
      <c r="I471">
        <v>0</v>
      </c>
      <c r="J471" s="1" t="s">
        <v>765</v>
      </c>
    </row>
    <row r="472" spans="1:10" ht="14.25" customHeight="1" x14ac:dyDescent="0.3">
      <c r="A472" s="1" t="s">
        <v>73</v>
      </c>
      <c r="B472" s="1">
        <v>7</v>
      </c>
      <c r="C472" s="1" t="s">
        <v>101</v>
      </c>
      <c r="D472" s="1">
        <v>12</v>
      </c>
      <c r="E472" s="1" t="s">
        <v>93</v>
      </c>
      <c r="F472" s="1" t="s">
        <v>101</v>
      </c>
      <c r="G472" s="52">
        <f t="shared" si="7"/>
        <v>22.30248017518598</v>
      </c>
      <c r="H472" s="52">
        <f>G472</f>
        <v>22.30248017518598</v>
      </c>
      <c r="I472" s="1">
        <v>0</v>
      </c>
    </row>
    <row r="473" spans="1:10" ht="14.25" customHeight="1" x14ac:dyDescent="0.3">
      <c r="A473" s="1" t="s">
        <v>73</v>
      </c>
      <c r="B473" s="1">
        <v>7</v>
      </c>
      <c r="C473" s="1" t="s">
        <v>101</v>
      </c>
      <c r="D473" s="1">
        <v>58</v>
      </c>
      <c r="E473" s="1" t="s">
        <v>93</v>
      </c>
      <c r="F473" s="1" t="s">
        <v>101</v>
      </c>
      <c r="G473" s="52">
        <f t="shared" si="7"/>
        <v>521.01071742587249</v>
      </c>
      <c r="H473" s="52">
        <f>G473</f>
        <v>521.01071742587249</v>
      </c>
      <c r="I473" s="1">
        <v>0</v>
      </c>
    </row>
    <row r="474" spans="1:10" ht="14.25" customHeight="1" x14ac:dyDescent="0.3">
      <c r="A474" s="1" t="s">
        <v>73</v>
      </c>
      <c r="B474" s="1">
        <v>7</v>
      </c>
      <c r="C474" s="1" t="s">
        <v>762</v>
      </c>
      <c r="G474" s="52">
        <f t="shared" si="7"/>
        <v>0</v>
      </c>
      <c r="H474">
        <v>0</v>
      </c>
      <c r="I474">
        <v>0</v>
      </c>
      <c r="J474" s="1" t="s">
        <v>765</v>
      </c>
    </row>
    <row r="475" spans="1:10" ht="14.25" customHeight="1" x14ac:dyDescent="0.3">
      <c r="A475" s="1" t="s">
        <v>73</v>
      </c>
      <c r="B475" s="1">
        <v>8</v>
      </c>
      <c r="C475" s="1" t="s">
        <v>761</v>
      </c>
      <c r="G475" s="52">
        <f t="shared" si="7"/>
        <v>0</v>
      </c>
      <c r="H475">
        <v>0</v>
      </c>
      <c r="I475">
        <v>0</v>
      </c>
      <c r="J475" s="1" t="s">
        <v>765</v>
      </c>
    </row>
    <row r="476" spans="1:10" ht="14.25" customHeight="1" x14ac:dyDescent="0.3">
      <c r="A476" s="1" t="s">
        <v>73</v>
      </c>
      <c r="B476" s="1">
        <v>8</v>
      </c>
      <c r="C476" s="1" t="s">
        <v>760</v>
      </c>
      <c r="G476" s="52">
        <f t="shared" si="7"/>
        <v>0</v>
      </c>
      <c r="H476">
        <v>0</v>
      </c>
      <c r="I476">
        <v>0</v>
      </c>
      <c r="J476" s="1" t="s">
        <v>765</v>
      </c>
    </row>
    <row r="477" spans="1:10" ht="14.25" customHeight="1" x14ac:dyDescent="0.3">
      <c r="A477" s="1" t="s">
        <v>73</v>
      </c>
      <c r="B477" s="1">
        <v>8</v>
      </c>
      <c r="C477" s="1" t="s">
        <v>101</v>
      </c>
      <c r="D477" s="1">
        <v>38</v>
      </c>
      <c r="E477" s="1" t="s">
        <v>106</v>
      </c>
      <c r="F477" s="1" t="s">
        <v>101</v>
      </c>
      <c r="G477" s="52">
        <f t="shared" si="7"/>
        <v>223.64431509005945</v>
      </c>
      <c r="H477" s="52">
        <f>G477</f>
        <v>223.64431509005945</v>
      </c>
      <c r="I477" s="1">
        <v>0</v>
      </c>
    </row>
    <row r="478" spans="1:10" ht="14.25" customHeight="1" x14ac:dyDescent="0.3">
      <c r="A478" s="1" t="s">
        <v>73</v>
      </c>
      <c r="B478" s="1">
        <v>8</v>
      </c>
      <c r="C478" s="1" t="s">
        <v>762</v>
      </c>
      <c r="G478" s="52">
        <f t="shared" si="7"/>
        <v>0</v>
      </c>
      <c r="H478">
        <v>0</v>
      </c>
      <c r="I478">
        <v>0</v>
      </c>
      <c r="J478" s="1" t="s">
        <v>765</v>
      </c>
    </row>
    <row r="479" spans="1:10" ht="14.25" customHeight="1" x14ac:dyDescent="0.3">
      <c r="A479" s="1" t="s">
        <v>73</v>
      </c>
      <c r="B479" s="1">
        <v>9</v>
      </c>
      <c r="C479" s="1" t="s">
        <v>761</v>
      </c>
      <c r="G479" s="52">
        <f t="shared" si="7"/>
        <v>0</v>
      </c>
      <c r="H479">
        <v>0</v>
      </c>
      <c r="I479">
        <v>0</v>
      </c>
      <c r="J479" s="1" t="s">
        <v>765</v>
      </c>
    </row>
    <row r="480" spans="1:10" ht="14.25" customHeight="1" x14ac:dyDescent="0.3">
      <c r="A480" s="1" t="s">
        <v>73</v>
      </c>
      <c r="B480" s="1">
        <v>9</v>
      </c>
      <c r="C480" s="1" t="s">
        <v>760</v>
      </c>
      <c r="G480" s="52">
        <f t="shared" si="7"/>
        <v>0</v>
      </c>
      <c r="H480">
        <v>0</v>
      </c>
      <c r="I480">
        <v>0</v>
      </c>
      <c r="J480" s="1" t="s">
        <v>765</v>
      </c>
    </row>
    <row r="481" spans="1:10" ht="14.25" customHeight="1" x14ac:dyDescent="0.3">
      <c r="A481" s="1" t="s">
        <v>73</v>
      </c>
      <c r="B481" s="1">
        <v>9</v>
      </c>
      <c r="C481" s="1" t="s">
        <v>101</v>
      </c>
      <c r="G481" s="52">
        <f t="shared" si="7"/>
        <v>0</v>
      </c>
      <c r="H481">
        <v>0</v>
      </c>
      <c r="I481">
        <v>0</v>
      </c>
      <c r="J481" s="1" t="s">
        <v>765</v>
      </c>
    </row>
    <row r="482" spans="1:10" ht="14.25" customHeight="1" x14ac:dyDescent="0.3">
      <c r="A482" s="1" t="s">
        <v>73</v>
      </c>
      <c r="B482" s="1">
        <v>9</v>
      </c>
      <c r="C482" s="1" t="s">
        <v>762</v>
      </c>
      <c r="G482" s="52">
        <f t="shared" si="7"/>
        <v>0</v>
      </c>
      <c r="H482">
        <v>0</v>
      </c>
      <c r="I482">
        <v>0</v>
      </c>
      <c r="J482" s="1" t="s">
        <v>765</v>
      </c>
    </row>
    <row r="483" spans="1:10" ht="14.25" customHeight="1" x14ac:dyDescent="0.3">
      <c r="A483" s="1" t="s">
        <v>73</v>
      </c>
      <c r="B483" s="1">
        <v>10</v>
      </c>
      <c r="C483" s="1" t="s">
        <v>761</v>
      </c>
      <c r="D483" s="1">
        <v>8</v>
      </c>
      <c r="E483" s="1" t="s">
        <v>109</v>
      </c>
      <c r="F483" s="1" t="s">
        <v>101</v>
      </c>
      <c r="G483" s="52">
        <f t="shared" ref="G483:G546" si="8">(D483/2.541)^2</f>
        <v>9.9122134111937719</v>
      </c>
      <c r="H483" s="52">
        <f>SUM(G483:G485)</f>
        <v>32.369571920929658</v>
      </c>
      <c r="I483" s="1">
        <v>0</v>
      </c>
    </row>
    <row r="484" spans="1:10" ht="14.25" customHeight="1" x14ac:dyDescent="0.3">
      <c r="A484" s="1" t="s">
        <v>73</v>
      </c>
      <c r="B484" s="1">
        <v>10</v>
      </c>
      <c r="C484" s="1" t="s">
        <v>761</v>
      </c>
      <c r="D484" s="1">
        <v>8</v>
      </c>
      <c r="E484" s="1" t="s">
        <v>109</v>
      </c>
      <c r="F484" s="1" t="s">
        <v>101</v>
      </c>
      <c r="G484" s="52">
        <f t="shared" si="8"/>
        <v>9.9122134111937719</v>
      </c>
      <c r="H484" s="1"/>
      <c r="I484" s="1"/>
    </row>
    <row r="485" spans="1:10" ht="14.25" customHeight="1" x14ac:dyDescent="0.3">
      <c r="A485" s="1" t="s">
        <v>73</v>
      </c>
      <c r="B485" s="1">
        <v>10</v>
      </c>
      <c r="C485" s="1" t="s">
        <v>761</v>
      </c>
      <c r="D485" s="1">
        <v>9</v>
      </c>
      <c r="E485" s="1" t="s">
        <v>109</v>
      </c>
      <c r="F485" s="1" t="s">
        <v>101</v>
      </c>
      <c r="G485" s="52">
        <f t="shared" si="8"/>
        <v>12.545145098542116</v>
      </c>
      <c r="H485" s="1"/>
      <c r="I485" s="1"/>
    </row>
    <row r="486" spans="1:10" ht="14.25" customHeight="1" x14ac:dyDescent="0.3">
      <c r="A486" s="1" t="s">
        <v>73</v>
      </c>
      <c r="B486" s="1">
        <v>10</v>
      </c>
      <c r="C486" s="1" t="s">
        <v>760</v>
      </c>
      <c r="G486" s="52">
        <f t="shared" si="8"/>
        <v>0</v>
      </c>
      <c r="H486">
        <v>0</v>
      </c>
      <c r="I486">
        <v>0</v>
      </c>
      <c r="J486" s="1" t="s">
        <v>765</v>
      </c>
    </row>
    <row r="487" spans="1:10" ht="14.25" customHeight="1" x14ac:dyDescent="0.3">
      <c r="A487" s="1" t="s">
        <v>73</v>
      </c>
      <c r="B487" s="1">
        <v>10</v>
      </c>
      <c r="C487" s="1" t="s">
        <v>101</v>
      </c>
      <c r="D487" s="1">
        <v>12</v>
      </c>
      <c r="E487" s="1" t="s">
        <v>93</v>
      </c>
      <c r="F487" s="1" t="s">
        <v>101</v>
      </c>
      <c r="G487" s="52">
        <f t="shared" si="8"/>
        <v>22.30248017518598</v>
      </c>
      <c r="H487" s="52">
        <f>G487</f>
        <v>22.30248017518598</v>
      </c>
      <c r="I487">
        <v>0</v>
      </c>
    </row>
    <row r="488" spans="1:10" ht="14.25" customHeight="1" x14ac:dyDescent="0.3">
      <c r="A488" s="1" t="s">
        <v>73</v>
      </c>
      <c r="B488" s="1">
        <v>10</v>
      </c>
      <c r="C488" s="1" t="s">
        <v>762</v>
      </c>
      <c r="D488" s="1">
        <v>11</v>
      </c>
      <c r="E488" s="1" t="s">
        <v>106</v>
      </c>
      <c r="F488" s="1" t="s">
        <v>101</v>
      </c>
      <c r="G488" s="52">
        <f t="shared" si="8"/>
        <v>18.740278480538219</v>
      </c>
      <c r="H488" s="52">
        <f>SUM(G488:G489)</f>
        <v>107.95019918128214</v>
      </c>
      <c r="I488">
        <v>0</v>
      </c>
    </row>
    <row r="489" spans="1:10" ht="14.25" customHeight="1" x14ac:dyDescent="0.3">
      <c r="A489" s="1" t="s">
        <v>73</v>
      </c>
      <c r="B489" s="1">
        <v>10</v>
      </c>
      <c r="C489" s="1" t="s">
        <v>762</v>
      </c>
      <c r="D489" s="1">
        <v>24</v>
      </c>
      <c r="E489" s="1" t="s">
        <v>93</v>
      </c>
      <c r="F489" s="1" t="s">
        <v>101</v>
      </c>
      <c r="G489" s="52">
        <f t="shared" si="8"/>
        <v>89.209920700743922</v>
      </c>
      <c r="H489" s="1"/>
      <c r="I489" s="1"/>
    </row>
    <row r="490" spans="1:10" ht="14.25" customHeight="1" x14ac:dyDescent="0.3">
      <c r="A490" s="1" t="s">
        <v>73</v>
      </c>
      <c r="B490" s="1">
        <v>13</v>
      </c>
      <c r="C490" s="1" t="s">
        <v>761</v>
      </c>
      <c r="D490" s="1">
        <v>27</v>
      </c>
      <c r="E490" s="1" t="s">
        <v>109</v>
      </c>
      <c r="F490" s="1" t="s">
        <v>101</v>
      </c>
      <c r="G490" s="52">
        <f t="shared" si="8"/>
        <v>112.90630588687904</v>
      </c>
      <c r="H490" s="52">
        <f>G490</f>
        <v>112.90630588687904</v>
      </c>
      <c r="I490">
        <v>0</v>
      </c>
    </row>
    <row r="491" spans="1:10" ht="14.25" customHeight="1" x14ac:dyDescent="0.3">
      <c r="A491" s="1" t="s">
        <v>73</v>
      </c>
      <c r="B491" s="1">
        <v>13</v>
      </c>
      <c r="C491" s="1" t="s">
        <v>760</v>
      </c>
      <c r="D491" s="1">
        <v>140</v>
      </c>
      <c r="E491" s="1" t="s">
        <v>220</v>
      </c>
      <c r="F491" s="1" t="s">
        <v>101</v>
      </c>
      <c r="G491" s="52">
        <f t="shared" si="8"/>
        <v>3035.6153571780919</v>
      </c>
      <c r="H491" s="52">
        <f t="shared" ref="H491:H493" si="9">G491</f>
        <v>3035.6153571780919</v>
      </c>
      <c r="I491">
        <v>0</v>
      </c>
    </row>
    <row r="492" spans="1:10" ht="14.25" customHeight="1" x14ac:dyDescent="0.3">
      <c r="A492" s="1" t="s">
        <v>73</v>
      </c>
      <c r="B492" s="1">
        <v>13</v>
      </c>
      <c r="C492" s="1" t="s">
        <v>101</v>
      </c>
      <c r="D492" s="1">
        <v>7</v>
      </c>
      <c r="E492" s="1" t="s">
        <v>220</v>
      </c>
      <c r="F492" s="1" t="s">
        <v>101</v>
      </c>
      <c r="G492" s="52">
        <f t="shared" si="8"/>
        <v>7.5890383929452314</v>
      </c>
      <c r="H492" s="52">
        <f t="shared" si="9"/>
        <v>7.5890383929452314</v>
      </c>
      <c r="I492">
        <v>0</v>
      </c>
    </row>
    <row r="493" spans="1:10" ht="14.25" customHeight="1" x14ac:dyDescent="0.3">
      <c r="A493" s="1" t="s">
        <v>73</v>
      </c>
      <c r="B493" s="1">
        <v>13</v>
      </c>
      <c r="C493" s="1" t="s">
        <v>762</v>
      </c>
      <c r="D493" s="1">
        <v>15</v>
      </c>
      <c r="E493" s="1" t="s">
        <v>220</v>
      </c>
      <c r="F493" s="1" t="s">
        <v>101</v>
      </c>
      <c r="G493" s="52">
        <f t="shared" si="8"/>
        <v>34.847625273728106</v>
      </c>
      <c r="H493" s="52">
        <f t="shared" si="9"/>
        <v>34.847625273728106</v>
      </c>
      <c r="I493">
        <v>0</v>
      </c>
    </row>
    <row r="494" spans="1:10" ht="14.25" customHeight="1" x14ac:dyDescent="0.3">
      <c r="A494" s="1" t="s">
        <v>73</v>
      </c>
      <c r="B494" s="1">
        <v>19</v>
      </c>
      <c r="C494" s="1" t="s">
        <v>761</v>
      </c>
      <c r="G494" s="52">
        <f t="shared" si="8"/>
        <v>0</v>
      </c>
      <c r="H494">
        <v>0</v>
      </c>
      <c r="I494">
        <v>0</v>
      </c>
      <c r="J494" s="1" t="s">
        <v>765</v>
      </c>
    </row>
    <row r="495" spans="1:10" ht="14.25" customHeight="1" x14ac:dyDescent="0.3">
      <c r="A495" s="1" t="s">
        <v>73</v>
      </c>
      <c r="B495" s="1">
        <v>19</v>
      </c>
      <c r="C495" s="1" t="s">
        <v>760</v>
      </c>
      <c r="D495" s="1">
        <v>20</v>
      </c>
      <c r="E495" s="1" t="s">
        <v>98</v>
      </c>
      <c r="F495" s="1" t="s">
        <v>101</v>
      </c>
      <c r="G495" s="52">
        <f t="shared" si="8"/>
        <v>61.951333819961064</v>
      </c>
      <c r="H495" s="52">
        <f>G495</f>
        <v>61.951333819961064</v>
      </c>
      <c r="I495" s="52">
        <v>0</v>
      </c>
    </row>
    <row r="496" spans="1:10" ht="14.25" customHeight="1" x14ac:dyDescent="0.3">
      <c r="A496" s="1" t="s">
        <v>73</v>
      </c>
      <c r="B496" s="1">
        <v>19</v>
      </c>
      <c r="C496" s="1" t="s">
        <v>101</v>
      </c>
      <c r="D496" s="1">
        <v>21</v>
      </c>
      <c r="E496" s="1" t="s">
        <v>220</v>
      </c>
      <c r="F496" s="1" t="s">
        <v>766</v>
      </c>
      <c r="G496" s="52">
        <f t="shared" si="8"/>
        <v>68.301345536507085</v>
      </c>
      <c r="H496" s="1">
        <v>0</v>
      </c>
      <c r="I496" s="52">
        <f>G496</f>
        <v>68.301345536507085</v>
      </c>
    </row>
    <row r="497" spans="1:10" ht="14.25" customHeight="1" x14ac:dyDescent="0.3">
      <c r="A497" s="1" t="s">
        <v>73</v>
      </c>
      <c r="B497" s="1">
        <v>19</v>
      </c>
      <c r="C497" s="1" t="s">
        <v>762</v>
      </c>
      <c r="D497" s="1">
        <v>14</v>
      </c>
      <c r="E497" s="1" t="s">
        <v>220</v>
      </c>
      <c r="F497" s="1" t="s">
        <v>766</v>
      </c>
      <c r="G497" s="52">
        <f t="shared" si="8"/>
        <v>30.356153571780926</v>
      </c>
      <c r="H497">
        <v>0</v>
      </c>
      <c r="I497" s="52">
        <f>G497</f>
        <v>30.356153571780926</v>
      </c>
    </row>
    <row r="498" spans="1:10" ht="14.25" customHeight="1" x14ac:dyDescent="0.3">
      <c r="A498" s="1" t="s">
        <v>73</v>
      </c>
      <c r="B498" s="1">
        <v>23</v>
      </c>
      <c r="C498" s="1" t="s">
        <v>761</v>
      </c>
      <c r="G498" s="52">
        <f t="shared" si="8"/>
        <v>0</v>
      </c>
      <c r="H498">
        <v>0</v>
      </c>
      <c r="I498">
        <v>0</v>
      </c>
      <c r="J498" s="1" t="s">
        <v>765</v>
      </c>
    </row>
    <row r="499" spans="1:10" ht="14.25" customHeight="1" x14ac:dyDescent="0.3">
      <c r="A499" s="1" t="s">
        <v>73</v>
      </c>
      <c r="B499" s="1">
        <v>23</v>
      </c>
      <c r="C499" s="1" t="s">
        <v>760</v>
      </c>
      <c r="G499" s="52">
        <f t="shared" si="8"/>
        <v>0</v>
      </c>
      <c r="H499">
        <v>0</v>
      </c>
      <c r="I499">
        <v>0</v>
      </c>
      <c r="J499" s="1" t="s">
        <v>765</v>
      </c>
    </row>
    <row r="500" spans="1:10" ht="14.25" customHeight="1" x14ac:dyDescent="0.3">
      <c r="A500" s="1" t="s">
        <v>73</v>
      </c>
      <c r="B500" s="1">
        <v>23</v>
      </c>
      <c r="C500" s="1" t="s">
        <v>101</v>
      </c>
      <c r="D500" s="1">
        <v>33</v>
      </c>
      <c r="E500" s="1" t="s">
        <v>106</v>
      </c>
      <c r="F500" s="1" t="s">
        <v>101</v>
      </c>
      <c r="G500" s="52">
        <f t="shared" si="8"/>
        <v>168.66250632484397</v>
      </c>
      <c r="H500" s="52">
        <f>G500</f>
        <v>168.66250632484397</v>
      </c>
      <c r="I500" s="41">
        <v>0</v>
      </c>
    </row>
    <row r="501" spans="1:10" ht="14.25" customHeight="1" x14ac:dyDescent="0.3">
      <c r="A501" s="1" t="s">
        <v>73</v>
      </c>
      <c r="B501" s="1">
        <v>23</v>
      </c>
      <c r="C501" s="1" t="s">
        <v>762</v>
      </c>
      <c r="D501" s="1">
        <v>11</v>
      </c>
      <c r="E501" s="1" t="s">
        <v>93</v>
      </c>
      <c r="F501" s="1" t="s">
        <v>101</v>
      </c>
      <c r="G501" s="52">
        <f t="shared" si="8"/>
        <v>18.740278480538219</v>
      </c>
      <c r="H501" s="52">
        <f>G501</f>
        <v>18.740278480538219</v>
      </c>
      <c r="I501" s="41">
        <v>0</v>
      </c>
    </row>
    <row r="502" spans="1:10" ht="14.25" customHeight="1" x14ac:dyDescent="0.3">
      <c r="A502" s="1" t="s">
        <v>73</v>
      </c>
      <c r="B502" s="1">
        <v>24</v>
      </c>
      <c r="C502" s="1" t="s">
        <v>761</v>
      </c>
      <c r="D502" s="1">
        <v>9</v>
      </c>
      <c r="E502" s="1" t="s">
        <v>106</v>
      </c>
      <c r="F502" s="1" t="s">
        <v>101</v>
      </c>
      <c r="G502" s="52">
        <f t="shared" si="8"/>
        <v>12.545145098542116</v>
      </c>
      <c r="H502" s="52">
        <f>SUM(G502:G503)</f>
        <v>47.39277037227022</v>
      </c>
      <c r="I502" s="41">
        <v>0</v>
      </c>
    </row>
    <row r="503" spans="1:10" ht="14.25" customHeight="1" x14ac:dyDescent="0.3">
      <c r="A503" s="1" t="s">
        <v>73</v>
      </c>
      <c r="B503" s="1">
        <v>24</v>
      </c>
      <c r="C503" s="1" t="s">
        <v>761</v>
      </c>
      <c r="D503" s="1">
        <v>15</v>
      </c>
      <c r="E503" s="1" t="s">
        <v>93</v>
      </c>
      <c r="F503" s="1" t="s">
        <v>101</v>
      </c>
      <c r="G503" s="52">
        <f t="shared" si="8"/>
        <v>34.847625273728106</v>
      </c>
      <c r="H503" s="1"/>
      <c r="I503" s="1"/>
    </row>
    <row r="504" spans="1:10" ht="14.25" customHeight="1" x14ac:dyDescent="0.3">
      <c r="A504" s="1" t="s">
        <v>73</v>
      </c>
      <c r="B504" s="1">
        <v>24</v>
      </c>
      <c r="C504" s="1" t="s">
        <v>760</v>
      </c>
      <c r="D504" s="1">
        <v>7</v>
      </c>
      <c r="E504" s="1" t="s">
        <v>109</v>
      </c>
      <c r="F504" s="1" t="s">
        <v>101</v>
      </c>
      <c r="G504" s="52">
        <f t="shared" si="8"/>
        <v>7.5890383929452314</v>
      </c>
      <c r="H504" s="52">
        <f>SUM(G504:G507)</f>
        <v>253.84559032729044</v>
      </c>
      <c r="I504" s="41">
        <v>0</v>
      </c>
    </row>
    <row r="505" spans="1:10" ht="14.25" customHeight="1" x14ac:dyDescent="0.3">
      <c r="A505" s="1" t="s">
        <v>73</v>
      </c>
      <c r="B505" s="1">
        <v>24</v>
      </c>
      <c r="C505" s="1" t="s">
        <v>760</v>
      </c>
      <c r="D505" s="1">
        <v>10</v>
      </c>
      <c r="E505" s="1" t="s">
        <v>109</v>
      </c>
      <c r="F505" s="1" t="s">
        <v>101</v>
      </c>
      <c r="G505" s="52">
        <f t="shared" si="8"/>
        <v>15.487833454990266</v>
      </c>
      <c r="H505" s="1"/>
      <c r="I505" s="1"/>
    </row>
    <row r="506" spans="1:10" ht="14.25" customHeight="1" x14ac:dyDescent="0.3">
      <c r="A506" s="1" t="s">
        <v>73</v>
      </c>
      <c r="B506" s="1">
        <v>24</v>
      </c>
      <c r="C506" s="1" t="s">
        <v>760</v>
      </c>
      <c r="D506" s="1">
        <v>11</v>
      </c>
      <c r="E506" s="1" t="s">
        <v>109</v>
      </c>
      <c r="F506" s="1" t="s">
        <v>101</v>
      </c>
      <c r="G506" s="52">
        <f t="shared" si="8"/>
        <v>18.740278480538219</v>
      </c>
      <c r="H506" s="1"/>
      <c r="I506" s="1"/>
    </row>
    <row r="507" spans="1:10" ht="14.25" customHeight="1" x14ac:dyDescent="0.3">
      <c r="A507" s="1" t="s">
        <v>73</v>
      </c>
      <c r="B507" s="1">
        <v>24</v>
      </c>
      <c r="C507" s="1" t="s">
        <v>760</v>
      </c>
      <c r="D507" s="1">
        <v>37</v>
      </c>
      <c r="E507" s="1" t="s">
        <v>93</v>
      </c>
      <c r="F507" s="1" t="s">
        <v>101</v>
      </c>
      <c r="G507" s="52">
        <f t="shared" si="8"/>
        <v>212.02843999881671</v>
      </c>
      <c r="H507" s="1"/>
      <c r="I507" s="1"/>
    </row>
    <row r="508" spans="1:10" ht="14.25" customHeight="1" x14ac:dyDescent="0.3">
      <c r="A508" s="1" t="s">
        <v>73</v>
      </c>
      <c r="B508" s="1">
        <v>24</v>
      </c>
      <c r="C508" s="1" t="s">
        <v>101</v>
      </c>
      <c r="D508" s="1">
        <v>9</v>
      </c>
      <c r="E508" s="1" t="s">
        <v>93</v>
      </c>
      <c r="F508" s="1" t="s">
        <v>101</v>
      </c>
      <c r="G508" s="52">
        <f t="shared" si="8"/>
        <v>12.545145098542116</v>
      </c>
      <c r="H508" s="52">
        <f>SUM(G508:G511)</f>
        <v>301.39323903411059</v>
      </c>
      <c r="I508" s="1">
        <v>0</v>
      </c>
    </row>
    <row r="509" spans="1:10" ht="14.25" customHeight="1" x14ac:dyDescent="0.3">
      <c r="A509" s="1" t="s">
        <v>73</v>
      </c>
      <c r="B509" s="1">
        <v>24</v>
      </c>
      <c r="C509" s="1" t="s">
        <v>101</v>
      </c>
      <c r="D509" s="1">
        <v>11</v>
      </c>
      <c r="E509" s="1" t="s">
        <v>93</v>
      </c>
      <c r="F509" s="1" t="s">
        <v>101</v>
      </c>
      <c r="G509" s="52">
        <f t="shared" si="8"/>
        <v>18.740278480538219</v>
      </c>
      <c r="H509" s="1"/>
      <c r="I509" s="1"/>
    </row>
    <row r="510" spans="1:10" ht="14.25" customHeight="1" x14ac:dyDescent="0.3">
      <c r="A510" s="1" t="s">
        <v>73</v>
      </c>
      <c r="B510" s="1">
        <v>24</v>
      </c>
      <c r="C510" s="1" t="s">
        <v>101</v>
      </c>
      <c r="D510" s="1">
        <v>12</v>
      </c>
      <c r="E510" s="1" t="s">
        <v>93</v>
      </c>
      <c r="F510" s="1" t="s">
        <v>101</v>
      </c>
      <c r="G510" s="52">
        <f t="shared" si="8"/>
        <v>22.30248017518598</v>
      </c>
      <c r="H510" s="1"/>
      <c r="I510" s="1"/>
    </row>
    <row r="511" spans="1:10" ht="14.25" customHeight="1" x14ac:dyDescent="0.3">
      <c r="A511" s="1" t="s">
        <v>73</v>
      </c>
      <c r="B511" s="1">
        <v>24</v>
      </c>
      <c r="C511" s="1" t="s">
        <v>101</v>
      </c>
      <c r="D511" s="1">
        <v>40</v>
      </c>
      <c r="E511" s="1" t="s">
        <v>93</v>
      </c>
      <c r="F511" s="1" t="s">
        <v>101</v>
      </c>
      <c r="G511" s="52">
        <f t="shared" si="8"/>
        <v>247.80533527984426</v>
      </c>
      <c r="H511" s="1"/>
      <c r="I511" s="1"/>
    </row>
    <row r="512" spans="1:10" ht="14.25" customHeight="1" x14ac:dyDescent="0.3">
      <c r="A512" s="1" t="s">
        <v>73</v>
      </c>
      <c r="B512" s="1">
        <v>24</v>
      </c>
      <c r="C512" s="1" t="s">
        <v>762</v>
      </c>
      <c r="D512" s="1">
        <v>8</v>
      </c>
      <c r="E512" s="1" t="s">
        <v>93</v>
      </c>
      <c r="F512" s="1" t="s">
        <v>101</v>
      </c>
      <c r="G512" s="52">
        <f t="shared" si="8"/>
        <v>9.9122134111937719</v>
      </c>
      <c r="H512" s="52">
        <f>SUM(G512:G515)</f>
        <v>184.1503397798343</v>
      </c>
      <c r="I512" s="1">
        <v>0</v>
      </c>
    </row>
    <row r="513" spans="1:10" ht="14.25" customHeight="1" x14ac:dyDescent="0.3">
      <c r="A513" s="1" t="s">
        <v>73</v>
      </c>
      <c r="B513" s="1">
        <v>24</v>
      </c>
      <c r="C513" s="1" t="s">
        <v>762</v>
      </c>
      <c r="D513" s="1">
        <v>9</v>
      </c>
      <c r="E513" s="1" t="s">
        <v>93</v>
      </c>
      <c r="F513" s="1" t="s">
        <v>101</v>
      </c>
      <c r="G513" s="52">
        <f t="shared" si="8"/>
        <v>12.545145098542116</v>
      </c>
      <c r="H513" s="1"/>
      <c r="I513" s="1"/>
    </row>
    <row r="514" spans="1:10" ht="14.25" customHeight="1" x14ac:dyDescent="0.3">
      <c r="A514" s="1" t="s">
        <v>73</v>
      </c>
      <c r="B514" s="1">
        <v>24</v>
      </c>
      <c r="C514" s="1" t="s">
        <v>762</v>
      </c>
      <c r="D514" s="1">
        <v>12</v>
      </c>
      <c r="E514" s="1" t="s">
        <v>109</v>
      </c>
      <c r="F514" s="1" t="s">
        <v>101</v>
      </c>
      <c r="G514" s="52">
        <f t="shared" si="8"/>
        <v>22.30248017518598</v>
      </c>
      <c r="H514" s="1"/>
      <c r="I514" s="1"/>
    </row>
    <row r="515" spans="1:10" ht="14.25" customHeight="1" x14ac:dyDescent="0.3">
      <c r="A515" s="1" t="s">
        <v>73</v>
      </c>
      <c r="B515" s="1">
        <v>24</v>
      </c>
      <c r="C515" s="1" t="s">
        <v>762</v>
      </c>
      <c r="D515" s="1">
        <v>30</v>
      </c>
      <c r="E515" s="1" t="s">
        <v>93</v>
      </c>
      <c r="F515" s="1" t="s">
        <v>101</v>
      </c>
      <c r="G515" s="52">
        <f t="shared" si="8"/>
        <v>139.39050109491242</v>
      </c>
      <c r="H515" s="1"/>
      <c r="I515" s="1"/>
    </row>
    <row r="516" spans="1:10" ht="14.25" customHeight="1" x14ac:dyDescent="0.3">
      <c r="A516" s="1" t="s">
        <v>73</v>
      </c>
      <c r="B516" s="1">
        <v>25</v>
      </c>
      <c r="C516" s="1" t="s">
        <v>761</v>
      </c>
      <c r="D516" s="1">
        <v>10</v>
      </c>
      <c r="E516" s="1" t="s">
        <v>93</v>
      </c>
      <c r="F516" s="1" t="s">
        <v>101</v>
      </c>
      <c r="G516" s="52">
        <f t="shared" si="8"/>
        <v>15.487833454990266</v>
      </c>
      <c r="H516" s="52">
        <f>G516</f>
        <v>15.487833454990266</v>
      </c>
      <c r="I516" s="1">
        <v>0</v>
      </c>
    </row>
    <row r="517" spans="1:10" ht="14.25" customHeight="1" x14ac:dyDescent="0.3">
      <c r="A517" s="1" t="s">
        <v>73</v>
      </c>
      <c r="B517" s="1">
        <v>25</v>
      </c>
      <c r="C517" s="1" t="s">
        <v>760</v>
      </c>
      <c r="D517" s="1">
        <v>11</v>
      </c>
      <c r="E517" s="1" t="s">
        <v>93</v>
      </c>
      <c r="F517" s="1" t="s">
        <v>101</v>
      </c>
      <c r="G517" s="52">
        <f t="shared" si="8"/>
        <v>18.740278480538219</v>
      </c>
      <c r="H517" s="52">
        <f t="shared" ref="H517:H518" si="10">G517</f>
        <v>18.740278480538219</v>
      </c>
      <c r="I517" s="1">
        <v>0</v>
      </c>
    </row>
    <row r="518" spans="1:10" ht="14.25" customHeight="1" x14ac:dyDescent="0.3">
      <c r="A518" s="1" t="s">
        <v>73</v>
      </c>
      <c r="B518" s="1">
        <v>25</v>
      </c>
      <c r="C518" s="1" t="s">
        <v>101</v>
      </c>
      <c r="D518" s="1">
        <v>22</v>
      </c>
      <c r="E518" s="1" t="s">
        <v>93</v>
      </c>
      <c r="F518" s="1" t="s">
        <v>101</v>
      </c>
      <c r="G518" s="52">
        <f t="shared" si="8"/>
        <v>74.961113922152876</v>
      </c>
      <c r="H518" s="52">
        <f t="shared" si="10"/>
        <v>74.961113922152876</v>
      </c>
      <c r="I518" s="1">
        <v>0</v>
      </c>
    </row>
    <row r="519" spans="1:10" ht="14.25" customHeight="1" x14ac:dyDescent="0.3">
      <c r="A519" s="1" t="s">
        <v>73</v>
      </c>
      <c r="B519" s="1">
        <v>25</v>
      </c>
      <c r="C519" s="1" t="s">
        <v>762</v>
      </c>
      <c r="D519" s="1">
        <v>28</v>
      </c>
      <c r="E519" s="1" t="s">
        <v>93</v>
      </c>
      <c r="F519" s="1" t="s">
        <v>101</v>
      </c>
      <c r="G519" s="52">
        <f t="shared" si="8"/>
        <v>121.4246142871237</v>
      </c>
      <c r="H519" s="52">
        <f>SUM(G519:G521)</f>
        <v>461.53743695871003</v>
      </c>
      <c r="I519">
        <v>0</v>
      </c>
    </row>
    <row r="520" spans="1:10" ht="14.25" customHeight="1" x14ac:dyDescent="0.3">
      <c r="A520" s="1" t="s">
        <v>73</v>
      </c>
      <c r="B520" s="1">
        <v>25</v>
      </c>
      <c r="C520" s="1" t="s">
        <v>762</v>
      </c>
      <c r="D520" s="1">
        <v>30</v>
      </c>
      <c r="E520" s="1" t="s">
        <v>93</v>
      </c>
      <c r="F520" s="1" t="s">
        <v>101</v>
      </c>
      <c r="G520" s="52">
        <f t="shared" si="8"/>
        <v>139.39050109491242</v>
      </c>
      <c r="H520" s="1"/>
      <c r="I520" s="1"/>
    </row>
    <row r="521" spans="1:10" ht="14.25" customHeight="1" x14ac:dyDescent="0.3">
      <c r="A521" s="1" t="s">
        <v>73</v>
      </c>
      <c r="B521" s="1">
        <v>25</v>
      </c>
      <c r="C521" s="1" t="s">
        <v>762</v>
      </c>
      <c r="D521" s="1">
        <v>36</v>
      </c>
      <c r="E521" s="1" t="s">
        <v>93</v>
      </c>
      <c r="F521" s="1" t="s">
        <v>101</v>
      </c>
      <c r="G521" s="52">
        <f t="shared" si="8"/>
        <v>200.72232157667386</v>
      </c>
      <c r="H521" s="1"/>
      <c r="I521" s="1"/>
    </row>
    <row r="522" spans="1:10" ht="14.25" customHeight="1" x14ac:dyDescent="0.3">
      <c r="A522" s="1" t="s">
        <v>73</v>
      </c>
      <c r="B522" s="1">
        <v>26</v>
      </c>
      <c r="C522" s="1" t="s">
        <v>761</v>
      </c>
      <c r="G522" s="52">
        <f t="shared" si="8"/>
        <v>0</v>
      </c>
      <c r="H522">
        <v>0</v>
      </c>
      <c r="I522">
        <v>0</v>
      </c>
      <c r="J522" s="1" t="s">
        <v>765</v>
      </c>
    </row>
    <row r="523" spans="1:10" ht="14.25" customHeight="1" x14ac:dyDescent="0.3">
      <c r="A523" s="1" t="s">
        <v>73</v>
      </c>
      <c r="B523" s="1">
        <v>26</v>
      </c>
      <c r="C523" s="1" t="s">
        <v>760</v>
      </c>
      <c r="D523" s="1">
        <v>12</v>
      </c>
      <c r="E523" s="1" t="s">
        <v>93</v>
      </c>
      <c r="F523" s="1" t="s">
        <v>101</v>
      </c>
      <c r="G523" s="52">
        <f t="shared" si="8"/>
        <v>22.30248017518598</v>
      </c>
      <c r="H523" s="52">
        <f>G523</f>
        <v>22.30248017518598</v>
      </c>
      <c r="I523">
        <v>0</v>
      </c>
    </row>
    <row r="524" spans="1:10" ht="14.25" customHeight="1" x14ac:dyDescent="0.3">
      <c r="A524" s="1" t="s">
        <v>73</v>
      </c>
      <c r="B524" s="1">
        <v>26</v>
      </c>
      <c r="C524" s="1" t="s">
        <v>101</v>
      </c>
      <c r="D524" s="1">
        <v>14</v>
      </c>
      <c r="E524" s="1" t="s">
        <v>109</v>
      </c>
      <c r="F524" s="1" t="s">
        <v>101</v>
      </c>
      <c r="G524" s="52">
        <f t="shared" si="8"/>
        <v>30.356153571780926</v>
      </c>
      <c r="H524" s="52">
        <f>G524</f>
        <v>30.356153571780926</v>
      </c>
      <c r="I524">
        <v>0</v>
      </c>
    </row>
    <row r="525" spans="1:10" ht="14.25" customHeight="1" x14ac:dyDescent="0.3">
      <c r="A525" s="1" t="s">
        <v>73</v>
      </c>
      <c r="B525" s="1">
        <v>26</v>
      </c>
      <c r="C525" s="1" t="s">
        <v>762</v>
      </c>
      <c r="D525" s="1">
        <v>9</v>
      </c>
      <c r="E525" s="1" t="s">
        <v>93</v>
      </c>
      <c r="F525" s="1" t="s">
        <v>101</v>
      </c>
      <c r="G525" s="52">
        <f t="shared" si="8"/>
        <v>12.545145098542116</v>
      </c>
      <c r="H525" s="52">
        <f>SUM(G525:G526)</f>
        <v>34.847625273728099</v>
      </c>
      <c r="I525">
        <v>0</v>
      </c>
    </row>
    <row r="526" spans="1:10" ht="14.25" customHeight="1" x14ac:dyDescent="0.3">
      <c r="A526" s="1" t="s">
        <v>73</v>
      </c>
      <c r="B526" s="1">
        <v>26</v>
      </c>
      <c r="C526" s="1" t="s">
        <v>762</v>
      </c>
      <c r="D526" s="1">
        <v>12</v>
      </c>
      <c r="E526" s="1" t="s">
        <v>93</v>
      </c>
      <c r="F526" s="1" t="s">
        <v>101</v>
      </c>
      <c r="G526" s="52">
        <f t="shared" si="8"/>
        <v>22.30248017518598</v>
      </c>
      <c r="H526" s="1"/>
      <c r="I526" s="1"/>
    </row>
    <row r="527" spans="1:10" ht="14.25" customHeight="1" x14ac:dyDescent="0.3">
      <c r="A527" s="1" t="s">
        <v>73</v>
      </c>
      <c r="B527" s="1">
        <v>27</v>
      </c>
      <c r="C527" s="1" t="s">
        <v>761</v>
      </c>
      <c r="D527" s="1">
        <v>7</v>
      </c>
      <c r="E527" s="1" t="s">
        <v>220</v>
      </c>
      <c r="F527" s="1" t="s">
        <v>101</v>
      </c>
      <c r="G527" s="52">
        <f t="shared" si="8"/>
        <v>7.5890383929452314</v>
      </c>
      <c r="H527" s="52">
        <f>SUM(G527:G528)</f>
        <v>20.134183491487349</v>
      </c>
      <c r="I527">
        <v>0</v>
      </c>
    </row>
    <row r="528" spans="1:10" ht="14.25" customHeight="1" x14ac:dyDescent="0.3">
      <c r="A528" s="1" t="s">
        <v>73</v>
      </c>
      <c r="B528" s="1">
        <v>27</v>
      </c>
      <c r="C528" s="1" t="s">
        <v>761</v>
      </c>
      <c r="D528" s="1">
        <v>9</v>
      </c>
      <c r="E528" s="1" t="s">
        <v>220</v>
      </c>
      <c r="F528" s="1" t="s">
        <v>101</v>
      </c>
      <c r="G528" s="52">
        <f t="shared" si="8"/>
        <v>12.545145098542116</v>
      </c>
      <c r="H528" s="1"/>
      <c r="I528" s="1"/>
    </row>
    <row r="529" spans="1:10" ht="14.25" customHeight="1" x14ac:dyDescent="0.3">
      <c r="A529" s="1" t="s">
        <v>73</v>
      </c>
      <c r="B529" s="1">
        <v>27</v>
      </c>
      <c r="C529" s="1" t="s">
        <v>760</v>
      </c>
      <c r="D529" s="1">
        <v>61</v>
      </c>
      <c r="E529" s="1" t="s">
        <v>220</v>
      </c>
      <c r="F529" s="1" t="s">
        <v>101</v>
      </c>
      <c r="G529" s="52">
        <f t="shared" si="8"/>
        <v>576.30228286018769</v>
      </c>
      <c r="H529" s="52">
        <f>G529</f>
        <v>576.30228286018769</v>
      </c>
      <c r="I529">
        <v>0</v>
      </c>
    </row>
    <row r="530" spans="1:10" ht="14.25" customHeight="1" x14ac:dyDescent="0.3">
      <c r="A530" s="1" t="s">
        <v>73</v>
      </c>
      <c r="B530" s="1">
        <v>27</v>
      </c>
      <c r="C530" s="1" t="s">
        <v>101</v>
      </c>
      <c r="D530" s="1">
        <v>146</v>
      </c>
      <c r="E530" s="1" t="s">
        <v>96</v>
      </c>
      <c r="F530" s="1" t="s">
        <v>101</v>
      </c>
      <c r="G530" s="52">
        <f t="shared" si="8"/>
        <v>3301.3865792657252</v>
      </c>
      <c r="H530" s="52">
        <f t="shared" ref="H530:H532" si="11">G530</f>
        <v>3301.3865792657252</v>
      </c>
      <c r="I530">
        <v>0</v>
      </c>
    </row>
    <row r="531" spans="1:10" ht="14.25" customHeight="1" x14ac:dyDescent="0.3">
      <c r="A531" s="1" t="s">
        <v>73</v>
      </c>
      <c r="B531" s="1">
        <v>27</v>
      </c>
      <c r="C531" s="1" t="s">
        <v>762</v>
      </c>
      <c r="D531" s="1">
        <v>30</v>
      </c>
      <c r="E531" s="1" t="s">
        <v>220</v>
      </c>
      <c r="F531" s="1" t="s">
        <v>101</v>
      </c>
      <c r="G531" s="52">
        <f t="shared" si="8"/>
        <v>139.39050109491242</v>
      </c>
      <c r="H531" s="52">
        <f t="shared" si="11"/>
        <v>139.39050109491242</v>
      </c>
      <c r="I531">
        <v>0</v>
      </c>
    </row>
    <row r="532" spans="1:10" ht="14.25" customHeight="1" x14ac:dyDescent="0.3">
      <c r="A532" s="1" t="s">
        <v>73</v>
      </c>
      <c r="B532" s="1">
        <v>30</v>
      </c>
      <c r="C532" s="1" t="s">
        <v>761</v>
      </c>
      <c r="D532" s="1">
        <v>9</v>
      </c>
      <c r="E532" s="1" t="s">
        <v>106</v>
      </c>
      <c r="F532" s="1" t="s">
        <v>101</v>
      </c>
      <c r="G532" s="52">
        <f t="shared" si="8"/>
        <v>12.545145098542116</v>
      </c>
      <c r="H532" s="52">
        <f t="shared" si="11"/>
        <v>12.545145098542116</v>
      </c>
      <c r="I532">
        <v>0</v>
      </c>
    </row>
    <row r="533" spans="1:10" ht="14.25" customHeight="1" x14ac:dyDescent="0.3">
      <c r="A533" s="1" t="s">
        <v>73</v>
      </c>
      <c r="B533" s="1">
        <v>30</v>
      </c>
      <c r="C533" s="1" t="s">
        <v>760</v>
      </c>
      <c r="G533" s="52">
        <f t="shared" si="8"/>
        <v>0</v>
      </c>
      <c r="H533">
        <v>0</v>
      </c>
      <c r="I533">
        <v>0</v>
      </c>
      <c r="J533" s="1" t="s">
        <v>765</v>
      </c>
    </row>
    <row r="534" spans="1:10" ht="14.25" customHeight="1" x14ac:dyDescent="0.3">
      <c r="A534" s="1" t="s">
        <v>73</v>
      </c>
      <c r="B534" s="1">
        <v>30</v>
      </c>
      <c r="C534" s="1" t="s">
        <v>101</v>
      </c>
      <c r="D534" s="1">
        <v>13</v>
      </c>
      <c r="E534" s="1" t="s">
        <v>109</v>
      </c>
      <c r="F534" s="1" t="s">
        <v>101</v>
      </c>
      <c r="G534" s="52">
        <f t="shared" si="8"/>
        <v>26.174438538933547</v>
      </c>
      <c r="H534" s="52">
        <f>G534</f>
        <v>26.174438538933547</v>
      </c>
      <c r="I534">
        <v>0</v>
      </c>
    </row>
    <row r="535" spans="1:10" ht="14.25" customHeight="1" x14ac:dyDescent="0.3">
      <c r="A535" s="1" t="s">
        <v>73</v>
      </c>
      <c r="B535" s="1">
        <v>30</v>
      </c>
      <c r="C535" s="1" t="s">
        <v>762</v>
      </c>
      <c r="D535" s="1">
        <v>36</v>
      </c>
      <c r="E535" s="1" t="s">
        <v>106</v>
      </c>
      <c r="F535" s="1" t="s">
        <v>766</v>
      </c>
      <c r="G535" s="52">
        <f t="shared" si="8"/>
        <v>200.72232157667386</v>
      </c>
      <c r="H535" s="52">
        <f>SUM(G536:G537)</f>
        <v>28.652491891731991</v>
      </c>
      <c r="I535" s="52">
        <f>G535</f>
        <v>200.72232157667386</v>
      </c>
    </row>
    <row r="536" spans="1:10" ht="14.25" customHeight="1" x14ac:dyDescent="0.3">
      <c r="A536" s="1" t="s">
        <v>73</v>
      </c>
      <c r="B536" s="1">
        <v>30</v>
      </c>
      <c r="C536" s="1" t="s">
        <v>762</v>
      </c>
      <c r="D536" s="1">
        <v>8</v>
      </c>
      <c r="E536" s="1" t="s">
        <v>109</v>
      </c>
      <c r="F536" s="1" t="s">
        <v>101</v>
      </c>
      <c r="G536" s="52">
        <f t="shared" si="8"/>
        <v>9.9122134111937719</v>
      </c>
      <c r="H536" s="1"/>
      <c r="I536" s="1"/>
    </row>
    <row r="537" spans="1:10" ht="14.25" customHeight="1" x14ac:dyDescent="0.3">
      <c r="A537" s="1" t="s">
        <v>73</v>
      </c>
      <c r="B537" s="1">
        <v>30</v>
      </c>
      <c r="C537" s="1" t="s">
        <v>762</v>
      </c>
      <c r="D537" s="1">
        <v>11</v>
      </c>
      <c r="E537" s="1" t="s">
        <v>109</v>
      </c>
      <c r="F537" s="1" t="s">
        <v>101</v>
      </c>
      <c r="G537" s="52">
        <f t="shared" si="8"/>
        <v>18.740278480538219</v>
      </c>
      <c r="H537" s="1"/>
      <c r="I537" s="1"/>
    </row>
    <row r="538" spans="1:10" ht="14.25" customHeight="1" x14ac:dyDescent="0.3">
      <c r="A538" s="1" t="s">
        <v>73</v>
      </c>
      <c r="B538" s="1">
        <v>31</v>
      </c>
      <c r="C538" s="1" t="s">
        <v>761</v>
      </c>
      <c r="D538" s="1">
        <v>75</v>
      </c>
      <c r="E538" s="1" t="s">
        <v>220</v>
      </c>
      <c r="F538" s="1" t="s">
        <v>766</v>
      </c>
      <c r="G538" s="52">
        <f t="shared" si="8"/>
        <v>871.19063184320237</v>
      </c>
      <c r="H538" s="52">
        <f>G539</f>
        <v>139.39050109491242</v>
      </c>
      <c r="I538" s="52">
        <f>G538</f>
        <v>871.19063184320237</v>
      </c>
    </row>
    <row r="539" spans="1:10" ht="14.25" customHeight="1" x14ac:dyDescent="0.3">
      <c r="A539" s="1" t="s">
        <v>73</v>
      </c>
      <c r="B539" s="1">
        <v>31</v>
      </c>
      <c r="C539" s="1" t="s">
        <v>761</v>
      </c>
      <c r="D539" s="1">
        <v>30</v>
      </c>
      <c r="E539" s="1" t="s">
        <v>220</v>
      </c>
      <c r="F539" s="1" t="s">
        <v>101</v>
      </c>
      <c r="G539" s="52">
        <f t="shared" si="8"/>
        <v>139.39050109491242</v>
      </c>
      <c r="H539" s="1"/>
      <c r="I539" s="1"/>
    </row>
    <row r="540" spans="1:10" ht="14.25" customHeight="1" x14ac:dyDescent="0.3">
      <c r="A540" s="1" t="s">
        <v>73</v>
      </c>
      <c r="B540" s="1">
        <v>31</v>
      </c>
      <c r="C540" s="1" t="s">
        <v>760</v>
      </c>
      <c r="D540" s="1">
        <v>18</v>
      </c>
      <c r="E540" s="1" t="s">
        <v>220</v>
      </c>
      <c r="F540" s="1" t="s">
        <v>101</v>
      </c>
      <c r="G540" s="52">
        <f t="shared" si="8"/>
        <v>50.180580394168466</v>
      </c>
      <c r="H540" s="52">
        <f>G540</f>
        <v>50.180580394168466</v>
      </c>
      <c r="I540" s="1">
        <v>0</v>
      </c>
    </row>
    <row r="541" spans="1:10" ht="14.25" customHeight="1" x14ac:dyDescent="0.3">
      <c r="A541" s="1" t="s">
        <v>73</v>
      </c>
      <c r="B541" s="1">
        <v>31</v>
      </c>
      <c r="C541" s="1" t="s">
        <v>101</v>
      </c>
      <c r="G541" s="52">
        <f t="shared" si="8"/>
        <v>0</v>
      </c>
      <c r="H541">
        <v>0</v>
      </c>
      <c r="I541">
        <v>0</v>
      </c>
      <c r="J541" s="1" t="s">
        <v>765</v>
      </c>
    </row>
    <row r="542" spans="1:10" ht="14.25" customHeight="1" x14ac:dyDescent="0.3">
      <c r="A542" s="1" t="s">
        <v>73</v>
      </c>
      <c r="B542" s="1">
        <v>31</v>
      </c>
      <c r="C542" s="1" t="s">
        <v>762</v>
      </c>
      <c r="D542" s="1">
        <v>13</v>
      </c>
      <c r="E542" s="1" t="s">
        <v>220</v>
      </c>
      <c r="F542" s="1" t="s">
        <v>101</v>
      </c>
      <c r="G542" s="52">
        <f t="shared" si="8"/>
        <v>26.174438538933547</v>
      </c>
      <c r="H542" s="52">
        <f>G542</f>
        <v>26.174438538933547</v>
      </c>
      <c r="I542" s="1">
        <v>0</v>
      </c>
    </row>
    <row r="543" spans="1:10" ht="14.25" customHeight="1" x14ac:dyDescent="0.3">
      <c r="A543" s="1" t="s">
        <v>73</v>
      </c>
      <c r="B543" s="1">
        <v>33</v>
      </c>
      <c r="C543" s="1" t="s">
        <v>761</v>
      </c>
      <c r="D543" s="1">
        <v>15</v>
      </c>
      <c r="E543" s="1" t="s">
        <v>220</v>
      </c>
      <c r="F543" s="1" t="s">
        <v>101</v>
      </c>
      <c r="G543" s="52">
        <f t="shared" si="8"/>
        <v>34.847625273728106</v>
      </c>
      <c r="H543" s="52">
        <f>G543</f>
        <v>34.847625273728106</v>
      </c>
      <c r="I543">
        <v>0</v>
      </c>
    </row>
    <row r="544" spans="1:10" ht="14.25" customHeight="1" x14ac:dyDescent="0.3">
      <c r="A544" s="1" t="s">
        <v>73</v>
      </c>
      <c r="B544" s="1">
        <v>33</v>
      </c>
      <c r="C544" s="1" t="s">
        <v>760</v>
      </c>
      <c r="G544" s="52">
        <f t="shared" si="8"/>
        <v>0</v>
      </c>
      <c r="H544">
        <v>0</v>
      </c>
      <c r="I544">
        <v>0</v>
      </c>
      <c r="J544" s="1" t="s">
        <v>765</v>
      </c>
    </row>
    <row r="545" spans="1:10" ht="14.25" customHeight="1" x14ac:dyDescent="0.3">
      <c r="A545" s="1" t="s">
        <v>73</v>
      </c>
      <c r="B545" s="1">
        <v>33</v>
      </c>
      <c r="C545" s="1" t="s">
        <v>101</v>
      </c>
      <c r="G545" s="52">
        <f t="shared" si="8"/>
        <v>0</v>
      </c>
      <c r="H545">
        <v>0</v>
      </c>
      <c r="I545">
        <v>0</v>
      </c>
      <c r="J545" s="1" t="s">
        <v>765</v>
      </c>
    </row>
    <row r="546" spans="1:10" ht="14.25" customHeight="1" x14ac:dyDescent="0.3">
      <c r="A546" s="1" t="s">
        <v>73</v>
      </c>
      <c r="B546" s="1">
        <v>33</v>
      </c>
      <c r="C546" s="1" t="s">
        <v>762</v>
      </c>
      <c r="G546" s="52">
        <f t="shared" si="8"/>
        <v>0</v>
      </c>
      <c r="H546">
        <v>0</v>
      </c>
      <c r="I546">
        <v>0</v>
      </c>
      <c r="J546" s="1" t="s">
        <v>765</v>
      </c>
    </row>
    <row r="547" spans="1:10" ht="14.25" customHeight="1" x14ac:dyDescent="0.3">
      <c r="A547" s="1" t="s">
        <v>73</v>
      </c>
      <c r="B547" s="1">
        <v>34</v>
      </c>
      <c r="C547" s="1" t="s">
        <v>761</v>
      </c>
      <c r="D547" s="1">
        <v>7</v>
      </c>
      <c r="E547" s="1" t="s">
        <v>220</v>
      </c>
      <c r="F547" s="1" t="s">
        <v>101</v>
      </c>
      <c r="G547" s="52">
        <f t="shared" ref="G547:G595" si="12">(D547/2.541)^2</f>
        <v>7.5890383929452314</v>
      </c>
      <c r="H547" s="52">
        <f>SUM(G547:G548)</f>
        <v>349.71527941368026</v>
      </c>
      <c r="I547" s="1">
        <v>0</v>
      </c>
    </row>
    <row r="548" spans="1:10" ht="14.25" customHeight="1" x14ac:dyDescent="0.3">
      <c r="A548" s="1" t="s">
        <v>73</v>
      </c>
      <c r="B548" s="1">
        <v>34</v>
      </c>
      <c r="C548" s="1" t="s">
        <v>761</v>
      </c>
      <c r="D548" s="1">
        <v>47</v>
      </c>
      <c r="E548" s="1" t="s">
        <v>220</v>
      </c>
      <c r="F548" s="1" t="s">
        <v>101</v>
      </c>
      <c r="G548" s="52">
        <f t="shared" si="12"/>
        <v>342.12624102073505</v>
      </c>
      <c r="H548" s="1"/>
      <c r="I548" s="1"/>
    </row>
    <row r="549" spans="1:10" ht="14.25" customHeight="1" x14ac:dyDescent="0.3">
      <c r="A549" s="1" t="s">
        <v>73</v>
      </c>
      <c r="B549" s="1">
        <v>34</v>
      </c>
      <c r="C549" s="1" t="s">
        <v>760</v>
      </c>
      <c r="G549" s="52">
        <f t="shared" si="12"/>
        <v>0</v>
      </c>
      <c r="H549">
        <v>0</v>
      </c>
      <c r="I549">
        <v>0</v>
      </c>
      <c r="J549" s="1" t="s">
        <v>765</v>
      </c>
    </row>
    <row r="550" spans="1:10" ht="14.25" customHeight="1" x14ac:dyDescent="0.3">
      <c r="A550" s="1" t="s">
        <v>73</v>
      </c>
      <c r="B550" s="1">
        <v>34</v>
      </c>
      <c r="C550" s="1" t="s">
        <v>101</v>
      </c>
      <c r="D550" s="1">
        <v>31</v>
      </c>
      <c r="E550" s="1" t="s">
        <v>220</v>
      </c>
      <c r="F550" s="1" t="s">
        <v>101</v>
      </c>
      <c r="G550" s="52">
        <f t="shared" si="12"/>
        <v>148.83807950245645</v>
      </c>
      <c r="H550" s="52">
        <f>G550</f>
        <v>148.83807950245645</v>
      </c>
      <c r="I550" s="1">
        <v>0</v>
      </c>
    </row>
    <row r="551" spans="1:10" ht="14.25" customHeight="1" x14ac:dyDescent="0.3">
      <c r="A551" s="1" t="s">
        <v>73</v>
      </c>
      <c r="B551" s="1">
        <v>34</v>
      </c>
      <c r="C551" s="1" t="s">
        <v>762</v>
      </c>
      <c r="G551" s="52">
        <f t="shared" si="12"/>
        <v>0</v>
      </c>
      <c r="H551">
        <v>0</v>
      </c>
      <c r="I551">
        <v>0</v>
      </c>
      <c r="J551" s="1" t="s">
        <v>765</v>
      </c>
    </row>
    <row r="552" spans="1:10" ht="14.25" customHeight="1" x14ac:dyDescent="0.3">
      <c r="A552" s="1" t="s">
        <v>73</v>
      </c>
      <c r="B552" s="1">
        <v>35</v>
      </c>
      <c r="C552" s="1" t="s">
        <v>761</v>
      </c>
      <c r="G552" s="52">
        <f t="shared" si="12"/>
        <v>0</v>
      </c>
      <c r="H552">
        <v>0</v>
      </c>
      <c r="I552">
        <v>0</v>
      </c>
      <c r="J552" s="1" t="s">
        <v>765</v>
      </c>
    </row>
    <row r="553" spans="1:10" ht="14.25" customHeight="1" x14ac:dyDescent="0.3">
      <c r="A553" s="1" t="s">
        <v>73</v>
      </c>
      <c r="B553" s="1">
        <v>35</v>
      </c>
      <c r="C553" s="1" t="s">
        <v>760</v>
      </c>
      <c r="G553" s="52">
        <f t="shared" si="12"/>
        <v>0</v>
      </c>
      <c r="H553">
        <v>0</v>
      </c>
      <c r="I553">
        <v>0</v>
      </c>
      <c r="J553" s="1" t="s">
        <v>765</v>
      </c>
    </row>
    <row r="554" spans="1:10" ht="14.25" customHeight="1" x14ac:dyDescent="0.3">
      <c r="A554" s="1" t="s">
        <v>73</v>
      </c>
      <c r="B554" s="1">
        <v>35</v>
      </c>
      <c r="C554" s="1" t="s">
        <v>101</v>
      </c>
      <c r="G554" s="52">
        <f t="shared" si="12"/>
        <v>0</v>
      </c>
      <c r="H554">
        <v>0</v>
      </c>
      <c r="I554">
        <v>0</v>
      </c>
      <c r="J554" s="1" t="s">
        <v>765</v>
      </c>
    </row>
    <row r="555" spans="1:10" ht="14.25" customHeight="1" x14ac:dyDescent="0.3">
      <c r="A555" s="1" t="s">
        <v>73</v>
      </c>
      <c r="B555" s="1">
        <v>35</v>
      </c>
      <c r="C555" s="1" t="s">
        <v>762</v>
      </c>
      <c r="D555" s="1">
        <v>45</v>
      </c>
      <c r="E555" s="1" t="s">
        <v>96</v>
      </c>
      <c r="F555" s="1" t="s">
        <v>101</v>
      </c>
      <c r="G555" s="52">
        <f t="shared" si="12"/>
        <v>313.6286274635529</v>
      </c>
      <c r="H555" s="52">
        <f>G555</f>
        <v>313.6286274635529</v>
      </c>
      <c r="I555">
        <v>0</v>
      </c>
    </row>
    <row r="556" spans="1:10" ht="14.25" customHeight="1" x14ac:dyDescent="0.3">
      <c r="A556" s="1" t="s">
        <v>73</v>
      </c>
      <c r="B556" s="1">
        <v>36</v>
      </c>
      <c r="G556" s="52">
        <f t="shared" si="12"/>
        <v>0</v>
      </c>
      <c r="H556">
        <v>0</v>
      </c>
      <c r="I556">
        <v>0</v>
      </c>
      <c r="J556" s="1" t="s">
        <v>765</v>
      </c>
    </row>
    <row r="557" spans="1:10" ht="14.25" customHeight="1" x14ac:dyDescent="0.3">
      <c r="A557" s="1" t="s">
        <v>73</v>
      </c>
      <c r="B557" s="1">
        <v>36</v>
      </c>
      <c r="G557" s="52">
        <f t="shared" si="12"/>
        <v>0</v>
      </c>
      <c r="H557">
        <v>0</v>
      </c>
      <c r="I557">
        <v>0</v>
      </c>
      <c r="J557" s="1" t="s">
        <v>765</v>
      </c>
    </row>
    <row r="558" spans="1:10" ht="14.25" customHeight="1" x14ac:dyDescent="0.3">
      <c r="A558" s="1" t="s">
        <v>73</v>
      </c>
      <c r="B558" s="1">
        <v>36</v>
      </c>
      <c r="G558" s="52">
        <f t="shared" si="12"/>
        <v>0</v>
      </c>
      <c r="H558">
        <v>0</v>
      </c>
      <c r="I558">
        <v>0</v>
      </c>
      <c r="J558" s="1" t="s">
        <v>765</v>
      </c>
    </row>
    <row r="559" spans="1:10" ht="14.25" customHeight="1" x14ac:dyDescent="0.3">
      <c r="A559" s="1" t="s">
        <v>73</v>
      </c>
      <c r="B559" s="1">
        <v>36</v>
      </c>
      <c r="G559" s="52">
        <f t="shared" si="12"/>
        <v>0</v>
      </c>
      <c r="H559">
        <v>0</v>
      </c>
      <c r="I559">
        <v>0</v>
      </c>
      <c r="J559" s="1" t="s">
        <v>765</v>
      </c>
    </row>
    <row r="560" spans="1:10" ht="14.25" customHeight="1" x14ac:dyDescent="0.3">
      <c r="A560" s="1" t="s">
        <v>77</v>
      </c>
      <c r="B560" s="1">
        <v>3</v>
      </c>
      <c r="C560" s="1" t="s">
        <v>761</v>
      </c>
      <c r="G560" s="52">
        <f t="shared" si="12"/>
        <v>0</v>
      </c>
      <c r="H560">
        <v>0</v>
      </c>
      <c r="I560">
        <v>0</v>
      </c>
      <c r="J560" s="1" t="s">
        <v>765</v>
      </c>
    </row>
    <row r="561" spans="1:10" ht="14.25" customHeight="1" x14ac:dyDescent="0.3">
      <c r="A561" s="1" t="s">
        <v>77</v>
      </c>
      <c r="B561" s="1">
        <v>3</v>
      </c>
      <c r="C561" s="1" t="s">
        <v>760</v>
      </c>
      <c r="G561" s="52">
        <f t="shared" si="12"/>
        <v>0</v>
      </c>
      <c r="H561">
        <v>0</v>
      </c>
      <c r="I561">
        <v>0</v>
      </c>
      <c r="J561" s="1" t="s">
        <v>765</v>
      </c>
    </row>
    <row r="562" spans="1:10" ht="14.25" customHeight="1" x14ac:dyDescent="0.3">
      <c r="A562" s="1" t="s">
        <v>77</v>
      </c>
      <c r="B562" s="1">
        <v>3</v>
      </c>
      <c r="C562" s="1" t="s">
        <v>101</v>
      </c>
      <c r="G562" s="52">
        <f t="shared" si="12"/>
        <v>0</v>
      </c>
      <c r="H562">
        <v>0</v>
      </c>
      <c r="I562">
        <v>0</v>
      </c>
      <c r="J562" s="1" t="s">
        <v>765</v>
      </c>
    </row>
    <row r="563" spans="1:10" ht="14.25" customHeight="1" x14ac:dyDescent="0.3">
      <c r="A563" s="1" t="s">
        <v>77</v>
      </c>
      <c r="B563" s="1">
        <v>3</v>
      </c>
      <c r="C563" s="1" t="s">
        <v>762</v>
      </c>
      <c r="G563" s="52">
        <f t="shared" si="12"/>
        <v>0</v>
      </c>
      <c r="H563">
        <v>0</v>
      </c>
      <c r="I563">
        <v>0</v>
      </c>
      <c r="J563" s="1" t="s">
        <v>765</v>
      </c>
    </row>
    <row r="564" spans="1:10" ht="14.25" customHeight="1" x14ac:dyDescent="0.3">
      <c r="A564" s="1" t="s">
        <v>77</v>
      </c>
      <c r="B564" s="1">
        <v>4</v>
      </c>
      <c r="C564" s="1" t="s">
        <v>761</v>
      </c>
      <c r="G564" s="52">
        <f t="shared" si="12"/>
        <v>0</v>
      </c>
      <c r="H564">
        <v>0</v>
      </c>
      <c r="I564">
        <v>0</v>
      </c>
      <c r="J564" s="1" t="s">
        <v>765</v>
      </c>
    </row>
    <row r="565" spans="1:10" ht="14.25" customHeight="1" x14ac:dyDescent="0.3">
      <c r="A565" s="1" t="s">
        <v>77</v>
      </c>
      <c r="B565" s="1">
        <v>4</v>
      </c>
      <c r="C565" s="1" t="s">
        <v>760</v>
      </c>
      <c r="G565" s="52">
        <f t="shared" si="12"/>
        <v>0</v>
      </c>
      <c r="H565">
        <v>0</v>
      </c>
      <c r="I565">
        <v>0</v>
      </c>
      <c r="J565" s="1" t="s">
        <v>765</v>
      </c>
    </row>
    <row r="566" spans="1:10" ht="14.25" customHeight="1" x14ac:dyDescent="0.3">
      <c r="A566" s="1" t="s">
        <v>77</v>
      </c>
      <c r="B566" s="1">
        <v>4</v>
      </c>
      <c r="C566" s="1" t="s">
        <v>101</v>
      </c>
      <c r="G566" s="52">
        <f t="shared" si="12"/>
        <v>0</v>
      </c>
      <c r="H566">
        <v>0</v>
      </c>
      <c r="I566">
        <v>0</v>
      </c>
      <c r="J566" s="1" t="s">
        <v>765</v>
      </c>
    </row>
    <row r="567" spans="1:10" ht="14.25" customHeight="1" x14ac:dyDescent="0.3">
      <c r="A567" s="1" t="s">
        <v>77</v>
      </c>
      <c r="B567" s="1">
        <v>4</v>
      </c>
      <c r="C567" s="1" t="s">
        <v>762</v>
      </c>
      <c r="D567" s="1">
        <v>350</v>
      </c>
      <c r="E567" s="1" t="s">
        <v>96</v>
      </c>
      <c r="F567" s="1" t="s">
        <v>766</v>
      </c>
      <c r="G567" s="52">
        <f t="shared" si="12"/>
        <v>18972.595982363073</v>
      </c>
      <c r="H567" s="1">
        <v>0</v>
      </c>
      <c r="I567" s="52">
        <f>G567</f>
        <v>18972.595982363073</v>
      </c>
    </row>
    <row r="568" spans="1:10" ht="14.25" customHeight="1" x14ac:dyDescent="0.3">
      <c r="A568" s="1" t="s">
        <v>77</v>
      </c>
      <c r="B568" s="1">
        <v>5</v>
      </c>
      <c r="C568" s="1" t="s">
        <v>761</v>
      </c>
      <c r="G568" s="52">
        <f t="shared" si="12"/>
        <v>0</v>
      </c>
      <c r="H568">
        <v>0</v>
      </c>
      <c r="I568">
        <v>0</v>
      </c>
      <c r="J568" s="1" t="s">
        <v>765</v>
      </c>
    </row>
    <row r="569" spans="1:10" ht="14.25" customHeight="1" x14ac:dyDescent="0.3">
      <c r="A569" s="1" t="s">
        <v>77</v>
      </c>
      <c r="B569" s="1">
        <v>5</v>
      </c>
      <c r="C569" s="1" t="s">
        <v>760</v>
      </c>
      <c r="G569" s="52">
        <f t="shared" si="12"/>
        <v>0</v>
      </c>
      <c r="H569">
        <v>0</v>
      </c>
      <c r="I569">
        <v>0</v>
      </c>
      <c r="J569" s="1" t="s">
        <v>765</v>
      </c>
    </row>
    <row r="570" spans="1:10" ht="14.25" customHeight="1" x14ac:dyDescent="0.3">
      <c r="A570" s="1" t="s">
        <v>77</v>
      </c>
      <c r="B570" s="1">
        <v>5</v>
      </c>
      <c r="C570" s="1" t="s">
        <v>101</v>
      </c>
      <c r="G570" s="52">
        <f t="shared" si="12"/>
        <v>0</v>
      </c>
      <c r="H570">
        <v>0</v>
      </c>
      <c r="I570">
        <v>0</v>
      </c>
      <c r="J570" s="1" t="s">
        <v>765</v>
      </c>
    </row>
    <row r="571" spans="1:10" ht="14.25" customHeight="1" x14ac:dyDescent="0.3">
      <c r="A571" s="1" t="s">
        <v>77</v>
      </c>
      <c r="B571" s="1">
        <v>5</v>
      </c>
      <c r="C571" s="1" t="s">
        <v>762</v>
      </c>
      <c r="G571" s="52">
        <f t="shared" si="12"/>
        <v>0</v>
      </c>
      <c r="H571">
        <v>0</v>
      </c>
      <c r="I571">
        <v>0</v>
      </c>
      <c r="J571" s="1" t="s">
        <v>765</v>
      </c>
    </row>
    <row r="572" spans="1:10" ht="14.25" customHeight="1" x14ac:dyDescent="0.3">
      <c r="A572" s="1" t="s">
        <v>77</v>
      </c>
      <c r="B572" s="1">
        <v>8</v>
      </c>
      <c r="C572" s="1" t="s">
        <v>761</v>
      </c>
      <c r="D572" s="1">
        <v>21</v>
      </c>
      <c r="E572" s="1" t="s">
        <v>106</v>
      </c>
      <c r="F572" s="1" t="s">
        <v>101</v>
      </c>
      <c r="G572" s="52">
        <f t="shared" si="12"/>
        <v>68.301345536507085</v>
      </c>
      <c r="H572" s="41">
        <f>G572</f>
        <v>68.301345536507085</v>
      </c>
      <c r="I572" s="1">
        <v>0</v>
      </c>
    </row>
    <row r="573" spans="1:10" ht="14.25" customHeight="1" x14ac:dyDescent="0.3">
      <c r="A573" s="1" t="s">
        <v>77</v>
      </c>
      <c r="B573" s="1">
        <v>8</v>
      </c>
      <c r="C573" s="1" t="s">
        <v>760</v>
      </c>
      <c r="G573" s="52">
        <f t="shared" si="12"/>
        <v>0</v>
      </c>
      <c r="H573">
        <v>0</v>
      </c>
      <c r="I573">
        <v>0</v>
      </c>
      <c r="J573" s="1" t="s">
        <v>765</v>
      </c>
    </row>
    <row r="574" spans="1:10" ht="14.25" customHeight="1" x14ac:dyDescent="0.3">
      <c r="A574" s="1" t="s">
        <v>77</v>
      </c>
      <c r="B574" s="1">
        <v>8</v>
      </c>
      <c r="C574" s="1" t="s">
        <v>101</v>
      </c>
      <c r="G574" s="52">
        <f t="shared" si="12"/>
        <v>0</v>
      </c>
      <c r="H574">
        <v>0</v>
      </c>
      <c r="I574">
        <v>0</v>
      </c>
      <c r="J574" s="1" t="s">
        <v>765</v>
      </c>
    </row>
    <row r="575" spans="1:10" ht="14.25" customHeight="1" x14ac:dyDescent="0.3">
      <c r="A575" s="1" t="s">
        <v>77</v>
      </c>
      <c r="B575" s="1">
        <v>8</v>
      </c>
      <c r="C575" s="1" t="s">
        <v>762</v>
      </c>
      <c r="D575" s="1">
        <v>8</v>
      </c>
      <c r="E575" s="1" t="s">
        <v>106</v>
      </c>
      <c r="F575" s="1" t="s">
        <v>101</v>
      </c>
      <c r="G575" s="52">
        <f t="shared" si="12"/>
        <v>9.9122134111937719</v>
      </c>
      <c r="H575" s="41">
        <f>G575</f>
        <v>9.9122134111937719</v>
      </c>
      <c r="I575" s="1">
        <v>0</v>
      </c>
    </row>
    <row r="576" spans="1:10" ht="14.25" customHeight="1" x14ac:dyDescent="0.3">
      <c r="A576" s="1" t="s">
        <v>77</v>
      </c>
      <c r="B576" s="1">
        <v>9</v>
      </c>
      <c r="C576" s="1" t="s">
        <v>761</v>
      </c>
      <c r="D576" s="1">
        <v>20</v>
      </c>
      <c r="E576" s="1" t="s">
        <v>106</v>
      </c>
      <c r="F576" s="1" t="s">
        <v>101</v>
      </c>
      <c r="G576" s="52">
        <f t="shared" si="12"/>
        <v>61.951333819961064</v>
      </c>
      <c r="H576" s="52">
        <f>G576</f>
        <v>61.951333819961064</v>
      </c>
      <c r="I576">
        <v>0</v>
      </c>
    </row>
    <row r="577" spans="1:10" ht="14.25" customHeight="1" x14ac:dyDescent="0.3">
      <c r="A577" s="1" t="s">
        <v>77</v>
      </c>
      <c r="B577" s="1">
        <v>9</v>
      </c>
      <c r="C577" s="1" t="s">
        <v>760</v>
      </c>
      <c r="G577" s="52">
        <f t="shared" si="12"/>
        <v>0</v>
      </c>
      <c r="H577">
        <v>0</v>
      </c>
      <c r="I577">
        <v>0</v>
      </c>
      <c r="J577" s="1" t="s">
        <v>765</v>
      </c>
    </row>
    <row r="578" spans="1:10" ht="14.25" customHeight="1" x14ac:dyDescent="0.3">
      <c r="A578" s="1" t="s">
        <v>77</v>
      </c>
      <c r="B578" s="1">
        <v>9</v>
      </c>
      <c r="C578" s="1" t="s">
        <v>101</v>
      </c>
      <c r="D578" s="1">
        <v>8</v>
      </c>
      <c r="E578" s="1" t="s">
        <v>106</v>
      </c>
      <c r="F578" s="1" t="s">
        <v>766</v>
      </c>
      <c r="G578" s="52">
        <f t="shared" si="12"/>
        <v>9.9122134111937719</v>
      </c>
      <c r="H578" s="52">
        <f>SUM(G578:G580)</f>
        <v>152.710037866204</v>
      </c>
      <c r="I578" s="52">
        <f>G581</f>
        <v>179.0393547396875</v>
      </c>
    </row>
    <row r="579" spans="1:10" ht="14.25" customHeight="1" x14ac:dyDescent="0.3">
      <c r="A579" s="1" t="s">
        <v>77</v>
      </c>
      <c r="B579" s="1">
        <v>9</v>
      </c>
      <c r="C579" s="1" t="s">
        <v>101</v>
      </c>
      <c r="D579" s="1">
        <v>9</v>
      </c>
      <c r="E579" s="1" t="s">
        <v>106</v>
      </c>
      <c r="F579" s="1" t="s">
        <v>766</v>
      </c>
      <c r="G579" s="52">
        <f t="shared" si="12"/>
        <v>12.545145098542116</v>
      </c>
      <c r="H579" s="1"/>
      <c r="I579" s="1"/>
    </row>
    <row r="580" spans="1:10" ht="14.25" customHeight="1" x14ac:dyDescent="0.3">
      <c r="A580" s="1" t="s">
        <v>77</v>
      </c>
      <c r="B580" s="1">
        <v>9</v>
      </c>
      <c r="C580" s="1" t="s">
        <v>101</v>
      </c>
      <c r="D580" s="1">
        <v>29</v>
      </c>
      <c r="E580" s="1" t="s">
        <v>106</v>
      </c>
      <c r="F580" s="1" t="s">
        <v>766</v>
      </c>
      <c r="G580" s="52">
        <f t="shared" si="12"/>
        <v>130.25267935646812</v>
      </c>
      <c r="H580" s="1"/>
      <c r="I580" s="1"/>
    </row>
    <row r="581" spans="1:10" ht="14.25" customHeight="1" x14ac:dyDescent="0.3">
      <c r="A581" s="1" t="s">
        <v>77</v>
      </c>
      <c r="B581" s="1">
        <v>9</v>
      </c>
      <c r="C581" s="1" t="s">
        <v>101</v>
      </c>
      <c r="D581" s="1">
        <v>34</v>
      </c>
      <c r="E581" s="1" t="s">
        <v>106</v>
      </c>
      <c r="F581" s="1" t="s">
        <v>101</v>
      </c>
      <c r="G581" s="52">
        <f t="shared" si="12"/>
        <v>179.0393547396875</v>
      </c>
      <c r="H581" s="1"/>
      <c r="I581" s="1"/>
    </row>
    <row r="582" spans="1:10" ht="14.25" customHeight="1" x14ac:dyDescent="0.3">
      <c r="A582" s="1" t="s">
        <v>77</v>
      </c>
      <c r="B582" s="1">
        <v>9</v>
      </c>
      <c r="C582" s="1" t="s">
        <v>762</v>
      </c>
      <c r="G582" s="52">
        <f t="shared" si="12"/>
        <v>0</v>
      </c>
      <c r="H582">
        <v>0</v>
      </c>
      <c r="I582">
        <v>0</v>
      </c>
      <c r="J582" s="1" t="s">
        <v>765</v>
      </c>
    </row>
    <row r="583" spans="1:10" ht="14.25" customHeight="1" x14ac:dyDescent="0.3">
      <c r="A583" s="1" t="s">
        <v>77</v>
      </c>
      <c r="B583" s="1">
        <v>11</v>
      </c>
      <c r="C583" s="1" t="s">
        <v>761</v>
      </c>
      <c r="G583" s="52">
        <f t="shared" si="12"/>
        <v>0</v>
      </c>
      <c r="H583">
        <v>0</v>
      </c>
      <c r="I583">
        <v>0</v>
      </c>
      <c r="J583" s="1" t="s">
        <v>765</v>
      </c>
    </row>
    <row r="584" spans="1:10" ht="14.25" customHeight="1" x14ac:dyDescent="0.3">
      <c r="A584" s="1" t="s">
        <v>77</v>
      </c>
      <c r="B584" s="1">
        <v>11</v>
      </c>
      <c r="C584" s="1" t="s">
        <v>760</v>
      </c>
      <c r="G584" s="52">
        <f t="shared" si="12"/>
        <v>0</v>
      </c>
      <c r="H584">
        <v>0</v>
      </c>
      <c r="I584">
        <v>0</v>
      </c>
      <c r="J584" s="1" t="s">
        <v>765</v>
      </c>
    </row>
    <row r="585" spans="1:10" ht="14.25" customHeight="1" x14ac:dyDescent="0.3">
      <c r="A585" s="1" t="s">
        <v>77</v>
      </c>
      <c r="B585" s="1">
        <v>11</v>
      </c>
      <c r="C585" s="1" t="s">
        <v>101</v>
      </c>
      <c r="G585" s="52">
        <f t="shared" si="12"/>
        <v>0</v>
      </c>
      <c r="H585">
        <v>0</v>
      </c>
      <c r="I585">
        <v>0</v>
      </c>
      <c r="J585" s="1" t="s">
        <v>765</v>
      </c>
    </row>
    <row r="586" spans="1:10" ht="14.25" customHeight="1" x14ac:dyDescent="0.3">
      <c r="A586" s="1" t="s">
        <v>77</v>
      </c>
      <c r="B586" s="1">
        <v>11</v>
      </c>
      <c r="C586" s="1" t="s">
        <v>762</v>
      </c>
      <c r="G586" s="52">
        <f t="shared" si="12"/>
        <v>0</v>
      </c>
      <c r="H586">
        <v>0</v>
      </c>
      <c r="I586">
        <v>0</v>
      </c>
      <c r="J586" s="1" t="s">
        <v>765</v>
      </c>
    </row>
    <row r="587" spans="1:10" ht="14.25" customHeight="1" x14ac:dyDescent="0.3">
      <c r="A587" s="1" t="s">
        <v>77</v>
      </c>
      <c r="B587" s="1">
        <v>12</v>
      </c>
      <c r="C587" s="1" t="s">
        <v>761</v>
      </c>
      <c r="G587" s="52">
        <f t="shared" si="12"/>
        <v>0</v>
      </c>
      <c r="H587">
        <v>0</v>
      </c>
      <c r="I587">
        <v>0</v>
      </c>
      <c r="J587" s="1" t="s">
        <v>765</v>
      </c>
    </row>
    <row r="588" spans="1:10" ht="14.25" customHeight="1" x14ac:dyDescent="0.3">
      <c r="A588" s="1" t="s">
        <v>77</v>
      </c>
      <c r="B588" s="1">
        <v>12</v>
      </c>
      <c r="C588" s="1" t="s">
        <v>760</v>
      </c>
      <c r="G588" s="52">
        <f t="shared" si="12"/>
        <v>0</v>
      </c>
      <c r="H588">
        <v>0</v>
      </c>
      <c r="I588">
        <v>0</v>
      </c>
      <c r="J588" s="1" t="s">
        <v>765</v>
      </c>
    </row>
    <row r="589" spans="1:10" ht="14.25" customHeight="1" x14ac:dyDescent="0.3">
      <c r="A589" s="1" t="s">
        <v>77</v>
      </c>
      <c r="B589" s="1">
        <v>12</v>
      </c>
      <c r="C589" s="1" t="s">
        <v>101</v>
      </c>
      <c r="G589" s="52">
        <f t="shared" si="12"/>
        <v>0</v>
      </c>
      <c r="H589">
        <v>0</v>
      </c>
      <c r="I589">
        <v>0</v>
      </c>
      <c r="J589" s="1" t="s">
        <v>765</v>
      </c>
    </row>
    <row r="590" spans="1:10" ht="14.25" customHeight="1" x14ac:dyDescent="0.3">
      <c r="A590" s="1" t="s">
        <v>77</v>
      </c>
      <c r="B590" s="1">
        <v>12</v>
      </c>
      <c r="C590" s="1" t="s">
        <v>762</v>
      </c>
      <c r="G590" s="52">
        <f t="shared" si="12"/>
        <v>0</v>
      </c>
      <c r="H590">
        <v>0</v>
      </c>
      <c r="I590">
        <v>0</v>
      </c>
      <c r="J590" s="1" t="s">
        <v>765</v>
      </c>
    </row>
    <row r="591" spans="1:10" ht="14.25" customHeight="1" x14ac:dyDescent="0.3">
      <c r="A591" s="1" t="s">
        <v>77</v>
      </c>
      <c r="B591" s="1">
        <v>13</v>
      </c>
      <c r="C591" s="1" t="s">
        <v>761</v>
      </c>
      <c r="D591" s="1">
        <v>12</v>
      </c>
      <c r="E591" s="1" t="s">
        <v>93</v>
      </c>
      <c r="F591" s="1" t="s">
        <v>766</v>
      </c>
      <c r="G591" s="52">
        <f t="shared" si="12"/>
        <v>22.30248017518598</v>
      </c>
      <c r="H591" s="1">
        <v>0</v>
      </c>
      <c r="I591" s="52">
        <f>SUM(G591:G592)</f>
        <v>364.42872119592101</v>
      </c>
    </row>
    <row r="592" spans="1:10" ht="14.25" customHeight="1" x14ac:dyDescent="0.3">
      <c r="A592" s="1" t="s">
        <v>77</v>
      </c>
      <c r="B592" s="1">
        <v>13</v>
      </c>
      <c r="C592" s="1" t="s">
        <v>761</v>
      </c>
      <c r="D592" s="1">
        <v>47</v>
      </c>
      <c r="E592" s="1" t="s">
        <v>93</v>
      </c>
      <c r="F592" s="1" t="s">
        <v>766</v>
      </c>
      <c r="G592" s="52">
        <f t="shared" si="12"/>
        <v>342.12624102073505</v>
      </c>
      <c r="H592" s="1"/>
      <c r="I592" s="1"/>
    </row>
    <row r="593" spans="1:10" ht="14.25" customHeight="1" x14ac:dyDescent="0.3">
      <c r="A593" s="1" t="s">
        <v>77</v>
      </c>
      <c r="B593" s="1">
        <v>13</v>
      </c>
      <c r="C593" s="1" t="s">
        <v>760</v>
      </c>
      <c r="D593" s="1">
        <v>17</v>
      </c>
      <c r="E593" s="1" t="s">
        <v>93</v>
      </c>
      <c r="F593" s="1" t="s">
        <v>766</v>
      </c>
      <c r="G593" s="52">
        <f t="shared" si="12"/>
        <v>44.759838684921874</v>
      </c>
      <c r="H593">
        <v>0</v>
      </c>
      <c r="I593" s="52">
        <f>G593</f>
        <v>44.759838684921874</v>
      </c>
    </row>
    <row r="594" spans="1:10" ht="14.25" customHeight="1" x14ac:dyDescent="0.3">
      <c r="A594" s="1" t="s">
        <v>77</v>
      </c>
      <c r="B594" s="1">
        <v>13</v>
      </c>
      <c r="C594" s="1" t="s">
        <v>101</v>
      </c>
      <c r="D594" s="10"/>
      <c r="E594" s="10"/>
      <c r="F594" s="10"/>
      <c r="G594" s="52">
        <f t="shared" si="12"/>
        <v>0</v>
      </c>
      <c r="H594">
        <v>0</v>
      </c>
      <c r="I594" s="10">
        <v>0</v>
      </c>
      <c r="J594" s="1" t="s">
        <v>773</v>
      </c>
    </row>
    <row r="595" spans="1:10" ht="14.25" customHeight="1" x14ac:dyDescent="0.3">
      <c r="A595" s="1" t="s">
        <v>77</v>
      </c>
      <c r="B595" s="1">
        <v>13</v>
      </c>
      <c r="C595" s="1" t="s">
        <v>762</v>
      </c>
      <c r="D595" s="10"/>
      <c r="E595" s="10"/>
      <c r="F595" s="10"/>
      <c r="G595" s="52">
        <f t="shared" si="12"/>
        <v>0</v>
      </c>
      <c r="H595">
        <v>0</v>
      </c>
      <c r="I595" s="10">
        <v>0</v>
      </c>
      <c r="J595" s="1" t="s">
        <v>773</v>
      </c>
    </row>
    <row r="596" spans="1:10" ht="14.25" customHeight="1" x14ac:dyDescent="0.3"/>
    <row r="597" spans="1:10" ht="14.25" customHeight="1" x14ac:dyDescent="0.3"/>
    <row r="598" spans="1:10" ht="14.25" customHeight="1" x14ac:dyDescent="0.3"/>
    <row r="599" spans="1:10" ht="14.25" customHeight="1" x14ac:dyDescent="0.3"/>
    <row r="600" spans="1:10" ht="14.25" customHeight="1" x14ac:dyDescent="0.3"/>
    <row r="601" spans="1:10" ht="14.25" customHeight="1" x14ac:dyDescent="0.3"/>
    <row r="602" spans="1:10" ht="14.25" customHeight="1" x14ac:dyDescent="0.3"/>
    <row r="603" spans="1:10" ht="14.25" customHeight="1" x14ac:dyDescent="0.3"/>
    <row r="604" spans="1:10" ht="14.25" customHeight="1" x14ac:dyDescent="0.3"/>
    <row r="605" spans="1:10" ht="14.25" customHeight="1" x14ac:dyDescent="0.3"/>
    <row r="606" spans="1:10" ht="14.25" customHeight="1" x14ac:dyDescent="0.3"/>
    <row r="607" spans="1:10" ht="14.25" customHeight="1" x14ac:dyDescent="0.3"/>
    <row r="608" spans="1:10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  <row r="1101" ht="14.25" customHeight="1" x14ac:dyDescent="0.3"/>
    <row r="1102" ht="14.25" customHeight="1" x14ac:dyDescent="0.3"/>
    <row r="1103" ht="14.25" customHeight="1" x14ac:dyDescent="0.3"/>
    <row r="1104" ht="14.25" customHeight="1" x14ac:dyDescent="0.3"/>
    <row r="1105" ht="14.25" customHeight="1" x14ac:dyDescent="0.3"/>
    <row r="1106" ht="14.25" customHeight="1" x14ac:dyDescent="0.3"/>
    <row r="1107" ht="14.25" customHeight="1" x14ac:dyDescent="0.3"/>
    <row r="1108" ht="14.25" customHeight="1" x14ac:dyDescent="0.3"/>
    <row r="1109" ht="14.25" customHeight="1" x14ac:dyDescent="0.3"/>
    <row r="1110" ht="14.25" customHeight="1" x14ac:dyDescent="0.3"/>
    <row r="1111" ht="14.25" customHeight="1" x14ac:dyDescent="0.3"/>
    <row r="1112" ht="14.25" customHeight="1" x14ac:dyDescent="0.3"/>
    <row r="1113" ht="14.25" customHeight="1" x14ac:dyDescent="0.3"/>
    <row r="1114" ht="14.25" customHeight="1" x14ac:dyDescent="0.3"/>
    <row r="1115" ht="14.25" customHeight="1" x14ac:dyDescent="0.3"/>
    <row r="1116" ht="14.25" customHeight="1" x14ac:dyDescent="0.3"/>
    <row r="1117" ht="14.25" customHeight="1" x14ac:dyDescent="0.3"/>
    <row r="1118" ht="14.25" customHeight="1" x14ac:dyDescent="0.3"/>
    <row r="1119" ht="14.25" customHeight="1" x14ac:dyDescent="0.3"/>
    <row r="1120" ht="14.25" customHeight="1" x14ac:dyDescent="0.3"/>
    <row r="1121" ht="14.25" customHeight="1" x14ac:dyDescent="0.3"/>
    <row r="1122" ht="14.25" customHeight="1" x14ac:dyDescent="0.3"/>
    <row r="1123" ht="14.25" customHeight="1" x14ac:dyDescent="0.3"/>
    <row r="1124" ht="14.25" customHeight="1" x14ac:dyDescent="0.3"/>
    <row r="1125" ht="14.25" customHeight="1" x14ac:dyDescent="0.3"/>
    <row r="1126" ht="14.25" customHeight="1" x14ac:dyDescent="0.3"/>
    <row r="1127" ht="14.25" customHeight="1" x14ac:dyDescent="0.3"/>
    <row r="1128" ht="14.25" customHeight="1" x14ac:dyDescent="0.3"/>
    <row r="1129" ht="14.25" customHeight="1" x14ac:dyDescent="0.3"/>
    <row r="1130" ht="14.25" customHeight="1" x14ac:dyDescent="0.3"/>
    <row r="1131" ht="14.25" customHeight="1" x14ac:dyDescent="0.3"/>
    <row r="1132" ht="14.25" customHeight="1" x14ac:dyDescent="0.3"/>
    <row r="1133" ht="14.25" customHeight="1" x14ac:dyDescent="0.3"/>
    <row r="1134" ht="14.25" customHeight="1" x14ac:dyDescent="0.3"/>
    <row r="1135" ht="14.25" customHeight="1" x14ac:dyDescent="0.3"/>
    <row r="1136" ht="14.25" customHeight="1" x14ac:dyDescent="0.3"/>
    <row r="1137" ht="14.25" customHeight="1" x14ac:dyDescent="0.3"/>
    <row r="1138" ht="14.25" customHeight="1" x14ac:dyDescent="0.3"/>
    <row r="1139" ht="14.25" customHeight="1" x14ac:dyDescent="0.3"/>
    <row r="1140" ht="14.25" customHeight="1" x14ac:dyDescent="0.3"/>
    <row r="1141" ht="14.25" customHeight="1" x14ac:dyDescent="0.3"/>
    <row r="1142" ht="14.25" customHeight="1" x14ac:dyDescent="0.3"/>
    <row r="1143" ht="14.25" customHeight="1" x14ac:dyDescent="0.3"/>
    <row r="1144" ht="14.25" customHeight="1" x14ac:dyDescent="0.3"/>
    <row r="1145" ht="14.25" customHeight="1" x14ac:dyDescent="0.3"/>
    <row r="1146" ht="14.25" customHeight="1" x14ac:dyDescent="0.3"/>
    <row r="1147" ht="14.25" customHeight="1" x14ac:dyDescent="0.3"/>
    <row r="1148" ht="14.25" customHeight="1" x14ac:dyDescent="0.3"/>
    <row r="1149" ht="14.25" customHeight="1" x14ac:dyDescent="0.3"/>
    <row r="1150" ht="14.25" customHeight="1" x14ac:dyDescent="0.3"/>
    <row r="1151" ht="14.25" customHeight="1" x14ac:dyDescent="0.3"/>
    <row r="1152" ht="14.25" customHeight="1" x14ac:dyDescent="0.3"/>
    <row r="1153" ht="14.25" customHeight="1" x14ac:dyDescent="0.3"/>
    <row r="1154" ht="14.25" customHeight="1" x14ac:dyDescent="0.3"/>
    <row r="1155" ht="14.25" customHeight="1" x14ac:dyDescent="0.3"/>
    <row r="1156" ht="14.25" customHeight="1" x14ac:dyDescent="0.3"/>
    <row r="1157" ht="14.25" customHeight="1" x14ac:dyDescent="0.3"/>
    <row r="1158" ht="14.25" customHeight="1" x14ac:dyDescent="0.3"/>
    <row r="1159" ht="14.25" customHeight="1" x14ac:dyDescent="0.3"/>
    <row r="1160" ht="14.25" customHeight="1" x14ac:dyDescent="0.3"/>
  </sheetData>
  <sortState xmlns:xlrd2="http://schemas.microsoft.com/office/spreadsheetml/2017/richdata2" ref="A2:J595">
    <sortCondition ref="A2:A595"/>
    <sortCondition ref="B2:B595"/>
    <sortCondition ref="C2:C595"/>
    <sortCondition ref="F2:F595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ADCF-0661-4AA3-BDFD-E833F09FEB64}">
  <dimension ref="A1:M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8.6640625" bestFit="1" customWidth="1"/>
    <col min="2" max="2" width="18.5546875" bestFit="1" customWidth="1"/>
    <col min="12" max="12" width="15.88671875" bestFit="1" customWidth="1"/>
    <col min="13" max="13" width="16.5546875" bestFit="1" customWidth="1"/>
  </cols>
  <sheetData>
    <row r="1" spans="1:13" x14ac:dyDescent="0.3">
      <c r="A1" s="1" t="s">
        <v>779</v>
      </c>
      <c r="B1" t="s">
        <v>778</v>
      </c>
      <c r="L1" s="1" t="s">
        <v>780</v>
      </c>
      <c r="M1" t="s">
        <v>781</v>
      </c>
    </row>
    <row r="2" spans="1:13" x14ac:dyDescent="0.3">
      <c r="A2" s="12">
        <v>10</v>
      </c>
      <c r="B2" s="12">
        <v>166.67</v>
      </c>
      <c r="L2" s="12">
        <v>10</v>
      </c>
      <c r="M2" s="12">
        <v>166.67</v>
      </c>
    </row>
    <row r="3" spans="1:13" x14ac:dyDescent="0.3">
      <c r="A3" s="1">
        <v>20</v>
      </c>
      <c r="B3" s="1">
        <v>166.67</v>
      </c>
      <c r="L3" s="1">
        <v>20</v>
      </c>
      <c r="M3" s="1">
        <v>166.67</v>
      </c>
    </row>
    <row r="4" spans="1:13" x14ac:dyDescent="0.3">
      <c r="A4" s="1">
        <v>30</v>
      </c>
      <c r="B4" s="1">
        <v>166.67</v>
      </c>
      <c r="L4" s="1">
        <v>30</v>
      </c>
      <c r="M4" s="1">
        <v>166.67</v>
      </c>
    </row>
    <row r="5" spans="1:13" x14ac:dyDescent="0.3">
      <c r="A5" s="1">
        <v>30</v>
      </c>
      <c r="B5" s="1">
        <v>166.67</v>
      </c>
      <c r="L5" s="1">
        <v>30</v>
      </c>
      <c r="M5" s="1">
        <v>166.67</v>
      </c>
    </row>
    <row r="6" spans="1:13" x14ac:dyDescent="0.3">
      <c r="A6" s="17">
        <v>70</v>
      </c>
      <c r="B6" s="17">
        <v>166.67</v>
      </c>
      <c r="L6" s="17">
        <v>70</v>
      </c>
      <c r="M6" s="17">
        <v>166.67</v>
      </c>
    </row>
    <row r="7" spans="1:13" x14ac:dyDescent="0.3">
      <c r="A7" s="1">
        <v>80</v>
      </c>
      <c r="B7" s="1">
        <v>166.67</v>
      </c>
      <c r="L7" s="1">
        <v>80</v>
      </c>
      <c r="M7" s="1">
        <v>166.67</v>
      </c>
    </row>
    <row r="8" spans="1:13" x14ac:dyDescent="0.3">
      <c r="A8" s="12">
        <v>130</v>
      </c>
      <c r="B8" s="12">
        <f>5*166.67</f>
        <v>833.34999999999991</v>
      </c>
      <c r="L8" s="12">
        <v>130</v>
      </c>
      <c r="M8" s="12">
        <f>5*166.67</f>
        <v>833.34999999999991</v>
      </c>
    </row>
    <row r="9" spans="1:13" x14ac:dyDescent="0.3">
      <c r="A9" s="6">
        <v>170</v>
      </c>
      <c r="B9" s="6">
        <f>11*167.67</f>
        <v>1844.37</v>
      </c>
      <c r="L9" s="6">
        <v>170</v>
      </c>
      <c r="M9" s="6">
        <f>11*167.67</f>
        <v>1844.37</v>
      </c>
    </row>
    <row r="10" spans="1:13" x14ac:dyDescent="0.3">
      <c r="A10" s="6">
        <v>280</v>
      </c>
      <c r="B10" s="6">
        <f>3*166.67</f>
        <v>500.01</v>
      </c>
      <c r="L10" s="6">
        <v>280</v>
      </c>
      <c r="M10" s="6">
        <f>3*166.67</f>
        <v>500.01</v>
      </c>
    </row>
    <row r="11" spans="1:13" x14ac:dyDescent="0.3">
      <c r="A11" s="12">
        <v>330</v>
      </c>
      <c r="B11" s="12">
        <f>3*166.67</f>
        <v>500.01</v>
      </c>
      <c r="L11" s="12">
        <v>330</v>
      </c>
      <c r="M11" s="12">
        <f>3*166.67</f>
        <v>500.01</v>
      </c>
    </row>
    <row r="12" spans="1:13" x14ac:dyDescent="0.3">
      <c r="A12" s="1">
        <v>350</v>
      </c>
      <c r="B12" s="1">
        <v>166.67</v>
      </c>
      <c r="L12" s="1">
        <v>350</v>
      </c>
      <c r="M12" s="1">
        <v>166.67</v>
      </c>
    </row>
    <row r="13" spans="1:13" x14ac:dyDescent="0.3">
      <c r="A13" s="12">
        <v>550</v>
      </c>
      <c r="B13" s="12">
        <f>5*166.67</f>
        <v>833.34999999999991</v>
      </c>
      <c r="L13" s="12">
        <v>550</v>
      </c>
      <c r="M13" s="12">
        <f>5*166.67</f>
        <v>833.34999999999991</v>
      </c>
    </row>
    <row r="14" spans="1:13" x14ac:dyDescent="0.3">
      <c r="A14" s="6">
        <v>740</v>
      </c>
      <c r="B14" s="6">
        <f>8*166.67</f>
        <v>1333.36</v>
      </c>
      <c r="L14" s="6">
        <v>740</v>
      </c>
      <c r="M14" s="6">
        <f>8*166.67</f>
        <v>1333.36</v>
      </c>
    </row>
    <row r="15" spans="1:13" x14ac:dyDescent="0.3">
      <c r="A15" s="1">
        <v>780</v>
      </c>
      <c r="B15" s="1">
        <f>2*166.67</f>
        <v>333.34</v>
      </c>
      <c r="L15" s="1">
        <v>780</v>
      </c>
      <c r="M15" s="1">
        <f>2*166.67</f>
        <v>333.34</v>
      </c>
    </row>
    <row r="16" spans="1:13" x14ac:dyDescent="0.3">
      <c r="A16" s="1">
        <v>970</v>
      </c>
      <c r="B16" s="12">
        <f>3*166.67</f>
        <v>500.01</v>
      </c>
      <c r="L16" s="1">
        <v>970</v>
      </c>
      <c r="M16" s="12">
        <f>3*166.67</f>
        <v>500.01</v>
      </c>
    </row>
    <row r="17" spans="1:13" x14ac:dyDescent="0.3">
      <c r="A17" s="12">
        <v>1130</v>
      </c>
      <c r="B17" s="12">
        <f>36*166.67</f>
        <v>6000.12</v>
      </c>
      <c r="L17" s="12">
        <v>1130</v>
      </c>
      <c r="M17" s="12">
        <f>36*166.67</f>
        <v>6000.12</v>
      </c>
    </row>
    <row r="18" spans="1:13" x14ac:dyDescent="0.3">
      <c r="A18" s="12">
        <v>1300</v>
      </c>
      <c r="B18" s="12">
        <f>23*166.67</f>
        <v>3833.41</v>
      </c>
      <c r="L18" s="12">
        <v>1300</v>
      </c>
      <c r="M18" s="12">
        <f>23*166.67</f>
        <v>3833.41</v>
      </c>
    </row>
    <row r="19" spans="1:13" x14ac:dyDescent="0.3">
      <c r="A19" s="12">
        <f>8*166.67</f>
        <v>1333.36</v>
      </c>
      <c r="B19" s="12">
        <v>1030</v>
      </c>
      <c r="L19" s="12">
        <f>8*166.67</f>
        <v>1333.36</v>
      </c>
      <c r="M19" s="12">
        <v>1030</v>
      </c>
    </row>
    <row r="20" spans="1:13" x14ac:dyDescent="0.3">
      <c r="A20" s="1">
        <v>1580</v>
      </c>
      <c r="B20" s="1">
        <v>0</v>
      </c>
      <c r="L20" s="1">
        <v>1580</v>
      </c>
      <c r="M20" s="1">
        <v>0</v>
      </c>
    </row>
    <row r="21" spans="1:13" x14ac:dyDescent="0.3">
      <c r="A21" s="12">
        <v>1600</v>
      </c>
      <c r="B21" s="12">
        <f>6*166.67</f>
        <v>1000.02</v>
      </c>
      <c r="L21" s="12">
        <v>1600</v>
      </c>
      <c r="M21" s="12">
        <f>6*166.67</f>
        <v>1000.02</v>
      </c>
    </row>
    <row r="22" spans="1:13" x14ac:dyDescent="0.3">
      <c r="A22" s="12">
        <v>1600</v>
      </c>
      <c r="B22" s="6">
        <f>16*166.67</f>
        <v>2666.72</v>
      </c>
      <c r="L22" s="12">
        <v>1600</v>
      </c>
      <c r="M22" s="6">
        <f>16*166.67</f>
        <v>2666.72</v>
      </c>
    </row>
    <row r="23" spans="1:13" x14ac:dyDescent="0.3">
      <c r="A23" s="12">
        <v>1670</v>
      </c>
      <c r="B23" s="12">
        <f>42*166.67</f>
        <v>7000.1399999999994</v>
      </c>
    </row>
    <row r="24" spans="1:13" x14ac:dyDescent="0.3">
      <c r="A24" s="12">
        <f>(102+79)*10</f>
        <v>1810</v>
      </c>
      <c r="B24" s="12">
        <f>102*166.67</f>
        <v>17000.34</v>
      </c>
    </row>
    <row r="25" spans="1:13" x14ac:dyDescent="0.3">
      <c r="A25" s="12">
        <v>1960</v>
      </c>
      <c r="B25" s="12">
        <f>37*166.67</f>
        <v>6166.79</v>
      </c>
    </row>
    <row r="26" spans="1:13" x14ac:dyDescent="0.3">
      <c r="A26" s="6">
        <v>2270</v>
      </c>
      <c r="B26" s="6">
        <f>94*166.67</f>
        <v>15666.98</v>
      </c>
    </row>
    <row r="27" spans="1:13" x14ac:dyDescent="0.3">
      <c r="A27" s="6">
        <v>2320</v>
      </c>
      <c r="B27" s="6">
        <f>57*166.67</f>
        <v>9500.1899999999987</v>
      </c>
    </row>
    <row r="28" spans="1:13" x14ac:dyDescent="0.3">
      <c r="A28" s="12">
        <f>(48+269)*10</f>
        <v>3170</v>
      </c>
      <c r="B28" s="12">
        <f>48*166.67</f>
        <v>8000.16</v>
      </c>
    </row>
    <row r="29" spans="1:13" x14ac:dyDescent="0.3">
      <c r="A29" s="12">
        <f>(31+296)*10</f>
        <v>3270</v>
      </c>
      <c r="B29" s="12">
        <f>31*166.67</f>
        <v>5166.7699999999995</v>
      </c>
    </row>
    <row r="30" spans="1:13" x14ac:dyDescent="0.3">
      <c r="A30" s="6">
        <v>3590</v>
      </c>
      <c r="B30" s="6">
        <f>104*166.67</f>
        <v>17333.68</v>
      </c>
    </row>
    <row r="31" spans="1:13" x14ac:dyDescent="0.3">
      <c r="A31" s="6">
        <v>4610</v>
      </c>
      <c r="B31" s="6">
        <f>44*166.67</f>
        <v>7333.48</v>
      </c>
    </row>
    <row r="32" spans="1:13" x14ac:dyDescent="0.3">
      <c r="A32" s="6">
        <v>4620</v>
      </c>
      <c r="B32" s="6">
        <f>144*166.67</f>
        <v>24000.48</v>
      </c>
    </row>
    <row r="33" spans="1:2" x14ac:dyDescent="0.3">
      <c r="A33" s="12">
        <f>39*166.67</f>
        <v>6500.1299999999992</v>
      </c>
      <c r="B33" s="12">
        <v>1120</v>
      </c>
    </row>
    <row r="34" spans="1:2" x14ac:dyDescent="0.3">
      <c r="A34" s="6">
        <f>9470</f>
        <v>9470</v>
      </c>
      <c r="B34" s="6">
        <f>202*166.67</f>
        <v>33667.339999999997</v>
      </c>
    </row>
    <row r="35" spans="1:2" x14ac:dyDescent="0.3">
      <c r="A35" s="6">
        <f>12220</f>
        <v>12220</v>
      </c>
      <c r="B35" s="6">
        <f>174*166.67</f>
        <v>29000.579999999998</v>
      </c>
    </row>
    <row r="36" spans="1:2" x14ac:dyDescent="0.3">
      <c r="A36" s="12">
        <v>110000</v>
      </c>
      <c r="B36" s="12">
        <f>271*166.67</f>
        <v>45167.57</v>
      </c>
    </row>
  </sheetData>
  <sortState xmlns:xlrd2="http://schemas.microsoft.com/office/spreadsheetml/2017/richdata2" ref="A2:B36">
    <sortCondition ref="A2:A3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3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5" customHeight="1" x14ac:dyDescent="0.3">
      <c r="A1" s="37" t="s">
        <v>819</v>
      </c>
    </row>
    <row r="2" spans="1:1" ht="14.25" customHeight="1" x14ac:dyDescent="0.3">
      <c r="A2" s="1" t="s">
        <v>776</v>
      </c>
    </row>
    <row r="3" spans="1:1" ht="14.25" customHeight="1" x14ac:dyDescent="0.3">
      <c r="A3" s="38" t="s">
        <v>823</v>
      </c>
    </row>
    <row r="4" spans="1:1" ht="14.25" customHeight="1" x14ac:dyDescent="0.3">
      <c r="A4" s="67" t="s">
        <v>994</v>
      </c>
    </row>
    <row r="5" spans="1:1" ht="14.25" customHeight="1" x14ac:dyDescent="0.3">
      <c r="A5" s="1" t="s">
        <v>777</v>
      </c>
    </row>
    <row r="6" spans="1:1" ht="14.25" customHeight="1" x14ac:dyDescent="0.3">
      <c r="A6" t="s">
        <v>808</v>
      </c>
    </row>
    <row r="7" spans="1:1" ht="14.25" customHeight="1" x14ac:dyDescent="0.3">
      <c r="A7" t="s">
        <v>820</v>
      </c>
    </row>
    <row r="8" spans="1:1" ht="14.25" customHeight="1" x14ac:dyDescent="0.3">
      <c r="A8" t="s">
        <v>962</v>
      </c>
    </row>
    <row r="9" spans="1:1" ht="14.25" customHeight="1" x14ac:dyDescent="0.3">
      <c r="A9" s="69" t="s">
        <v>1000</v>
      </c>
    </row>
    <row r="10" spans="1:1" ht="14.25" customHeight="1" x14ac:dyDescent="0.3"/>
    <row r="11" spans="1:1" ht="14.25" customHeight="1" x14ac:dyDescent="0.3">
      <c r="A11" s="37" t="s">
        <v>995</v>
      </c>
    </row>
    <row r="12" spans="1:1" ht="14.25" customHeight="1" x14ac:dyDescent="0.3">
      <c r="A12" s="69" t="s">
        <v>996</v>
      </c>
    </row>
    <row r="13" spans="1:1" ht="14.25" customHeight="1" x14ac:dyDescent="0.3">
      <c r="A13" s="69" t="s">
        <v>997</v>
      </c>
    </row>
    <row r="14" spans="1:1" ht="14.25" customHeight="1" x14ac:dyDescent="0.3">
      <c r="A14" s="69" t="s">
        <v>998</v>
      </c>
    </row>
    <row r="15" spans="1:1" ht="14.25" customHeight="1" x14ac:dyDescent="0.3">
      <c r="A15" s="69" t="s">
        <v>999</v>
      </c>
    </row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PlotData</vt:lpstr>
      <vt:lpstr>TreeData</vt:lpstr>
      <vt:lpstr>Monarchs</vt:lpstr>
      <vt:lpstr>FineFuels</vt:lpstr>
      <vt:lpstr>HeavyFuels</vt:lpstr>
      <vt:lpstr>RegenPlotSizeComp</vt:lpstr>
      <vt:lpstr>Notes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 -FS</dc:creator>
  <cp:lastModifiedBy>Meyer, Marc -FS</cp:lastModifiedBy>
  <dcterms:created xsi:type="dcterms:W3CDTF">2023-06-02T20:39:58Z</dcterms:created>
  <dcterms:modified xsi:type="dcterms:W3CDTF">2024-03-11T22:29:05Z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0x0101004A5B23C7F34C1D43AD8C2478D9B8EC09</vt:lpwstr>
  </property>
</Properties>
</file>