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tn\OneDrive\Documents\"/>
    </mc:Choice>
  </mc:AlternateContent>
  <xr:revisionPtr revIDLastSave="0" documentId="13_ncr:1_{4FDE8CEA-F58B-4C9A-A83A-6D0303EBDD66}" xr6:coauthVersionLast="47" xr6:coauthVersionMax="47" xr10:uidLastSave="{00000000-0000-0000-0000-000000000000}"/>
  <bookViews>
    <workbookView xWindow="-98" yWindow="622" windowWidth="20715" windowHeight="12435" firstSheet="1" activeTab="4" xr2:uid="{8B34E94C-73C1-4BE3-BD26-8D1EA1047B86}"/>
  </bookViews>
  <sheets>
    <sheet name="Initial analysis" sheetId="1" r:id="rId1"/>
    <sheet name="stabilized operations" sheetId="2" r:id="rId2"/>
    <sheet name="development + stabilized" sheetId="3" r:id="rId3"/>
    <sheet name="land value" sheetId="4" r:id="rId4"/>
    <sheet name="land value 2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5" l="1"/>
  <c r="B34" i="5"/>
  <c r="B25" i="5"/>
  <c r="B26" i="5" s="1"/>
  <c r="B24" i="5"/>
  <c r="B17" i="5"/>
  <c r="B15" i="5"/>
  <c r="B14" i="5"/>
  <c r="B13" i="5"/>
  <c r="B12" i="5"/>
  <c r="B7" i="5"/>
  <c r="B11" i="4"/>
  <c r="B9" i="4"/>
  <c r="B7" i="4"/>
  <c r="B6" i="4"/>
  <c r="B28" i="5" l="1"/>
  <c r="B8" i="5"/>
  <c r="B12" i="4"/>
  <c r="B14" i="4" s="1"/>
  <c r="B16" i="4" s="1"/>
  <c r="B9" i="5" l="1"/>
  <c r="B10" i="5" s="1"/>
  <c r="B29" i="5"/>
  <c r="B31" i="5" s="1"/>
  <c r="B16" i="5" l="1"/>
  <c r="B18" i="5" s="1"/>
  <c r="D18" i="5" s="1"/>
  <c r="D50" i="3"/>
  <c r="I49" i="3"/>
  <c r="I50" i="3" s="1"/>
  <c r="I57" i="3" s="1"/>
  <c r="H49" i="3"/>
  <c r="H50" i="3" s="1"/>
  <c r="H57" i="3" s="1"/>
  <c r="G49" i="3"/>
  <c r="G50" i="3" s="1"/>
  <c r="G57" i="3" s="1"/>
  <c r="F49" i="3"/>
  <c r="F50" i="3" s="1"/>
  <c r="F57" i="3" s="1"/>
  <c r="E49" i="3"/>
  <c r="E50" i="3" s="1"/>
  <c r="E57" i="3" s="1"/>
  <c r="D49" i="3"/>
  <c r="B47" i="3"/>
  <c r="B52" i="3" s="1"/>
  <c r="B42" i="3"/>
  <c r="E25" i="3"/>
  <c r="F25" i="3" s="1"/>
  <c r="G25" i="3" s="1"/>
  <c r="H25" i="3" s="1"/>
  <c r="I25" i="3" s="1"/>
  <c r="J25" i="3" s="1"/>
  <c r="G24" i="3"/>
  <c r="H24" i="3" s="1"/>
  <c r="I24" i="3" s="1"/>
  <c r="J24" i="3" s="1"/>
  <c r="F24" i="3"/>
  <c r="E24" i="3"/>
  <c r="E23" i="3"/>
  <c r="F23" i="3" s="1"/>
  <c r="G23" i="3" s="1"/>
  <c r="H23" i="3" s="1"/>
  <c r="I23" i="3" s="1"/>
  <c r="J23" i="3" s="1"/>
  <c r="E22" i="3"/>
  <c r="F22" i="3" s="1"/>
  <c r="G22" i="3" s="1"/>
  <c r="H22" i="3" s="1"/>
  <c r="I22" i="3" s="1"/>
  <c r="J22" i="3" s="1"/>
  <c r="E21" i="3"/>
  <c r="F21" i="3" s="1"/>
  <c r="G21" i="3" s="1"/>
  <c r="H21" i="3" s="1"/>
  <c r="I21" i="3" s="1"/>
  <c r="J21" i="3" s="1"/>
  <c r="G20" i="3"/>
  <c r="H20" i="3" s="1"/>
  <c r="I20" i="3" s="1"/>
  <c r="J20" i="3" s="1"/>
  <c r="F20" i="3"/>
  <c r="E20" i="3"/>
  <c r="I19" i="3"/>
  <c r="H19" i="3"/>
  <c r="G19" i="3"/>
  <c r="F19" i="3"/>
  <c r="E19" i="3"/>
  <c r="E26" i="3" s="1"/>
  <c r="J16" i="3"/>
  <c r="J15" i="3"/>
  <c r="J12" i="3"/>
  <c r="D24" i="2"/>
  <c r="E24" i="2" s="1"/>
  <c r="F24" i="2" s="1"/>
  <c r="G24" i="2" s="1"/>
  <c r="H24" i="2" s="1"/>
  <c r="D23" i="2"/>
  <c r="E23" i="2" s="1"/>
  <c r="F23" i="2" s="1"/>
  <c r="G23" i="2" s="1"/>
  <c r="H23" i="2" s="1"/>
  <c r="D22" i="2"/>
  <c r="E22" i="2" s="1"/>
  <c r="F22" i="2" s="1"/>
  <c r="G22" i="2" s="1"/>
  <c r="H22" i="2" s="1"/>
  <c r="D21" i="2"/>
  <c r="E21" i="2" s="1"/>
  <c r="F21" i="2" s="1"/>
  <c r="G21" i="2" s="1"/>
  <c r="H21" i="2" s="1"/>
  <c r="D20" i="2"/>
  <c r="E20" i="2" s="1"/>
  <c r="F20" i="2" s="1"/>
  <c r="G20" i="2" s="1"/>
  <c r="H20" i="2" s="1"/>
  <c r="D19" i="2"/>
  <c r="E19" i="2" s="1"/>
  <c r="F19" i="2" s="1"/>
  <c r="G19" i="2" s="1"/>
  <c r="H19" i="2" s="1"/>
  <c r="D15" i="2"/>
  <c r="E15" i="2" s="1"/>
  <c r="F15" i="2" s="1"/>
  <c r="G15" i="2" s="1"/>
  <c r="H15" i="2" s="1"/>
  <c r="D14" i="2"/>
  <c r="E14" i="2" s="1"/>
  <c r="F14" i="2" s="1"/>
  <c r="G14" i="2" s="1"/>
  <c r="H14" i="2" s="1"/>
  <c r="B31" i="1"/>
  <c r="B30" i="1"/>
  <c r="B23" i="1"/>
  <c r="N22" i="1"/>
  <c r="B9" i="1"/>
  <c r="B29" i="1" s="1"/>
  <c r="D8" i="1"/>
  <c r="D7" i="1"/>
  <c r="D6" i="1"/>
  <c r="J5" i="1"/>
  <c r="B22" i="1" s="1"/>
  <c r="D5" i="1"/>
  <c r="D4" i="1"/>
  <c r="D3" i="1"/>
  <c r="D9" i="1" s="1"/>
  <c r="B19" i="1" s="1"/>
  <c r="B20" i="5" l="1"/>
  <c r="B22" i="5" s="1"/>
  <c r="B39" i="5" s="1"/>
  <c r="F26" i="3"/>
  <c r="E28" i="3"/>
  <c r="E56" i="3" s="1"/>
  <c r="J13" i="3"/>
  <c r="J17" i="3" s="1"/>
  <c r="J14" i="3"/>
  <c r="D16" i="2"/>
  <c r="B20" i="1"/>
  <c r="B24" i="1" s="1"/>
  <c r="B21" i="1"/>
  <c r="B32" i="1"/>
  <c r="B27" i="1"/>
  <c r="B28" i="1"/>
  <c r="J19" i="3" l="1"/>
  <c r="J26" i="3" s="1"/>
  <c r="J28" i="3" s="1"/>
  <c r="I31" i="3" s="1"/>
  <c r="G26" i="3"/>
  <c r="F28" i="3"/>
  <c r="F56" i="3" s="1"/>
  <c r="E16" i="2"/>
  <c r="D18" i="2"/>
  <c r="D25" i="2" s="1"/>
  <c r="E25" i="2" s="1"/>
  <c r="F25" i="2" s="1"/>
  <c r="G25" i="2" s="1"/>
  <c r="H25" i="2" s="1"/>
  <c r="B35" i="1"/>
  <c r="B26" i="1"/>
  <c r="B33" i="1" s="1"/>
  <c r="I32" i="3" l="1"/>
  <c r="I33" i="3"/>
  <c r="I39" i="3" s="1"/>
  <c r="I51" i="3" s="1"/>
  <c r="I52" i="3" s="1"/>
  <c r="B53" i="3" s="1"/>
  <c r="H26" i="3"/>
  <c r="G28" i="3"/>
  <c r="G56" i="3" s="1"/>
  <c r="D27" i="2"/>
  <c r="E27" i="2"/>
  <c r="E18" i="2"/>
  <c r="F16" i="2"/>
  <c r="H29" i="1"/>
  <c r="H21" i="1"/>
  <c r="H20" i="1"/>
  <c r="H22" i="1"/>
  <c r="H31" i="1"/>
  <c r="H28" i="3" l="1"/>
  <c r="H56" i="3" s="1"/>
  <c r="I26" i="3"/>
  <c r="I28" i="3" s="1"/>
  <c r="F27" i="2"/>
  <c r="F18" i="2"/>
  <c r="G16" i="2"/>
  <c r="H24" i="1"/>
  <c r="I56" i="3" l="1"/>
  <c r="I42" i="3"/>
  <c r="B43" i="3" s="1"/>
  <c r="G27" i="2"/>
  <c r="G18" i="2"/>
  <c r="H16" i="2"/>
  <c r="L22" i="1"/>
  <c r="L23" i="1" s="1"/>
  <c r="H32" i="1"/>
  <c r="H33" i="1" s="1"/>
  <c r="H27" i="2" l="1"/>
  <c r="H18" i="2"/>
  <c r="H35" i="1"/>
</calcChain>
</file>

<file path=xl/sharedStrings.xml><?xml version="1.0" encoding="utf-8"?>
<sst xmlns="http://schemas.openxmlformats.org/spreadsheetml/2006/main" count="214" uniqueCount="131">
  <si>
    <t>Unit Mix</t>
  </si>
  <si>
    <t>Unit Types</t>
  </si>
  <si>
    <t># units</t>
  </si>
  <si>
    <t>Rent /Unit /Month</t>
  </si>
  <si>
    <t>Income Assumptions</t>
  </si>
  <si>
    <t>Debt Assumptions</t>
  </si>
  <si>
    <t>Studio</t>
  </si>
  <si>
    <t>Vacancy</t>
  </si>
  <si>
    <t>of rental revenue</t>
  </si>
  <si>
    <t>Cap Rate</t>
  </si>
  <si>
    <t>1/1</t>
  </si>
  <si>
    <t>Bad Debt</t>
  </si>
  <si>
    <t>1/1.5</t>
  </si>
  <si>
    <t>Parking Revenue</t>
  </si>
  <si>
    <t>per unit each month</t>
  </si>
  <si>
    <t>2/1</t>
  </si>
  <si>
    <t>Utility Reimbursement</t>
  </si>
  <si>
    <t>per unit per year</t>
  </si>
  <si>
    <t>2/2</t>
  </si>
  <si>
    <t>Loan Terms</t>
  </si>
  <si>
    <t>3/2</t>
  </si>
  <si>
    <t>Expenses</t>
  </si>
  <si>
    <t>Rate</t>
  </si>
  <si>
    <t>Total</t>
  </si>
  <si>
    <t>Property Management Fee</t>
  </si>
  <si>
    <t>of EGI</t>
  </si>
  <si>
    <t>Amortization (yrs)</t>
  </si>
  <si>
    <t>years</t>
  </si>
  <si>
    <t>Payroll, R&amp;M</t>
  </si>
  <si>
    <t>per unit</t>
  </si>
  <si>
    <t>Max LTV</t>
  </si>
  <si>
    <t>Admin</t>
  </si>
  <si>
    <t>Min DSCR</t>
  </si>
  <si>
    <t>Real estate taxes</t>
  </si>
  <si>
    <t>Max DY</t>
  </si>
  <si>
    <t>Insurance</t>
  </si>
  <si>
    <t>Per unit per year</t>
  </si>
  <si>
    <t>Utilities</t>
  </si>
  <si>
    <t>Replacement Reserve</t>
  </si>
  <si>
    <t>Total Project Costs</t>
  </si>
  <si>
    <t>Gross Potential Revenue - Apartment</t>
  </si>
  <si>
    <t>2) Maximum Debt Calculation</t>
  </si>
  <si>
    <t>3) Sources &amp; Uses</t>
  </si>
  <si>
    <t xml:space="preserve">Vacancy </t>
  </si>
  <si>
    <t>Loan at Max LTV</t>
  </si>
  <si>
    <t>Loan at Min DCR</t>
  </si>
  <si>
    <t>Sources</t>
  </si>
  <si>
    <t>Uses</t>
  </si>
  <si>
    <t>Other Rental Revenue</t>
  </si>
  <si>
    <t>Loan at Debt Yield</t>
  </si>
  <si>
    <t>Loan</t>
  </si>
  <si>
    <t>Other Misc Revenue</t>
  </si>
  <si>
    <t>Equity</t>
  </si>
  <si>
    <t>Effective Gross Income</t>
  </si>
  <si>
    <t>Estimated Loan Amount</t>
  </si>
  <si>
    <t>(Total Intitial Project Debt)</t>
  </si>
  <si>
    <t>Payroll, and R&amp;M</t>
  </si>
  <si>
    <t>Simple Ratios</t>
  </si>
  <si>
    <t>Overall Return (Cap Rate)</t>
  </si>
  <si>
    <t>NOI</t>
  </si>
  <si>
    <t>Annual Debt Service</t>
  </si>
  <si>
    <t>Total Expenses</t>
  </si>
  <si>
    <t>Cash Flow After Debt Service</t>
  </si>
  <si>
    <t>Net Operating Income</t>
  </si>
  <si>
    <t>Cash on Cash Return</t>
  </si>
  <si>
    <t>1) Proform NOI</t>
  </si>
  <si>
    <t>Assume a 5-year hold</t>
  </si>
  <si>
    <t>Revenue Inflation</t>
  </si>
  <si>
    <t>Exit Cap</t>
  </si>
  <si>
    <t>Vacancy (% of Rental Revenue)</t>
  </si>
  <si>
    <t>Closing Costs</t>
  </si>
  <si>
    <t>Bad Debt (% of Rental Revenue)</t>
  </si>
  <si>
    <t>Operating Expense Inflation</t>
  </si>
  <si>
    <t>Management Fee (% of EGI)</t>
  </si>
  <si>
    <t>Year</t>
  </si>
  <si>
    <t>Cash Flow from Sale</t>
  </si>
  <si>
    <t>Adjusted Sales Price</t>
  </si>
  <si>
    <t>Original Loan Balance</t>
  </si>
  <si>
    <t>Principal Payoff</t>
  </si>
  <si>
    <t>Remaining Loan Balance</t>
  </si>
  <si>
    <t>Unleveraged Cash Flow</t>
  </si>
  <si>
    <t>Unleveraged IRR</t>
  </si>
  <si>
    <t>Leveraged Cash Flow</t>
  </si>
  <si>
    <t>Intital Equity</t>
  </si>
  <si>
    <t>Operating CF</t>
  </si>
  <si>
    <t>CFADS</t>
  </si>
  <si>
    <t>Cash flow from Sale</t>
  </si>
  <si>
    <t>Total Leveraged CF</t>
  </si>
  <si>
    <t>Leveraged IRR</t>
  </si>
  <si>
    <t>Simple Measure Returns</t>
  </si>
  <si>
    <t>Overall Capitalization Rate</t>
  </si>
  <si>
    <t>Developers Profit</t>
  </si>
  <si>
    <t>Lease-up Vacancy</t>
  </si>
  <si>
    <t>Development</t>
  </si>
  <si>
    <t>Investment</t>
  </si>
  <si>
    <t>Adjusted Sales Price (use for Unlevered)</t>
  </si>
  <si>
    <t>Cash Flow from Sale (use of Levered)</t>
  </si>
  <si>
    <t>Propery XYZ</t>
  </si>
  <si>
    <t>EGI</t>
  </si>
  <si>
    <t>Expense Ratio</t>
  </si>
  <si>
    <t>Stablizied Value</t>
  </si>
  <si>
    <t>Total Development Costs</t>
  </si>
  <si>
    <t>Contingency Costs (5%)</t>
  </si>
  <si>
    <t>Developers Profit (10%)</t>
  </si>
  <si>
    <t>Total Costs and Devlopers Profit</t>
  </si>
  <si>
    <t>Residual Land Value</t>
  </si>
  <si>
    <t>location</t>
  </si>
  <si>
    <t>industrial</t>
  </si>
  <si>
    <t xml:space="preserve">size </t>
  </si>
  <si>
    <t>Gross Acres</t>
  </si>
  <si>
    <t>Per SF</t>
  </si>
  <si>
    <t>Net Rentable Income</t>
  </si>
  <si>
    <t xml:space="preserve">Reimbursable Expenses </t>
  </si>
  <si>
    <t xml:space="preserve">Effective Gross Income </t>
  </si>
  <si>
    <t>Real Estate Taxes</t>
  </si>
  <si>
    <t>Property Insurance</t>
  </si>
  <si>
    <t>Common Area Maintenance</t>
  </si>
  <si>
    <t>Management Fee</t>
  </si>
  <si>
    <t>Replacement Reserves</t>
  </si>
  <si>
    <t>Total Exoenses</t>
  </si>
  <si>
    <t>Value at Stabilization</t>
  </si>
  <si>
    <t>Project Hard Costs</t>
  </si>
  <si>
    <t>Site Costs</t>
  </si>
  <si>
    <t>Total Construction Costs</t>
  </si>
  <si>
    <t>Soft Costs (5%)</t>
  </si>
  <si>
    <t>Entrepeneurial Profit (10%)</t>
  </si>
  <si>
    <t>Total Costs &amp; Developers Profit</t>
  </si>
  <si>
    <t>Adjustments :</t>
  </si>
  <si>
    <t>Tenant Improvements</t>
  </si>
  <si>
    <t>Leasing Commissions (32%)</t>
  </si>
  <si>
    <t xml:space="preserve">Demolition Costs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</si>
</sst>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33">
    <xf numFmtId="0" fontId="0" fillId="0" borderId="0" xfId="0"/>
    <xf numFmtId="0" fontId="4" fillId="0" borderId="0" xfId="3" applyFont="1"/>
    <xf numFmtId="0" fontId="3" fillId="0" borderId="0" xfId="3"/>
    <xf numFmtId="0" fontId="1" fillId="0" borderId="0" xfId="3" applyFont="1"/>
    <xf numFmtId="164" fontId="0" fillId="0" borderId="0" xfId="1" applyNumberFormat="1" applyFont="1"/>
    <xf numFmtId="9" fontId="0" fillId="0" borderId="0" xfId="0" applyNumberFormat="1"/>
    <xf numFmtId="10" fontId="0" fillId="0" borderId="0" xfId="0" applyNumberFormat="1"/>
    <xf numFmtId="49" fontId="0" fillId="0" borderId="0" xfId="0" applyNumberFormat="1"/>
    <xf numFmtId="6" fontId="0" fillId="0" borderId="0" xfId="0" applyNumberFormat="1"/>
    <xf numFmtId="164" fontId="0" fillId="0" borderId="0" xfId="1" applyNumberFormat="1" applyFont="1" applyFill="1"/>
    <xf numFmtId="164" fontId="0" fillId="0" borderId="0" xfId="0" applyNumberFormat="1"/>
    <xf numFmtId="44" fontId="0" fillId="0" borderId="0" xfId="0" applyNumberFormat="1"/>
    <xf numFmtId="8" fontId="0" fillId="0" borderId="0" xfId="0" applyNumberFormat="1"/>
    <xf numFmtId="164" fontId="2" fillId="0" borderId="0" xfId="0" applyNumberFormat="1" applyFont="1"/>
    <xf numFmtId="44" fontId="2" fillId="0" borderId="0" xfId="0" applyNumberFormat="1" applyFont="1"/>
    <xf numFmtId="44" fontId="2" fillId="0" borderId="0" xfId="1" applyFont="1" applyFill="1"/>
    <xf numFmtId="44" fontId="2" fillId="0" borderId="0" xfId="1" applyFont="1"/>
    <xf numFmtId="44" fontId="0" fillId="0" borderId="0" xfId="1" applyFont="1"/>
    <xf numFmtId="10" fontId="0" fillId="0" borderId="0" xfId="2" applyNumberFormat="1" applyFont="1"/>
    <xf numFmtId="9" fontId="0" fillId="0" borderId="0" xfId="2" applyFont="1"/>
    <xf numFmtId="1" fontId="0" fillId="0" borderId="0" xfId="2" applyNumberFormat="1" applyFont="1"/>
    <xf numFmtId="3" fontId="0" fillId="0" borderId="0" xfId="0" applyNumberFormat="1"/>
    <xf numFmtId="4" fontId="0" fillId="0" borderId="0" xfId="0" applyNumberFormat="1"/>
    <xf numFmtId="0" fontId="0" fillId="2" borderId="0" xfId="0" applyFill="1"/>
    <xf numFmtId="164" fontId="0" fillId="0" borderId="0" xfId="0" applyNumberFormat="1" applyFill="1"/>
    <xf numFmtId="0" fontId="0" fillId="0" borderId="0" xfId="0" applyFill="1"/>
    <xf numFmtId="6" fontId="0" fillId="0" borderId="0" xfId="0" applyNumberFormat="1" applyFill="1"/>
    <xf numFmtId="0" fontId="2" fillId="0" borderId="0" xfId="0" applyFont="1" applyFill="1"/>
    <xf numFmtId="44" fontId="0" fillId="0" borderId="0" xfId="0" applyNumberFormat="1" applyFill="1"/>
    <xf numFmtId="44" fontId="0" fillId="0" borderId="0" xfId="1" applyFont="1" applyFill="1"/>
    <xf numFmtId="8" fontId="0" fillId="0" borderId="0" xfId="0" applyNumberFormat="1" applyFill="1"/>
    <xf numFmtId="10" fontId="0" fillId="0" borderId="0" xfId="2" applyNumberFormat="1" applyFont="1" applyFill="1"/>
    <xf numFmtId="44" fontId="2" fillId="0" borderId="0" xfId="0" applyNumberFormat="1" applyFont="1" applyFill="1"/>
  </cellXfs>
  <cellStyles count="4">
    <cellStyle name="Currency" xfId="1" builtinId="4"/>
    <cellStyle name="Normal" xfId="0" builtinId="0"/>
    <cellStyle name="Normal 2" xfId="3" xr:uid="{CB46A3BF-FDB4-4598-857A-150B89CA8D0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5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466530</xdr:colOff>
      <xdr:row>2</xdr:row>
      <xdr:rowOff>123750</xdr:rowOff>
    </xdr:from>
    <xdr:to>
      <xdr:col>3</xdr:col>
      <xdr:colOff>752370</xdr:colOff>
      <xdr:row>10</xdr:row>
      <xdr:rowOff>33510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9223C9A3-7F9B-2E70-28AB-887F3E1477E7}"/>
                </a:ext>
              </a:extLst>
            </xdr14:cNvPr>
            <xdr14:cNvContentPartPr/>
          </xdr14:nvContentPartPr>
          <xdr14:nvPr macro=""/>
          <xdr14:xfrm>
            <a:off x="2733480" y="523800"/>
            <a:ext cx="285840" cy="13575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223C9A3-7F9B-2E70-28AB-887F3E1477E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679840" y="416160"/>
              <a:ext cx="393480" cy="157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132877</xdr:colOff>
      <xdr:row>8</xdr:row>
      <xdr:rowOff>47340</xdr:rowOff>
    </xdr:from>
    <xdr:to>
      <xdr:col>4</xdr:col>
      <xdr:colOff>133237</xdr:colOff>
      <xdr:row>8</xdr:row>
      <xdr:rowOff>47700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A0EAA399-98DE-BB06-9D1F-D7BD02697427}"/>
                </a:ext>
              </a:extLst>
            </xdr14:cNvPr>
            <xdr14:cNvContentPartPr/>
          </xdr14:nvContentPartPr>
          <xdr14:nvPr macro=""/>
          <xdr14:xfrm>
            <a:off x="3185640" y="1533240"/>
            <a:ext cx="360" cy="36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A0EAA399-98DE-BB06-9D1F-D7BD0269742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132000" y="142560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347370</xdr:colOff>
      <xdr:row>5</xdr:row>
      <xdr:rowOff>13545</xdr:rowOff>
    </xdr:from>
    <xdr:to>
      <xdr:col>4</xdr:col>
      <xdr:colOff>403237</xdr:colOff>
      <xdr:row>5</xdr:row>
      <xdr:rowOff>85905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0BCDD670-B788-D783-041D-507E5E06F983}"/>
                </a:ext>
              </a:extLst>
            </xdr14:cNvPr>
            <xdr14:cNvContentPartPr/>
          </xdr14:nvContentPartPr>
          <xdr14:nvPr macro=""/>
          <xdr14:xfrm>
            <a:off x="2614320" y="956520"/>
            <a:ext cx="841680" cy="7236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0BCDD670-B788-D783-041D-507E5E06F98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560680" y="848520"/>
              <a:ext cx="949320" cy="28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604410</xdr:colOff>
      <xdr:row>11</xdr:row>
      <xdr:rowOff>157095</xdr:rowOff>
    </xdr:from>
    <xdr:to>
      <xdr:col>3</xdr:col>
      <xdr:colOff>604770</xdr:colOff>
      <xdr:row>11</xdr:row>
      <xdr:rowOff>157455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78B04929-BE77-B03F-F2AF-5F2DF0E9FC58}"/>
                </a:ext>
              </a:extLst>
            </xdr14:cNvPr>
            <xdr14:cNvContentPartPr/>
          </xdr14:nvContentPartPr>
          <xdr14:nvPr macro=""/>
          <xdr14:xfrm>
            <a:off x="2871360" y="2185920"/>
            <a:ext cx="360" cy="36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78B04929-BE77-B03F-F2AF-5F2DF0E9FC5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17720" y="207828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218917</xdr:colOff>
      <xdr:row>3</xdr:row>
      <xdr:rowOff>14055</xdr:rowOff>
    </xdr:from>
    <xdr:to>
      <xdr:col>4</xdr:col>
      <xdr:colOff>219277</xdr:colOff>
      <xdr:row>3</xdr:row>
      <xdr:rowOff>14415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E2ECFBD3-557F-368C-EF0F-26ECE7AF1DB4}"/>
                </a:ext>
              </a:extLst>
            </xdr14:cNvPr>
            <xdr14:cNvContentPartPr/>
          </xdr14:nvContentPartPr>
          <xdr14:nvPr macro=""/>
          <xdr14:xfrm>
            <a:off x="3271680" y="595080"/>
            <a:ext cx="360" cy="36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E2ECFBD3-557F-368C-EF0F-26ECE7AF1DB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218040" y="48744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ritn\OneDrive\Documents\development%20final.xlsx" TargetMode="External"/><Relationship Id="rId1" Type="http://schemas.openxmlformats.org/officeDocument/2006/relationships/externalLinkPath" Target="development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Question 1"/>
      <sheetName val="Question 2 Inital Analysis"/>
      <sheetName val="Stabilized Operations"/>
      <sheetName val="Development + Stabilized"/>
    </sheetNames>
    <sheetDataSet>
      <sheetData sheetId="0"/>
      <sheetData sheetId="1">
        <row r="19">
          <cell r="H19">
            <v>23696251</v>
          </cell>
        </row>
        <row r="34">
          <cell r="H34">
            <v>-1271511.9525622139</v>
          </cell>
        </row>
      </sheetData>
      <sheetData sheetId="2">
        <row r="42">
          <cell r="B42">
            <v>-23696251</v>
          </cell>
        </row>
        <row r="47">
          <cell r="B47">
            <v>-5539250</v>
          </cell>
        </row>
      </sheetData>
      <sheetData sheetId="3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8T20:35:50.830"/>
    </inkml:context>
    <inkml:brush xml:id="br0">
      <inkml:brushProperty name="width" value="0.3" units="cm"/>
      <inkml:brushProperty name="height" value="0.6" units="cm"/>
      <inkml:brushProperty name="color" value="#FFFFFF"/>
      <inkml:brushProperty name="tip" value="rectangle"/>
      <inkml:brushProperty name="rasterOp" value="maskPen"/>
      <inkml:brushProperty name="ignorePressure" value="1"/>
    </inkml:brush>
  </inkml:definitions>
  <inkml:trace contextRef="#ctx0" brushRef="#br0">173 14,'3'200,"8"0,57 306,-48-407,66 380,-84-460,40 269,16 216,-57-402,-1-91</inkml:trace>
  <inkml:trace contextRef="#ctx0" brushRef="#br0" timeOffset="1095.25">490 953</inkml:trace>
  <inkml:trace contextRef="#ctx0" brushRef="#br0" timeOffset="1396.47">794 993</inkml:trace>
  <inkml:trace contextRef="#ctx0" brushRef="#br0" timeOffset="3182.61">1 1,'21'427,"41"17,-39-284,-3-15,37 210,41 228,-84-484,-6-30,5 31,-2-39,5 107,-15 65,-1-132,0-87</inkml:trace>
  <inkml:trace contextRef="#ctx0" brushRef="#br0" timeOffset="4053.72">93 3771,'0'0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8T20:35:56.182"/>
    </inkml:context>
    <inkml:brush xml:id="br0">
      <inkml:brushProperty name="width" value="0.3" units="cm"/>
      <inkml:brushProperty name="height" value="0.6" units="cm"/>
      <inkml:brushProperty name="color" value="#FFFF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  <inkml:trace contextRef="#ctx0" brushRef="#br0" timeOffset="188.27">1 1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8T20:35:57.936"/>
    </inkml:context>
    <inkml:brush xml:id="br0">
      <inkml:brushProperty name="width" value="0.3" units="cm"/>
      <inkml:brushProperty name="height" value="0.6" units="cm"/>
      <inkml:brushProperty name="color" value="#FFFF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1 201,'288'-14,"0"-17,113-7,-84 26,-25 1,52-1,-239 14,132 18,-174-6,-61-12,-6-1,-11-1,-13-4,-34-9,6 1,-207-29,-485-11,233 55,330 9,-59 3,207-15,-82-2,115 2,0 0,0 0,1-1,-1 0,0 0,0 0,1 0,-1 0,1-1,-1 0,-4-2,1-4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8T20:36:02.466"/>
    </inkml:context>
    <inkml:brush xml:id="br0">
      <inkml:brushProperty name="width" value="0.3" units="cm"/>
      <inkml:brushProperty name="height" value="0.6" units="cm"/>
      <inkml:brushProperty name="color" value="#FFFF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1,'0'0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8T20:36:04.729"/>
    </inkml:context>
    <inkml:brush xml:id="br0">
      <inkml:brushProperty name="width" value="0.3" units="cm"/>
      <inkml:brushProperty name="height" value="0.6" units="cm"/>
      <inkml:brushProperty name="color" value="#FFFF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6483-21AF-4BDA-9D9B-2B9979A66E31}">
  <dimension ref="A1:N35"/>
  <sheetViews>
    <sheetView topLeftCell="B1" workbookViewId="0">
      <selection activeCell="M24" sqref="M24"/>
    </sheetView>
  </sheetViews>
  <sheetFormatPr defaultRowHeight="14.25" x14ac:dyDescent="0.45"/>
  <cols>
    <col min="1" max="1" width="29.46484375" bestFit="1" customWidth="1"/>
    <col min="2" max="2" width="13.59765625" bestFit="1" customWidth="1"/>
    <col min="4" max="4" width="11" bestFit="1" customWidth="1"/>
    <col min="7" max="7" width="24.19921875" bestFit="1" customWidth="1"/>
    <col min="8" max="8" width="14.59765625" bestFit="1" customWidth="1"/>
    <col min="9" max="9" width="16.33203125" bestFit="1" customWidth="1"/>
    <col min="11" max="11" width="17.1328125" bestFit="1" customWidth="1"/>
    <col min="12" max="12" width="14.59765625" bestFit="1" customWidth="1"/>
    <col min="13" max="13" width="15.3984375" bestFit="1" customWidth="1"/>
    <col min="14" max="14" width="11.3984375" bestFit="1" customWidth="1"/>
  </cols>
  <sheetData>
    <row r="1" spans="1:14" ht="15.75" x14ac:dyDescent="0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ht="15.75" x14ac:dyDescent="0.5">
      <c r="A2" s="3" t="s">
        <v>1</v>
      </c>
      <c r="B2" s="3" t="s">
        <v>2</v>
      </c>
      <c r="C2" s="3" t="s">
        <v>3</v>
      </c>
      <c r="D2" s="3"/>
      <c r="E2" s="2"/>
      <c r="F2" s="2"/>
      <c r="G2" s="1" t="s">
        <v>4</v>
      </c>
      <c r="H2" s="2"/>
      <c r="I2" s="2"/>
      <c r="J2" s="2"/>
      <c r="K2" s="1" t="s">
        <v>5</v>
      </c>
    </row>
    <row r="3" spans="1:14" x14ac:dyDescent="0.45">
      <c r="A3" t="s">
        <v>6</v>
      </c>
      <c r="B3">
        <v>12</v>
      </c>
      <c r="C3" s="4">
        <v>950</v>
      </c>
      <c r="D3" s="24">
        <f t="shared" ref="D3:D8" si="0">B3*C3*12</f>
        <v>136800</v>
      </c>
      <c r="G3" t="s">
        <v>7</v>
      </c>
      <c r="H3" s="5">
        <v>0.05</v>
      </c>
      <c r="I3" t="s">
        <v>8</v>
      </c>
      <c r="K3" t="s">
        <v>9</v>
      </c>
      <c r="L3" s="6">
        <v>6.5000000000000002E-2</v>
      </c>
    </row>
    <row r="4" spans="1:14" x14ac:dyDescent="0.45">
      <c r="A4" s="7" t="s">
        <v>10</v>
      </c>
      <c r="B4">
        <v>48</v>
      </c>
      <c r="C4" s="4">
        <v>1100</v>
      </c>
      <c r="D4" s="24">
        <f t="shared" si="0"/>
        <v>633600</v>
      </c>
      <c r="G4" t="s">
        <v>11</v>
      </c>
      <c r="H4" s="5">
        <v>0.01</v>
      </c>
      <c r="I4" t="s">
        <v>8</v>
      </c>
    </row>
    <row r="5" spans="1:14" x14ac:dyDescent="0.45">
      <c r="A5" t="s">
        <v>12</v>
      </c>
      <c r="B5">
        <v>14</v>
      </c>
      <c r="C5" s="4">
        <v>1200</v>
      </c>
      <c r="D5" s="24">
        <f t="shared" si="0"/>
        <v>201600</v>
      </c>
      <c r="G5" t="s">
        <v>13</v>
      </c>
      <c r="H5" s="8">
        <v>50</v>
      </c>
      <c r="I5" t="s">
        <v>14</v>
      </c>
      <c r="J5" s="8">
        <f>H5*B9*12</f>
        <v>88800</v>
      </c>
    </row>
    <row r="6" spans="1:14" x14ac:dyDescent="0.45">
      <c r="A6" s="7" t="s">
        <v>15</v>
      </c>
      <c r="B6">
        <v>28</v>
      </c>
      <c r="C6" s="4">
        <v>1600</v>
      </c>
      <c r="D6" s="24">
        <f t="shared" si="0"/>
        <v>537600</v>
      </c>
      <c r="G6" t="s">
        <v>16</v>
      </c>
      <c r="H6" s="8">
        <v>23532</v>
      </c>
      <c r="I6" t="s">
        <v>17</v>
      </c>
    </row>
    <row r="7" spans="1:14" x14ac:dyDescent="0.45">
      <c r="A7" s="7" t="s">
        <v>18</v>
      </c>
      <c r="B7">
        <v>36</v>
      </c>
      <c r="C7" s="4">
        <v>2500</v>
      </c>
      <c r="D7" s="24">
        <f t="shared" si="0"/>
        <v>1080000</v>
      </c>
      <c r="K7" t="s">
        <v>19</v>
      </c>
    </row>
    <row r="8" spans="1:14" x14ac:dyDescent="0.45">
      <c r="A8" s="7" t="s">
        <v>20</v>
      </c>
      <c r="B8">
        <v>10</v>
      </c>
      <c r="C8" s="4">
        <v>3200</v>
      </c>
      <c r="D8" s="24">
        <f t="shared" si="0"/>
        <v>384000</v>
      </c>
      <c r="G8" t="s">
        <v>21</v>
      </c>
      <c r="K8" t="s">
        <v>22</v>
      </c>
      <c r="L8" s="6">
        <v>5.7500000000000002E-2</v>
      </c>
    </row>
    <row r="9" spans="1:14" x14ac:dyDescent="0.45">
      <c r="A9" s="7" t="s">
        <v>23</v>
      </c>
      <c r="B9" s="23">
        <f>SUM(B3:B8)</f>
        <v>148</v>
      </c>
      <c r="D9" s="24">
        <f>SUM(D3:D8)</f>
        <v>2973600</v>
      </c>
      <c r="G9" t="s">
        <v>24</v>
      </c>
      <c r="H9" s="6">
        <v>2.5000000000000001E-2</v>
      </c>
      <c r="I9" t="s">
        <v>25</v>
      </c>
      <c r="K9" t="s">
        <v>26</v>
      </c>
      <c r="L9">
        <v>30</v>
      </c>
      <c r="M9" t="s">
        <v>27</v>
      </c>
    </row>
    <row r="10" spans="1:14" x14ac:dyDescent="0.45">
      <c r="G10" t="s">
        <v>28</v>
      </c>
      <c r="H10" s="8">
        <v>3000</v>
      </c>
      <c r="I10" t="s">
        <v>29</v>
      </c>
      <c r="K10" t="s">
        <v>30</v>
      </c>
      <c r="L10" s="5">
        <v>0.65</v>
      </c>
    </row>
    <row r="11" spans="1:14" x14ac:dyDescent="0.45">
      <c r="G11" t="s">
        <v>31</v>
      </c>
      <c r="H11" s="8">
        <v>412</v>
      </c>
      <c r="I11" t="s">
        <v>17</v>
      </c>
      <c r="K11" t="s">
        <v>32</v>
      </c>
      <c r="L11">
        <v>1.35</v>
      </c>
    </row>
    <row r="12" spans="1:14" x14ac:dyDescent="0.45">
      <c r="G12" t="s">
        <v>33</v>
      </c>
      <c r="H12" s="8">
        <v>2223</v>
      </c>
      <c r="I12" t="s">
        <v>17</v>
      </c>
      <c r="K12" t="s">
        <v>34</v>
      </c>
      <c r="L12" s="5">
        <v>0.08</v>
      </c>
    </row>
    <row r="13" spans="1:14" x14ac:dyDescent="0.45">
      <c r="G13" t="s">
        <v>35</v>
      </c>
      <c r="H13" s="8">
        <v>279</v>
      </c>
      <c r="I13" t="s">
        <v>36</v>
      </c>
    </row>
    <row r="14" spans="1:14" x14ac:dyDescent="0.45">
      <c r="G14" t="s">
        <v>37</v>
      </c>
      <c r="H14" s="4">
        <v>822</v>
      </c>
      <c r="I14" t="s">
        <v>17</v>
      </c>
    </row>
    <row r="15" spans="1:14" x14ac:dyDescent="0.45">
      <c r="G15" t="s">
        <v>38</v>
      </c>
      <c r="H15" s="8">
        <v>150</v>
      </c>
      <c r="I15" t="s">
        <v>17</v>
      </c>
    </row>
    <row r="16" spans="1:14" x14ac:dyDescent="0.4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1:14" x14ac:dyDescent="0.45">
      <c r="A17" s="25"/>
      <c r="B17" s="25"/>
      <c r="C17" s="25"/>
      <c r="D17" s="25"/>
      <c r="E17" s="25"/>
      <c r="F17" s="25"/>
      <c r="G17" s="25" t="s">
        <v>39</v>
      </c>
      <c r="H17" s="26">
        <v>23696251</v>
      </c>
      <c r="I17" s="25"/>
      <c r="J17" s="25"/>
      <c r="K17" s="25"/>
      <c r="L17" s="25"/>
      <c r="M17" s="25"/>
      <c r="N17" s="25"/>
    </row>
    <row r="18" spans="1:14" x14ac:dyDescent="0.45">
      <c r="A18" s="27" t="s">
        <v>65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45">
      <c r="A19" s="25" t="s">
        <v>40</v>
      </c>
      <c r="B19" s="24">
        <f>D9</f>
        <v>2973600</v>
      </c>
      <c r="C19" s="25"/>
      <c r="D19" s="25"/>
      <c r="E19" s="25"/>
      <c r="F19" s="25"/>
      <c r="G19" s="27" t="s">
        <v>41</v>
      </c>
      <c r="H19" s="25"/>
      <c r="I19" s="25"/>
      <c r="J19" s="25"/>
      <c r="K19" s="27" t="s">
        <v>42</v>
      </c>
      <c r="L19" s="25"/>
      <c r="M19" s="25"/>
      <c r="N19" s="25"/>
    </row>
    <row r="20" spans="1:14" x14ac:dyDescent="0.45">
      <c r="A20" s="25" t="s">
        <v>43</v>
      </c>
      <c r="B20" s="24">
        <f>(B19)*H3</f>
        <v>148680</v>
      </c>
      <c r="C20" s="25"/>
      <c r="D20" s="25"/>
      <c r="E20" s="25"/>
      <c r="F20" s="25"/>
      <c r="G20" s="25" t="s">
        <v>44</v>
      </c>
      <c r="H20" s="28">
        <f>(B35/L3)*L10</f>
        <v>18157001</v>
      </c>
      <c r="I20" s="25"/>
      <c r="J20" s="25"/>
      <c r="K20" s="25"/>
      <c r="L20" s="25"/>
      <c r="M20" s="25"/>
      <c r="N20" s="25"/>
    </row>
    <row r="21" spans="1:14" x14ac:dyDescent="0.45">
      <c r="A21" s="25" t="s">
        <v>11</v>
      </c>
      <c r="B21" s="24">
        <f>B19*H4</f>
        <v>29736</v>
      </c>
      <c r="C21" s="25"/>
      <c r="D21" s="25"/>
      <c r="E21" s="25"/>
      <c r="F21" s="25"/>
      <c r="G21" s="25" t="s">
        <v>45</v>
      </c>
      <c r="H21" s="29">
        <f>PV(L8/12,L9*12,B35/12/L11)*-1</f>
        <v>19205871.528958116</v>
      </c>
      <c r="I21" s="25"/>
      <c r="J21" s="25"/>
      <c r="K21" s="25" t="s">
        <v>46</v>
      </c>
      <c r="L21" s="25"/>
      <c r="M21" s="25" t="s">
        <v>47</v>
      </c>
      <c r="N21" s="25"/>
    </row>
    <row r="22" spans="1:14" x14ac:dyDescent="0.45">
      <c r="A22" s="25" t="s">
        <v>48</v>
      </c>
      <c r="B22" s="26">
        <f>J5</f>
        <v>88800</v>
      </c>
      <c r="C22" s="25"/>
      <c r="D22" s="25"/>
      <c r="E22" s="25"/>
      <c r="F22" s="25"/>
      <c r="G22" s="25" t="s">
        <v>49</v>
      </c>
      <c r="H22" s="28">
        <f>B35/L12</f>
        <v>22696251.25</v>
      </c>
      <c r="I22" s="25"/>
      <c r="J22" s="25"/>
      <c r="K22" s="25" t="s">
        <v>50</v>
      </c>
      <c r="L22" s="28">
        <f>H24</f>
        <v>18157001</v>
      </c>
      <c r="M22" s="25" t="s">
        <v>39</v>
      </c>
      <c r="N22" s="26">
        <f>H17</f>
        <v>23696251</v>
      </c>
    </row>
    <row r="23" spans="1:14" x14ac:dyDescent="0.45">
      <c r="A23" s="25" t="s">
        <v>51</v>
      </c>
      <c r="B23" s="26">
        <f>H6</f>
        <v>23532</v>
      </c>
      <c r="C23" s="25"/>
      <c r="D23" s="25"/>
      <c r="E23" s="25"/>
      <c r="F23" s="25"/>
      <c r="G23" s="25"/>
      <c r="H23" s="25"/>
      <c r="I23" s="25"/>
      <c r="J23" s="25"/>
      <c r="K23" s="25" t="s">
        <v>52</v>
      </c>
      <c r="L23" s="30">
        <f>N22-L22</f>
        <v>5539250</v>
      </c>
      <c r="M23" s="25"/>
      <c r="N23" s="25"/>
    </row>
    <row r="24" spans="1:14" x14ac:dyDescent="0.45">
      <c r="A24" s="25" t="s">
        <v>53</v>
      </c>
      <c r="B24" s="24">
        <f>B19-B20-B21+B22+B23</f>
        <v>2907516</v>
      </c>
      <c r="C24" s="25"/>
      <c r="D24" s="25"/>
      <c r="E24" s="25"/>
      <c r="F24" s="25"/>
      <c r="G24" s="25" t="s">
        <v>54</v>
      </c>
      <c r="H24" s="28">
        <f>MIN(H20:H22)</f>
        <v>18157001</v>
      </c>
      <c r="I24" s="25"/>
      <c r="J24" s="25"/>
      <c r="K24" s="25"/>
      <c r="L24" s="25"/>
      <c r="M24" s="25"/>
      <c r="N24" s="25"/>
    </row>
    <row r="25" spans="1:14" x14ac:dyDescent="0.45">
      <c r="A25" s="25"/>
      <c r="B25" s="25"/>
      <c r="C25" s="25"/>
      <c r="D25" s="25"/>
      <c r="E25" s="25"/>
      <c r="F25" s="25"/>
      <c r="G25" s="25" t="s">
        <v>55</v>
      </c>
      <c r="H25" s="25"/>
      <c r="I25" s="25"/>
      <c r="J25" s="25"/>
      <c r="K25" s="25"/>
      <c r="L25" s="25"/>
      <c r="M25" s="25"/>
      <c r="N25" s="25"/>
    </row>
    <row r="26" spans="1:14" x14ac:dyDescent="0.45">
      <c r="A26" s="25" t="s">
        <v>24</v>
      </c>
      <c r="B26" s="28">
        <f>B24*H9</f>
        <v>72687.900000000009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 spans="1:14" x14ac:dyDescent="0.45">
      <c r="A27" s="25" t="s">
        <v>56</v>
      </c>
      <c r="B27" s="26">
        <f>B9*H10</f>
        <v>444000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1:14" x14ac:dyDescent="0.45">
      <c r="A28" s="25" t="s">
        <v>31</v>
      </c>
      <c r="B28" s="26">
        <f>B9*H11</f>
        <v>60976</v>
      </c>
      <c r="C28" s="25"/>
      <c r="D28" s="25"/>
      <c r="E28" s="25"/>
      <c r="F28" s="25"/>
      <c r="G28" s="25" t="s">
        <v>57</v>
      </c>
      <c r="H28" s="25"/>
      <c r="I28" s="25"/>
      <c r="J28" s="25"/>
      <c r="K28" s="25"/>
      <c r="L28" s="25"/>
      <c r="M28" s="25"/>
      <c r="N28" s="25"/>
    </row>
    <row r="29" spans="1:14" x14ac:dyDescent="0.45">
      <c r="A29" s="25" t="s">
        <v>33</v>
      </c>
      <c r="B29" s="26">
        <f>B9*H12</f>
        <v>329004</v>
      </c>
      <c r="C29" s="25"/>
      <c r="D29" s="25"/>
      <c r="E29" s="25"/>
      <c r="F29" s="25"/>
      <c r="G29" s="25" t="s">
        <v>58</v>
      </c>
      <c r="H29" s="31">
        <f>B35/H17</f>
        <v>7.6623939373363328E-2</v>
      </c>
      <c r="I29" s="25"/>
      <c r="J29" s="25"/>
      <c r="K29" s="25"/>
      <c r="L29" s="25"/>
      <c r="M29" s="25"/>
      <c r="N29" s="25"/>
    </row>
    <row r="30" spans="1:14" x14ac:dyDescent="0.45">
      <c r="A30" s="25" t="s">
        <v>35</v>
      </c>
      <c r="B30" s="26">
        <f>B9*H13</f>
        <v>41292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x14ac:dyDescent="0.45">
      <c r="A31" s="25" t="s">
        <v>37</v>
      </c>
      <c r="B31" s="24">
        <f>B9*H14</f>
        <v>121656</v>
      </c>
      <c r="C31" s="25"/>
      <c r="D31" s="25"/>
      <c r="E31" s="25"/>
      <c r="F31" s="25"/>
      <c r="G31" s="25" t="s">
        <v>59</v>
      </c>
      <c r="H31" s="28">
        <f>B35</f>
        <v>1815700.1</v>
      </c>
      <c r="I31" s="25"/>
      <c r="J31" s="25"/>
      <c r="K31" s="25"/>
      <c r="L31" s="25"/>
      <c r="M31" s="25"/>
      <c r="N31" s="25"/>
    </row>
    <row r="32" spans="1:14" x14ac:dyDescent="0.45">
      <c r="A32" s="25" t="s">
        <v>38</v>
      </c>
      <c r="B32" s="26">
        <f>B9*H15</f>
        <v>22200</v>
      </c>
      <c r="C32" s="25"/>
      <c r="D32" s="25"/>
      <c r="E32" s="25"/>
      <c r="F32" s="25"/>
      <c r="G32" s="25" t="s">
        <v>60</v>
      </c>
      <c r="H32" s="29">
        <f>PMT(L8/12,L9*12,H24)*12</f>
        <v>-1271511.9525622139</v>
      </c>
      <c r="I32" s="25"/>
      <c r="J32" s="25"/>
      <c r="K32" s="25"/>
      <c r="L32" s="25"/>
      <c r="M32" s="25"/>
      <c r="N32" s="25"/>
    </row>
    <row r="33" spans="1:14" x14ac:dyDescent="0.45">
      <c r="A33" s="25" t="s">
        <v>61</v>
      </c>
      <c r="B33" s="28">
        <f>SUM(B26:B32)</f>
        <v>1091815.8999999999</v>
      </c>
      <c r="C33" s="25"/>
      <c r="D33" s="25"/>
      <c r="E33" s="25"/>
      <c r="F33" s="25"/>
      <c r="G33" s="25" t="s">
        <v>62</v>
      </c>
      <c r="H33" s="28">
        <f>SUM(H31:H32)</f>
        <v>544188.14743778622</v>
      </c>
      <c r="I33" s="25"/>
      <c r="J33" s="25"/>
      <c r="K33" s="25"/>
      <c r="L33" s="25"/>
      <c r="M33" s="25"/>
      <c r="N33" s="25"/>
    </row>
    <row r="34" spans="1:14" x14ac:dyDescent="0.4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45">
      <c r="A35" s="25" t="s">
        <v>63</v>
      </c>
      <c r="B35" s="28">
        <f>B24-B33</f>
        <v>1815700.1</v>
      </c>
      <c r="C35" s="25"/>
      <c r="D35" s="25"/>
      <c r="E35" s="25"/>
      <c r="F35" s="25"/>
      <c r="G35" s="25" t="s">
        <v>64</v>
      </c>
      <c r="H35" s="31">
        <f>H33/L23</f>
        <v>9.82422074175721E-2</v>
      </c>
      <c r="I35" s="25"/>
      <c r="J35" s="25"/>
      <c r="K35" s="25"/>
      <c r="L35" s="25"/>
      <c r="M35" s="25"/>
      <c r="N35" s="2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52B9-75E0-419D-9B50-A2D5013E5080}">
  <dimension ref="A1:H60"/>
  <sheetViews>
    <sheetView topLeftCell="A45" workbookViewId="0">
      <selection activeCell="D31" sqref="D31"/>
    </sheetView>
  </sheetViews>
  <sheetFormatPr defaultRowHeight="14.25" x14ac:dyDescent="0.45"/>
  <cols>
    <col min="1" max="1" width="32.265625" bestFit="1" customWidth="1"/>
    <col min="2" max="2" width="15.19921875" bestFit="1" customWidth="1"/>
    <col min="3" max="6" width="14.796875" bestFit="1" customWidth="1"/>
    <col min="7" max="7" width="15.19921875" bestFit="1" customWidth="1"/>
    <col min="8" max="8" width="14.19921875" bestFit="1" customWidth="1"/>
  </cols>
  <sheetData>
    <row r="1" spans="1:8" ht="15.75" x14ac:dyDescent="0.5">
      <c r="A1" s="2" t="s">
        <v>66</v>
      </c>
    </row>
    <row r="2" spans="1:8" ht="15.75" x14ac:dyDescent="0.5">
      <c r="A2" s="2" t="s">
        <v>67</v>
      </c>
      <c r="B2" s="5">
        <v>0.04</v>
      </c>
      <c r="D2" t="s">
        <v>68</v>
      </c>
      <c r="E2" s="6">
        <v>7.4999999999999997E-2</v>
      </c>
    </row>
    <row r="3" spans="1:8" ht="15.75" x14ac:dyDescent="0.5">
      <c r="A3" s="2" t="s">
        <v>69</v>
      </c>
      <c r="B3" s="5">
        <v>0.05</v>
      </c>
      <c r="D3" t="s">
        <v>70</v>
      </c>
      <c r="E3" s="5">
        <v>0.03</v>
      </c>
    </row>
    <row r="4" spans="1:8" ht="15.75" x14ac:dyDescent="0.5">
      <c r="A4" s="2" t="s">
        <v>71</v>
      </c>
      <c r="B4" s="5">
        <v>0.01</v>
      </c>
    </row>
    <row r="5" spans="1:8" ht="15.75" x14ac:dyDescent="0.5">
      <c r="A5" s="2" t="s">
        <v>72</v>
      </c>
      <c r="B5" s="5">
        <v>0.04</v>
      </c>
    </row>
    <row r="6" spans="1:8" ht="15.75" x14ac:dyDescent="0.5">
      <c r="A6" s="2" t="s">
        <v>73</v>
      </c>
      <c r="B6" s="6">
        <v>2.5000000000000001E-2</v>
      </c>
    </row>
    <row r="9" spans="1:8" ht="15.75" x14ac:dyDescent="0.5">
      <c r="A9" s="2" t="s">
        <v>74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</row>
    <row r="11" spans="1:8" ht="15.75" x14ac:dyDescent="0.5">
      <c r="A11" s="2" t="s">
        <v>40</v>
      </c>
      <c r="C11" s="9">
        <v>2973600</v>
      </c>
      <c r="D11" s="10">
        <v>3092544</v>
      </c>
      <c r="E11" s="10">
        <v>3216245.7600000002</v>
      </c>
      <c r="F11" s="10">
        <v>3344895.5904000006</v>
      </c>
      <c r="G11" s="10">
        <v>3478691.4140160009</v>
      </c>
      <c r="H11" s="10">
        <v>3617839.0705766412</v>
      </c>
    </row>
    <row r="12" spans="1:8" ht="15.75" x14ac:dyDescent="0.5">
      <c r="A12" s="2" t="s">
        <v>43</v>
      </c>
      <c r="C12" s="10">
        <v>148680</v>
      </c>
      <c r="D12" s="11">
        <v>154627.20000000001</v>
      </c>
      <c r="E12" s="11">
        <v>160812.28800000003</v>
      </c>
      <c r="F12" s="11">
        <v>167244.77952000004</v>
      </c>
      <c r="G12" s="11">
        <v>173934.57070080005</v>
      </c>
      <c r="H12" s="11">
        <v>180891.95352883206</v>
      </c>
    </row>
    <row r="13" spans="1:8" ht="15.75" x14ac:dyDescent="0.5">
      <c r="A13" s="2" t="s">
        <v>11</v>
      </c>
      <c r="C13" s="10">
        <v>29736</v>
      </c>
      <c r="D13" s="11">
        <v>30925.440000000002</v>
      </c>
      <c r="E13" s="11">
        <v>32162.457600000002</v>
      </c>
      <c r="F13" s="11">
        <v>33448.955904000009</v>
      </c>
      <c r="G13" s="11">
        <v>34786.914140160006</v>
      </c>
      <c r="H13" s="11">
        <v>36178.390705766411</v>
      </c>
    </row>
    <row r="14" spans="1:8" ht="15.75" x14ac:dyDescent="0.5">
      <c r="A14" s="2" t="s">
        <v>48</v>
      </c>
      <c r="C14" s="8">
        <v>88800</v>
      </c>
      <c r="D14" s="8">
        <f>C14*(1+$B$3)</f>
        <v>93240</v>
      </c>
      <c r="E14" s="8">
        <f t="shared" ref="E14:H15" si="0">D14*(1+$B$3)</f>
        <v>97902</v>
      </c>
      <c r="F14" s="8">
        <f t="shared" si="0"/>
        <v>102797.1</v>
      </c>
      <c r="G14" s="8">
        <f t="shared" si="0"/>
        <v>107936.95500000002</v>
      </c>
      <c r="H14" s="8">
        <f t="shared" si="0"/>
        <v>113333.80275000002</v>
      </c>
    </row>
    <row r="15" spans="1:8" ht="15.75" x14ac:dyDescent="0.5">
      <c r="A15" s="2" t="s">
        <v>51</v>
      </c>
      <c r="C15" s="8">
        <v>23532</v>
      </c>
      <c r="D15" s="12">
        <f>C15*(1+$B$3)</f>
        <v>24708.600000000002</v>
      </c>
      <c r="E15" s="12">
        <f t="shared" si="0"/>
        <v>25944.030000000002</v>
      </c>
      <c r="F15" s="12">
        <f t="shared" si="0"/>
        <v>27241.231500000005</v>
      </c>
      <c r="G15" s="12">
        <f t="shared" si="0"/>
        <v>28603.293075000005</v>
      </c>
      <c r="H15" s="12">
        <f t="shared" si="0"/>
        <v>30033.457728750007</v>
      </c>
    </row>
    <row r="16" spans="1:8" ht="15.75" x14ac:dyDescent="0.5">
      <c r="A16" s="1" t="s">
        <v>53</v>
      </c>
      <c r="C16" s="13">
        <v>2907516</v>
      </c>
      <c r="D16" s="14">
        <f>D11-D12-D13+D14+D15</f>
        <v>3024939.96</v>
      </c>
      <c r="E16" s="14">
        <f>E11-E12-E13+E14+E15</f>
        <v>3147117.0444</v>
      </c>
      <c r="F16" s="14">
        <f t="shared" ref="F16:H16" si="1">F11-F12-F13+F14+F15</f>
        <v>3274240.1864760011</v>
      </c>
      <c r="G16" s="14">
        <f t="shared" si="1"/>
        <v>3406510.1772500407</v>
      </c>
      <c r="H16" s="14">
        <f t="shared" si="1"/>
        <v>3544135.9868207923</v>
      </c>
    </row>
    <row r="17" spans="1:8" ht="15.75" x14ac:dyDescent="0.5">
      <c r="A17" s="2"/>
    </row>
    <row r="18" spans="1:8" ht="15.75" x14ac:dyDescent="0.5">
      <c r="A18" s="2" t="s">
        <v>24</v>
      </c>
      <c r="C18" s="11">
        <v>72687.900000000009</v>
      </c>
      <c r="D18" s="11">
        <f>D16*$B$7</f>
        <v>0</v>
      </c>
      <c r="E18" s="11">
        <f t="shared" ref="E18:H18" si="2">E16*$B$7</f>
        <v>0</v>
      </c>
      <c r="F18" s="11">
        <f t="shared" si="2"/>
        <v>0</v>
      </c>
      <c r="G18" s="11">
        <f t="shared" si="2"/>
        <v>0</v>
      </c>
      <c r="H18" s="11">
        <f t="shared" si="2"/>
        <v>0</v>
      </c>
    </row>
    <row r="19" spans="1:8" ht="15.75" x14ac:dyDescent="0.5">
      <c r="A19" s="2" t="s">
        <v>28</v>
      </c>
      <c r="C19" s="8">
        <v>444000</v>
      </c>
      <c r="D19" s="8">
        <f t="shared" ref="D19:H25" si="3">C19*(1+$B$6)</f>
        <v>455099.99999999994</v>
      </c>
      <c r="E19" s="8">
        <f t="shared" si="3"/>
        <v>466477.49999999988</v>
      </c>
      <c r="F19" s="8">
        <f t="shared" si="3"/>
        <v>478139.43749999983</v>
      </c>
      <c r="G19" s="8">
        <f t="shared" si="3"/>
        <v>490092.92343749979</v>
      </c>
      <c r="H19" s="8">
        <f t="shared" si="3"/>
        <v>502345.24652343726</v>
      </c>
    </row>
    <row r="20" spans="1:8" ht="15.75" x14ac:dyDescent="0.5">
      <c r="A20" s="2" t="s">
        <v>31</v>
      </c>
      <c r="C20" s="8">
        <v>60976</v>
      </c>
      <c r="D20" s="12">
        <f t="shared" si="3"/>
        <v>62500.399999999994</v>
      </c>
      <c r="E20" s="12">
        <f t="shared" si="3"/>
        <v>64062.909999999989</v>
      </c>
      <c r="F20" s="12">
        <f t="shared" si="3"/>
        <v>65664.482749999981</v>
      </c>
      <c r="G20" s="12">
        <f t="shared" si="3"/>
        <v>67306.094818749974</v>
      </c>
      <c r="H20" s="12">
        <f t="shared" si="3"/>
        <v>68988.747189218717</v>
      </c>
    </row>
    <row r="21" spans="1:8" ht="15.75" x14ac:dyDescent="0.5">
      <c r="A21" s="2" t="s">
        <v>33</v>
      </c>
      <c r="C21" s="8">
        <v>329004</v>
      </c>
      <c r="D21" s="12">
        <f t="shared" si="3"/>
        <v>337229.1</v>
      </c>
      <c r="E21" s="12">
        <f t="shared" si="3"/>
        <v>345659.82749999996</v>
      </c>
      <c r="F21" s="12">
        <f t="shared" si="3"/>
        <v>354301.32318749995</v>
      </c>
      <c r="G21" s="12">
        <f t="shared" si="3"/>
        <v>363158.8562671874</v>
      </c>
      <c r="H21" s="12">
        <f t="shared" si="3"/>
        <v>372237.82767386705</v>
      </c>
    </row>
    <row r="22" spans="1:8" ht="15.75" x14ac:dyDescent="0.5">
      <c r="A22" s="2" t="s">
        <v>35</v>
      </c>
      <c r="C22" s="8">
        <v>41292</v>
      </c>
      <c r="D22" s="12">
        <f t="shared" si="3"/>
        <v>42324.299999999996</v>
      </c>
      <c r="E22" s="12">
        <f t="shared" si="3"/>
        <v>43382.407499999994</v>
      </c>
      <c r="F22" s="12">
        <f t="shared" si="3"/>
        <v>44466.967687499993</v>
      </c>
      <c r="G22" s="12">
        <f t="shared" si="3"/>
        <v>45578.641879687486</v>
      </c>
      <c r="H22" s="12">
        <f t="shared" si="3"/>
        <v>46718.107926679666</v>
      </c>
    </row>
    <row r="23" spans="1:8" ht="15.75" x14ac:dyDescent="0.5">
      <c r="A23" s="2" t="s">
        <v>37</v>
      </c>
      <c r="C23" s="10">
        <v>121656</v>
      </c>
      <c r="D23" s="11">
        <f t="shared" si="3"/>
        <v>124697.4</v>
      </c>
      <c r="E23" s="12">
        <f t="shared" si="3"/>
        <v>127814.83499999998</v>
      </c>
      <c r="F23" s="12">
        <f t="shared" si="3"/>
        <v>131010.20587499997</v>
      </c>
      <c r="G23" s="12">
        <f t="shared" si="3"/>
        <v>134285.46102187494</v>
      </c>
      <c r="H23" s="12">
        <f t="shared" si="3"/>
        <v>137642.59754742181</v>
      </c>
    </row>
    <row r="24" spans="1:8" ht="15.75" x14ac:dyDescent="0.5">
      <c r="A24" s="2" t="s">
        <v>38</v>
      </c>
      <c r="C24" s="8">
        <v>22200</v>
      </c>
      <c r="D24" s="8">
        <f t="shared" si="3"/>
        <v>22754.999999999996</v>
      </c>
      <c r="E24" s="12">
        <f t="shared" si="3"/>
        <v>23323.874999999993</v>
      </c>
      <c r="F24" s="12">
        <f t="shared" si="3"/>
        <v>23906.971874999992</v>
      </c>
      <c r="G24" s="12">
        <f t="shared" si="3"/>
        <v>24504.646171874989</v>
      </c>
      <c r="H24" s="12">
        <f t="shared" si="3"/>
        <v>25117.262326171862</v>
      </c>
    </row>
    <row r="25" spans="1:8" ht="15.75" x14ac:dyDescent="0.5">
      <c r="A25" s="1" t="s">
        <v>61</v>
      </c>
      <c r="C25" s="15">
        <v>1091815.8999999999</v>
      </c>
      <c r="D25" s="16">
        <f>SUM(D18:D24)</f>
        <v>1044606.2</v>
      </c>
      <c r="E25" s="16">
        <f t="shared" si="3"/>
        <v>1070721.3549999997</v>
      </c>
      <c r="F25" s="16">
        <f t="shared" si="3"/>
        <v>1097489.3888749997</v>
      </c>
      <c r="G25" s="16">
        <f t="shared" si="3"/>
        <v>1124926.6235968745</v>
      </c>
      <c r="H25" s="16">
        <f t="shared" si="3"/>
        <v>1153049.7891867964</v>
      </c>
    </row>
    <row r="26" spans="1:8" ht="15.75" x14ac:dyDescent="0.5">
      <c r="A26" s="2"/>
    </row>
    <row r="27" spans="1:8" ht="15.75" x14ac:dyDescent="0.5">
      <c r="A27" s="1" t="s">
        <v>63</v>
      </c>
      <c r="C27" s="14">
        <v>1815700.1</v>
      </c>
      <c r="D27" s="14">
        <f>D16-D25</f>
        <v>1980333.76</v>
      </c>
      <c r="E27" s="14">
        <f>E16-E25</f>
        <v>2076395.6894000003</v>
      </c>
      <c r="F27" s="14">
        <f>F16-F25</f>
        <v>2176750.7976010013</v>
      </c>
      <c r="G27" s="14">
        <f>G16-G25</f>
        <v>2281583.5536531662</v>
      </c>
      <c r="H27" s="14">
        <f>H16-H25</f>
        <v>2391086.1976339957</v>
      </c>
    </row>
    <row r="30" spans="1:8" ht="15.75" x14ac:dyDescent="0.5">
      <c r="A30" s="2" t="s">
        <v>75</v>
      </c>
      <c r="G30" s="28">
        <v>29454357.287372947</v>
      </c>
    </row>
    <row r="31" spans="1:8" ht="15.75" x14ac:dyDescent="0.5">
      <c r="A31" s="2" t="s">
        <v>70</v>
      </c>
      <c r="G31" s="29">
        <v>-883630.71862118843</v>
      </c>
    </row>
    <row r="32" spans="1:8" ht="15.75" x14ac:dyDescent="0.5">
      <c r="A32" s="2" t="s">
        <v>76</v>
      </c>
      <c r="G32" s="32">
        <v>28570726.56875176</v>
      </c>
    </row>
    <row r="33" spans="1:7" x14ac:dyDescent="0.45">
      <c r="G33" s="25"/>
    </row>
    <row r="34" spans="1:7" ht="15.75" x14ac:dyDescent="0.5">
      <c r="A34" s="2" t="s">
        <v>77</v>
      </c>
      <c r="G34" s="28">
        <v>18157001</v>
      </c>
    </row>
    <row r="35" spans="1:7" ht="15.75" x14ac:dyDescent="0.5">
      <c r="A35" s="2" t="s">
        <v>78</v>
      </c>
      <c r="G35" s="29">
        <v>-1160054.8898254461</v>
      </c>
    </row>
    <row r="36" spans="1:7" ht="15.75" x14ac:dyDescent="0.5">
      <c r="A36" s="2" t="s">
        <v>79</v>
      </c>
      <c r="G36" s="32">
        <v>16996946.110174555</v>
      </c>
    </row>
    <row r="37" spans="1:7" x14ac:dyDescent="0.45">
      <c r="G37" s="25"/>
    </row>
    <row r="38" spans="1:7" ht="15.75" x14ac:dyDescent="0.5">
      <c r="A38" s="2" t="s">
        <v>75</v>
      </c>
      <c r="G38" s="32">
        <v>11573780.458577204</v>
      </c>
    </row>
    <row r="41" spans="1:7" ht="15.75" x14ac:dyDescent="0.5">
      <c r="A41" s="2" t="s">
        <v>80</v>
      </c>
      <c r="B41" s="8">
        <v>-23696251</v>
      </c>
      <c r="C41" s="17">
        <v>1815700.1</v>
      </c>
      <c r="D41" s="17">
        <v>1888328.1039999996</v>
      </c>
      <c r="E41" s="17">
        <v>1963861.2281599999</v>
      </c>
      <c r="F41" s="17">
        <v>2042415.6772864005</v>
      </c>
      <c r="G41" s="11">
        <v>30694838.873129617</v>
      </c>
    </row>
    <row r="42" spans="1:7" ht="15.75" x14ac:dyDescent="0.5">
      <c r="A42" s="2" t="s">
        <v>81</v>
      </c>
      <c r="B42" s="6">
        <v>0.11500372034130391</v>
      </c>
    </row>
    <row r="43" spans="1:7" ht="15.75" x14ac:dyDescent="0.5">
      <c r="A43" s="2"/>
    </row>
    <row r="45" spans="1:7" ht="15.75" x14ac:dyDescent="0.5">
      <c r="A45" s="2" t="s">
        <v>82</v>
      </c>
    </row>
    <row r="46" spans="1:7" ht="15.75" x14ac:dyDescent="0.5">
      <c r="A46" s="2" t="s">
        <v>83</v>
      </c>
      <c r="B46" s="12">
        <v>-5539250</v>
      </c>
    </row>
    <row r="47" spans="1:7" ht="15.75" x14ac:dyDescent="0.5">
      <c r="A47" s="2" t="s">
        <v>84</v>
      </c>
      <c r="C47" s="17">
        <v>1815700.1</v>
      </c>
      <c r="D47" s="17">
        <v>1888328.1039999996</v>
      </c>
      <c r="E47" s="17">
        <v>1963861.2281599999</v>
      </c>
      <c r="F47" s="17">
        <v>2042415.6772864005</v>
      </c>
      <c r="G47" s="17">
        <v>2124112.3043778567</v>
      </c>
    </row>
    <row r="48" spans="1:7" ht="15.75" x14ac:dyDescent="0.5">
      <c r="A48" s="2" t="s">
        <v>60</v>
      </c>
      <c r="C48" s="11">
        <v>-1271511.9525622139</v>
      </c>
      <c r="D48" s="11">
        <v>-1271511.9525622139</v>
      </c>
      <c r="E48" s="11">
        <v>-1271511.9525622139</v>
      </c>
      <c r="F48" s="11">
        <v>-1271511.9525622139</v>
      </c>
      <c r="G48" s="11">
        <v>-1271511.9525622139</v>
      </c>
    </row>
    <row r="49" spans="1:7" ht="15.75" x14ac:dyDescent="0.5">
      <c r="A49" s="2" t="s">
        <v>85</v>
      </c>
      <c r="C49" s="11">
        <v>544188.14743778622</v>
      </c>
      <c r="D49" s="11">
        <v>616816.15143778571</v>
      </c>
      <c r="E49" s="11">
        <v>692349.27559778607</v>
      </c>
      <c r="F49" s="11">
        <v>770903.72472418658</v>
      </c>
      <c r="G49" s="11">
        <v>852600.35181564279</v>
      </c>
    </row>
    <row r="50" spans="1:7" ht="15.75" x14ac:dyDescent="0.5">
      <c r="A50" s="2" t="s">
        <v>86</v>
      </c>
      <c r="G50" s="11">
        <v>11573780.458577204</v>
      </c>
    </row>
    <row r="51" spans="1:7" ht="15.75" x14ac:dyDescent="0.5">
      <c r="A51" s="2" t="s">
        <v>87</v>
      </c>
      <c r="B51" s="12">
        <v>-5539250</v>
      </c>
      <c r="C51" s="17">
        <v>544188.14743778622</v>
      </c>
      <c r="D51" s="17">
        <v>616816.15143778571</v>
      </c>
      <c r="E51" s="17">
        <v>692349.27559778607</v>
      </c>
      <c r="F51" s="17">
        <v>770903.72472418658</v>
      </c>
      <c r="G51" s="17">
        <v>12426380.810392847</v>
      </c>
    </row>
    <row r="52" spans="1:7" ht="15.75" x14ac:dyDescent="0.5">
      <c r="A52" s="2" t="s">
        <v>88</v>
      </c>
      <c r="B52" s="6">
        <v>0.25173114012193754</v>
      </c>
    </row>
    <row r="53" spans="1:7" ht="15.75" x14ac:dyDescent="0.5">
      <c r="A53" s="2"/>
    </row>
    <row r="54" spans="1:7" ht="15.75" x14ac:dyDescent="0.5">
      <c r="A54" s="1" t="s">
        <v>89</v>
      </c>
    </row>
    <row r="55" spans="1:7" ht="15.75" x14ac:dyDescent="0.5">
      <c r="A55" s="2" t="s">
        <v>90</v>
      </c>
      <c r="C55" s="18">
        <v>7.6623939373363328E-2</v>
      </c>
      <c r="D55" s="18">
        <v>7.9688896948297838E-2</v>
      </c>
      <c r="E55" s="18">
        <v>8.2876452826229768E-2</v>
      </c>
      <c r="F55" s="18">
        <v>8.6191510939278973E-2</v>
      </c>
      <c r="G55" s="18">
        <v>8.9639171376850152E-2</v>
      </c>
    </row>
    <row r="56" spans="1:7" ht="15.75" x14ac:dyDescent="0.5">
      <c r="A56" s="2" t="s">
        <v>64</v>
      </c>
      <c r="C56" s="18">
        <v>9.82422074175721E-2</v>
      </c>
      <c r="D56" s="18">
        <v>0.11135373045769476</v>
      </c>
      <c r="E56" s="18">
        <v>0.1249897144194225</v>
      </c>
      <c r="F56" s="18">
        <v>0.13917113773961937</v>
      </c>
      <c r="G56" s="18">
        <v>0.15391981799262405</v>
      </c>
    </row>
    <row r="59" spans="1:7" x14ac:dyDescent="0.45">
      <c r="A59" t="s">
        <v>91</v>
      </c>
      <c r="B59" s="11">
        <v>4874475.5687517598</v>
      </c>
    </row>
    <row r="60" spans="1:7" x14ac:dyDescent="0.45">
      <c r="B60" s="18">
        <v>0.20570661446621916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6258-A4AE-4018-AE4D-BDAAE28E6FE5}">
  <dimension ref="A2:J57"/>
  <sheetViews>
    <sheetView workbookViewId="0">
      <selection activeCell="H63" sqref="H63"/>
    </sheetView>
  </sheetViews>
  <sheetFormatPr defaultRowHeight="14.25" x14ac:dyDescent="0.45"/>
  <cols>
    <col min="1" max="1" width="35.06640625" bestFit="1" customWidth="1"/>
    <col min="2" max="2" width="13.59765625" bestFit="1" customWidth="1"/>
    <col min="3" max="3" width="11.1328125" bestFit="1" customWidth="1"/>
    <col min="4" max="6" width="14.19921875" bestFit="1" customWidth="1"/>
    <col min="7" max="7" width="14.796875" bestFit="1" customWidth="1"/>
    <col min="8" max="8" width="14.19921875" bestFit="1" customWidth="1"/>
    <col min="9" max="9" width="14.59765625" bestFit="1" customWidth="1"/>
    <col min="10" max="10" width="13.59765625" bestFit="1" customWidth="1"/>
  </cols>
  <sheetData>
    <row r="2" spans="1:10" x14ac:dyDescent="0.45">
      <c r="A2" t="s">
        <v>66</v>
      </c>
    </row>
    <row r="3" spans="1:10" x14ac:dyDescent="0.45">
      <c r="A3" t="s">
        <v>67</v>
      </c>
      <c r="B3" s="19">
        <v>0.04</v>
      </c>
      <c r="C3" s="19"/>
      <c r="D3" t="s">
        <v>68</v>
      </c>
      <c r="E3" s="19">
        <v>7.4999999999999997E-2</v>
      </c>
      <c r="G3" t="s">
        <v>92</v>
      </c>
      <c r="H3" s="5">
        <v>0.3</v>
      </c>
    </row>
    <row r="4" spans="1:10" x14ac:dyDescent="0.45">
      <c r="A4" t="s">
        <v>69</v>
      </c>
      <c r="B4" s="19">
        <v>0.05</v>
      </c>
      <c r="C4" s="19"/>
      <c r="D4" t="s">
        <v>70</v>
      </c>
      <c r="E4" s="19">
        <v>0.03</v>
      </c>
    </row>
    <row r="5" spans="1:10" x14ac:dyDescent="0.45">
      <c r="A5" t="s">
        <v>71</v>
      </c>
      <c r="B5" s="19">
        <v>0.01</v>
      </c>
      <c r="C5" s="19"/>
      <c r="F5" s="19"/>
    </row>
    <row r="6" spans="1:10" x14ac:dyDescent="0.45">
      <c r="A6" t="s">
        <v>72</v>
      </c>
      <c r="B6" s="19">
        <v>0.04</v>
      </c>
      <c r="C6" s="19"/>
    </row>
    <row r="7" spans="1:10" x14ac:dyDescent="0.45">
      <c r="A7" t="s">
        <v>73</v>
      </c>
      <c r="B7" s="19">
        <v>2.5000000000000001E-2</v>
      </c>
      <c r="C7" s="19"/>
    </row>
    <row r="9" spans="1:10" x14ac:dyDescent="0.45">
      <c r="C9" t="s">
        <v>93</v>
      </c>
      <c r="G9" t="s">
        <v>94</v>
      </c>
    </row>
    <row r="10" spans="1:10" x14ac:dyDescent="0.45">
      <c r="A10" t="s">
        <v>74</v>
      </c>
      <c r="B10" s="19" t="s">
        <v>94</v>
      </c>
      <c r="C10" s="2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</row>
    <row r="12" spans="1:10" x14ac:dyDescent="0.45">
      <c r="A12" t="s">
        <v>40</v>
      </c>
      <c r="D12" s="17">
        <v>2973600</v>
      </c>
      <c r="E12" s="17">
        <v>3092544</v>
      </c>
      <c r="F12" s="17">
        <v>3216245.7600000002</v>
      </c>
      <c r="G12" s="17">
        <v>3344895.5904000006</v>
      </c>
      <c r="H12" s="17">
        <v>3478691.4140160009</v>
      </c>
      <c r="I12" s="17">
        <v>3617839.0705766412</v>
      </c>
      <c r="J12" s="11">
        <f>I12*(1+$B$3)</f>
        <v>3762552.6333997068</v>
      </c>
    </row>
    <row r="13" spans="1:10" x14ac:dyDescent="0.45">
      <c r="A13" t="s">
        <v>43</v>
      </c>
      <c r="D13" s="17">
        <v>148680</v>
      </c>
      <c r="E13" s="17">
        <v>154627.20000000001</v>
      </c>
      <c r="F13" s="17">
        <v>160812.28800000003</v>
      </c>
      <c r="G13" s="17">
        <v>167244.77952000004</v>
      </c>
      <c r="H13" s="17">
        <v>173934.57070080005</v>
      </c>
      <c r="I13" s="17">
        <v>180891.95352883206</v>
      </c>
      <c r="J13" s="11">
        <f>J12*B4</f>
        <v>188127.63166998536</v>
      </c>
    </row>
    <row r="14" spans="1:10" x14ac:dyDescent="0.45">
      <c r="A14" t="s">
        <v>11</v>
      </c>
      <c r="D14" s="17">
        <v>29736</v>
      </c>
      <c r="E14" s="17">
        <v>30925.440000000002</v>
      </c>
      <c r="F14" s="17">
        <v>32162.457600000002</v>
      </c>
      <c r="G14" s="17">
        <v>33448.955904000009</v>
      </c>
      <c r="H14" s="17">
        <v>34786.914140160006</v>
      </c>
      <c r="I14" s="17">
        <v>36178.390705766411</v>
      </c>
      <c r="J14" s="11">
        <f>J12*B5</f>
        <v>37625.52633399707</v>
      </c>
    </row>
    <row r="15" spans="1:10" x14ac:dyDescent="0.45">
      <c r="A15" t="s">
        <v>48</v>
      </c>
      <c r="D15" s="17">
        <v>88800</v>
      </c>
      <c r="E15" s="17">
        <v>92352</v>
      </c>
      <c r="F15" s="17">
        <v>96046.080000000002</v>
      </c>
      <c r="G15" s="17">
        <v>99887.923200000005</v>
      </c>
      <c r="H15" s="17">
        <v>103883.440128</v>
      </c>
      <c r="I15" s="17">
        <v>108038.77773312</v>
      </c>
      <c r="J15" s="11">
        <f>I15*(1+B3)</f>
        <v>112360.32884244481</v>
      </c>
    </row>
    <row r="16" spans="1:10" x14ac:dyDescent="0.45">
      <c r="A16" t="s">
        <v>51</v>
      </c>
      <c r="D16" s="17">
        <v>23532</v>
      </c>
      <c r="E16" s="17">
        <v>24473.280000000002</v>
      </c>
      <c r="F16" s="17">
        <v>25452.211200000005</v>
      </c>
      <c r="G16" s="17">
        <v>26470.299648000007</v>
      </c>
      <c r="H16" s="17">
        <v>27529.111633920009</v>
      </c>
      <c r="I16" s="17">
        <v>28630.276099276809</v>
      </c>
      <c r="J16" s="11">
        <f>I16*(1+B3)</f>
        <v>29775.487143247883</v>
      </c>
    </row>
    <row r="17" spans="1:10" x14ac:dyDescent="0.45">
      <c r="A17" t="s">
        <v>53</v>
      </c>
      <c r="D17" s="16">
        <v>2907516</v>
      </c>
      <c r="E17" s="16">
        <v>3023816.6399999997</v>
      </c>
      <c r="F17" s="16">
        <v>3144769.3056000001</v>
      </c>
      <c r="G17" s="16">
        <v>3270560.0778240007</v>
      </c>
      <c r="H17" s="16">
        <v>3401382.4809369608</v>
      </c>
      <c r="I17" s="16">
        <v>3537437.7801744393</v>
      </c>
      <c r="J17" s="14">
        <f>J12-J13-J14+J15+J16</f>
        <v>3678935.2913814168</v>
      </c>
    </row>
    <row r="19" spans="1:10" ht="15.75" x14ac:dyDescent="0.5">
      <c r="A19" s="2" t="s">
        <v>24</v>
      </c>
      <c r="D19" s="11">
        <v>72687.900000000009</v>
      </c>
      <c r="E19" s="11">
        <f>D17*$B$7</f>
        <v>72687.900000000009</v>
      </c>
      <c r="F19" s="11">
        <f>E17*$B$7</f>
        <v>75595.415999999997</v>
      </c>
      <c r="G19" s="11">
        <f>F17*$B$7</f>
        <v>78619.232640000002</v>
      </c>
      <c r="H19" s="11">
        <f>G17*$B$7</f>
        <v>81764.00194560003</v>
      </c>
      <c r="I19" s="11">
        <f>H17*$B$7</f>
        <v>85034.56202342402</v>
      </c>
      <c r="J19" s="11">
        <f>J17*B7</f>
        <v>91973.38228453543</v>
      </c>
    </row>
    <row r="20" spans="1:10" ht="15.75" x14ac:dyDescent="0.5">
      <c r="A20" s="2" t="s">
        <v>28</v>
      </c>
      <c r="D20" s="8">
        <v>444000</v>
      </c>
      <c r="E20" s="8">
        <f t="shared" ref="E20:J26" si="0">D20*(1+$B$6)</f>
        <v>461760</v>
      </c>
      <c r="F20" s="8">
        <f t="shared" si="0"/>
        <v>480230.40000000002</v>
      </c>
      <c r="G20" s="8">
        <f t="shared" si="0"/>
        <v>499439.61600000004</v>
      </c>
      <c r="H20" s="8">
        <f t="shared" si="0"/>
        <v>519417.20064000005</v>
      </c>
      <c r="I20" s="8">
        <f t="shared" si="0"/>
        <v>540193.8886656001</v>
      </c>
      <c r="J20" s="12">
        <f>I20*(1+$B$6)</f>
        <v>561801.64421222417</v>
      </c>
    </row>
    <row r="21" spans="1:10" ht="15.75" x14ac:dyDescent="0.5">
      <c r="A21" s="2" t="s">
        <v>31</v>
      </c>
      <c r="D21" s="8">
        <v>60976</v>
      </c>
      <c r="E21" s="12">
        <f t="shared" si="0"/>
        <v>63415.040000000001</v>
      </c>
      <c r="F21" s="12">
        <f t="shared" si="0"/>
        <v>65951.641600000003</v>
      </c>
      <c r="G21" s="12">
        <f t="shared" si="0"/>
        <v>68589.707264000011</v>
      </c>
      <c r="H21" s="12">
        <f t="shared" si="0"/>
        <v>71333.295554560013</v>
      </c>
      <c r="I21" s="12">
        <f t="shared" si="0"/>
        <v>74186.627376742414</v>
      </c>
      <c r="J21" s="12">
        <f t="shared" si="0"/>
        <v>77154.09247181211</v>
      </c>
    </row>
    <row r="22" spans="1:10" ht="15.75" x14ac:dyDescent="0.5">
      <c r="A22" s="2" t="s">
        <v>33</v>
      </c>
      <c r="D22" s="8">
        <v>329004</v>
      </c>
      <c r="E22" s="12">
        <f t="shared" si="0"/>
        <v>342164.16000000003</v>
      </c>
      <c r="F22" s="12">
        <f t="shared" si="0"/>
        <v>355850.72640000004</v>
      </c>
      <c r="G22" s="12">
        <f t="shared" si="0"/>
        <v>370084.75545600004</v>
      </c>
      <c r="H22" s="12">
        <f t="shared" si="0"/>
        <v>384888.14567424008</v>
      </c>
      <c r="I22" s="12">
        <f t="shared" si="0"/>
        <v>400283.67150120967</v>
      </c>
      <c r="J22" s="12">
        <f t="shared" si="0"/>
        <v>416295.01836125809</v>
      </c>
    </row>
    <row r="23" spans="1:10" ht="15.75" x14ac:dyDescent="0.5">
      <c r="A23" s="2" t="s">
        <v>35</v>
      </c>
      <c r="D23" s="8">
        <v>41292</v>
      </c>
      <c r="E23" s="12">
        <f t="shared" si="0"/>
        <v>42943.68</v>
      </c>
      <c r="F23" s="12">
        <f t="shared" si="0"/>
        <v>44661.427199999998</v>
      </c>
      <c r="G23" s="12">
        <f t="shared" si="0"/>
        <v>46447.884288000001</v>
      </c>
      <c r="H23" s="12">
        <f t="shared" si="0"/>
        <v>48305.799659520002</v>
      </c>
      <c r="I23" s="12">
        <f t="shared" si="0"/>
        <v>50238.031645900803</v>
      </c>
      <c r="J23" s="12">
        <f t="shared" si="0"/>
        <v>52247.552911736835</v>
      </c>
    </row>
    <row r="24" spans="1:10" ht="15.75" x14ac:dyDescent="0.5">
      <c r="A24" s="2" t="s">
        <v>37</v>
      </c>
      <c r="D24" s="10">
        <v>121656</v>
      </c>
      <c r="E24" s="11">
        <f t="shared" si="0"/>
        <v>126522.24000000001</v>
      </c>
      <c r="F24" s="12">
        <f t="shared" si="0"/>
        <v>131583.12960000001</v>
      </c>
      <c r="G24" s="12">
        <f t="shared" si="0"/>
        <v>136846.45478400003</v>
      </c>
      <c r="H24" s="12">
        <f t="shared" si="0"/>
        <v>142320.31297536002</v>
      </c>
      <c r="I24" s="12">
        <f t="shared" si="0"/>
        <v>148013.12549437443</v>
      </c>
      <c r="J24" s="12">
        <f t="shared" si="0"/>
        <v>153933.6505141494</v>
      </c>
    </row>
    <row r="25" spans="1:10" ht="15.75" x14ac:dyDescent="0.5">
      <c r="A25" s="2" t="s">
        <v>38</v>
      </c>
      <c r="D25" s="8">
        <v>22200</v>
      </c>
      <c r="E25" s="8">
        <f t="shared" si="0"/>
        <v>23088</v>
      </c>
      <c r="F25" s="12">
        <f t="shared" si="0"/>
        <v>24011.52</v>
      </c>
      <c r="G25" s="12">
        <f t="shared" si="0"/>
        <v>24971.980800000001</v>
      </c>
      <c r="H25" s="12">
        <f t="shared" si="0"/>
        <v>25970.860032000001</v>
      </c>
      <c r="I25" s="12">
        <f t="shared" si="0"/>
        <v>27009.694433280001</v>
      </c>
      <c r="J25" s="12">
        <f t="shared" si="0"/>
        <v>28090.082210611203</v>
      </c>
    </row>
    <row r="26" spans="1:10" ht="15.75" x14ac:dyDescent="0.5">
      <c r="A26" s="1" t="s">
        <v>61</v>
      </c>
      <c r="D26" s="15">
        <v>1091815.8999999999</v>
      </c>
      <c r="E26" s="16">
        <f>SUM(E19:E25)</f>
        <v>1132581.0200000003</v>
      </c>
      <c r="F26" s="16">
        <f t="shared" si="0"/>
        <v>1177884.2608000003</v>
      </c>
      <c r="G26" s="16">
        <f t="shared" si="0"/>
        <v>1224999.6312320004</v>
      </c>
      <c r="H26" s="16">
        <f t="shared" si="0"/>
        <v>1273999.6164812804</v>
      </c>
      <c r="I26" s="16">
        <f t="shared" si="0"/>
        <v>1324959.6011405317</v>
      </c>
      <c r="J26" s="14">
        <f>SUM(J19:J25)</f>
        <v>1381495.4229663271</v>
      </c>
    </row>
    <row r="27" spans="1:10" ht="15.75" x14ac:dyDescent="0.5">
      <c r="A27" s="2"/>
    </row>
    <row r="28" spans="1:10" ht="15.75" x14ac:dyDescent="0.5">
      <c r="A28" s="1" t="s">
        <v>63</v>
      </c>
      <c r="D28" s="14">
        <v>1815700.1</v>
      </c>
      <c r="E28" s="14">
        <f>D17-E26</f>
        <v>1774934.9799999997</v>
      </c>
      <c r="F28" s="14">
        <f>E17-F26</f>
        <v>1845932.3791999994</v>
      </c>
      <c r="G28" s="14">
        <f>F17-G26</f>
        <v>1919769.6743679997</v>
      </c>
      <c r="H28" s="14">
        <f>G17-H26</f>
        <v>1996560.4613427203</v>
      </c>
      <c r="I28" s="14">
        <f>H17-I26</f>
        <v>2076422.8797964291</v>
      </c>
      <c r="J28" s="14">
        <f>J17-J26</f>
        <v>2297439.8684150898</v>
      </c>
    </row>
    <row r="31" spans="1:10" ht="15.75" x14ac:dyDescent="0.5">
      <c r="A31" s="2" t="s">
        <v>75</v>
      </c>
      <c r="I31" s="11">
        <f>J28/E3</f>
        <v>30632531.578867864</v>
      </c>
    </row>
    <row r="32" spans="1:10" ht="15.75" x14ac:dyDescent="0.5">
      <c r="A32" s="2" t="s">
        <v>70</v>
      </c>
      <c r="I32" s="11">
        <f>I31*E4</f>
        <v>918975.94736603589</v>
      </c>
    </row>
    <row r="33" spans="1:9" ht="15.75" x14ac:dyDescent="0.5">
      <c r="A33" s="2" t="s">
        <v>95</v>
      </c>
      <c r="I33" s="11">
        <f>I31-I32</f>
        <v>29713555.631501827</v>
      </c>
    </row>
    <row r="35" spans="1:9" ht="15.75" x14ac:dyDescent="0.5">
      <c r="A35" s="2" t="s">
        <v>77</v>
      </c>
      <c r="I35" s="17">
        <v>18157001</v>
      </c>
    </row>
    <row r="36" spans="1:9" ht="15.75" x14ac:dyDescent="0.5">
      <c r="A36" s="2" t="s">
        <v>78</v>
      </c>
      <c r="I36" s="17">
        <v>-1160054.8898254461</v>
      </c>
    </row>
    <row r="37" spans="1:9" ht="15.75" x14ac:dyDescent="0.5">
      <c r="A37" s="2" t="s">
        <v>79</v>
      </c>
      <c r="I37" s="17">
        <v>16996946.110174555</v>
      </c>
    </row>
    <row r="39" spans="1:9" ht="15.75" x14ac:dyDescent="0.5">
      <c r="A39" s="2" t="s">
        <v>96</v>
      </c>
      <c r="I39" s="11">
        <f>I33-I37</f>
        <v>12716609.521327272</v>
      </c>
    </row>
    <row r="42" spans="1:9" ht="15.75" x14ac:dyDescent="0.5">
      <c r="A42" s="2" t="s">
        <v>80</v>
      </c>
      <c r="B42" s="8">
        <f>'[1]Stabilized Operations'!B42</f>
        <v>-23696251</v>
      </c>
      <c r="C42">
        <v>0</v>
      </c>
      <c r="D42" s="17">
        <v>1815700.1</v>
      </c>
      <c r="E42" s="17">
        <v>1774934.9799999997</v>
      </c>
      <c r="F42" s="17">
        <v>1845932.3791999994</v>
      </c>
      <c r="G42" s="17">
        <v>1919769.6743679997</v>
      </c>
      <c r="H42" s="17">
        <v>1996560.4613427203</v>
      </c>
      <c r="I42" s="11">
        <f>I28+I33</f>
        <v>31789978.511298258</v>
      </c>
    </row>
    <row r="43" spans="1:9" ht="15.75" x14ac:dyDescent="0.5">
      <c r="A43" s="2" t="s">
        <v>81</v>
      </c>
      <c r="B43" s="6">
        <f>IRR(B42:I42)</f>
        <v>9.2524474709773319E-2</v>
      </c>
    </row>
    <row r="44" spans="1:9" ht="15.75" x14ac:dyDescent="0.5">
      <c r="A44" s="2"/>
    </row>
    <row r="46" spans="1:9" ht="15.75" x14ac:dyDescent="0.5">
      <c r="A46" s="2" t="s">
        <v>82</v>
      </c>
    </row>
    <row r="47" spans="1:9" ht="15.75" x14ac:dyDescent="0.5">
      <c r="A47" s="2" t="s">
        <v>83</v>
      </c>
      <c r="B47" s="12">
        <f>'[1]Stabilized Operations'!B47</f>
        <v>-5539250</v>
      </c>
    </row>
    <row r="48" spans="1:9" ht="15.75" x14ac:dyDescent="0.5">
      <c r="A48" s="2" t="s">
        <v>84</v>
      </c>
      <c r="C48">
        <v>0</v>
      </c>
      <c r="D48" s="17">
        <v>1815700.1</v>
      </c>
      <c r="E48" s="17">
        <v>1774934.9799999997</v>
      </c>
      <c r="F48" s="17">
        <v>1845932.3791999994</v>
      </c>
      <c r="G48" s="17">
        <v>1919769.6743679997</v>
      </c>
      <c r="H48" s="17">
        <v>1996560.4613427203</v>
      </c>
      <c r="I48" s="17">
        <v>2076422.8797964291</v>
      </c>
    </row>
    <row r="49" spans="1:9" ht="15.75" x14ac:dyDescent="0.5">
      <c r="A49" s="2" t="s">
        <v>60</v>
      </c>
      <c r="D49" s="11">
        <f>-D42</f>
        <v>-1815700.1</v>
      </c>
      <c r="E49" s="11">
        <f>'[1]Question 2 Inital Analysis'!$H$34</f>
        <v>-1271511.9525622139</v>
      </c>
      <c r="F49" s="11">
        <f>'[1]Question 2 Inital Analysis'!$H$34</f>
        <v>-1271511.9525622139</v>
      </c>
      <c r="G49" s="11">
        <f>'[1]Question 2 Inital Analysis'!$H$34</f>
        <v>-1271511.9525622139</v>
      </c>
      <c r="H49" s="11">
        <f>'[1]Question 2 Inital Analysis'!$H$34</f>
        <v>-1271511.9525622139</v>
      </c>
      <c r="I49" s="11">
        <f>'[1]Question 2 Inital Analysis'!$H$34</f>
        <v>-1271511.9525622139</v>
      </c>
    </row>
    <row r="50" spans="1:9" ht="15.75" x14ac:dyDescent="0.5">
      <c r="A50" s="2" t="s">
        <v>85</v>
      </c>
      <c r="C50">
        <v>0</v>
      </c>
      <c r="D50" s="11">
        <f>SUM(D48:D49)</f>
        <v>0</v>
      </c>
      <c r="E50" s="11">
        <f>E48+E49</f>
        <v>503423.02743778587</v>
      </c>
      <c r="F50" s="11">
        <f>F48+F49</f>
        <v>574420.42663778551</v>
      </c>
      <c r="G50" s="11">
        <f t="shared" ref="G50:I50" si="1">G48+G49</f>
        <v>648257.72180578578</v>
      </c>
      <c r="H50" s="11">
        <f t="shared" si="1"/>
        <v>725048.50878050644</v>
      </c>
      <c r="I50" s="11">
        <f t="shared" si="1"/>
        <v>804910.9272342152</v>
      </c>
    </row>
    <row r="51" spans="1:9" ht="15.75" x14ac:dyDescent="0.5">
      <c r="A51" s="2" t="s">
        <v>86</v>
      </c>
      <c r="I51" s="11">
        <f>I39</f>
        <v>12716609.521327272</v>
      </c>
    </row>
    <row r="52" spans="1:9" ht="15.75" x14ac:dyDescent="0.5">
      <c r="A52" s="2" t="s">
        <v>87</v>
      </c>
      <c r="B52" s="12">
        <f>B47</f>
        <v>-5539250</v>
      </c>
      <c r="C52" s="17">
        <v>0</v>
      </c>
      <c r="D52" s="17">
        <v>0</v>
      </c>
      <c r="E52" s="17">
        <v>503423.02743778587</v>
      </c>
      <c r="F52" s="17">
        <v>574420.42663778551</v>
      </c>
      <c r="G52" s="17">
        <v>648257.72180578578</v>
      </c>
      <c r="H52" s="17">
        <v>725048.50878050644</v>
      </c>
      <c r="I52" s="17">
        <f>I50+I51</f>
        <v>13521520.448561488</v>
      </c>
    </row>
    <row r="53" spans="1:9" ht="15.75" x14ac:dyDescent="0.5">
      <c r="A53" s="2" t="s">
        <v>88</v>
      </c>
      <c r="B53" s="6">
        <f>IRR(B52:I52)</f>
        <v>0.17533444468787307</v>
      </c>
    </row>
    <row r="54" spans="1:9" ht="15.75" x14ac:dyDescent="0.5">
      <c r="A54" s="2"/>
    </row>
    <row r="55" spans="1:9" ht="15.75" x14ac:dyDescent="0.5">
      <c r="A55" s="1" t="s">
        <v>89</v>
      </c>
    </row>
    <row r="56" spans="1:9" ht="15.75" x14ac:dyDescent="0.5">
      <c r="A56" s="2" t="s">
        <v>90</v>
      </c>
      <c r="E56" s="18">
        <f>E28/'[1]Question 2 Inital Analysis'!$H$19</f>
        <v>7.4903619986131972E-2</v>
      </c>
      <c r="F56" s="18">
        <f>F28/'[1]Question 2 Inital Analysis'!$H$19</f>
        <v>7.7899764785577238E-2</v>
      </c>
      <c r="G56" s="18">
        <f>G28/'[1]Question 2 Inital Analysis'!$H$19</f>
        <v>8.1015755377000342E-2</v>
      </c>
      <c r="H56" s="18">
        <f>H28/'[1]Question 2 Inital Analysis'!$H$19</f>
        <v>8.4256385592080374E-2</v>
      </c>
      <c r="I56" s="18">
        <f>I28/'[1]Question 2 Inital Analysis'!$H$19</f>
        <v>8.762664101576359E-2</v>
      </c>
    </row>
    <row r="57" spans="1:9" ht="15.75" x14ac:dyDescent="0.5">
      <c r="A57" s="2" t="s">
        <v>64</v>
      </c>
      <c r="E57" s="18">
        <f>E50/-$B$47</f>
        <v>9.0882886209827304E-2</v>
      </c>
      <c r="F57" s="18">
        <f t="shared" ref="F57:I57" si="2">F50/-$B$47</f>
        <v>0.1037000364016402</v>
      </c>
      <c r="G57" s="18">
        <f t="shared" si="2"/>
        <v>0.11702987260112574</v>
      </c>
      <c r="H57" s="18">
        <f t="shared" si="2"/>
        <v>0.13089290224859076</v>
      </c>
      <c r="I57" s="18">
        <f t="shared" si="2"/>
        <v>0.14531045308195428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E0DA-BB3C-4EA2-AF60-8075196A637E}">
  <dimension ref="A1:B16"/>
  <sheetViews>
    <sheetView workbookViewId="0">
      <selection activeCell="G13" sqref="G13"/>
    </sheetView>
  </sheetViews>
  <sheetFormatPr defaultRowHeight="14.25" x14ac:dyDescent="0.45"/>
  <cols>
    <col min="1" max="1" width="25.6640625" bestFit="1" customWidth="1"/>
    <col min="2" max="2" width="13" bestFit="1" customWidth="1"/>
  </cols>
  <sheetData>
    <row r="1" spans="1:2" x14ac:dyDescent="0.45">
      <c r="A1" t="s">
        <v>97</v>
      </c>
    </row>
    <row r="3" spans="1:2" x14ac:dyDescent="0.45">
      <c r="A3" t="s">
        <v>98</v>
      </c>
      <c r="B3" s="8">
        <v>3360000</v>
      </c>
    </row>
    <row r="4" spans="1:2" x14ac:dyDescent="0.45">
      <c r="A4" t="s">
        <v>21</v>
      </c>
      <c r="B4" s="8">
        <v>872376</v>
      </c>
    </row>
    <row r="5" spans="1:2" x14ac:dyDescent="0.45">
      <c r="B5" s="5"/>
    </row>
    <row r="6" spans="1:2" x14ac:dyDescent="0.45">
      <c r="A6" t="s">
        <v>99</v>
      </c>
      <c r="B6" s="18">
        <f>B4/B3</f>
        <v>0.2596357142857143</v>
      </c>
    </row>
    <row r="7" spans="1:2" x14ac:dyDescent="0.45">
      <c r="A7" t="s">
        <v>59</v>
      </c>
      <c r="B7" s="8">
        <f>B3-B4</f>
        <v>2487624</v>
      </c>
    </row>
    <row r="8" spans="1:2" x14ac:dyDescent="0.45">
      <c r="A8" t="s">
        <v>9</v>
      </c>
      <c r="B8" s="5">
        <v>0.05</v>
      </c>
    </row>
    <row r="9" spans="1:2" x14ac:dyDescent="0.45">
      <c r="A9" t="s">
        <v>100</v>
      </c>
      <c r="B9" s="8">
        <f>B7/B8</f>
        <v>49752480</v>
      </c>
    </row>
    <row r="10" spans="1:2" x14ac:dyDescent="0.45">
      <c r="A10" t="s">
        <v>101</v>
      </c>
      <c r="B10" s="8">
        <v>35355655</v>
      </c>
    </row>
    <row r="11" spans="1:2" x14ac:dyDescent="0.45">
      <c r="A11" t="s">
        <v>102</v>
      </c>
      <c r="B11" s="12">
        <f>B10*B8</f>
        <v>1767782.75</v>
      </c>
    </row>
    <row r="12" spans="1:2" x14ac:dyDescent="0.45">
      <c r="A12" t="s">
        <v>103</v>
      </c>
      <c r="B12" s="12">
        <f>0.1*(B10+B11)</f>
        <v>3712343.7750000004</v>
      </c>
    </row>
    <row r="14" spans="1:2" x14ac:dyDescent="0.45">
      <c r="A14" t="s">
        <v>104</v>
      </c>
      <c r="B14" s="8">
        <f>SUM(B10:B12)</f>
        <v>40835781.524999999</v>
      </c>
    </row>
    <row r="16" spans="1:2" x14ac:dyDescent="0.45">
      <c r="A16" t="s">
        <v>105</v>
      </c>
      <c r="B16" s="8">
        <f>B9-B14</f>
        <v>8916698.4750000015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74BD-CC61-4BB4-A5EE-5328830DFC12}">
  <dimension ref="A1:D39"/>
  <sheetViews>
    <sheetView tabSelected="1" workbookViewId="0">
      <selection activeCell="E12" sqref="E12"/>
    </sheetView>
  </sheetViews>
  <sheetFormatPr defaultRowHeight="14.25" x14ac:dyDescent="0.45"/>
  <cols>
    <col min="1" max="1" width="24.73046875" bestFit="1" customWidth="1"/>
    <col min="2" max="2" width="14.59765625" bestFit="1" customWidth="1"/>
  </cols>
  <sheetData>
    <row r="1" spans="1:3" x14ac:dyDescent="0.45">
      <c r="A1" t="s">
        <v>106</v>
      </c>
    </row>
    <row r="2" spans="1:3" x14ac:dyDescent="0.45">
      <c r="A2" t="s">
        <v>107</v>
      </c>
    </row>
    <row r="3" spans="1:3" x14ac:dyDescent="0.45">
      <c r="A3" t="s">
        <v>108</v>
      </c>
      <c r="B3" s="21">
        <v>360106</v>
      </c>
    </row>
    <row r="4" spans="1:3" x14ac:dyDescent="0.45">
      <c r="A4" t="s">
        <v>109</v>
      </c>
      <c r="B4" s="22">
        <v>25.64</v>
      </c>
    </row>
    <row r="6" spans="1:3" x14ac:dyDescent="0.45">
      <c r="B6">
        <v>2022</v>
      </c>
      <c r="C6" t="s">
        <v>110</v>
      </c>
    </row>
    <row r="7" spans="1:3" x14ac:dyDescent="0.45">
      <c r="A7" t="s">
        <v>111</v>
      </c>
      <c r="B7">
        <f>B3*8.75</f>
        <v>3150927.5</v>
      </c>
      <c r="C7" s="12">
        <v>8.75</v>
      </c>
    </row>
    <row r="8" spans="1:3" x14ac:dyDescent="0.45">
      <c r="A8" t="s">
        <v>112</v>
      </c>
      <c r="B8" s="11">
        <f>SUM(B12:B15)</f>
        <v>2070609.5</v>
      </c>
    </row>
    <row r="9" spans="1:3" x14ac:dyDescent="0.45">
      <c r="A9" t="s">
        <v>7</v>
      </c>
      <c r="B9" s="11">
        <f>(B7+B8)*3%</f>
        <v>156646.10999999999</v>
      </c>
      <c r="C9" s="5">
        <v>0.03</v>
      </c>
    </row>
    <row r="10" spans="1:3" x14ac:dyDescent="0.45">
      <c r="A10" t="s">
        <v>113</v>
      </c>
      <c r="B10" s="11">
        <f>B7+B8-B9</f>
        <v>5064890.8899999997</v>
      </c>
    </row>
    <row r="12" spans="1:3" x14ac:dyDescent="0.45">
      <c r="A12" t="s">
        <v>114</v>
      </c>
      <c r="B12" s="11">
        <f>B3*C12</f>
        <v>1440424</v>
      </c>
      <c r="C12" s="17">
        <v>4</v>
      </c>
    </row>
    <row r="13" spans="1:3" x14ac:dyDescent="0.45">
      <c r="A13" t="s">
        <v>115</v>
      </c>
      <c r="B13" s="11">
        <f>C13*B3</f>
        <v>90026.5</v>
      </c>
      <c r="C13" s="17">
        <v>0.25</v>
      </c>
    </row>
    <row r="14" spans="1:3" x14ac:dyDescent="0.45">
      <c r="A14" t="s">
        <v>31</v>
      </c>
      <c r="B14" s="11">
        <f>C14*B3</f>
        <v>90026.5</v>
      </c>
      <c r="C14" s="17">
        <v>0.25</v>
      </c>
    </row>
    <row r="15" spans="1:3" x14ac:dyDescent="0.45">
      <c r="A15" t="s">
        <v>116</v>
      </c>
      <c r="B15" s="11">
        <f>C15*B3</f>
        <v>450132.5</v>
      </c>
      <c r="C15" s="17">
        <v>1.25</v>
      </c>
    </row>
    <row r="16" spans="1:3" x14ac:dyDescent="0.45">
      <c r="A16" t="s">
        <v>117</v>
      </c>
      <c r="B16" s="11">
        <f>B10*C16</f>
        <v>50648.908899999995</v>
      </c>
      <c r="C16" s="5">
        <v>0.01</v>
      </c>
    </row>
    <row r="17" spans="1:4" x14ac:dyDescent="0.45">
      <c r="A17" t="s">
        <v>118</v>
      </c>
      <c r="B17" s="11">
        <f>B3*C17</f>
        <v>54015.9</v>
      </c>
      <c r="C17" s="17">
        <v>0.15</v>
      </c>
    </row>
    <row r="18" spans="1:4" x14ac:dyDescent="0.45">
      <c r="A18" t="s">
        <v>119</v>
      </c>
      <c r="B18" s="11">
        <f>SUM(B12:B17)</f>
        <v>2175274.3089000001</v>
      </c>
      <c r="D18" s="18">
        <f>B18/B10</f>
        <v>0.42948098115890515</v>
      </c>
    </row>
    <row r="20" spans="1:4" x14ac:dyDescent="0.45">
      <c r="A20" t="s">
        <v>59</v>
      </c>
      <c r="B20" s="11">
        <f>B10-B18</f>
        <v>2889616.5810999996</v>
      </c>
    </row>
    <row r="21" spans="1:4" x14ac:dyDescent="0.45">
      <c r="A21" t="s">
        <v>9</v>
      </c>
      <c r="B21" s="6">
        <v>4.2500000000000003E-2</v>
      </c>
    </row>
    <row r="22" spans="1:4" x14ac:dyDescent="0.45">
      <c r="A22" t="s">
        <v>120</v>
      </c>
      <c r="B22" s="11">
        <f>B20/B21</f>
        <v>67990978.378823519</v>
      </c>
    </row>
    <row r="24" spans="1:4" x14ac:dyDescent="0.45">
      <c r="A24" t="s">
        <v>121</v>
      </c>
      <c r="B24" s="12">
        <f>B3*C24</f>
        <v>40227441.259999998</v>
      </c>
      <c r="C24" s="12">
        <v>111.71</v>
      </c>
    </row>
    <row r="25" spans="1:4" x14ac:dyDescent="0.45">
      <c r="A25" t="s">
        <v>122</v>
      </c>
      <c r="B25" s="12">
        <f>C25*B4</f>
        <v>5128000</v>
      </c>
      <c r="C25" s="8">
        <v>200000</v>
      </c>
    </row>
    <row r="26" spans="1:4" x14ac:dyDescent="0.45">
      <c r="A26" t="s">
        <v>123</v>
      </c>
      <c r="B26" s="12">
        <f>B24+B25</f>
        <v>45355441.259999998</v>
      </c>
    </row>
    <row r="28" spans="1:4" x14ac:dyDescent="0.45">
      <c r="A28" t="s">
        <v>124</v>
      </c>
      <c r="B28" s="12">
        <f>B26*5%</f>
        <v>2267772.0630000001</v>
      </c>
    </row>
    <row r="29" spans="1:4" x14ac:dyDescent="0.45">
      <c r="A29" t="s">
        <v>125</v>
      </c>
      <c r="B29" s="12">
        <f>10%*(B26+B28)</f>
        <v>4762321.3322999999</v>
      </c>
    </row>
    <row r="31" spans="1:4" x14ac:dyDescent="0.45">
      <c r="A31" t="s">
        <v>126</v>
      </c>
      <c r="B31" s="12">
        <f>B26+B28+B29</f>
        <v>52385534.655299999</v>
      </c>
    </row>
    <row r="33" spans="1:3" x14ac:dyDescent="0.45">
      <c r="A33" t="s">
        <v>127</v>
      </c>
    </row>
    <row r="34" spans="1:3" x14ac:dyDescent="0.45">
      <c r="A34" t="s">
        <v>128</v>
      </c>
      <c r="B34" s="17">
        <f>1.5*B3</f>
        <v>540159</v>
      </c>
      <c r="C34" s="17">
        <v>1.5</v>
      </c>
    </row>
    <row r="35" spans="1:3" x14ac:dyDescent="0.45">
      <c r="A35" t="s">
        <v>129</v>
      </c>
      <c r="B35" s="12">
        <f>B3*C7*32%</f>
        <v>1008296.8</v>
      </c>
    </row>
    <row r="36" spans="1:3" x14ac:dyDescent="0.45">
      <c r="A36" t="s">
        <v>130</v>
      </c>
      <c r="B36" s="8">
        <v>700000</v>
      </c>
    </row>
    <row r="39" spans="1:3" x14ac:dyDescent="0.45">
      <c r="A39" t="s">
        <v>105</v>
      </c>
      <c r="B39" s="11">
        <f>B22-B31-B34-B35-B36</f>
        <v>13356987.923523519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 analysis</vt:lpstr>
      <vt:lpstr>stabilized operations</vt:lpstr>
      <vt:lpstr>development + stabilized</vt:lpstr>
      <vt:lpstr>land value</vt:lpstr>
      <vt:lpstr>land value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Britney N. Michko</dc:creator>
  <cp:lastModifiedBy>Britney N. Michko</cp:lastModifiedBy>
  <dcterms:created xsi:type="dcterms:W3CDTF">2025-09-04T17:01:41Z</dcterms:created>
  <dcterms:modified xsi:type="dcterms:W3CDTF">2025-09-18T20:38:05Z</dcterms:modified>
</cp:coreProperties>
</file>