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usz\Desktop\"/>
    </mc:Choice>
  </mc:AlternateContent>
  <xr:revisionPtr revIDLastSave="0" documentId="13_ncr:1_{6D90003B-59BB-4578-BC2D-EFD097063F30}" xr6:coauthVersionLast="46" xr6:coauthVersionMax="46" xr10:uidLastSave="{00000000-0000-0000-0000-000000000000}"/>
  <bookViews>
    <workbookView xWindow="-110" yWindow="-110" windowWidth="19420" windowHeight="10560" activeTab="2" xr2:uid="{EFD7BD81-A054-4C21-A398-929AB9EFC03B}"/>
  </bookViews>
  <sheets>
    <sheet name="Answer Report 1" sheetId="14" r:id="rId1"/>
    <sheet name="Sensitivity Report 1" sheetId="15" r:id="rId2"/>
    <sheet name="Product Mix Model" sheetId="5" r:id="rId3"/>
    <sheet name="Non-Linear" sheetId="1" state="hidden" r:id="rId4"/>
  </sheets>
  <definedNames>
    <definedName name="solver_adj" localSheetId="3" hidden="1">'Non-Linear'!$B$2:$D$2,'Non-Linear'!$B$3:$D$3</definedName>
    <definedName name="solver_adj" localSheetId="2" hidden="1">'Product Mix Model'!$B$2:$D$4,'Product Mix Model'!$H$22:$H$27</definedName>
    <definedName name="solver_cvg" localSheetId="3" hidden="1">0.0001</definedName>
    <definedName name="solver_cvg" localSheetId="2" hidden="1">0.0001</definedName>
    <definedName name="solver_drv" localSheetId="3" hidden="1">2</definedName>
    <definedName name="solver_drv" localSheetId="2" hidden="1">1</definedName>
    <definedName name="solver_eng" localSheetId="3" hidden="1">1</definedName>
    <definedName name="solver_eng" localSheetId="2" hidden="1">2</definedName>
    <definedName name="solver_est" localSheetId="3" hidden="1">1</definedName>
    <definedName name="solver_est" localSheetId="2" hidden="1">1</definedName>
    <definedName name="solver_itr" localSheetId="3" hidden="1">2147483647</definedName>
    <definedName name="solver_itr" localSheetId="2" hidden="1">2147483647</definedName>
    <definedName name="solver_lhs1" localSheetId="3" hidden="1">'Non-Linear'!$B$3:$D$3</definedName>
    <definedName name="solver_lhs1" localSheetId="2" hidden="1">'Product Mix Model'!$N$25</definedName>
    <definedName name="solver_lhs10" localSheetId="3" hidden="1">'Non-Linear'!$I$5</definedName>
    <definedName name="solver_lhs10" localSheetId="2" hidden="1">'Product Mix Model'!$J$2</definedName>
    <definedName name="solver_lhs11" localSheetId="3" hidden="1">'Non-Linear'!$I$6</definedName>
    <definedName name="solver_lhs11" localSheetId="2" hidden="1">'Product Mix Model'!$J$3</definedName>
    <definedName name="solver_lhs12" localSheetId="3" hidden="1">'Non-Linear'!$I$7</definedName>
    <definedName name="solver_lhs12" localSheetId="2" hidden="1">'Product Mix Model'!$J$26</definedName>
    <definedName name="solver_lhs13" localSheetId="3" hidden="1">'Non-Linear'!$I$8</definedName>
    <definedName name="solver_lhs13" localSheetId="2" hidden="1">'Product Mix Model'!$J$25</definedName>
    <definedName name="solver_lhs14" localSheetId="3" hidden="1">'Non-Linear'!$I$9</definedName>
    <definedName name="solver_lhs14" localSheetId="2" hidden="1">'Product Mix Model'!$N$26</definedName>
    <definedName name="solver_lhs15" localSheetId="3" hidden="1">'Non-Linear'!$I$13</definedName>
    <definedName name="solver_lhs15" localSheetId="2" hidden="1">'Product Mix Model'!$N$23</definedName>
    <definedName name="solver_lhs16" localSheetId="3" hidden="1">'Non-Linear'!$B$2:$D$3</definedName>
    <definedName name="solver_lhs16" localSheetId="2" hidden="1">'Product Mix Model'!$J$24</definedName>
    <definedName name="solver_lhs17" localSheetId="3" hidden="1">'Non-Linear'!$I$15</definedName>
    <definedName name="solver_lhs17" localSheetId="2" hidden="1">'Product Mix Model'!$J$27</definedName>
    <definedName name="solver_lhs18" localSheetId="3" hidden="1">'Non-Linear'!$I$15</definedName>
    <definedName name="solver_lhs18" localSheetId="2" hidden="1">'Product Mix Model'!$J$23</definedName>
    <definedName name="solver_lhs19" localSheetId="3" hidden="1">'Non-Linear'!$I$15</definedName>
    <definedName name="solver_lhs19" localSheetId="2" hidden="1">'Product Mix Model'!$J$22</definedName>
    <definedName name="solver_lhs2" localSheetId="3" hidden="1">'Non-Linear'!$I$14</definedName>
    <definedName name="solver_lhs2" localSheetId="2" hidden="1">'Product Mix Model'!$J$4</definedName>
    <definedName name="solver_lhs20" localSheetId="2" hidden="1">'Product Mix Model'!$J$19</definedName>
    <definedName name="solver_lhs21" localSheetId="2" hidden="1">'Product Mix Model'!$J$17</definedName>
    <definedName name="solver_lhs22" localSheetId="2" hidden="1">'Product Mix Model'!$J$18</definedName>
    <definedName name="solver_lhs23" localSheetId="2" hidden="1">'Product Mix Model'!$J$16</definedName>
    <definedName name="solver_lhs24" localSheetId="2" hidden="1">'Product Mix Model'!$J$13</definedName>
    <definedName name="solver_lhs25" localSheetId="2" hidden="1">'Product Mix Model'!$B$2:$D$4</definedName>
    <definedName name="solver_lhs26" localSheetId="2" hidden="1">'Product Mix Model'!$B$2:$D$4</definedName>
    <definedName name="solver_lhs27" localSheetId="2" hidden="1">'Product Mix Model'!$H$22:$H$27</definedName>
    <definedName name="solver_lhs28" localSheetId="2" hidden="1">'Product Mix Model'!$N$23</definedName>
    <definedName name="solver_lhs3" localSheetId="3" hidden="1">'Non-Linear'!$I$10</definedName>
    <definedName name="solver_lhs3" localSheetId="2" hidden="1">'Product Mix Model'!$J$7</definedName>
    <definedName name="solver_lhs4" localSheetId="3" hidden="1">'Non-Linear'!$I$17</definedName>
    <definedName name="solver_lhs4" localSheetId="2" hidden="1">'Product Mix Model'!$N$24</definedName>
    <definedName name="solver_lhs5" localSheetId="3" hidden="1">'Non-Linear'!$I$16</definedName>
    <definedName name="solver_lhs5" localSheetId="2" hidden="1">'Product Mix Model'!$J$6</definedName>
    <definedName name="solver_lhs6" localSheetId="3" hidden="1">'Non-Linear'!$I$18</definedName>
    <definedName name="solver_lhs6" localSheetId="2" hidden="1">'Product Mix Model'!$N$22</definedName>
    <definedName name="solver_lhs7" localSheetId="3" hidden="1">'Non-Linear'!$I$2</definedName>
    <definedName name="solver_lhs7" localSheetId="2" hidden="1">'Product Mix Model'!$J$5</definedName>
    <definedName name="solver_lhs8" localSheetId="3" hidden="1">'Non-Linear'!$I$3</definedName>
    <definedName name="solver_lhs8" localSheetId="2" hidden="1">'Product Mix Model'!$N$27</definedName>
    <definedName name="solver_lhs9" localSheetId="3" hidden="1">'Non-Linear'!$I$4</definedName>
    <definedName name="solver_lhs9" localSheetId="2" hidden="1">'Product Mix Model'!$J$14</definedName>
    <definedName name="solver_mip" localSheetId="3" hidden="1">2147483647</definedName>
    <definedName name="solver_mip" localSheetId="2" hidden="1">2147483647</definedName>
    <definedName name="solver_mni" localSheetId="3" hidden="1">30</definedName>
    <definedName name="solver_mni" localSheetId="2" hidden="1">30</definedName>
    <definedName name="solver_mrt" localSheetId="3" hidden="1">0.075</definedName>
    <definedName name="solver_mrt" localSheetId="2" hidden="1">0.075</definedName>
    <definedName name="solver_msl" localSheetId="3" hidden="1">2</definedName>
    <definedName name="solver_msl" localSheetId="2" hidden="1">2</definedName>
    <definedName name="solver_neg" localSheetId="3" hidden="1">1</definedName>
    <definedName name="solver_neg" localSheetId="2" hidden="1">2</definedName>
    <definedName name="solver_nod" localSheetId="3" hidden="1">2147483647</definedName>
    <definedName name="solver_nod" localSheetId="2" hidden="1">2147483647</definedName>
    <definedName name="solver_num" localSheetId="3" hidden="1">17</definedName>
    <definedName name="solver_num" localSheetId="2" hidden="1">27</definedName>
    <definedName name="solver_nwt" localSheetId="3" hidden="1">1</definedName>
    <definedName name="solver_nwt" localSheetId="2" hidden="1">1</definedName>
    <definedName name="solver_opt" localSheetId="3" hidden="1">'Non-Linear'!$M$2</definedName>
    <definedName name="solver_opt" localSheetId="2" hidden="1">'Product Mix Model'!$F$7</definedName>
    <definedName name="solver_pre" localSheetId="3" hidden="1">0.000001</definedName>
    <definedName name="solver_pre" localSheetId="2" hidden="1">0.000001</definedName>
    <definedName name="solver_rbv" localSheetId="3" hidden="1">2</definedName>
    <definedName name="solver_rbv" localSheetId="2" hidden="1">1</definedName>
    <definedName name="solver_rel1" localSheetId="3" hidden="1">5</definedName>
    <definedName name="solver_rel1" localSheetId="2" hidden="1">1</definedName>
    <definedName name="solver_rel10" localSheetId="3" hidden="1">3</definedName>
    <definedName name="solver_rel10" localSheetId="2" hidden="1">2</definedName>
    <definedName name="solver_rel11" localSheetId="3" hidden="1">3</definedName>
    <definedName name="solver_rel11" localSheetId="2" hidden="1">2</definedName>
    <definedName name="solver_rel12" localSheetId="3" hidden="1">3</definedName>
    <definedName name="solver_rel12" localSheetId="2" hidden="1">3</definedName>
    <definedName name="solver_rel13" localSheetId="3" hidden="1">1</definedName>
    <definedName name="solver_rel13" localSheetId="2" hidden="1">1</definedName>
    <definedName name="solver_rel14" localSheetId="3" hidden="1">1</definedName>
    <definedName name="solver_rel14" localSheetId="2" hidden="1">3</definedName>
    <definedName name="solver_rel15" localSheetId="3" hidden="1">1</definedName>
    <definedName name="solver_rel15" localSheetId="2" hidden="1">1</definedName>
    <definedName name="solver_rel16" localSheetId="3" hidden="1">4</definedName>
    <definedName name="solver_rel16" localSheetId="2" hidden="1">3</definedName>
    <definedName name="solver_rel17" localSheetId="3" hidden="1">1</definedName>
    <definedName name="solver_rel17" localSheetId="2" hidden="1">1</definedName>
    <definedName name="solver_rel18" localSheetId="3" hidden="1">1</definedName>
    <definedName name="solver_rel18" localSheetId="2" hidden="1">1</definedName>
    <definedName name="solver_rel19" localSheetId="3" hidden="1">1</definedName>
    <definedName name="solver_rel19" localSheetId="2" hidden="1">3</definedName>
    <definedName name="solver_rel2" localSheetId="3" hidden="1">1</definedName>
    <definedName name="solver_rel2" localSheetId="2" hidden="1">2</definedName>
    <definedName name="solver_rel20" localSheetId="2" hidden="1">1</definedName>
    <definedName name="solver_rel21" localSheetId="2" hidden="1">1</definedName>
    <definedName name="solver_rel22" localSheetId="2" hidden="1">1</definedName>
    <definedName name="solver_rel23" localSheetId="2" hidden="1">1</definedName>
    <definedName name="solver_rel24" localSheetId="2" hidden="1">1</definedName>
    <definedName name="solver_rel25" localSheetId="2" hidden="1">3</definedName>
    <definedName name="solver_rel26" localSheetId="2" hidden="1">4</definedName>
    <definedName name="solver_rel27" localSheetId="2" hidden="1">5</definedName>
    <definedName name="solver_rel28" localSheetId="2" hidden="1">1</definedName>
    <definedName name="solver_rel3" localSheetId="3" hidden="1">1</definedName>
    <definedName name="solver_rel3" localSheetId="2" hidden="1">1</definedName>
    <definedName name="solver_rel4" localSheetId="3" hidden="1">1</definedName>
    <definedName name="solver_rel4" localSheetId="2" hidden="1">3</definedName>
    <definedName name="solver_rel5" localSheetId="3" hidden="1">1</definedName>
    <definedName name="solver_rel5" localSheetId="2" hidden="1">1</definedName>
    <definedName name="solver_rel6" localSheetId="3" hidden="1">1</definedName>
    <definedName name="solver_rel6" localSheetId="2" hidden="1">3</definedName>
    <definedName name="solver_rel7" localSheetId="3" hidden="1">3</definedName>
    <definedName name="solver_rel7" localSheetId="2" hidden="1">1</definedName>
    <definedName name="solver_rel8" localSheetId="3" hidden="1">3</definedName>
    <definedName name="solver_rel8" localSheetId="2" hidden="1">1</definedName>
    <definedName name="solver_rel9" localSheetId="3" hidden="1">3</definedName>
    <definedName name="solver_rel9" localSheetId="2" hidden="1">1</definedName>
    <definedName name="solver_rhs1" localSheetId="3" hidden="1">binary</definedName>
    <definedName name="solver_rhs1" localSheetId="2" hidden="1">'Product Mix Model'!$P$25</definedName>
    <definedName name="solver_rhs10" localSheetId="3" hidden="1">'Non-Linear'!$K$5</definedName>
    <definedName name="solver_rhs10" localSheetId="2" hidden="1">'Product Mix Model'!$L$2</definedName>
    <definedName name="solver_rhs11" localSheetId="3" hidden="1">'Non-Linear'!$K$6</definedName>
    <definedName name="solver_rhs11" localSheetId="2" hidden="1">'Product Mix Model'!$L$3</definedName>
    <definedName name="solver_rhs12" localSheetId="3" hidden="1">'Non-Linear'!$K$7</definedName>
    <definedName name="solver_rhs12" localSheetId="2" hidden="1">'Product Mix Model'!$L$26</definedName>
    <definedName name="solver_rhs13" localSheetId="3" hidden="1">'Non-Linear'!$K$8</definedName>
    <definedName name="solver_rhs13" localSheetId="2" hidden="1">'Product Mix Model'!$L$25</definedName>
    <definedName name="solver_rhs14" localSheetId="3" hidden="1">'Non-Linear'!$K$9</definedName>
    <definedName name="solver_rhs14" localSheetId="2" hidden="1">'Product Mix Model'!$P$26</definedName>
    <definedName name="solver_rhs15" localSheetId="3" hidden="1">'Non-Linear'!$K$13</definedName>
    <definedName name="solver_rhs15" localSheetId="2" hidden="1">'Product Mix Model'!$P$23</definedName>
    <definedName name="solver_rhs16" localSheetId="3" hidden="1">integer</definedName>
    <definedName name="solver_rhs16" localSheetId="2" hidden="1">'Product Mix Model'!$L$24</definedName>
    <definedName name="solver_rhs17" localSheetId="3" hidden="1">'Non-Linear'!$K$15</definedName>
    <definedName name="solver_rhs17" localSheetId="2" hidden="1">'Product Mix Model'!$L$27</definedName>
    <definedName name="solver_rhs18" localSheetId="3" hidden="1">'Non-Linear'!$K$15</definedName>
    <definedName name="solver_rhs18" localSheetId="2" hidden="1">'Product Mix Model'!$L$23</definedName>
    <definedName name="solver_rhs19" localSheetId="3" hidden="1">'Non-Linear'!$K$15</definedName>
    <definedName name="solver_rhs19" localSheetId="2" hidden="1">'Product Mix Model'!$L$22</definedName>
    <definedName name="solver_rhs2" localSheetId="3" hidden="1">'Non-Linear'!$K$14</definedName>
    <definedName name="solver_rhs2" localSheetId="2" hidden="1">'Product Mix Model'!$L$4</definedName>
    <definedName name="solver_rhs20" localSheetId="2" hidden="1">'Product Mix Model'!$L$19</definedName>
    <definedName name="solver_rhs21" localSheetId="2" hidden="1">'Product Mix Model'!$L$17</definedName>
    <definedName name="solver_rhs22" localSheetId="2" hidden="1">'Product Mix Model'!$L$18</definedName>
    <definedName name="solver_rhs23" localSheetId="2" hidden="1">'Product Mix Model'!$L$16</definedName>
    <definedName name="solver_rhs24" localSheetId="2" hidden="1">'Product Mix Model'!$L$13</definedName>
    <definedName name="solver_rhs25" localSheetId="2" hidden="1">0</definedName>
    <definedName name="solver_rhs26" localSheetId="2" hidden="1">"integer"</definedName>
    <definedName name="solver_rhs27" localSheetId="2" hidden="1">"binary"</definedName>
    <definedName name="solver_rhs28" localSheetId="2" hidden="1">'Product Mix Model'!$P$23</definedName>
    <definedName name="solver_rhs3" localSheetId="3" hidden="1">'Non-Linear'!$K$10</definedName>
    <definedName name="solver_rhs3" localSheetId="2" hidden="1">'Product Mix Model'!$L$7</definedName>
    <definedName name="solver_rhs4" localSheetId="3" hidden="1">'Non-Linear'!$K$17</definedName>
    <definedName name="solver_rhs4" localSheetId="2" hidden="1">'Product Mix Model'!$P$24</definedName>
    <definedName name="solver_rhs5" localSheetId="3" hidden="1">'Non-Linear'!$K$16</definedName>
    <definedName name="solver_rhs5" localSheetId="2" hidden="1">'Product Mix Model'!$L$6</definedName>
    <definedName name="solver_rhs6" localSheetId="3" hidden="1">'Non-Linear'!$K$18</definedName>
    <definedName name="solver_rhs6" localSheetId="2" hidden="1">'Product Mix Model'!$P$22</definedName>
    <definedName name="solver_rhs7" localSheetId="3" hidden="1">'Non-Linear'!$K$2</definedName>
    <definedName name="solver_rhs7" localSheetId="2" hidden="1">'Product Mix Model'!$L$5</definedName>
    <definedName name="solver_rhs8" localSheetId="3" hidden="1">'Non-Linear'!$K$3</definedName>
    <definedName name="solver_rhs8" localSheetId="2" hidden="1">'Product Mix Model'!$P$27</definedName>
    <definedName name="solver_rhs9" localSheetId="3" hidden="1">'Non-Linear'!$K$4</definedName>
    <definedName name="solver_rhs9" localSheetId="2" hidden="1">'Product Mix Model'!$L$14</definedName>
    <definedName name="solver_rlx" localSheetId="3" hidden="1">2</definedName>
    <definedName name="solver_rlx" localSheetId="2" hidden="1">2</definedName>
    <definedName name="solver_rsd" localSheetId="3" hidden="1">0</definedName>
    <definedName name="solver_rsd" localSheetId="2" hidden="1">0</definedName>
    <definedName name="solver_scl" localSheetId="3" hidden="1">2</definedName>
    <definedName name="solver_scl" localSheetId="2" hidden="1">1</definedName>
    <definedName name="solver_sho" localSheetId="3" hidden="1">2</definedName>
    <definedName name="solver_sho" localSheetId="2" hidden="1">2</definedName>
    <definedName name="solver_ssz" localSheetId="3" hidden="1">100</definedName>
    <definedName name="solver_ssz" localSheetId="2" hidden="1">100</definedName>
    <definedName name="solver_tim" localSheetId="3" hidden="1">2147483647</definedName>
    <definedName name="solver_tim" localSheetId="2" hidden="1">2147483647</definedName>
    <definedName name="solver_tol" localSheetId="3" hidden="1">0.01</definedName>
    <definedName name="solver_tol" localSheetId="2" hidden="1">0.01</definedName>
    <definedName name="solver_typ" localSheetId="3" hidden="1">1</definedName>
    <definedName name="solver_typ" localSheetId="2" hidden="1">1</definedName>
    <definedName name="solver_val" localSheetId="3" hidden="1">0</definedName>
    <definedName name="solver_val" localSheetId="2" hidden="1">0</definedName>
    <definedName name="solver_ver" localSheetId="3" hidden="1">3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9" i="5" l="1"/>
  <c r="C31" i="5"/>
  <c r="D31" i="5"/>
  <c r="B31" i="5"/>
  <c r="D30" i="5"/>
  <c r="C30" i="5"/>
  <c r="B30" i="5"/>
  <c r="N10" i="5"/>
  <c r="N9" i="5"/>
  <c r="N8" i="5"/>
  <c r="N7" i="5"/>
  <c r="N6" i="5"/>
  <c r="N5" i="5"/>
  <c r="N4" i="5"/>
  <c r="N3" i="5"/>
  <c r="N2" i="5"/>
  <c r="F2" i="5"/>
  <c r="J4" i="5"/>
  <c r="J3" i="5"/>
  <c r="J7" i="5"/>
  <c r="J6" i="5"/>
  <c r="J5" i="5"/>
  <c r="N27" i="5"/>
  <c r="N26" i="5"/>
  <c r="N25" i="5"/>
  <c r="N24" i="5"/>
  <c r="N23" i="5"/>
  <c r="N22" i="5"/>
  <c r="J27" i="5"/>
  <c r="J26" i="5"/>
  <c r="J25" i="5"/>
  <c r="J24" i="5"/>
  <c r="J23" i="5"/>
  <c r="J22" i="5"/>
  <c r="L7" i="5"/>
  <c r="L5" i="5"/>
  <c r="L6" i="5"/>
  <c r="L4" i="5"/>
  <c r="L3" i="5"/>
  <c r="L2" i="5"/>
  <c r="J2" i="5"/>
  <c r="D20" i="5"/>
  <c r="C20" i="5"/>
  <c r="B20" i="5"/>
  <c r="D15" i="5"/>
  <c r="C15" i="5"/>
  <c r="B15" i="5"/>
  <c r="H4" i="5"/>
  <c r="G4" i="5"/>
  <c r="F4" i="5"/>
  <c r="D7" i="5"/>
  <c r="B7" i="5"/>
  <c r="C7" i="5"/>
  <c r="D23" i="5"/>
  <c r="D24" i="5"/>
  <c r="D25" i="5"/>
  <c r="D26" i="5"/>
  <c r="D27" i="5"/>
  <c r="D22" i="5"/>
  <c r="C23" i="5"/>
  <c r="C24" i="5"/>
  <c r="C25" i="5"/>
  <c r="C26" i="5"/>
  <c r="C27" i="5"/>
  <c r="C22" i="5"/>
  <c r="B23" i="5"/>
  <c r="B24" i="5"/>
  <c r="B25" i="5"/>
  <c r="B26" i="5"/>
  <c r="B27" i="5"/>
  <c r="B22" i="5"/>
  <c r="K10" i="1"/>
  <c r="K9" i="1"/>
  <c r="K8" i="1"/>
  <c r="D10" i="5"/>
  <c r="D11" i="5" s="1"/>
  <c r="C10" i="5"/>
  <c r="C11" i="5" s="1"/>
  <c r="B10" i="5"/>
  <c r="B11" i="5" s="1"/>
  <c r="D9" i="5"/>
  <c r="C9" i="5"/>
  <c r="B9" i="5"/>
  <c r="M11" i="1"/>
  <c r="C6" i="1"/>
  <c r="D6" i="1"/>
  <c r="B6" i="1"/>
  <c r="D8" i="1"/>
  <c r="F2" i="1"/>
  <c r="H2" i="1"/>
  <c r="G2" i="1"/>
  <c r="K6" i="1"/>
  <c r="K7" i="1"/>
  <c r="K5" i="1"/>
  <c r="I10" i="1"/>
  <c r="I9" i="1"/>
  <c r="I8" i="1"/>
  <c r="I7" i="1"/>
  <c r="I6" i="1"/>
  <c r="I5" i="1"/>
  <c r="K2" i="1"/>
  <c r="K4" i="1"/>
  <c r="C8" i="1"/>
  <c r="B8" i="1"/>
  <c r="I4" i="1"/>
  <c r="I3" i="1"/>
  <c r="I2" i="1"/>
  <c r="I14" i="1"/>
  <c r="I15" i="1"/>
  <c r="I16" i="1"/>
  <c r="I17" i="1"/>
  <c r="I18" i="1"/>
  <c r="I13" i="1"/>
  <c r="C9" i="1"/>
  <c r="D9" i="1"/>
  <c r="B9" i="1"/>
  <c r="J14" i="5" l="1"/>
  <c r="H2" i="5"/>
  <c r="G2" i="5"/>
  <c r="B29" i="5"/>
  <c r="D29" i="5"/>
  <c r="C29" i="5"/>
  <c r="L17" i="1"/>
  <c r="M17" i="1" s="1"/>
  <c r="N17" i="1" s="1" a="1"/>
  <c r="N17" i="1" s="1"/>
  <c r="L16" i="1"/>
  <c r="M16" i="1" s="1"/>
  <c r="N16" i="1" s="1" a="1"/>
  <c r="N16" i="1" s="1"/>
  <c r="L14" i="1"/>
  <c r="M14" i="1" s="1"/>
  <c r="N14" i="1" s="1" a="1"/>
  <c r="N14" i="1" s="1"/>
  <c r="L18" i="1"/>
  <c r="M18" i="1" s="1"/>
  <c r="N18" i="1" s="1" a="1"/>
  <c r="N18" i="1" s="1"/>
  <c r="K3" i="1"/>
  <c r="L15" i="1"/>
  <c r="M15" i="1" s="1"/>
  <c r="N15" i="1" s="1" a="1"/>
  <c r="N15" i="1" s="1"/>
  <c r="L13" i="1"/>
  <c r="M13" i="1" s="1"/>
  <c r="N13" i="1" s="1" a="1"/>
  <c r="N13" i="1" s="1"/>
  <c r="M2" i="1"/>
  <c r="F7" i="5" l="1"/>
  <c r="J13" i="5"/>
  <c r="J16" i="5"/>
  <c r="J18" i="5"/>
  <c r="J19" i="5"/>
  <c r="J17" i="5"/>
  <c r="N19" i="1"/>
  <c r="O19" i="1"/>
  <c r="P19" i="1"/>
  <c r="P27" i="5" l="1"/>
  <c r="L26" i="5"/>
  <c r="P25" i="5"/>
  <c r="P22" i="5"/>
  <c r="L22" i="5"/>
  <c r="L27" i="5"/>
  <c r="L24" i="5"/>
  <c r="P23" i="5"/>
  <c r="L23" i="5"/>
  <c r="P24" i="5"/>
  <c r="L25" i="5"/>
  <c r="P26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<sst xmlns="http://schemas.openxmlformats.org/spreadsheetml/2006/main" count="302" uniqueCount="142">
  <si>
    <t>Product A</t>
  </si>
  <si>
    <t>Product B</t>
  </si>
  <si>
    <t>Product C</t>
  </si>
  <si>
    <t>Decision Variable</t>
  </si>
  <si>
    <t>Estimated Sale Price per Product</t>
  </si>
  <si>
    <t>Guaranteed Demand</t>
  </si>
  <si>
    <t>Demand per Product</t>
  </si>
  <si>
    <t>Produce in Excess of Demand(1-Yes, 0-No)</t>
  </si>
  <si>
    <t>Quantity to Produce</t>
  </si>
  <si>
    <t>Excess of Demand Sale Price per Product</t>
  </si>
  <si>
    <t>Total Profit</t>
  </si>
  <si>
    <t>Stainless Steel</t>
  </si>
  <si>
    <t>Rust Protection</t>
  </si>
  <si>
    <t>Assemble</t>
  </si>
  <si>
    <t>Edit the Steel</t>
  </si>
  <si>
    <t>Chemical Process</t>
  </si>
  <si>
    <t>Forge Welding</t>
  </si>
  <si>
    <t>Cost of The Resource/Labour</t>
  </si>
  <si>
    <t>Availibility</t>
  </si>
  <si>
    <t>Constraints</t>
  </si>
  <si>
    <t>Product Info</t>
  </si>
  <si>
    <t>Raw Material and Labour</t>
  </si>
  <si>
    <t>Requirements per Product</t>
  </si>
  <si>
    <t xml:space="preserve">Penalty for Not Meeting the Demand </t>
  </si>
  <si>
    <t>&gt;=</t>
  </si>
  <si>
    <t>&lt;=</t>
  </si>
  <si>
    <t>Total Revenue</t>
  </si>
  <si>
    <t>Raw Material Cost</t>
  </si>
  <si>
    <t>Labour Cost</t>
  </si>
  <si>
    <t>M=</t>
  </si>
  <si>
    <t>M= max</t>
  </si>
  <si>
    <t>Objective Cell (Max)</t>
  </si>
  <si>
    <t>Cell</t>
  </si>
  <si>
    <t>Name</t>
  </si>
  <si>
    <t>Original Value</t>
  </si>
  <si>
    <t>Final Value</t>
  </si>
  <si>
    <t>Variable Cells</t>
  </si>
  <si>
    <t>Cell Value</t>
  </si>
  <si>
    <t>Formula</t>
  </si>
  <si>
    <t>$B$2</t>
  </si>
  <si>
    <t>$C$2</t>
  </si>
  <si>
    <t>$D$2</t>
  </si>
  <si>
    <t>$B$3</t>
  </si>
  <si>
    <t>$C$3</t>
  </si>
  <si>
    <t>$D$3</t>
  </si>
  <si>
    <t>Microsoft Excel 16.0 Answer Report</t>
  </si>
  <si>
    <t>Result: Solver found a solution.  All Constraints and optimality conditions are satisfied.</t>
  </si>
  <si>
    <t>Solver Engine</t>
  </si>
  <si>
    <t>Engine: Simplex LP</t>
  </si>
  <si>
    <t>Solver Options</t>
  </si>
  <si>
    <t>Max Time Unlimited,  Iterations Unlimited, Precision 0.000001, Use Automatic Scaling</t>
  </si>
  <si>
    <t>Integer</t>
  </si>
  <si>
    <t>Status</t>
  </si>
  <si>
    <t>Slack</t>
  </si>
  <si>
    <t>Not Binding</t>
  </si>
  <si>
    <t>Binding</t>
  </si>
  <si>
    <t>Microsoft Excel 16.0 Sensitivity Report</t>
  </si>
  <si>
    <t>Final</t>
  </si>
  <si>
    <t>Value</t>
  </si>
  <si>
    <t>Reduced</t>
  </si>
  <si>
    <t>Cost</t>
  </si>
  <si>
    <t>Objective</t>
  </si>
  <si>
    <t>Coefficient</t>
  </si>
  <si>
    <t>Allowable</t>
  </si>
  <si>
    <t>Increase</t>
  </si>
  <si>
    <t>Decrease</t>
  </si>
  <si>
    <t>Shadow</t>
  </si>
  <si>
    <t>Price</t>
  </si>
  <si>
    <t>Constraint</t>
  </si>
  <si>
    <t>R.H. Side</t>
  </si>
  <si>
    <t>Overall Production per Product</t>
  </si>
  <si>
    <t>Quantity to Produce (90% to 100% Demand)</t>
  </si>
  <si>
    <t>Produce in Excess of Demand(&gt;100%)</t>
  </si>
  <si>
    <t>Row5 + Row9</t>
  </si>
  <si>
    <t>Decision Variable Domain</t>
  </si>
  <si>
    <t>Quantity to Produce (90% to 100% Demand) Product A</t>
  </si>
  <si>
    <t>Quantity to Produce (90% to 100% Demand) Product B</t>
  </si>
  <si>
    <t>Quantity to Produce (90% to 100% Demand) Product C</t>
  </si>
  <si>
    <t>Produce in Excess of Demand(&gt;100%) Product A</t>
  </si>
  <si>
    <t>Produce in Excess of Demand(&gt;100%) Product B</t>
  </si>
  <si>
    <t>Produce in Excess of Demand(&gt;100%) Product C</t>
  </si>
  <si>
    <t>Maximum quantity per Product from available Resources</t>
  </si>
  <si>
    <t>Raw Material and Labour Requirements per Product</t>
  </si>
  <si>
    <t>Quantity to Produce (0% to 90% Demand)</t>
  </si>
  <si>
    <t xml:space="preserve">Maximum Quantity per Product from each Resource </t>
  </si>
  <si>
    <t>Min Value</t>
  </si>
  <si>
    <t xml:space="preserve">Raw Material Cost per Product </t>
  </si>
  <si>
    <t>Labour Cost per Product</t>
  </si>
  <si>
    <t>Binary Variables</t>
  </si>
  <si>
    <t>=</t>
  </si>
  <si>
    <t>Solution Time: 0.047 Seconds.</t>
  </si>
  <si>
    <t>Iterations: 14 Subproblems: 0</t>
  </si>
  <si>
    <t>$F$7</t>
  </si>
  <si>
    <t>Quantity to Produce (0% to 90% Demand) Product A</t>
  </si>
  <si>
    <t>Quantity to Produce (0% to 90% Demand) Product B</t>
  </si>
  <si>
    <t>Quantity to Produce (0% to 90% Demand) Product C</t>
  </si>
  <si>
    <t>$B$4</t>
  </si>
  <si>
    <t>$C$4</t>
  </si>
  <si>
    <t>$D$4</t>
  </si>
  <si>
    <t>Extra Constraints</t>
  </si>
  <si>
    <t>p</t>
  </si>
  <si>
    <t>r</t>
  </si>
  <si>
    <t>s</t>
  </si>
  <si>
    <t>t</t>
  </si>
  <si>
    <t>u</t>
  </si>
  <si>
    <t>w</t>
  </si>
  <si>
    <t xml:space="preserve"> Usage</t>
  </si>
  <si>
    <t>Resource/Labour</t>
  </si>
  <si>
    <t xml:space="preserve">Cost of the </t>
  </si>
  <si>
    <t>Worksheet: [coursework.xlsx]Product Mix Model</t>
  </si>
  <si>
    <t>Report Created: 20/04/2021 01:14:42</t>
  </si>
  <si>
    <t>Max Subproblems Unlimited, Max Integer Sols Unlimited, Integer Tolerance 1%, Solve Without Integer Constraints</t>
  </si>
  <si>
    <t>$J$18</t>
  </si>
  <si>
    <t>Chemical Process  Usage</t>
  </si>
  <si>
    <t>$J$18&lt;=$L$18</t>
  </si>
  <si>
    <t>$J$17</t>
  </si>
  <si>
    <t>Edit the Steel  Usage</t>
  </si>
  <si>
    <t>$J$17&lt;=$L$17</t>
  </si>
  <si>
    <t>$J$19</t>
  </si>
  <si>
    <t>Forge Welding  Usage</t>
  </si>
  <si>
    <t>$J$19&lt;=$L$19</t>
  </si>
  <si>
    <t>$J$16</t>
  </si>
  <si>
    <t>Assemble  Usage</t>
  </si>
  <si>
    <t>$J$16&lt;=$L$16</t>
  </si>
  <si>
    <t>$J$14</t>
  </si>
  <si>
    <t>Rust Protection  Usage</t>
  </si>
  <si>
    <t>$J$14&lt;=$L$14</t>
  </si>
  <si>
    <t>$J$13</t>
  </si>
  <si>
    <t>Stainless Steel  Usage</t>
  </si>
  <si>
    <t>$J$13&lt;=$L$13</t>
  </si>
  <si>
    <t>$B$2&gt;=0</t>
  </si>
  <si>
    <t>$C$2&gt;=0</t>
  </si>
  <si>
    <t>$D$2&gt;=0</t>
  </si>
  <si>
    <t>$B$3&gt;=0</t>
  </si>
  <si>
    <t>$C$3&gt;=0</t>
  </si>
  <si>
    <t>$D$3&gt;=0</t>
  </si>
  <si>
    <t>$B$4&gt;=0</t>
  </si>
  <si>
    <t>$C$4&gt;=0</t>
  </si>
  <si>
    <t>$D$4&gt;=0</t>
  </si>
  <si>
    <t>Report Created: 20/04/2021 01:14:43</t>
  </si>
  <si>
    <t>Max x_i3</t>
  </si>
  <si>
    <t>Max x_i2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</si>
</sst>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indexed="1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2" fontId="0" fillId="0" borderId="0" xfId="0" applyNumberFormat="1"/>
    <xf numFmtId="2" fontId="0" fillId="0" borderId="0" xfId="0" applyNumberFormat="1" applyAlignment="1"/>
    <xf numFmtId="2" fontId="0" fillId="2" borderId="0" xfId="0" applyNumberFormat="1" applyFill="1"/>
    <xf numFmtId="0" fontId="0" fillId="4" borderId="0" xfId="0" applyFill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5" borderId="0" xfId="0" applyFill="1"/>
    <xf numFmtId="0" fontId="0" fillId="0" borderId="2" xfId="0" applyFill="1" applyBorder="1" applyAlignment="1"/>
    <xf numFmtId="0" fontId="0" fillId="0" borderId="3" xfId="0" applyFill="1" applyBorder="1" applyAlignment="1"/>
    <xf numFmtId="2" fontId="0" fillId="0" borderId="3" xfId="0" applyNumberFormat="1" applyFill="1" applyBorder="1" applyAlignment="1"/>
    <xf numFmtId="2" fontId="0" fillId="0" borderId="2" xfId="0" applyNumberFormat="1" applyFill="1" applyBorder="1" applyAlignment="1"/>
    <xf numFmtId="0" fontId="0" fillId="0" borderId="0" xfId="0" applyNumberFormat="1"/>
    <xf numFmtId="2" fontId="2" fillId="0" borderId="0" xfId="0" applyNumberFormat="1" applyFont="1"/>
    <xf numFmtId="2" fontId="0" fillId="0" borderId="0" xfId="0" applyNumberFormat="1" applyAlignment="1">
      <alignment horizontal="center"/>
    </xf>
    <xf numFmtId="2" fontId="0" fillId="6" borderId="0" xfId="0" applyNumberFormat="1" applyFill="1"/>
    <xf numFmtId="2" fontId="0" fillId="5" borderId="0" xfId="0" applyNumberFormat="1" applyFill="1"/>
    <xf numFmtId="2" fontId="0" fillId="3" borderId="0" xfId="0" applyNumberFormat="1" applyFill="1"/>
    <xf numFmtId="2" fontId="2" fillId="5" borderId="0" xfId="0" applyNumberFormat="1" applyFont="1" applyFill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 applyAlignment="1"/>
    <xf numFmtId="0" fontId="0" fillId="0" borderId="0" xfId="0" applyAlignment="1">
      <alignment horizontal="right"/>
    </xf>
    <xf numFmtId="0" fontId="0" fillId="0" borderId="0" xfId="0" applyBorder="1"/>
    <xf numFmtId="2" fontId="0" fillId="0" borderId="0" xfId="0" applyNumberFormat="1" applyBorder="1"/>
    <xf numFmtId="0" fontId="3" fillId="0" borderId="1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2" fontId="0" fillId="7" borderId="0" xfId="0" applyNumberFormat="1" applyFill="1"/>
    <xf numFmtId="0" fontId="1" fillId="0" borderId="0" xfId="0" applyFont="1" applyAlignment="1">
      <alignment horizontal="center"/>
    </xf>
    <xf numFmtId="0" fontId="1" fillId="0" borderId="0" xfId="0" applyFont="1" applyAlignment="1"/>
    <xf numFmtId="2" fontId="1" fillId="0" borderId="0" xfId="0" applyNumberFormat="1" applyFont="1" applyAlignment="1">
      <alignment horizontal="center"/>
    </xf>
    <xf numFmtId="0" fontId="1" fillId="0" borderId="0" xfId="0" applyFont="1"/>
    <xf numFmtId="2" fontId="0" fillId="0" borderId="0" xfId="0" applyNumberFormat="1" applyAlignment="1"/>
    <xf numFmtId="0" fontId="0" fillId="0" borderId="0" xfId="0" applyAlignment="1">
      <alignment horizontal="center"/>
    </xf>
    <xf numFmtId="0" fontId="2" fillId="0" borderId="0" xfId="0" applyFont="1" applyAlignment="1">
      <alignment horizontal="right"/>
    </xf>
    <xf numFmtId="2" fontId="2" fillId="0" borderId="0" xfId="0" applyNumberFormat="1" applyFont="1" applyAlignment="1"/>
    <xf numFmtId="2" fontId="0" fillId="8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A37F8-AA89-4A44-A141-7F2E69B80811}">
  <dimension ref="A1:G48"/>
  <sheetViews>
    <sheetView showGridLines="0" topLeftCell="A9" zoomScaleNormal="100" workbookViewId="0">
      <selection activeCell="P48" sqref="P48"/>
    </sheetView>
  </sheetViews>
  <sheetFormatPr defaultRowHeight="14.5" x14ac:dyDescent="0.35"/>
  <cols>
    <col min="1" max="1" width="2.1796875" customWidth="1"/>
    <col min="2" max="2" width="18.36328125" bestFit="1" customWidth="1"/>
    <col min="3" max="3" width="58.08984375" bestFit="1" customWidth="1"/>
    <col min="4" max="4" width="12.453125" bestFit="1" customWidth="1"/>
    <col min="5" max="5" width="13.1796875" bestFit="1" customWidth="1"/>
    <col min="6" max="6" width="10.453125" bestFit="1" customWidth="1"/>
    <col min="7" max="7" width="11.81640625" bestFit="1" customWidth="1"/>
  </cols>
  <sheetData>
    <row r="1" spans="1:5" x14ac:dyDescent="0.35">
      <c r="A1" s="7" t="s">
        <v>45</v>
      </c>
    </row>
    <row r="2" spans="1:5" x14ac:dyDescent="0.35">
      <c r="A2" s="7" t="s">
        <v>109</v>
      </c>
    </row>
    <row r="3" spans="1:5" x14ac:dyDescent="0.35">
      <c r="A3" s="7" t="s">
        <v>110</v>
      </c>
    </row>
    <row r="4" spans="1:5" x14ac:dyDescent="0.35">
      <c r="A4" s="7" t="s">
        <v>46</v>
      </c>
    </row>
    <row r="5" spans="1:5" x14ac:dyDescent="0.35">
      <c r="A5" s="7" t="s">
        <v>47</v>
      </c>
    </row>
    <row r="6" spans="1:5" x14ac:dyDescent="0.35">
      <c r="A6" s="7"/>
      <c r="B6" t="s">
        <v>48</v>
      </c>
    </row>
    <row r="7" spans="1:5" x14ac:dyDescent="0.35">
      <c r="A7" s="7"/>
      <c r="B7" t="s">
        <v>90</v>
      </c>
    </row>
    <row r="8" spans="1:5" x14ac:dyDescent="0.35">
      <c r="A8" s="7"/>
      <c r="B8" t="s">
        <v>91</v>
      </c>
    </row>
    <row r="9" spans="1:5" x14ac:dyDescent="0.35">
      <c r="A9" s="7" t="s">
        <v>49</v>
      </c>
    </row>
    <row r="10" spans="1:5" x14ac:dyDescent="0.35">
      <c r="B10" t="s">
        <v>50</v>
      </c>
    </row>
    <row r="11" spans="1:5" x14ac:dyDescent="0.35">
      <c r="B11" t="s">
        <v>111</v>
      </c>
    </row>
    <row r="14" spans="1:5" ht="15" thickBot="1" x14ac:dyDescent="0.4">
      <c r="A14" t="s">
        <v>31</v>
      </c>
    </row>
    <row r="15" spans="1:5" ht="15" thickBot="1" x14ac:dyDescent="0.4">
      <c r="B15" s="29" t="s">
        <v>32</v>
      </c>
      <c r="C15" s="29" t="s">
        <v>33</v>
      </c>
      <c r="D15" s="29" t="s">
        <v>34</v>
      </c>
      <c r="E15" s="29" t="s">
        <v>35</v>
      </c>
    </row>
    <row r="16" spans="1:5" ht="15" thickBot="1" x14ac:dyDescent="0.4">
      <c r="B16" s="11" t="s">
        <v>92</v>
      </c>
      <c r="C16" s="11" t="s">
        <v>10</v>
      </c>
      <c r="D16" s="14">
        <v>9559496.5</v>
      </c>
      <c r="E16" s="14">
        <v>9559496.5</v>
      </c>
    </row>
    <row r="19" spans="1:6" ht="15" thickBot="1" x14ac:dyDescent="0.4">
      <c r="A19" t="s">
        <v>36</v>
      </c>
    </row>
    <row r="20" spans="1:6" ht="15" thickBot="1" x14ac:dyDescent="0.4">
      <c r="B20" s="29" t="s">
        <v>32</v>
      </c>
      <c r="C20" s="29" t="s">
        <v>33</v>
      </c>
      <c r="D20" s="29" t="s">
        <v>34</v>
      </c>
      <c r="E20" s="29" t="s">
        <v>35</v>
      </c>
      <c r="F20" s="29" t="s">
        <v>51</v>
      </c>
    </row>
    <row r="21" spans="1:6" x14ac:dyDescent="0.35">
      <c r="B21" s="12" t="s">
        <v>39</v>
      </c>
      <c r="C21" s="12" t="s">
        <v>93</v>
      </c>
      <c r="D21" s="13">
        <v>1485</v>
      </c>
      <c r="E21" s="13">
        <v>1485</v>
      </c>
      <c r="F21" s="12" t="s">
        <v>51</v>
      </c>
    </row>
    <row r="22" spans="1:6" x14ac:dyDescent="0.35">
      <c r="B22" s="12" t="s">
        <v>40</v>
      </c>
      <c r="C22" s="12" t="s">
        <v>94</v>
      </c>
      <c r="D22" s="13">
        <v>2761</v>
      </c>
      <c r="E22" s="13">
        <v>2761</v>
      </c>
      <c r="F22" s="12" t="s">
        <v>51</v>
      </c>
    </row>
    <row r="23" spans="1:6" x14ac:dyDescent="0.35">
      <c r="B23" s="12" t="s">
        <v>41</v>
      </c>
      <c r="C23" s="12" t="s">
        <v>95</v>
      </c>
      <c r="D23" s="13">
        <v>630</v>
      </c>
      <c r="E23" s="13">
        <v>630</v>
      </c>
      <c r="F23" s="12" t="s">
        <v>51</v>
      </c>
    </row>
    <row r="24" spans="1:6" x14ac:dyDescent="0.35">
      <c r="B24" s="12" t="s">
        <v>42</v>
      </c>
      <c r="C24" s="12" t="s">
        <v>75</v>
      </c>
      <c r="D24" s="13">
        <v>165</v>
      </c>
      <c r="E24" s="13">
        <v>165</v>
      </c>
      <c r="F24" s="12" t="s">
        <v>51</v>
      </c>
    </row>
    <row r="25" spans="1:6" x14ac:dyDescent="0.35">
      <c r="B25" s="12" t="s">
        <v>43</v>
      </c>
      <c r="C25" s="12" t="s">
        <v>76</v>
      </c>
      <c r="D25" s="13">
        <v>307</v>
      </c>
      <c r="E25" s="13">
        <v>307</v>
      </c>
      <c r="F25" s="12" t="s">
        <v>51</v>
      </c>
    </row>
    <row r="26" spans="1:6" x14ac:dyDescent="0.35">
      <c r="B26" s="12" t="s">
        <v>44</v>
      </c>
      <c r="C26" s="12" t="s">
        <v>77</v>
      </c>
      <c r="D26" s="13">
        <v>0</v>
      </c>
      <c r="E26" s="13">
        <v>0</v>
      </c>
      <c r="F26" s="12" t="s">
        <v>51</v>
      </c>
    </row>
    <row r="27" spans="1:6" x14ac:dyDescent="0.35">
      <c r="B27" s="12" t="s">
        <v>96</v>
      </c>
      <c r="C27" s="12" t="s">
        <v>78</v>
      </c>
      <c r="D27" s="13">
        <v>0</v>
      </c>
      <c r="E27" s="13">
        <v>0</v>
      </c>
      <c r="F27" s="12" t="s">
        <v>51</v>
      </c>
    </row>
    <row r="28" spans="1:6" x14ac:dyDescent="0.35">
      <c r="B28" s="12" t="s">
        <v>97</v>
      </c>
      <c r="C28" s="12" t="s">
        <v>79</v>
      </c>
      <c r="D28" s="13">
        <v>942</v>
      </c>
      <c r="E28" s="13">
        <v>942</v>
      </c>
      <c r="F28" s="12" t="s">
        <v>51</v>
      </c>
    </row>
    <row r="29" spans="1:6" x14ac:dyDescent="0.35">
      <c r="B29" s="12" t="s">
        <v>98</v>
      </c>
      <c r="C29" s="12" t="s">
        <v>80</v>
      </c>
      <c r="D29" s="13">
        <v>0</v>
      </c>
      <c r="E29" s="13">
        <v>0</v>
      </c>
      <c r="F29" s="12" t="s">
        <v>51</v>
      </c>
    </row>
    <row r="32" spans="1:6" ht="15" thickBot="1" x14ac:dyDescent="0.4">
      <c r="A32" t="s">
        <v>19</v>
      </c>
    </row>
    <row r="33" spans="2:7" ht="15" thickBot="1" x14ac:dyDescent="0.4">
      <c r="B33" s="29" t="s">
        <v>32</v>
      </c>
      <c r="C33" s="29" t="s">
        <v>33</v>
      </c>
      <c r="D33" s="29" t="s">
        <v>37</v>
      </c>
      <c r="E33" s="29" t="s">
        <v>38</v>
      </c>
      <c r="F33" s="29" t="s">
        <v>52</v>
      </c>
      <c r="G33" s="29" t="s">
        <v>53</v>
      </c>
    </row>
    <row r="34" spans="2:7" x14ac:dyDescent="0.35">
      <c r="B34" s="12" t="s">
        <v>112</v>
      </c>
      <c r="C34" s="12" t="s">
        <v>113</v>
      </c>
      <c r="D34" s="13">
        <v>5457.5</v>
      </c>
      <c r="E34" s="12" t="s">
        <v>114</v>
      </c>
      <c r="F34" s="12" t="s">
        <v>54</v>
      </c>
      <c r="G34" s="12">
        <v>2542.5</v>
      </c>
    </row>
    <row r="35" spans="2:7" x14ac:dyDescent="0.35">
      <c r="B35" s="12" t="s">
        <v>115</v>
      </c>
      <c r="C35" s="12" t="s">
        <v>116</v>
      </c>
      <c r="D35" s="13">
        <v>3151.666666666667</v>
      </c>
      <c r="E35" s="12" t="s">
        <v>117</v>
      </c>
      <c r="F35" s="12" t="s">
        <v>54</v>
      </c>
      <c r="G35" s="12">
        <v>1848.333333333333</v>
      </c>
    </row>
    <row r="36" spans="2:7" x14ac:dyDescent="0.35">
      <c r="B36" s="12" t="s">
        <v>118</v>
      </c>
      <c r="C36" s="12" t="s">
        <v>119</v>
      </c>
      <c r="D36" s="13">
        <v>1703.3333333333333</v>
      </c>
      <c r="E36" s="12" t="s">
        <v>120</v>
      </c>
      <c r="F36" s="12" t="s">
        <v>54</v>
      </c>
      <c r="G36" s="12">
        <v>1296.6666666666667</v>
      </c>
    </row>
    <row r="37" spans="2:7" x14ac:dyDescent="0.35">
      <c r="B37" s="12" t="s">
        <v>121</v>
      </c>
      <c r="C37" s="12" t="s">
        <v>122</v>
      </c>
      <c r="D37" s="13">
        <v>1769.1666666666665</v>
      </c>
      <c r="E37" s="12" t="s">
        <v>123</v>
      </c>
      <c r="F37" s="12" t="s">
        <v>54</v>
      </c>
      <c r="G37" s="12">
        <v>1230.8333333333335</v>
      </c>
    </row>
    <row r="38" spans="2:7" x14ac:dyDescent="0.35">
      <c r="B38" s="12" t="s">
        <v>124</v>
      </c>
      <c r="C38" s="12" t="s">
        <v>125</v>
      </c>
      <c r="D38" s="13">
        <v>23000</v>
      </c>
      <c r="E38" s="12" t="s">
        <v>126</v>
      </c>
      <c r="F38" s="12" t="s">
        <v>55</v>
      </c>
      <c r="G38" s="12">
        <v>0</v>
      </c>
    </row>
    <row r="39" spans="2:7" x14ac:dyDescent="0.35">
      <c r="B39" s="12" t="s">
        <v>127</v>
      </c>
      <c r="C39" s="12" t="s">
        <v>128</v>
      </c>
      <c r="D39" s="13">
        <v>105985</v>
      </c>
      <c r="E39" s="12" t="s">
        <v>129</v>
      </c>
      <c r="F39" s="12" t="s">
        <v>54</v>
      </c>
      <c r="G39" s="12">
        <v>44015</v>
      </c>
    </row>
    <row r="40" spans="2:7" x14ac:dyDescent="0.35">
      <c r="B40" s="12" t="s">
        <v>39</v>
      </c>
      <c r="C40" s="12" t="s">
        <v>93</v>
      </c>
      <c r="D40" s="13">
        <v>1485</v>
      </c>
      <c r="E40" s="12" t="s">
        <v>130</v>
      </c>
      <c r="F40" s="12" t="s">
        <v>54</v>
      </c>
      <c r="G40" s="13">
        <v>1485</v>
      </c>
    </row>
    <row r="41" spans="2:7" x14ac:dyDescent="0.35">
      <c r="B41" s="12" t="s">
        <v>40</v>
      </c>
      <c r="C41" s="12" t="s">
        <v>94</v>
      </c>
      <c r="D41" s="13">
        <v>2761</v>
      </c>
      <c r="E41" s="12" t="s">
        <v>131</v>
      </c>
      <c r="F41" s="12" t="s">
        <v>54</v>
      </c>
      <c r="G41" s="13">
        <v>2761</v>
      </c>
    </row>
    <row r="42" spans="2:7" x14ac:dyDescent="0.35">
      <c r="B42" s="12" t="s">
        <v>41</v>
      </c>
      <c r="C42" s="12" t="s">
        <v>95</v>
      </c>
      <c r="D42" s="13">
        <v>630</v>
      </c>
      <c r="E42" s="12" t="s">
        <v>132</v>
      </c>
      <c r="F42" s="12" t="s">
        <v>54</v>
      </c>
      <c r="G42" s="13">
        <v>630</v>
      </c>
    </row>
    <row r="43" spans="2:7" x14ac:dyDescent="0.35">
      <c r="B43" s="12" t="s">
        <v>42</v>
      </c>
      <c r="C43" s="12" t="s">
        <v>75</v>
      </c>
      <c r="D43" s="13">
        <v>165</v>
      </c>
      <c r="E43" s="12" t="s">
        <v>133</v>
      </c>
      <c r="F43" s="12" t="s">
        <v>54</v>
      </c>
      <c r="G43" s="13">
        <v>165</v>
      </c>
    </row>
    <row r="44" spans="2:7" x14ac:dyDescent="0.35">
      <c r="B44" s="12" t="s">
        <v>43</v>
      </c>
      <c r="C44" s="12" t="s">
        <v>76</v>
      </c>
      <c r="D44" s="13">
        <v>307</v>
      </c>
      <c r="E44" s="12" t="s">
        <v>134</v>
      </c>
      <c r="F44" s="12" t="s">
        <v>54</v>
      </c>
      <c r="G44" s="13">
        <v>307</v>
      </c>
    </row>
    <row r="45" spans="2:7" x14ac:dyDescent="0.35">
      <c r="B45" s="12" t="s">
        <v>44</v>
      </c>
      <c r="C45" s="12" t="s">
        <v>77</v>
      </c>
      <c r="D45" s="13">
        <v>0</v>
      </c>
      <c r="E45" s="12" t="s">
        <v>135</v>
      </c>
      <c r="F45" s="12" t="s">
        <v>55</v>
      </c>
      <c r="G45" s="13">
        <v>0</v>
      </c>
    </row>
    <row r="46" spans="2:7" x14ac:dyDescent="0.35">
      <c r="B46" s="12" t="s">
        <v>96</v>
      </c>
      <c r="C46" s="12" t="s">
        <v>78</v>
      </c>
      <c r="D46" s="13">
        <v>0</v>
      </c>
      <c r="E46" s="12" t="s">
        <v>136</v>
      </c>
      <c r="F46" s="12" t="s">
        <v>55</v>
      </c>
      <c r="G46" s="13">
        <v>0</v>
      </c>
    </row>
    <row r="47" spans="2:7" x14ac:dyDescent="0.35">
      <c r="B47" s="12" t="s">
        <v>97</v>
      </c>
      <c r="C47" s="12" t="s">
        <v>79</v>
      </c>
      <c r="D47" s="13">
        <v>942</v>
      </c>
      <c r="E47" s="12" t="s">
        <v>137</v>
      </c>
      <c r="F47" s="12" t="s">
        <v>54</v>
      </c>
      <c r="G47" s="13">
        <v>942</v>
      </c>
    </row>
    <row r="48" spans="2:7" x14ac:dyDescent="0.35">
      <c r="B48" s="12" t="s">
        <v>98</v>
      </c>
      <c r="C48" s="12" t="s">
        <v>80</v>
      </c>
      <c r="D48" s="13">
        <v>0</v>
      </c>
      <c r="E48" s="12" t="s">
        <v>138</v>
      </c>
      <c r="F48" s="12" t="s">
        <v>55</v>
      </c>
      <c r="G48" s="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E25A7-C0CB-41E5-A631-ACDB869E927C}">
  <dimension ref="A1:H27"/>
  <sheetViews>
    <sheetView showGridLines="0" workbookViewId="0">
      <selection activeCell="C29" sqref="C29"/>
    </sheetView>
  </sheetViews>
  <sheetFormatPr defaultRowHeight="14.5" x14ac:dyDescent="0.35"/>
  <cols>
    <col min="1" max="1" width="2.1796875" customWidth="1"/>
    <col min="2" max="2" width="6.08984375" bestFit="1" customWidth="1"/>
    <col min="3" max="3" width="58.08984375" bestFit="1" customWidth="1"/>
    <col min="4" max="4" width="11.81640625" bestFit="1" customWidth="1"/>
    <col min="5" max="5" width="12.453125" bestFit="1" customWidth="1"/>
    <col min="6" max="8" width="11.81640625" bestFit="1" customWidth="1"/>
  </cols>
  <sheetData>
    <row r="1" spans="1:8" x14ac:dyDescent="0.35">
      <c r="A1" s="7" t="s">
        <v>56</v>
      </c>
    </row>
    <row r="2" spans="1:8" x14ac:dyDescent="0.35">
      <c r="A2" s="7" t="s">
        <v>109</v>
      </c>
    </row>
    <row r="3" spans="1:8" x14ac:dyDescent="0.35">
      <c r="A3" s="7" t="s">
        <v>139</v>
      </c>
    </row>
    <row r="6" spans="1:8" ht="15" thickBot="1" x14ac:dyDescent="0.4">
      <c r="A6" t="s">
        <v>36</v>
      </c>
    </row>
    <row r="7" spans="1:8" x14ac:dyDescent="0.35">
      <c r="B7" s="30"/>
      <c r="C7" s="30"/>
      <c r="D7" s="30" t="s">
        <v>57</v>
      </c>
      <c r="E7" s="30" t="s">
        <v>59</v>
      </c>
      <c r="F7" s="30" t="s">
        <v>61</v>
      </c>
      <c r="G7" s="30" t="s">
        <v>63</v>
      </c>
      <c r="H7" s="30" t="s">
        <v>63</v>
      </c>
    </row>
    <row r="8" spans="1:8" ht="15" thickBot="1" x14ac:dyDescent="0.4">
      <c r="B8" s="31" t="s">
        <v>32</v>
      </c>
      <c r="C8" s="31" t="s">
        <v>33</v>
      </c>
      <c r="D8" s="31" t="s">
        <v>58</v>
      </c>
      <c r="E8" s="31" t="s">
        <v>60</v>
      </c>
      <c r="F8" s="31" t="s">
        <v>62</v>
      </c>
      <c r="G8" s="31" t="s">
        <v>64</v>
      </c>
      <c r="H8" s="31" t="s">
        <v>65</v>
      </c>
    </row>
    <row r="9" spans="1:8" x14ac:dyDescent="0.35">
      <c r="B9" s="12" t="s">
        <v>39</v>
      </c>
      <c r="C9" s="12" t="s">
        <v>93</v>
      </c>
      <c r="D9" s="12">
        <v>1485</v>
      </c>
      <c r="E9" s="12">
        <v>0</v>
      </c>
      <c r="F9" s="12">
        <v>2101.4166666669771</v>
      </c>
      <c r="G9" s="12">
        <v>1E+30</v>
      </c>
      <c r="H9" s="12">
        <v>1E+30</v>
      </c>
    </row>
    <row r="10" spans="1:8" x14ac:dyDescent="0.35">
      <c r="B10" s="12" t="s">
        <v>40</v>
      </c>
      <c r="C10" s="12" t="s">
        <v>94</v>
      </c>
      <c r="D10" s="12">
        <v>2761</v>
      </c>
      <c r="E10" s="12">
        <v>0</v>
      </c>
      <c r="F10" s="12">
        <v>3174.25</v>
      </c>
      <c r="G10" s="12">
        <v>1E+30</v>
      </c>
      <c r="H10" s="12">
        <v>1E+30</v>
      </c>
    </row>
    <row r="11" spans="1:8" x14ac:dyDescent="0.35">
      <c r="B11" s="12" t="s">
        <v>41</v>
      </c>
      <c r="C11" s="12" t="s">
        <v>95</v>
      </c>
      <c r="D11" s="12">
        <v>630</v>
      </c>
      <c r="E11" s="12">
        <v>0</v>
      </c>
      <c r="F11" s="12">
        <v>1621.4166666660458</v>
      </c>
      <c r="G11" s="12">
        <v>1E+30</v>
      </c>
      <c r="H11" s="12">
        <v>1E+30</v>
      </c>
    </row>
    <row r="12" spans="1:8" x14ac:dyDescent="0.35">
      <c r="B12" s="12" t="s">
        <v>42</v>
      </c>
      <c r="C12" s="12" t="s">
        <v>75</v>
      </c>
      <c r="D12" s="12">
        <v>165</v>
      </c>
      <c r="E12" s="12">
        <v>0</v>
      </c>
      <c r="F12" s="12">
        <v>2101.4166666669771</v>
      </c>
      <c r="G12" s="12">
        <v>1E+30</v>
      </c>
      <c r="H12" s="12">
        <v>508.91666666697711</v>
      </c>
    </row>
    <row r="13" spans="1:8" x14ac:dyDescent="0.35">
      <c r="B13" s="12" t="s">
        <v>43</v>
      </c>
      <c r="C13" s="12" t="s">
        <v>76</v>
      </c>
      <c r="D13" s="12">
        <v>307</v>
      </c>
      <c r="E13" s="12">
        <v>0</v>
      </c>
      <c r="F13" s="12">
        <v>3174.25</v>
      </c>
      <c r="G13" s="12">
        <v>1E+30</v>
      </c>
      <c r="H13" s="12">
        <v>2378</v>
      </c>
    </row>
    <row r="14" spans="1:8" x14ac:dyDescent="0.35">
      <c r="B14" s="12" t="s">
        <v>44</v>
      </c>
      <c r="C14" s="12" t="s">
        <v>77</v>
      </c>
      <c r="D14" s="12">
        <v>0</v>
      </c>
      <c r="E14" s="12">
        <v>-767.33333333302289</v>
      </c>
      <c r="F14" s="12">
        <v>1621.4166666669771</v>
      </c>
      <c r="G14" s="12">
        <v>767.33333333302289</v>
      </c>
      <c r="H14" s="12">
        <v>1E+30</v>
      </c>
    </row>
    <row r="15" spans="1:8" x14ac:dyDescent="0.35">
      <c r="B15" s="12" t="s">
        <v>96</v>
      </c>
      <c r="C15" s="12" t="s">
        <v>78</v>
      </c>
      <c r="D15" s="12">
        <v>0</v>
      </c>
      <c r="E15" s="12">
        <v>-1022.0833333339542</v>
      </c>
      <c r="F15" s="12">
        <v>570.41666666604578</v>
      </c>
      <c r="G15" s="12">
        <v>1022.0833333339542</v>
      </c>
      <c r="H15" s="12">
        <v>1E+30</v>
      </c>
    </row>
    <row r="16" spans="1:8" x14ac:dyDescent="0.35">
      <c r="B16" s="12" t="s">
        <v>97</v>
      </c>
      <c r="C16" s="12" t="s">
        <v>79</v>
      </c>
      <c r="D16" s="12">
        <v>942</v>
      </c>
      <c r="E16" s="12">
        <v>0</v>
      </c>
      <c r="F16" s="12">
        <v>796.25</v>
      </c>
      <c r="G16" s="12">
        <v>254.45833333348855</v>
      </c>
      <c r="H16" s="12">
        <v>255.77777777767429</v>
      </c>
    </row>
    <row r="17" spans="1:8" x14ac:dyDescent="0.35">
      <c r="B17" s="12" t="s">
        <v>98</v>
      </c>
      <c r="C17" s="12" t="s">
        <v>80</v>
      </c>
      <c r="D17" s="12">
        <v>0</v>
      </c>
      <c r="E17" s="12">
        <v>-2069.3333333330229</v>
      </c>
      <c r="F17" s="12">
        <v>319.41666666697711</v>
      </c>
      <c r="G17" s="12">
        <v>2069.3333333330229</v>
      </c>
      <c r="H17" s="12">
        <v>1E+30</v>
      </c>
    </row>
    <row r="19" spans="1:8" ht="15" thickBot="1" x14ac:dyDescent="0.4">
      <c r="A19" t="s">
        <v>19</v>
      </c>
    </row>
    <row r="20" spans="1:8" x14ac:dyDescent="0.35">
      <c r="B20" s="30"/>
      <c r="C20" s="30"/>
      <c r="D20" s="30" t="s">
        <v>57</v>
      </c>
      <c r="E20" s="30" t="s">
        <v>66</v>
      </c>
      <c r="F20" s="30" t="s">
        <v>68</v>
      </c>
      <c r="G20" s="30" t="s">
        <v>63</v>
      </c>
      <c r="H20" s="30" t="s">
        <v>63</v>
      </c>
    </row>
    <row r="21" spans="1:8" ht="15" thickBot="1" x14ac:dyDescent="0.4">
      <c r="B21" s="31" t="s">
        <v>32</v>
      </c>
      <c r="C21" s="31" t="s">
        <v>33</v>
      </c>
      <c r="D21" s="31" t="s">
        <v>58</v>
      </c>
      <c r="E21" s="31" t="s">
        <v>67</v>
      </c>
      <c r="F21" s="31" t="s">
        <v>69</v>
      </c>
      <c r="G21" s="31" t="s">
        <v>64</v>
      </c>
      <c r="H21" s="31" t="s">
        <v>65</v>
      </c>
    </row>
    <row r="22" spans="1:8" x14ac:dyDescent="0.35">
      <c r="B22" s="12" t="s">
        <v>112</v>
      </c>
      <c r="C22" s="12" t="s">
        <v>113</v>
      </c>
      <c r="D22" s="12">
        <v>5457.5</v>
      </c>
      <c r="E22" s="12">
        <v>0</v>
      </c>
      <c r="F22" s="12">
        <v>8000</v>
      </c>
      <c r="G22" s="12">
        <v>1E+30</v>
      </c>
      <c r="H22" s="12">
        <v>2542.5</v>
      </c>
    </row>
    <row r="23" spans="1:8" x14ac:dyDescent="0.35">
      <c r="B23" s="12" t="s">
        <v>115</v>
      </c>
      <c r="C23" s="12" t="s">
        <v>116</v>
      </c>
      <c r="D23" s="12">
        <v>3151.666666666667</v>
      </c>
      <c r="E23" s="12">
        <v>0</v>
      </c>
      <c r="F23" s="12">
        <v>5000</v>
      </c>
      <c r="G23" s="12">
        <v>1E+30</v>
      </c>
      <c r="H23" s="12">
        <v>1848.333333333333</v>
      </c>
    </row>
    <row r="24" spans="1:8" x14ac:dyDescent="0.35">
      <c r="B24" s="12" t="s">
        <v>118</v>
      </c>
      <c r="C24" s="12" t="s">
        <v>119</v>
      </c>
      <c r="D24" s="12">
        <v>1703.3333333333333</v>
      </c>
      <c r="E24" s="12">
        <v>0</v>
      </c>
      <c r="F24" s="12">
        <v>3000</v>
      </c>
      <c r="G24" s="12">
        <v>1E+30</v>
      </c>
      <c r="H24" s="12">
        <v>1296.6666666666674</v>
      </c>
    </row>
    <row r="25" spans="1:8" x14ac:dyDescent="0.35">
      <c r="B25" s="12" t="s">
        <v>121</v>
      </c>
      <c r="C25" s="12" t="s">
        <v>122</v>
      </c>
      <c r="D25" s="12">
        <v>1769.1666666666665</v>
      </c>
      <c r="E25" s="12">
        <v>0</v>
      </c>
      <c r="F25" s="12">
        <v>3000</v>
      </c>
      <c r="G25" s="12">
        <v>1E+30</v>
      </c>
      <c r="H25" s="12">
        <v>1230.833333333333</v>
      </c>
    </row>
    <row r="26" spans="1:8" x14ac:dyDescent="0.35">
      <c r="B26" s="12" t="s">
        <v>124</v>
      </c>
      <c r="C26" s="12" t="s">
        <v>125</v>
      </c>
      <c r="D26" s="12">
        <v>23000</v>
      </c>
      <c r="E26" s="12">
        <v>318.5</v>
      </c>
      <c r="F26" s="12">
        <v>23000</v>
      </c>
      <c r="G26" s="12">
        <v>4784.2391304347821</v>
      </c>
      <c r="H26" s="12">
        <v>2355</v>
      </c>
    </row>
    <row r="27" spans="1:8" ht="15" thickBot="1" x14ac:dyDescent="0.4">
      <c r="B27" s="11" t="s">
        <v>127</v>
      </c>
      <c r="C27" s="11" t="s">
        <v>128</v>
      </c>
      <c r="D27" s="11">
        <v>105985</v>
      </c>
      <c r="E27" s="11">
        <v>0</v>
      </c>
      <c r="F27" s="11">
        <v>150000</v>
      </c>
      <c r="G27" s="11">
        <v>1E+30</v>
      </c>
      <c r="H27" s="11">
        <v>44015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267C3-477F-42A4-9A3E-38635DCE5E61}">
  <dimension ref="A1:P35"/>
  <sheetViews>
    <sheetView tabSelected="1" zoomScale="86" zoomScaleNormal="86" workbookViewId="0">
      <selection activeCell="G29" sqref="G29"/>
    </sheetView>
  </sheetViews>
  <sheetFormatPr defaultRowHeight="14.5" x14ac:dyDescent="0.35"/>
  <cols>
    <col min="1" max="1" width="37.90625" bestFit="1" customWidth="1"/>
    <col min="2" max="2" width="9.1796875" bestFit="1" customWidth="1"/>
    <col min="3" max="3" width="9.08984375" bestFit="1" customWidth="1"/>
    <col min="4" max="4" width="9" bestFit="1" customWidth="1"/>
    <col min="5" max="5" width="4.26953125" customWidth="1"/>
    <col min="6" max="6" width="15.453125" bestFit="1" customWidth="1"/>
    <col min="7" max="7" width="16.453125" bestFit="1" customWidth="1"/>
    <col min="8" max="8" width="14.6328125" bestFit="1" customWidth="1"/>
    <col min="9" max="9" width="5.08984375" customWidth="1"/>
    <col min="10" max="10" width="15.453125" bestFit="1" customWidth="1"/>
    <col min="11" max="11" width="2.81640625" bestFit="1" customWidth="1"/>
    <col min="12" max="12" width="10" bestFit="1" customWidth="1"/>
    <col min="13" max="13" width="6.453125" bestFit="1" customWidth="1"/>
    <col min="14" max="14" width="7.81640625" bestFit="1" customWidth="1"/>
    <col min="15" max="15" width="2.81640625" bestFit="1" customWidth="1"/>
    <col min="16" max="16" width="8.453125" bestFit="1" customWidth="1"/>
  </cols>
  <sheetData>
    <row r="1" spans="1:16" x14ac:dyDescent="0.35">
      <c r="A1" s="7" t="s">
        <v>3</v>
      </c>
      <c r="B1" s="23" t="s">
        <v>0</v>
      </c>
      <c r="C1" s="23" t="s">
        <v>1</v>
      </c>
      <c r="D1" s="23" t="s">
        <v>2</v>
      </c>
      <c r="F1" s="23" t="s">
        <v>26</v>
      </c>
      <c r="G1" s="23" t="s">
        <v>27</v>
      </c>
      <c r="H1" s="23" t="s">
        <v>28</v>
      </c>
      <c r="J1" s="33" t="s">
        <v>74</v>
      </c>
      <c r="K1" s="33"/>
      <c r="L1" s="33"/>
      <c r="M1" s="33"/>
      <c r="N1" s="33"/>
      <c r="O1" s="33"/>
      <c r="P1" s="33"/>
    </row>
    <row r="2" spans="1:16" x14ac:dyDescent="0.35">
      <c r="A2" t="s">
        <v>83</v>
      </c>
      <c r="B2" s="5">
        <v>1485</v>
      </c>
      <c r="C2" s="5">
        <v>2761</v>
      </c>
      <c r="D2" s="5">
        <v>630</v>
      </c>
      <c r="E2" s="9"/>
      <c r="F2" s="21">
        <f>B11*SUM(B2:B3)+C11*SUM(C2:C3)+D11*SUM(D2:D3)+SUMPRODUCT(B9:D9,B4:D4)-SUMPRODUCT(B10:D10,B6:D6)</f>
        <v>31592874</v>
      </c>
      <c r="G2" s="19">
        <f>SUMPRODUCT(B15:D15,F4:H4)</f>
        <v>21657000</v>
      </c>
      <c r="H2" s="19">
        <f>SUMPRODUCT(B20:D20,F4:H4)</f>
        <v>376377.5</v>
      </c>
      <c r="J2" s="3">
        <f>B2</f>
        <v>1485</v>
      </c>
      <c r="K2" s="17" t="s">
        <v>89</v>
      </c>
      <c r="L2" s="3">
        <f>B7</f>
        <v>1485</v>
      </c>
      <c r="M2" s="3"/>
      <c r="N2" s="3">
        <f>B2</f>
        <v>1485</v>
      </c>
      <c r="O2" s="3" t="s">
        <v>24</v>
      </c>
      <c r="P2" s="3">
        <v>0</v>
      </c>
    </row>
    <row r="3" spans="1:16" x14ac:dyDescent="0.35">
      <c r="A3" t="s">
        <v>71</v>
      </c>
      <c r="B3" s="5">
        <v>165</v>
      </c>
      <c r="C3" s="5">
        <v>307</v>
      </c>
      <c r="D3" s="5">
        <v>0</v>
      </c>
      <c r="E3" s="9"/>
      <c r="F3" s="35" t="s">
        <v>70</v>
      </c>
      <c r="G3" s="35"/>
      <c r="H3" s="35"/>
      <c r="J3" s="3">
        <f>C2</f>
        <v>2761</v>
      </c>
      <c r="K3" s="17" t="s">
        <v>89</v>
      </c>
      <c r="L3" s="3">
        <f>C7</f>
        <v>2761</v>
      </c>
      <c r="M3" s="3"/>
      <c r="N3" s="3">
        <f>B3</f>
        <v>165</v>
      </c>
      <c r="O3" s="3" t="s">
        <v>24</v>
      </c>
      <c r="P3" s="3">
        <v>0</v>
      </c>
    </row>
    <row r="4" spans="1:16" x14ac:dyDescent="0.35">
      <c r="A4" t="s">
        <v>72</v>
      </c>
      <c r="B4" s="5">
        <v>0</v>
      </c>
      <c r="C4" s="5">
        <v>942</v>
      </c>
      <c r="D4" s="5">
        <v>0</v>
      </c>
      <c r="F4" s="18">
        <f>SUM(B2:B4)</f>
        <v>1650</v>
      </c>
      <c r="G4" s="18">
        <f>SUM(C2:C4)</f>
        <v>4010</v>
      </c>
      <c r="H4" s="18">
        <f>SUM(D2:D4)</f>
        <v>630</v>
      </c>
      <c r="J4" s="3">
        <f>D2</f>
        <v>630</v>
      </c>
      <c r="K4" s="17" t="s">
        <v>89</v>
      </c>
      <c r="L4" s="3">
        <f>D7</f>
        <v>630</v>
      </c>
      <c r="M4" s="3"/>
      <c r="N4" s="3">
        <f>B4</f>
        <v>0</v>
      </c>
      <c r="O4" s="3" t="s">
        <v>24</v>
      </c>
      <c r="P4" s="3">
        <v>0</v>
      </c>
    </row>
    <row r="5" spans="1:16" x14ac:dyDescent="0.35">
      <c r="A5" s="36" t="s">
        <v>20</v>
      </c>
      <c r="B5" s="36"/>
      <c r="C5" s="36"/>
      <c r="D5" s="36"/>
      <c r="J5" s="3">
        <f>B3</f>
        <v>165</v>
      </c>
      <c r="K5" s="17" t="s">
        <v>25</v>
      </c>
      <c r="L5" s="3">
        <f>B6-B7</f>
        <v>165</v>
      </c>
      <c r="M5" s="3"/>
      <c r="N5" s="3">
        <f>C2</f>
        <v>2761</v>
      </c>
      <c r="O5" s="3" t="s">
        <v>24</v>
      </c>
      <c r="P5" s="3">
        <v>0</v>
      </c>
    </row>
    <row r="6" spans="1:16" x14ac:dyDescent="0.35">
      <c r="A6" t="s">
        <v>6</v>
      </c>
      <c r="B6" s="3">
        <v>1650</v>
      </c>
      <c r="C6" s="3">
        <v>3068</v>
      </c>
      <c r="D6" s="3">
        <v>700</v>
      </c>
      <c r="F6" s="24" t="s">
        <v>10</v>
      </c>
      <c r="J6" s="3">
        <f>C3</f>
        <v>307</v>
      </c>
      <c r="K6" s="17" t="s">
        <v>25</v>
      </c>
      <c r="L6" s="3">
        <f>C6-C7</f>
        <v>307</v>
      </c>
      <c r="M6" s="3"/>
      <c r="N6" s="3">
        <f>C3</f>
        <v>307</v>
      </c>
      <c r="O6" s="3" t="s">
        <v>24</v>
      </c>
      <c r="P6" s="3">
        <v>0</v>
      </c>
    </row>
    <row r="7" spans="1:16" x14ac:dyDescent="0.35">
      <c r="A7" t="s">
        <v>5</v>
      </c>
      <c r="B7" s="3">
        <f>INT(0.9*B6)</f>
        <v>1485</v>
      </c>
      <c r="C7" s="3">
        <f>INT(0.9*C6)</f>
        <v>2761</v>
      </c>
      <c r="D7" s="3">
        <f>INT(0.9*D6)</f>
        <v>630</v>
      </c>
      <c r="F7" s="20">
        <f>F2-G2-H2</f>
        <v>9559496.5</v>
      </c>
      <c r="J7" s="3">
        <f>D3</f>
        <v>0</v>
      </c>
      <c r="K7" s="17" t="s">
        <v>25</v>
      </c>
      <c r="L7" s="3">
        <f>D6-D7</f>
        <v>70</v>
      </c>
      <c r="M7" s="3"/>
      <c r="N7" s="3">
        <f>C4</f>
        <v>942</v>
      </c>
      <c r="O7" s="3" t="s">
        <v>24</v>
      </c>
      <c r="P7" s="3">
        <v>0</v>
      </c>
    </row>
    <row r="8" spans="1:16" x14ac:dyDescent="0.35">
      <c r="A8" t="s">
        <v>4</v>
      </c>
      <c r="B8" s="3">
        <v>2655</v>
      </c>
      <c r="C8" s="3">
        <v>6890</v>
      </c>
      <c r="D8" s="3">
        <v>1510</v>
      </c>
      <c r="J8" s="3"/>
      <c r="K8" s="3"/>
      <c r="L8" s="3"/>
      <c r="M8" s="3"/>
      <c r="N8" s="3">
        <f>D2</f>
        <v>630</v>
      </c>
      <c r="O8" s="3" t="s">
        <v>24</v>
      </c>
      <c r="P8" s="3">
        <v>0</v>
      </c>
    </row>
    <row r="9" spans="1:16" x14ac:dyDescent="0.35">
      <c r="A9" t="s">
        <v>9</v>
      </c>
      <c r="B9" s="3">
        <f>0.8*B8</f>
        <v>2124</v>
      </c>
      <c r="C9" s="3">
        <f t="shared" ref="C9:D9" si="0">0.8*C8</f>
        <v>5512</v>
      </c>
      <c r="D9" s="3">
        <f t="shared" si="0"/>
        <v>1208</v>
      </c>
      <c r="J9" s="3"/>
      <c r="K9" s="3"/>
      <c r="L9" s="3"/>
      <c r="M9" s="3"/>
      <c r="N9" s="3">
        <f>D3</f>
        <v>0</v>
      </c>
      <c r="O9" s="3" t="s">
        <v>24</v>
      </c>
      <c r="P9" s="3">
        <v>0</v>
      </c>
    </row>
    <row r="10" spans="1:16" x14ac:dyDescent="0.35">
      <c r="A10" t="s">
        <v>23</v>
      </c>
      <c r="B10" s="3">
        <f>1000</f>
        <v>1000</v>
      </c>
      <c r="C10" s="3">
        <f>1000</f>
        <v>1000</v>
      </c>
      <c r="D10" s="3">
        <f>1000</f>
        <v>1000</v>
      </c>
      <c r="J10" s="3"/>
      <c r="K10" s="3"/>
      <c r="L10" s="3"/>
      <c r="M10" s="3"/>
      <c r="N10" s="3">
        <f>D4</f>
        <v>0</v>
      </c>
      <c r="O10" s="3" t="s">
        <v>24</v>
      </c>
      <c r="P10" s="3">
        <v>0</v>
      </c>
    </row>
    <row r="11" spans="1:16" x14ac:dyDescent="0.35">
      <c r="A11" t="s">
        <v>73</v>
      </c>
      <c r="B11" s="3">
        <f>SUM(B8,B10)</f>
        <v>3655</v>
      </c>
      <c r="C11" s="3">
        <f>SUM(C8,C10)</f>
        <v>7890</v>
      </c>
      <c r="D11" s="3">
        <f>SUM(D8,D10)</f>
        <v>2510</v>
      </c>
      <c r="E11" s="7"/>
      <c r="F11" s="23" t="s">
        <v>108</v>
      </c>
      <c r="J11" s="23" t="s">
        <v>107</v>
      </c>
    </row>
    <row r="12" spans="1:16" x14ac:dyDescent="0.35">
      <c r="A12" s="25" t="s">
        <v>82</v>
      </c>
      <c r="B12" s="25"/>
      <c r="C12" s="25"/>
      <c r="D12" s="25"/>
      <c r="F12" s="23" t="s">
        <v>107</v>
      </c>
      <c r="J12" s="23" t="s">
        <v>106</v>
      </c>
      <c r="L12" s="23" t="s">
        <v>18</v>
      </c>
      <c r="M12" s="25"/>
    </row>
    <row r="13" spans="1:16" x14ac:dyDescent="0.35">
      <c r="A13" t="s">
        <v>11</v>
      </c>
      <c r="B13" s="3">
        <v>7</v>
      </c>
      <c r="C13" s="3">
        <v>23</v>
      </c>
      <c r="D13" s="3">
        <v>3.5</v>
      </c>
      <c r="E13" s="3"/>
      <c r="F13" s="4">
        <v>200</v>
      </c>
      <c r="J13" s="3">
        <f>SUMPRODUCT(F4:H4,B13:D13)</f>
        <v>105985</v>
      </c>
      <c r="K13" s="17" t="s">
        <v>25</v>
      </c>
      <c r="L13" s="3">
        <v>150000</v>
      </c>
      <c r="M13" s="25"/>
      <c r="N13" s="25"/>
    </row>
    <row r="14" spans="1:16" x14ac:dyDescent="0.35">
      <c r="A14" t="s">
        <v>12</v>
      </c>
      <c r="B14" s="3">
        <v>5</v>
      </c>
      <c r="C14" s="3">
        <v>2.5</v>
      </c>
      <c r="D14" s="3">
        <v>7.5</v>
      </c>
      <c r="E14" s="3"/>
      <c r="F14" s="4">
        <v>20</v>
      </c>
      <c r="J14" s="3">
        <f>SUMPRODUCT(F4:H4,B14:D14)</f>
        <v>23000</v>
      </c>
      <c r="K14" s="17" t="s">
        <v>25</v>
      </c>
      <c r="L14" s="3">
        <v>23000</v>
      </c>
      <c r="M14" s="25"/>
    </row>
    <row r="15" spans="1:16" x14ac:dyDescent="0.35">
      <c r="A15" s="26" t="s">
        <v>86</v>
      </c>
      <c r="B15" s="3">
        <f>SUMPRODUCT(B13:B14,F13:F14)</f>
        <v>1500</v>
      </c>
      <c r="C15" s="3">
        <f>SUMPRODUCT(C13:C14,F13:F14)</f>
        <v>4650</v>
      </c>
      <c r="D15" s="3">
        <f>SUMPRODUCT(D13:D14,F13:F14)</f>
        <v>850</v>
      </c>
      <c r="E15" s="3"/>
      <c r="N15" s="25"/>
    </row>
    <row r="16" spans="1:16" x14ac:dyDescent="0.35">
      <c r="A16" t="s">
        <v>13</v>
      </c>
      <c r="B16" s="3">
        <v>0.16666666666666666</v>
      </c>
      <c r="C16" s="3">
        <v>0.33333333333333331</v>
      </c>
      <c r="D16" s="3">
        <v>0.25</v>
      </c>
      <c r="E16" s="3"/>
      <c r="F16" s="4">
        <v>30</v>
      </c>
      <c r="J16" s="3">
        <f>SUMPRODUCT(F4:H4,B16:D16)</f>
        <v>1769.1666666666665</v>
      </c>
      <c r="K16" s="17" t="s">
        <v>25</v>
      </c>
      <c r="L16" s="3">
        <v>3000</v>
      </c>
      <c r="M16" s="25"/>
      <c r="N16" s="25"/>
    </row>
    <row r="17" spans="1:16" x14ac:dyDescent="0.35">
      <c r="A17" t="s">
        <v>14</v>
      </c>
      <c r="B17" s="3">
        <v>0.33333333333333331</v>
      </c>
      <c r="C17" s="3">
        <v>0.58333333333333337</v>
      </c>
      <c r="D17" s="3">
        <v>0.41666666666666669</v>
      </c>
      <c r="E17" s="3"/>
      <c r="F17" s="4">
        <v>25</v>
      </c>
      <c r="J17" s="3">
        <f>SUMPRODUCT(F4:H4,B17:D17)</f>
        <v>3151.666666666667</v>
      </c>
      <c r="K17" s="17" t="s">
        <v>25</v>
      </c>
      <c r="L17" s="3">
        <v>5000</v>
      </c>
      <c r="M17" s="25"/>
      <c r="N17" s="25"/>
    </row>
    <row r="18" spans="1:16" x14ac:dyDescent="0.35">
      <c r="A18" t="s">
        <v>15</v>
      </c>
      <c r="B18" s="3">
        <v>0.75</v>
      </c>
      <c r="C18" s="3">
        <v>1</v>
      </c>
      <c r="D18" s="3">
        <v>0.33333333333333331</v>
      </c>
      <c r="F18" s="4">
        <v>37</v>
      </c>
      <c r="J18" s="3">
        <f>SUMPRODUCT(F4:H4,B18:D18)</f>
        <v>5457.5</v>
      </c>
      <c r="K18" s="17" t="s">
        <v>25</v>
      </c>
      <c r="L18" s="3">
        <v>8000</v>
      </c>
      <c r="M18" s="25"/>
      <c r="N18" s="23"/>
    </row>
    <row r="19" spans="1:16" x14ac:dyDescent="0.35">
      <c r="A19" t="s">
        <v>16</v>
      </c>
      <c r="B19" s="3">
        <v>0.5</v>
      </c>
      <c r="C19" s="3">
        <v>0.16666666666666666</v>
      </c>
      <c r="D19" s="3">
        <v>0.33333333333333331</v>
      </c>
      <c r="F19" s="4">
        <v>25</v>
      </c>
      <c r="J19" s="3">
        <f>SUMPRODUCT(F4:H4,B19:D19)</f>
        <v>1703.3333333333333</v>
      </c>
      <c r="K19" s="17" t="s">
        <v>25</v>
      </c>
      <c r="L19" s="3">
        <v>3000</v>
      </c>
      <c r="M19" s="25"/>
    </row>
    <row r="20" spans="1:16" x14ac:dyDescent="0.35">
      <c r="A20" s="26" t="s">
        <v>87</v>
      </c>
      <c r="B20" s="3">
        <f>SUMPRODUCT(B16:B19,F16:F19)</f>
        <v>53.583333333333329</v>
      </c>
      <c r="C20" s="3">
        <f>SUMPRODUCT(C16:C19,F16:F19)</f>
        <v>65.75</v>
      </c>
      <c r="D20" s="3">
        <f>SUMPRODUCT(D16:D19,F16:F19)</f>
        <v>38.583333333333329</v>
      </c>
    </row>
    <row r="21" spans="1:16" x14ac:dyDescent="0.35">
      <c r="A21" s="34" t="s">
        <v>84</v>
      </c>
      <c r="B21" s="34"/>
      <c r="C21" s="34"/>
      <c r="D21" s="34"/>
      <c r="H21" s="24" t="s">
        <v>88</v>
      </c>
      <c r="J21" s="33" t="s">
        <v>99</v>
      </c>
      <c r="K21" s="33"/>
      <c r="L21" s="33"/>
      <c r="M21" s="33"/>
      <c r="N21" s="33"/>
      <c r="O21" s="33"/>
      <c r="P21" s="33"/>
    </row>
    <row r="22" spans="1:16" x14ac:dyDescent="0.35">
      <c r="B22" s="15">
        <f>INT(L13/B13)</f>
        <v>21428</v>
      </c>
      <c r="C22" s="15">
        <f>INT(L13/C13)</f>
        <v>6521</v>
      </c>
      <c r="D22" s="15">
        <f>INT(L13/D13)</f>
        <v>42857</v>
      </c>
      <c r="G22" s="22" t="s">
        <v>100</v>
      </c>
      <c r="H22" s="32">
        <v>0</v>
      </c>
      <c r="J22" s="3">
        <f>B2</f>
        <v>1485</v>
      </c>
      <c r="K22" s="17" t="s">
        <v>24</v>
      </c>
      <c r="L22" s="3">
        <f>B7-G29*H22</f>
        <v>1485</v>
      </c>
      <c r="N22" s="3">
        <f>B3</f>
        <v>165</v>
      </c>
      <c r="O22" s="3" t="s">
        <v>24</v>
      </c>
      <c r="P22" s="3">
        <f>L5-G29*H25</f>
        <v>165</v>
      </c>
    </row>
    <row r="23" spans="1:16" x14ac:dyDescent="0.35">
      <c r="B23" s="15">
        <f>INT(L14/B14)</f>
        <v>4600</v>
      </c>
      <c r="C23" s="15">
        <f>INT(L14/C14)</f>
        <v>9200</v>
      </c>
      <c r="D23" s="15">
        <f>INT(L14/D14)</f>
        <v>3066</v>
      </c>
      <c r="G23" s="22" t="s">
        <v>101</v>
      </c>
      <c r="H23" s="32">
        <v>0</v>
      </c>
      <c r="J23" s="3">
        <f>B3</f>
        <v>165</v>
      </c>
      <c r="K23" s="17" t="s">
        <v>25</v>
      </c>
      <c r="L23" s="3">
        <f>G29*(1-H22)</f>
        <v>3453</v>
      </c>
      <c r="N23" s="3">
        <f>B4</f>
        <v>0</v>
      </c>
      <c r="O23" s="3" t="s">
        <v>25</v>
      </c>
      <c r="P23" s="3">
        <f>G29*(1-H25)</f>
        <v>3453</v>
      </c>
    </row>
    <row r="24" spans="1:16" x14ac:dyDescent="0.35">
      <c r="B24" s="15">
        <f>INT(L16/B16)</f>
        <v>18000</v>
      </c>
      <c r="C24" s="15">
        <f>INT(L16/C16)</f>
        <v>9000</v>
      </c>
      <c r="D24" s="15">
        <f>INT(L16/D16)</f>
        <v>12000</v>
      </c>
      <c r="G24" s="22" t="s">
        <v>102</v>
      </c>
      <c r="H24" s="32">
        <v>0</v>
      </c>
      <c r="J24" s="3">
        <f>C2</f>
        <v>2761</v>
      </c>
      <c r="K24" s="17" t="s">
        <v>24</v>
      </c>
      <c r="L24" s="3">
        <f>C7-G29*H23</f>
        <v>2761</v>
      </c>
      <c r="N24" s="3">
        <f>C3</f>
        <v>307</v>
      </c>
      <c r="O24" s="3" t="s">
        <v>24</v>
      </c>
      <c r="P24" s="3">
        <f>L6-G29*H26</f>
        <v>307</v>
      </c>
    </row>
    <row r="25" spans="1:16" x14ac:dyDescent="0.35">
      <c r="B25" s="15">
        <f>INT(L17/B17)</f>
        <v>15000</v>
      </c>
      <c r="C25" s="15">
        <f>INT(L17/C17)</f>
        <v>8571</v>
      </c>
      <c r="D25" s="15">
        <f>INT(L17/D17)</f>
        <v>12000</v>
      </c>
      <c r="G25" s="22" t="s">
        <v>103</v>
      </c>
      <c r="H25" s="32">
        <v>0</v>
      </c>
      <c r="J25" s="3">
        <f>C3</f>
        <v>307</v>
      </c>
      <c r="K25" s="3" t="s">
        <v>25</v>
      </c>
      <c r="L25" s="3">
        <f>G29*(1-H23)</f>
        <v>3453</v>
      </c>
      <c r="N25" s="3">
        <f>C4</f>
        <v>942</v>
      </c>
      <c r="O25" s="3" t="s">
        <v>25</v>
      </c>
      <c r="P25" s="3">
        <f>G29*(1-H26)</f>
        <v>3453</v>
      </c>
    </row>
    <row r="26" spans="1:16" x14ac:dyDescent="0.35">
      <c r="B26" s="15">
        <f>INT(L18/B18)</f>
        <v>10666</v>
      </c>
      <c r="C26" s="15">
        <f>INT(L18/C18)</f>
        <v>8000</v>
      </c>
      <c r="D26" s="15">
        <f>INT(L18/D18)</f>
        <v>24000</v>
      </c>
      <c r="G26" s="22" t="s">
        <v>104</v>
      </c>
      <c r="H26" s="32">
        <v>0</v>
      </c>
      <c r="J26" s="3">
        <f>D2</f>
        <v>630</v>
      </c>
      <c r="K26" s="3" t="s">
        <v>24</v>
      </c>
      <c r="L26" s="3">
        <f>D7-G29*H24</f>
        <v>630</v>
      </c>
      <c r="N26" s="3">
        <f>D3</f>
        <v>0</v>
      </c>
      <c r="O26" s="3" t="s">
        <v>24</v>
      </c>
      <c r="P26" s="3">
        <f>L7-G29*H27</f>
        <v>-3383</v>
      </c>
    </row>
    <row r="27" spans="1:16" x14ac:dyDescent="0.35">
      <c r="B27" s="15">
        <f>INT(L19/B19)</f>
        <v>6000</v>
      </c>
      <c r="C27" s="15">
        <f>INT(L19/C19)</f>
        <v>18000</v>
      </c>
      <c r="D27" s="15">
        <f>INT(L19/D19)</f>
        <v>9000</v>
      </c>
      <c r="G27" s="22" t="s">
        <v>105</v>
      </c>
      <c r="H27" s="32">
        <v>1</v>
      </c>
      <c r="J27" s="3">
        <f>D3</f>
        <v>0</v>
      </c>
      <c r="K27" s="3" t="s">
        <v>25</v>
      </c>
      <c r="L27" s="3">
        <f>G29*(1-H24)</f>
        <v>3453</v>
      </c>
      <c r="N27" s="3">
        <f>D4</f>
        <v>0</v>
      </c>
      <c r="O27" s="3" t="s">
        <v>25</v>
      </c>
      <c r="P27" s="3">
        <f>G29*(1-H27)</f>
        <v>0</v>
      </c>
    </row>
    <row r="28" spans="1:16" x14ac:dyDescent="0.35">
      <c r="A28" s="25" t="s">
        <v>81</v>
      </c>
      <c r="H28" s="3"/>
      <c r="I28" s="3"/>
      <c r="J28" s="3"/>
      <c r="K28" s="3"/>
    </row>
    <row r="29" spans="1:16" x14ac:dyDescent="0.35">
      <c r="A29" s="26" t="s">
        <v>85</v>
      </c>
      <c r="B29">
        <f>MIN(B22:B27)</f>
        <v>4600</v>
      </c>
      <c r="C29">
        <f>MIN(C22:C27)</f>
        <v>6521</v>
      </c>
      <c r="D29">
        <f>MIN(D22:D27)</f>
        <v>3066</v>
      </c>
      <c r="F29" s="22" t="s">
        <v>29</v>
      </c>
      <c r="G29" s="41">
        <f>MAX(B7:D7,B30:D30,B31:D31)</f>
        <v>3453</v>
      </c>
      <c r="H29" s="27"/>
      <c r="I29" s="3"/>
    </row>
    <row r="30" spans="1:16" x14ac:dyDescent="0.35">
      <c r="A30" s="39" t="s">
        <v>140</v>
      </c>
      <c r="B30" s="40">
        <f>B29-B6</f>
        <v>2950</v>
      </c>
      <c r="C30" s="3">
        <f>C29-C6</f>
        <v>3453</v>
      </c>
      <c r="D30" s="3">
        <f>D29-D6</f>
        <v>2366</v>
      </c>
      <c r="E30" s="3"/>
      <c r="F30" s="28"/>
      <c r="G30" s="27"/>
      <c r="H30" s="28"/>
      <c r="I30" s="3"/>
    </row>
    <row r="31" spans="1:16" x14ac:dyDescent="0.35">
      <c r="A31" s="26" t="s">
        <v>141</v>
      </c>
      <c r="B31" s="39">
        <f>ABS(B6-B7)</f>
        <v>165</v>
      </c>
      <c r="C31" s="39">
        <f t="shared" ref="C31:D31" si="1">ABS(C6-C7)</f>
        <v>307</v>
      </c>
      <c r="D31" s="39">
        <f t="shared" si="1"/>
        <v>70</v>
      </c>
      <c r="F31" s="27"/>
      <c r="G31" s="28"/>
      <c r="H31" s="27"/>
      <c r="I31" s="3"/>
    </row>
    <row r="32" spans="1:16" x14ac:dyDescent="0.35">
      <c r="I32" s="3"/>
    </row>
    <row r="33" spans="8:9" x14ac:dyDescent="0.35">
      <c r="I33" s="3"/>
    </row>
    <row r="34" spans="8:9" x14ac:dyDescent="0.35">
      <c r="I34" s="3"/>
    </row>
    <row r="35" spans="8:9" x14ac:dyDescent="0.35">
      <c r="H35" s="3"/>
    </row>
  </sheetData>
  <mergeCells count="5">
    <mergeCell ref="J21:P21"/>
    <mergeCell ref="J1:P1"/>
    <mergeCell ref="A21:D21"/>
    <mergeCell ref="F3:H3"/>
    <mergeCell ref="A5:D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F7A11-0B59-47B0-8758-60E793D10FE6}">
  <dimension ref="A1:P21"/>
  <sheetViews>
    <sheetView workbookViewId="0">
      <selection activeCell="B2" sqref="B2"/>
    </sheetView>
  </sheetViews>
  <sheetFormatPr defaultRowHeight="14.5" x14ac:dyDescent="0.35"/>
  <cols>
    <col min="1" max="1" width="36.1796875" bestFit="1" customWidth="1"/>
    <col min="2" max="2" width="9.08984375" bestFit="1" customWidth="1"/>
    <col min="3" max="4" width="9" bestFit="1" customWidth="1"/>
    <col min="6" max="6" width="12.7265625" bestFit="1" customWidth="1"/>
    <col min="7" max="7" width="16.1796875" bestFit="1" customWidth="1"/>
    <col min="8" max="8" width="10.81640625" bestFit="1" customWidth="1"/>
    <col min="9" max="9" width="10.6328125" customWidth="1"/>
    <col min="10" max="10" width="10.26953125" bestFit="1" customWidth="1"/>
    <col min="11" max="11" width="9.36328125" bestFit="1" customWidth="1"/>
    <col min="13" max="13" width="10.26953125" bestFit="1" customWidth="1"/>
  </cols>
  <sheetData>
    <row r="1" spans="1:16" x14ac:dyDescent="0.35">
      <c r="A1" s="7" t="s">
        <v>3</v>
      </c>
      <c r="B1" s="7" t="s">
        <v>0</v>
      </c>
      <c r="C1" s="7" t="s">
        <v>1</v>
      </c>
      <c r="D1" s="7" t="s">
        <v>2</v>
      </c>
      <c r="F1" s="7" t="s">
        <v>26</v>
      </c>
      <c r="G1" s="7" t="s">
        <v>27</v>
      </c>
      <c r="H1" s="7" t="s">
        <v>28</v>
      </c>
      <c r="I1" s="33" t="s">
        <v>19</v>
      </c>
      <c r="J1" s="33"/>
      <c r="K1" s="33"/>
      <c r="M1" s="7" t="s">
        <v>10</v>
      </c>
    </row>
    <row r="2" spans="1:16" x14ac:dyDescent="0.35">
      <c r="A2" t="s">
        <v>8</v>
      </c>
      <c r="B2" s="5">
        <v>1650</v>
      </c>
      <c r="C2" s="5">
        <v>4010</v>
      </c>
      <c r="D2" s="5">
        <v>630</v>
      </c>
      <c r="F2" s="10">
        <f>SUMPRODUCT(B2:D2,B7:D7)-0.2*B7*(B2-B5)*B3-B9*(B5-B2)*(1-B3)-0.2*C7*(C2-C5)*C3-C9*(C5-C2)*(1-C3)-0.2*D7*(D2-D5)*D3-D9*(D5-D2)*(1-D3)</f>
        <v>31592874</v>
      </c>
      <c r="G2" s="10">
        <f>F13*SUMPRODUCT(B2:D2,B13:D13)+F14*SUMPRODUCT(B2:D2,B14:D14)</f>
        <v>21657000</v>
      </c>
      <c r="H2" s="10">
        <f>F15*SUMPRODUCT(B2:D2,B15:D15)+F16*SUMPRODUCT(B2:D2,B16:D16)+F17*SUMPRODUCT(B2:D2,B17:D17)+F18*SUMPRODUCT(B2:D2,B18:D18)</f>
        <v>376377.49999999994</v>
      </c>
      <c r="I2" s="3">
        <f>B2</f>
        <v>1650</v>
      </c>
      <c r="J2" s="1" t="s">
        <v>24</v>
      </c>
      <c r="K2" s="3">
        <f>B6</f>
        <v>1485</v>
      </c>
      <c r="M2" s="2">
        <f>F2-G2-H2</f>
        <v>9559496.5</v>
      </c>
    </row>
    <row r="3" spans="1:16" x14ac:dyDescent="0.35">
      <c r="A3" t="s">
        <v>7</v>
      </c>
      <c r="B3" s="6">
        <v>0</v>
      </c>
      <c r="C3" s="6">
        <v>1</v>
      </c>
      <c r="D3" s="6">
        <v>0</v>
      </c>
      <c r="I3" s="3">
        <f>C2</f>
        <v>4010</v>
      </c>
      <c r="J3" s="1" t="s">
        <v>24</v>
      </c>
      <c r="K3" s="3">
        <f>C6</f>
        <v>2762</v>
      </c>
    </row>
    <row r="4" spans="1:16" x14ac:dyDescent="0.35">
      <c r="A4" s="7" t="s">
        <v>20</v>
      </c>
      <c r="I4" s="3">
        <f>D2</f>
        <v>630</v>
      </c>
      <c r="J4" s="1" t="s">
        <v>24</v>
      </c>
      <c r="K4" s="3">
        <f>D6</f>
        <v>630</v>
      </c>
    </row>
    <row r="5" spans="1:16" x14ac:dyDescent="0.35">
      <c r="A5" t="s">
        <v>6</v>
      </c>
      <c r="B5" s="15">
        <v>1650</v>
      </c>
      <c r="C5" s="15">
        <v>3068</v>
      </c>
      <c r="D5" s="15">
        <v>700</v>
      </c>
      <c r="I5" s="3">
        <f>B2</f>
        <v>1650</v>
      </c>
      <c r="J5" s="1" t="s">
        <v>24</v>
      </c>
      <c r="K5">
        <f>B5*B3</f>
        <v>0</v>
      </c>
    </row>
    <row r="6" spans="1:16" x14ac:dyDescent="0.35">
      <c r="A6" t="s">
        <v>5</v>
      </c>
      <c r="B6" s="15">
        <f>ROUNDUP(0.9*B5,0)</f>
        <v>1485</v>
      </c>
      <c r="C6" s="15">
        <f t="shared" ref="C6:D6" si="0">ROUNDUP(0.9*C5,0)</f>
        <v>2762</v>
      </c>
      <c r="D6" s="15">
        <f t="shared" si="0"/>
        <v>630</v>
      </c>
      <c r="I6" s="3">
        <f>C2</f>
        <v>4010</v>
      </c>
      <c r="J6" s="1" t="s">
        <v>24</v>
      </c>
      <c r="K6">
        <f>C5*C3</f>
        <v>3068</v>
      </c>
    </row>
    <row r="7" spans="1:16" x14ac:dyDescent="0.35">
      <c r="A7" t="s">
        <v>4</v>
      </c>
      <c r="B7" s="3">
        <v>2655</v>
      </c>
      <c r="C7" s="3">
        <v>6890</v>
      </c>
      <c r="D7" s="3">
        <v>1510</v>
      </c>
      <c r="I7" s="3">
        <f>D2</f>
        <v>630</v>
      </c>
      <c r="J7" s="1" t="s">
        <v>24</v>
      </c>
      <c r="K7">
        <f>D5*D3</f>
        <v>0</v>
      </c>
    </row>
    <row r="8" spans="1:16" x14ac:dyDescent="0.35">
      <c r="A8" t="s">
        <v>9</v>
      </c>
      <c r="B8" s="3">
        <f>0.8*B7</f>
        <v>2124</v>
      </c>
      <c r="C8" s="3">
        <f t="shared" ref="C8:D8" si="1">0.8*C7</f>
        <v>5512</v>
      </c>
      <c r="D8" s="3">
        <f t="shared" si="1"/>
        <v>1208</v>
      </c>
      <c r="I8" s="3">
        <f>B2</f>
        <v>1650</v>
      </c>
      <c r="J8" s="1" t="s">
        <v>25</v>
      </c>
      <c r="K8">
        <f>B5+M11*B3</f>
        <v>1650</v>
      </c>
    </row>
    <row r="9" spans="1:16" x14ac:dyDescent="0.35">
      <c r="A9" t="s">
        <v>23</v>
      </c>
      <c r="B9" s="3">
        <f>1000</f>
        <v>1000</v>
      </c>
      <c r="C9" s="3">
        <f>1000</f>
        <v>1000</v>
      </c>
      <c r="D9" s="3">
        <f>1000</f>
        <v>1000</v>
      </c>
      <c r="I9" s="3">
        <f>C2</f>
        <v>4010</v>
      </c>
      <c r="J9" s="1" t="s">
        <v>25</v>
      </c>
      <c r="K9">
        <f>C5+M11*C3</f>
        <v>4646</v>
      </c>
    </row>
    <row r="10" spans="1:16" x14ac:dyDescent="0.35">
      <c r="I10" s="3">
        <f>D2</f>
        <v>630</v>
      </c>
      <c r="J10" s="1" t="s">
        <v>25</v>
      </c>
      <c r="K10">
        <f>D5+M11*D3</f>
        <v>700</v>
      </c>
      <c r="M10" s="8" t="s">
        <v>29</v>
      </c>
    </row>
    <row r="11" spans="1:16" x14ac:dyDescent="0.35">
      <c r="A11" s="7" t="s">
        <v>21</v>
      </c>
      <c r="B11" s="33" t="s">
        <v>22</v>
      </c>
      <c r="C11" s="33"/>
      <c r="D11" s="33"/>
      <c r="E11" s="7"/>
      <c r="F11" s="33" t="s">
        <v>17</v>
      </c>
      <c r="G11" s="33"/>
      <c r="H11" s="33"/>
      <c r="K11" s="7" t="s">
        <v>18</v>
      </c>
      <c r="M11" s="16">
        <f>MAX(N19:P19)</f>
        <v>1578</v>
      </c>
      <c r="N11" s="3"/>
    </row>
    <row r="12" spans="1:16" x14ac:dyDescent="0.35">
      <c r="F12" s="38"/>
      <c r="G12" s="38"/>
      <c r="H12" s="38"/>
    </row>
    <row r="13" spans="1:16" x14ac:dyDescent="0.35">
      <c r="A13" t="s">
        <v>11</v>
      </c>
      <c r="B13" s="3">
        <v>7</v>
      </c>
      <c r="C13" s="3">
        <v>23</v>
      </c>
      <c r="D13" s="3">
        <v>3.5</v>
      </c>
      <c r="F13" s="37">
        <v>200</v>
      </c>
      <c r="G13" s="37"/>
      <c r="H13" s="37"/>
      <c r="I13" s="3">
        <f>SUMPRODUCT($B$2:$D$2,B13:D13)</f>
        <v>105985</v>
      </c>
      <c r="J13" s="1" t="s">
        <v>25</v>
      </c>
      <c r="K13" s="15">
        <v>150000</v>
      </c>
      <c r="L13">
        <f>SUMPRODUCT(B6:D6,B13:D13)</f>
        <v>76126</v>
      </c>
      <c r="M13" s="3">
        <f>K13-L13</f>
        <v>73874</v>
      </c>
      <c r="N13" cm="1">
        <f t="array" ref="N13:P13">M13/B13:D13</f>
        <v>10553.428571428571</v>
      </c>
      <c r="O13">
        <v>3211.913043478261</v>
      </c>
      <c r="P13">
        <v>21106.857142857141</v>
      </c>
    </row>
    <row r="14" spans="1:16" x14ac:dyDescent="0.35">
      <c r="A14" t="s">
        <v>12</v>
      </c>
      <c r="B14" s="3">
        <v>5</v>
      </c>
      <c r="C14" s="3">
        <v>2.5</v>
      </c>
      <c r="D14" s="3">
        <v>7.5</v>
      </c>
      <c r="F14" s="37">
        <v>20</v>
      </c>
      <c r="G14" s="37"/>
      <c r="H14" s="37"/>
      <c r="I14" s="3">
        <f t="shared" ref="I14:I18" si="2">SUMPRODUCT($B$2:$D$2,B14:D14)</f>
        <v>23000</v>
      </c>
      <c r="J14" s="1" t="s">
        <v>25</v>
      </c>
      <c r="K14" s="15">
        <v>23000</v>
      </c>
      <c r="L14">
        <f>SUMPRODUCT(B6:D6,B14:D14)</f>
        <v>19055</v>
      </c>
      <c r="M14" s="3">
        <f>K14-L14</f>
        <v>3945</v>
      </c>
      <c r="N14" cm="1">
        <f t="array" ref="N14:P14">M14/B14:D14</f>
        <v>789</v>
      </c>
      <c r="O14">
        <v>1578</v>
      </c>
      <c r="P14">
        <v>526</v>
      </c>
    </row>
    <row r="15" spans="1:16" x14ac:dyDescent="0.35">
      <c r="A15" t="s">
        <v>13</v>
      </c>
      <c r="B15" s="3">
        <v>0.16666666666666666</v>
      </c>
      <c r="C15" s="3">
        <v>0.33333333333333331</v>
      </c>
      <c r="D15" s="3">
        <v>0.25</v>
      </c>
      <c r="F15" s="37">
        <v>30</v>
      </c>
      <c r="G15" s="37"/>
      <c r="H15" s="37"/>
      <c r="I15" s="3">
        <f t="shared" si="2"/>
        <v>1769.1666666666665</v>
      </c>
      <c r="J15" s="1" t="s">
        <v>25</v>
      </c>
      <c r="K15" s="15">
        <v>3000</v>
      </c>
      <c r="L15">
        <f>SUMPRODUCT(B6:D6,B15:D15)</f>
        <v>1325.6666666666665</v>
      </c>
      <c r="M15" s="3">
        <f t="shared" ref="M15:M18" si="3">K15-L15</f>
        <v>1674.3333333333335</v>
      </c>
      <c r="N15" cm="1">
        <f t="array" ref="N15:P15">M15/B15:D15</f>
        <v>10046.000000000002</v>
      </c>
      <c r="O15">
        <v>5023.0000000000009</v>
      </c>
      <c r="P15">
        <v>6697.3333333333339</v>
      </c>
    </row>
    <row r="16" spans="1:16" x14ac:dyDescent="0.35">
      <c r="A16" t="s">
        <v>14</v>
      </c>
      <c r="B16" s="3">
        <v>0.33333333333333331</v>
      </c>
      <c r="C16" s="3">
        <v>0.58333333333333337</v>
      </c>
      <c r="D16" s="3">
        <v>0.41666666666666669</v>
      </c>
      <c r="F16" s="37">
        <v>25</v>
      </c>
      <c r="G16" s="37"/>
      <c r="H16" s="37"/>
      <c r="I16" s="3">
        <f t="shared" si="2"/>
        <v>3151.666666666667</v>
      </c>
      <c r="J16" s="1" t="s">
        <v>25</v>
      </c>
      <c r="K16" s="15">
        <v>5000</v>
      </c>
      <c r="L16">
        <f>SUMPRODUCT(B6:D6,B16:D16)</f>
        <v>2368.666666666667</v>
      </c>
      <c r="M16" s="3">
        <f t="shared" si="3"/>
        <v>2631.333333333333</v>
      </c>
      <c r="N16" cm="1">
        <f t="array" ref="N16:P16">M16/B16:D16</f>
        <v>7893.9999999999991</v>
      </c>
      <c r="O16">
        <v>4510.8571428571422</v>
      </c>
      <c r="P16">
        <v>6315.1999999999989</v>
      </c>
    </row>
    <row r="17" spans="1:16" x14ac:dyDescent="0.35">
      <c r="A17" t="s">
        <v>15</v>
      </c>
      <c r="B17" s="3">
        <v>0.75</v>
      </c>
      <c r="C17" s="3">
        <v>1</v>
      </c>
      <c r="D17" s="3">
        <v>0.33333333333333331</v>
      </c>
      <c r="F17" s="37">
        <v>37</v>
      </c>
      <c r="G17" s="37"/>
      <c r="H17" s="37"/>
      <c r="I17" s="3">
        <f t="shared" si="2"/>
        <v>5457.5</v>
      </c>
      <c r="J17" s="1" t="s">
        <v>25</v>
      </c>
      <c r="K17" s="15">
        <v>8000</v>
      </c>
      <c r="L17">
        <f>SUMPRODUCT(B6:D6,B17:D17)</f>
        <v>4085.75</v>
      </c>
      <c r="M17" s="3">
        <f t="shared" si="3"/>
        <v>3914.25</v>
      </c>
      <c r="N17" cm="1">
        <f t="array" ref="N17:P17">M17/B17:D17</f>
        <v>5219</v>
      </c>
      <c r="O17">
        <v>3914.25</v>
      </c>
      <c r="P17">
        <v>11742.75</v>
      </c>
    </row>
    <row r="18" spans="1:16" x14ac:dyDescent="0.35">
      <c r="A18" t="s">
        <v>16</v>
      </c>
      <c r="B18" s="3">
        <v>0.5</v>
      </c>
      <c r="C18" s="3">
        <v>0.16666666666666666</v>
      </c>
      <c r="D18" s="3">
        <v>0.33333333333333331</v>
      </c>
      <c r="F18" s="37">
        <v>25</v>
      </c>
      <c r="G18" s="37"/>
      <c r="H18" s="37"/>
      <c r="I18" s="3">
        <f t="shared" si="2"/>
        <v>1703.3333333333333</v>
      </c>
      <c r="J18" s="1" t="s">
        <v>25</v>
      </c>
      <c r="K18" s="15">
        <v>3000</v>
      </c>
      <c r="L18">
        <f>SUMPRODUCT(B6:D6,B18:D18)</f>
        <v>1412.8333333333333</v>
      </c>
      <c r="M18" s="3">
        <f t="shared" si="3"/>
        <v>1587.1666666666667</v>
      </c>
      <c r="N18" cm="1">
        <f t="array" ref="N18:P18">M18/B18:D18</f>
        <v>3174.3333333333335</v>
      </c>
      <c r="O18">
        <v>9523.0000000000018</v>
      </c>
      <c r="P18">
        <v>4761.5000000000009</v>
      </c>
    </row>
    <row r="19" spans="1:16" x14ac:dyDescent="0.35">
      <c r="M19" s="7" t="s">
        <v>30</v>
      </c>
      <c r="N19">
        <f>MIN(N13:N18)</f>
        <v>789</v>
      </c>
      <c r="O19">
        <f>MIN(O13:O18)</f>
        <v>1578</v>
      </c>
      <c r="P19">
        <f>MIN(P13:P18)</f>
        <v>526</v>
      </c>
    </row>
    <row r="21" spans="1:16" x14ac:dyDescent="0.35">
      <c r="L21" s="3"/>
      <c r="M21" s="3"/>
      <c r="N21" s="3"/>
    </row>
  </sheetData>
  <mergeCells count="10">
    <mergeCell ref="F12:H12"/>
    <mergeCell ref="F11:H11"/>
    <mergeCell ref="B11:D11"/>
    <mergeCell ref="I1:K1"/>
    <mergeCell ref="F13:H13"/>
    <mergeCell ref="F14:H14"/>
    <mergeCell ref="F15:H15"/>
    <mergeCell ref="F16:H16"/>
    <mergeCell ref="F17:H17"/>
    <mergeCell ref="F18:H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Answer Report 1</vt:lpstr>
      <vt:lpstr>Sensitivity Report 1</vt:lpstr>
      <vt:lpstr>Product Mix Model</vt:lpstr>
      <vt:lpstr>Non-Linear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Sergiusz</dc:creator>
  <cp:lastModifiedBy>Sergiusz</cp:lastModifiedBy>
  <dcterms:created xsi:type="dcterms:W3CDTF">2021-04-16T16:35:18Z</dcterms:created>
  <dcterms:modified xsi:type="dcterms:W3CDTF">2021-04-20T22:34:45Z</dcterms:modified>
</cp:coreProperties>
</file>