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al\Desktop\Analysis_Projects\Crowdfunding_Analysis\"/>
    </mc:Choice>
  </mc:AlternateContent>
  <xr:revisionPtr revIDLastSave="0" documentId="13_ncr:1_{E0204A2E-5550-4DB3-952F-444D3DE311FF}" xr6:coauthVersionLast="47" xr6:coauthVersionMax="47" xr10:uidLastSave="{00000000-0000-0000-0000-000000000000}"/>
  <bookViews>
    <workbookView xWindow="-28920" yWindow="-2370" windowWidth="29040" windowHeight="15840" tabRatio="703" activeTab="3" xr2:uid="{00000000-000D-0000-FFFF-FFFF00000000}"/>
  </bookViews>
  <sheets>
    <sheet name="Theater Outcomes by Launch Date" sheetId="15" r:id="rId1"/>
    <sheet name="Kiskstarter" sheetId="1" r:id="rId2"/>
    <sheet name="Outcomes Based on Goals" sheetId="18" r:id="rId3"/>
    <sheet name="Outcomes Based on Launch Date" sheetId="4" r:id="rId4"/>
    <sheet name="Descriptive Statistics" sheetId="12" r:id="rId5"/>
    <sheet name="Category Statistics" sheetId="2" r:id="rId6"/>
    <sheet name="Sub Category Statistics" sheetId="3" r:id="rId7"/>
    <sheet name="Edinburgh Research" sheetId="6" r:id="rId8"/>
  </sheets>
  <definedNames>
    <definedName name="_xlnm._FilterDatabase" localSheetId="1" hidden="1">Kiskstarter!$A$1:$T$4115</definedName>
  </definedNames>
  <calcPr calcId="191029"/>
  <pivotCaches>
    <pivotCache cacheId="0" r:id="rId9"/>
    <pivotCache cacheId="1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8" l="1"/>
  <c r="O124" i="1"/>
  <c r="D11" i="18"/>
  <c r="D10" i="18"/>
  <c r="D7" i="18"/>
  <c r="D6" i="18"/>
  <c r="C3" i="18"/>
  <c r="D5" i="18"/>
  <c r="D4" i="18"/>
  <c r="D3" i="18"/>
  <c r="D9" i="18"/>
  <c r="D8" i="18"/>
  <c r="D12" i="18"/>
  <c r="D2" i="18"/>
  <c r="C12" i="18"/>
  <c r="C11" i="18"/>
  <c r="C10" i="18"/>
  <c r="C9" i="18"/>
  <c r="C8" i="18"/>
  <c r="C7" i="18"/>
  <c r="C6" i="18"/>
  <c r="C5" i="18"/>
  <c r="C4" i="18"/>
  <c r="B4" i="18"/>
  <c r="B11" i="18"/>
  <c r="B10" i="18"/>
  <c r="B9" i="18"/>
  <c r="E9" i="18" s="1"/>
  <c r="B8" i="18"/>
  <c r="B7" i="18"/>
  <c r="B6" i="18"/>
  <c r="B5" i="18"/>
  <c r="B3" i="18"/>
  <c r="B2" i="18"/>
  <c r="C2" i="18"/>
  <c r="B12" i="18"/>
  <c r="C16" i="12"/>
  <c r="C15" i="12"/>
  <c r="C14" i="12"/>
  <c r="B17" i="12"/>
  <c r="B16" i="12"/>
  <c r="B15" i="12"/>
  <c r="B14" i="12"/>
  <c r="C6" i="12"/>
  <c r="C5" i="12"/>
  <c r="C7" i="12" s="1"/>
  <c r="B5" i="12"/>
  <c r="B7" i="12" s="1"/>
  <c r="C4" i="12"/>
  <c r="C3" i="12"/>
  <c r="B6" i="12"/>
  <c r="B4" i="12"/>
  <c r="C13" i="12"/>
  <c r="B13" i="12"/>
  <c r="C12" i="12"/>
  <c r="B12" i="12"/>
  <c r="C2" i="12"/>
  <c r="B3" i="12"/>
  <c r="B2" i="12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7" i="12" l="1"/>
  <c r="E10" i="18"/>
  <c r="H10" i="18" s="1"/>
  <c r="E2" i="18"/>
  <c r="G10" i="18"/>
  <c r="H9" i="18"/>
  <c r="G9" i="18"/>
  <c r="E8" i="18"/>
  <c r="F8" i="18" s="1"/>
  <c r="E7" i="18"/>
  <c r="H7" i="18" s="1"/>
  <c r="F9" i="18"/>
  <c r="E6" i="18"/>
  <c r="F6" i="18" s="1"/>
  <c r="E5" i="18"/>
  <c r="G5" i="18" s="1"/>
  <c r="E12" i="18"/>
  <c r="G12" i="18" s="1"/>
  <c r="E4" i="18"/>
  <c r="H4" i="18" s="1"/>
  <c r="E11" i="18"/>
  <c r="H11" i="18" s="1"/>
  <c r="E3" i="18"/>
  <c r="G3" i="18" s="1"/>
  <c r="F10" i="18" l="1"/>
  <c r="F12" i="18"/>
  <c r="H12" i="18"/>
  <c r="G6" i="18"/>
  <c r="H2" i="18"/>
  <c r="G2" i="18"/>
  <c r="G4" i="18"/>
  <c r="G8" i="18"/>
  <c r="F11" i="18"/>
  <c r="F7" i="18"/>
  <c r="H6" i="18"/>
  <c r="H5" i="18"/>
  <c r="F5" i="18"/>
  <c r="H3" i="18"/>
  <c r="H8" i="18"/>
  <c r="G11" i="18"/>
  <c r="F3" i="18"/>
  <c r="G7" i="18"/>
  <c r="F4" i="18"/>
</calcChain>
</file>

<file path=xl/sharedStrings.xml><?xml version="1.0" encoding="utf-8"?>
<sst xmlns="http://schemas.openxmlformats.org/spreadsheetml/2006/main" count="33092" uniqueCount="8417">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</sst>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</a:t>
            </a:r>
            <a:r>
              <a:rPr lang="en-CA" b="1" baseline="0"/>
              <a:t> Outcomes Based on Launch Dates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outerShdw blurRad="50800" dist="50800" dir="5400000" algn="ctr" rotWithShape="0">
                <a:schemeClr val="bg1"/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4-499B-93AA-6B4006128D0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B4-499B-93AA-6B4006128D0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50800" dir="5400000" algn="ctr" rotWithShape="0">
                <a:schemeClr val="bg1"/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B4-499B-93AA-6B4006128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810704"/>
        <c:axId val="1582814032"/>
      </c:lineChart>
      <c:catAx>
        <c:axId val="15828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solidFill>
                    <a:schemeClr val="tx1">
                      <a:alpha val="50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814032"/>
        <c:crosses val="autoZero"/>
        <c:auto val="1"/>
        <c:lblAlgn val="ctr"/>
        <c:lblOffset val="100"/>
        <c:noMultiLvlLbl val="0"/>
      </c:catAx>
      <c:valAx>
        <c:axId val="158281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solidFill>
                    <a:schemeClr val="tx1">
                      <a:alpha val="50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81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General</c:formatCode>
                <c:ptCount val="11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0</c:v>
                </c:pt>
                <c:pt idx="1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3-46DF-9A97-2278100B1C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General</c:formatCode>
                <c:ptCount val="11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100</c:v>
                </c:pt>
                <c:pt idx="1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3-46DF-9A97-2278100B1C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3-46DF-9A97-2278100B1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358416"/>
        <c:axId val="1782358832"/>
      </c:lineChart>
      <c:catAx>
        <c:axId val="17823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solidFill>
                    <a:schemeClr val="tx1">
                      <a:alpha val="50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358832"/>
        <c:crosses val="autoZero"/>
        <c:auto val="1"/>
        <c:lblAlgn val="ctr"/>
        <c:lblOffset val="100"/>
        <c:noMultiLvlLbl val="0"/>
      </c:catAx>
      <c:valAx>
        <c:axId val="17823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&quot;%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solidFill>
                    <a:schemeClr val="tx1">
                      <a:alpha val="50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35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 w="0">
                <a:solidFill>
                  <a:schemeClr val="tx1">
                    <a:alpha val="50000"/>
                  </a:schemeClr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dates</a:t>
            </a:r>
          </a:p>
        </c:rich>
      </c:tx>
      <c:layout>
        <c:manualLayout>
          <c:xMode val="edge"/>
          <c:yMode val="edge"/>
          <c:x val="0.25458333333333333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D-46D9-8D7C-9C5B977C23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3-4C5F-B8CA-77577F9539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43-4C5F-B8CA-77577F9539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43-4C5F-B8CA-77577F953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90288"/>
        <c:axId val="907590704"/>
      </c:lineChart>
      <c:catAx>
        <c:axId val="9075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90704"/>
        <c:crosses val="autoZero"/>
        <c:auto val="1"/>
        <c:lblAlgn val="ctr"/>
        <c:lblOffset val="100"/>
        <c:noMultiLvlLbl val="0"/>
      </c:catAx>
      <c:valAx>
        <c:axId val="9075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9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Categories Outcome</a:t>
            </a:r>
          </a:p>
        </c:rich>
      </c:tx>
      <c:layout>
        <c:manualLayout>
          <c:xMode val="edge"/>
          <c:yMode val="edge"/>
          <c:x val="0.28335411198600174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4-414B-BDA0-4499DBB828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4-414B-BDA0-4499DBB828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4-414B-BDA0-4499DBB828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4-414B-BDA0-4499DBB8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9138016"/>
        <c:axId val="799137600"/>
      </c:barChart>
      <c:catAx>
        <c:axId val="79913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37600"/>
        <c:crosses val="autoZero"/>
        <c:auto val="1"/>
        <c:lblAlgn val="ctr"/>
        <c:lblOffset val="100"/>
        <c:noMultiLvlLbl val="0"/>
      </c:catAx>
      <c:valAx>
        <c:axId val="79913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3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4-4C4B-89C4-0C588A812F3C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4-4C4B-89C4-0C588A812F3C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B4-4C4B-89C4-0C588A812F3C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4E-4B63-9852-9C6A77041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1356992"/>
        <c:axId val="941359488"/>
      </c:barChart>
      <c:catAx>
        <c:axId val="9413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359488"/>
        <c:crosses val="autoZero"/>
        <c:auto val="1"/>
        <c:lblAlgn val="ctr"/>
        <c:lblOffset val="100"/>
        <c:noMultiLvlLbl val="0"/>
      </c:catAx>
      <c:valAx>
        <c:axId val="9413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35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6</xdr:row>
      <xdr:rowOff>39686</xdr:rowOff>
    </xdr:from>
    <xdr:to>
      <xdr:col>16</xdr:col>
      <xdr:colOff>539750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703F7-352A-4040-8B84-AB5ACA85C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377825</xdr:colOff>
      <xdr:row>14</xdr:row>
      <xdr:rowOff>115887</xdr:rowOff>
    </xdr:from>
    <xdr:to>
      <xdr:col>14</xdr:col>
      <xdr:colOff>492125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17FED-D82D-4894-8A40-2D51E0183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9525</xdr:rowOff>
    </xdr:from>
    <xdr:to>
      <xdr:col>14</xdr:col>
      <xdr:colOff>276225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30C13-A11A-41B1-9F6B-5B03BA3AE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73025</xdr:rowOff>
    </xdr:from>
    <xdr:to>
      <xdr:col>14</xdr:col>
      <xdr:colOff>95250</xdr:colOff>
      <xdr:row>18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C1B6CD-6D93-4E9D-9C28-CF8564864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53974</xdr:rowOff>
    </xdr:from>
    <xdr:to>
      <xdr:col>15</xdr:col>
      <xdr:colOff>228600</xdr:colOff>
      <xdr:row>20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A7DD8-AFBD-4F63-9831-53A63BC95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al Rizvi" refreshedDate="44564.750115625" createdVersion="7" refreshedVersion="7" minRefreshableVersion="3" recordCount="4114" xr:uid="{6AB8B9DB-F24B-41ED-B60A-75CC50EACCFB}">
  <cacheSource type="worksheet">
    <worksheetSource ref="A1:R4115" sheet="Kis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al Rizvi" refreshedDate="44564.790171990739" createdVersion="7" refreshedVersion="7" minRefreshableVersion="3" recordCount="4114" xr:uid="{0317108A-9738-49AC-9B39-A6691A12B892}">
  <cacheSource type="worksheet">
    <worksheetSource ref="A1:T4115" sheet="Kis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al Rizvi" refreshedDate="44569.007255555553" createdVersion="7" refreshedVersion="7" minRefreshableVersion="3" recordCount="4114" xr:uid="{D106845C-21E7-46B0-9158-C85414CB3489}">
  <cacheSource type="worksheet">
    <worksheetSource ref="A1:U4115" sheet="Kis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B933-38B0-4334-A5A7-5ABD602B29FC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E84A2-C928-48A0-9FDE-65A757D2763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A8115-F29E-4970-8E07-FEE32C0DF1C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594B1-3594-47B3-9E31-15E453A939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CEAA-D9A6-446A-B203-EA3921185EDD}">
  <dimension ref="A2:E19"/>
  <sheetViews>
    <sheetView workbookViewId="0">
      <selection activeCell="L36" sqref="L3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2" spans="1:5" x14ac:dyDescent="0.35">
      <c r="A2" s="12" t="s">
        <v>8358</v>
      </c>
      <c r="B2" t="s">
        <v>8315</v>
      </c>
    </row>
    <row r="3" spans="1:5" x14ac:dyDescent="0.35">
      <c r="A3" s="12" t="s">
        <v>8398</v>
      </c>
      <c r="B3" t="s">
        <v>8364</v>
      </c>
    </row>
    <row r="5" spans="1:5" x14ac:dyDescent="0.35">
      <c r="A5" s="12" t="s">
        <v>8363</v>
      </c>
      <c r="B5" s="12" t="s">
        <v>8362</v>
      </c>
    </row>
    <row r="6" spans="1:5" x14ac:dyDescent="0.35">
      <c r="A6" s="12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5">
      <c r="A7" s="16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5">
      <c r="A8" s="16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5">
      <c r="A9" s="16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5">
      <c r="A10" s="16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5">
      <c r="A11" s="16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5">
      <c r="A12" s="16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5">
      <c r="A13" s="16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5">
      <c r="A14" s="16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5">
      <c r="A15" s="16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5">
      <c r="A16" s="16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35">
      <c r="A17" s="16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5">
      <c r="A18" s="16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5">
      <c r="A19" s="16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521" topLeftCell="M3933" activePane="bottomRight" state="frozen"/>
      <selection pane="topRight" activeCell="B1" sqref="B1"/>
      <selection pane="bottomLeft" activeCell="A522" sqref="A522"/>
      <selection pane="bottomRight" activeCell="S3939" sqref="S3939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7265625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bestFit="1" customWidth="1"/>
    <col min="21" max="21" width="11.726562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U1 P1 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EE75A-0578-4889-832E-E9B2AE960C79}">
  <dimension ref="A1:H12"/>
  <sheetViews>
    <sheetView workbookViewId="0">
      <selection activeCell="S5" sqref="S5"/>
    </sheetView>
  </sheetViews>
  <sheetFormatPr defaultRowHeight="14.5" x14ac:dyDescent="0.35"/>
  <cols>
    <col min="1" max="1" width="16.90625" style="17" customWidth="1"/>
    <col min="2" max="2" width="16.6328125" customWidth="1"/>
    <col min="3" max="3" width="13.08984375" customWidth="1"/>
    <col min="4" max="4" width="16.54296875" customWidth="1"/>
    <col min="5" max="5" width="12.453125" customWidth="1"/>
    <col min="6" max="6" width="19.36328125" customWidth="1"/>
    <col min="7" max="7" width="16" customWidth="1"/>
    <col min="8" max="8" width="18.90625" bestFit="1" customWidth="1"/>
  </cols>
  <sheetData>
    <row r="1" spans="1:8" x14ac:dyDescent="0.35">
      <c r="A1" s="17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5">
      <c r="A2" s="17" t="s">
        <v>8406</v>
      </c>
      <c r="B2">
        <f>COUNTIFS(Kiskstarter!$D:$D,"&lt;1000",Kiskstarter!$F:$F,"successful",Kiskstarter!$R:$R,"plays")</f>
        <v>141</v>
      </c>
      <c r="C2">
        <f>COUNTIFS(Kiskstarter!$D:$D,"&lt;1000",Kiskstarter!$F:$F,"failed",Kiskstarter!$R:$R,"plays")</f>
        <v>45</v>
      </c>
      <c r="D2">
        <f>COUNTIFS(Kiskstarter!$D:$D,"&lt;1000",Kiskstarter!$F:$F,"canceled",Kiskstarter!$R:$R,"plays")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5">
      <c r="A3" s="17" t="s">
        <v>8407</v>
      </c>
      <c r="B3">
        <f>COUNTIFS(Kiskstarter!$D:$D,"&gt;=1000",Kiskstarter!$D:$D,"&lt;=4999",Kiskstarter!$F:$F,"successful",Kiskstarter!$R:$R,"plays")</f>
        <v>388</v>
      </c>
      <c r="C3">
        <f>COUNTIFS(Kiskstarter!$D:$D,"&gt;=1000",Kiskstarter!$D:$D,"&lt;=4999",Kiskstarter!$F:$F,"failed",Kiskstarter!$R:$R,"plays")</f>
        <v>146</v>
      </c>
      <c r="D3">
        <f>COUNTIFS(Kiskstarter!$D:$D,"&gt;=1000",Kiskstarter!$D:$D,"&lt;=4999",Kiskstarter!$F:$F,"canceled",Kiskstarter!$R:$R,"plays")</f>
        <v>0</v>
      </c>
      <c r="E3">
        <f t="shared" ref="E3:E12" si="0">SUM(B3:D3)</f>
        <v>534</v>
      </c>
      <c r="F3">
        <f t="shared" ref="F3:F12" si="1">ROUND(B3/E3*100,0)</f>
        <v>73</v>
      </c>
      <c r="G3">
        <f t="shared" ref="G3:G12" si="2">ROUND(C3/E3*100,0)</f>
        <v>27</v>
      </c>
      <c r="H3">
        <f t="shared" ref="H3:H12" si="3">ROUND(D3/E3*100,0)</f>
        <v>0</v>
      </c>
    </row>
    <row r="4" spans="1:8" x14ac:dyDescent="0.35">
      <c r="A4" s="17" t="s">
        <v>8408</v>
      </c>
      <c r="B4">
        <f>COUNTIFS(Kiskstarter!$D:$D,"&gt;=5000",Kiskstarter!$D:$D,"&lt;=9999",Kiskstarter!$F:$F,"successful",Kiskstarter!$R:$R,"plays")</f>
        <v>93</v>
      </c>
      <c r="C4">
        <f>COUNTIFS(Kiskstarter!$D:$D,"&gt;=5000",Kiskstarter!$D:$D,"&lt;=9999",Kiskstarter!$F:$F,"failed",Kiskstarter!$R:$R,"plays")</f>
        <v>76</v>
      </c>
      <c r="D4">
        <f>COUNTIFS(Kiskstarter!$D:$D,"&gt;=5000",Kiskstarter!$D:$D,"&lt;=9999",Kiskstarter!$F:$F,"canceled",Kiskstarter!$R:$R,"plays")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s="17" t="s">
        <v>8409</v>
      </c>
      <c r="B5">
        <f>COUNTIFS(Kiskstarter!$D:$D,"&gt;=10000",Kiskstarter!$D:$D,"&lt;=14999",Kiskstarter!$F:$F,"successful",Kiskstarter!$R:$R,"plays")</f>
        <v>39</v>
      </c>
      <c r="C5">
        <f>COUNTIFS(Kiskstarter!$D:$D,"&gt;=10000",Kiskstarter!$D:$D,"&lt;=14999",Kiskstarter!$F:$F,"failed",Kiskstarter!$R:$R,"plays")</f>
        <v>33</v>
      </c>
      <c r="D5">
        <f>COUNTIFS(Kiskstarter!$D:$D,"&gt;=10000",Kiskstarter!$D:$D,"&lt;=14999",Kiskstarter!$F:$F,"canceled",Kiskstarter!$R:$R,"plays")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s="17" t="s">
        <v>8410</v>
      </c>
      <c r="B6">
        <f>COUNTIFS(Kiskstarter!$D:$D,"&gt;=15000",Kiskstarter!$D:$D,"&lt;=19999",Kiskstarter!$F:$F,"successful",Kiskstarter!$R:$R,"plays")</f>
        <v>12</v>
      </c>
      <c r="C6">
        <f>COUNTIFS(Kiskstarter!$D:$D,"&gt;=15000",Kiskstarter!$D:$D,"&lt;=19999",Kiskstarter!$F:$F,"failed",Kiskstarter!$R:$R,"plays")</f>
        <v>12</v>
      </c>
      <c r="D6">
        <f>COUNTIFS(Kiskstarter!$D:$D,"&gt;=15000",Kiskstarter!$D:$D,"&lt;=19999",Kiskstarter!$F:$F,"canceled",Kiskstarter!$R:$R,"plays")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s="17" t="s">
        <v>8411</v>
      </c>
      <c r="B7">
        <f>COUNTIFS(Kiskstarter!$D:$D,"&gt;=20000",Kiskstarter!$D:$D,"&lt;=24999",Kiskstarter!$F:$F,"successful",Kiskstarter!$R:$R,"plays")</f>
        <v>9</v>
      </c>
      <c r="C7">
        <f>COUNTIFS(Kiskstarter!$D:$D,"&gt;=20000",Kiskstarter!$D:$D,"&lt;=24999",Kiskstarter!$F:$F,"failed",Kiskstarter!$R:$R,"plays")</f>
        <v>11</v>
      </c>
      <c r="D7">
        <f>COUNTIFS(Kiskstarter!$D:$D,"&gt;=20000",Kiskstarter!$D:$D,"&lt;=24999",Kiskstarter!$F:$F,"canceled",Kiskstarter!$R:$R,"plays")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5">
      <c r="A8" s="17" t="s">
        <v>8412</v>
      </c>
      <c r="B8">
        <f>COUNTIFS(Kiskstarter!$D:$D,"&gt;=25000",Kiskstarter!$D:$D,"&lt;=29999",Kiskstarter!$F:$F,"successful",Kiskstarter!$R:$R,"plays")</f>
        <v>1</v>
      </c>
      <c r="C8">
        <f>COUNTIFS(Kiskstarter!$D:$D,"&gt;=25000",Kiskstarter!$D:$D,"&lt;=29999",Kiskstarter!$F:$F,"failed",Kiskstarter!$R:$R,"plays")</f>
        <v>4</v>
      </c>
      <c r="D8">
        <f>COUNTIFS(Kiskstarter!$D:$D,"&gt;=25000",Kiskstarter!$D:$D,"&lt;=29999",Kiskstarter!$F:$F,"canceled",Kiskstarter!$R:$R,"plays")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s="17" t="s">
        <v>8413</v>
      </c>
      <c r="B9">
        <f>COUNTIFS(Kiskstarter!$D:$D,"&gt;=30000",Kiskstarter!$D:$D,"&lt;=34999",Kiskstarter!$F:$F,"successful",Kiskstarter!$R:$R,"plays")</f>
        <v>3</v>
      </c>
      <c r="C9">
        <f>COUNTIFS(Kiskstarter!$D:$D,"&gt;=30000",Kiskstarter!$D:$D,"&lt;=34999",Kiskstarter!$F:$F,"failed",Kiskstarter!$R:$R,"plays")</f>
        <v>8</v>
      </c>
      <c r="D9">
        <f>COUNTIFS(Kiskstarter!$D:$D,"&gt;=30000",Kiskstarter!$D:$D,"&lt;=34999",Kiskstarter!$F:$F,"canceled",Kiskstarter!$R:$R,"plays")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s="17" t="s">
        <v>8414</v>
      </c>
      <c r="B10">
        <f>COUNTIFS(Kiskstarter!$D:$D,"&gt;=40000",Kiskstarter!$D:$D,"&lt;=44999",Kiskstarter!$F:$F,"successful",Kiskstarter!$R:$R,"plays")</f>
        <v>2</v>
      </c>
      <c r="C10">
        <f>COUNTIFS(Kiskstarter!$D:$D,"&gt;=40000",Kiskstarter!$D:$D,"&lt;=44999",Kiskstarter!$F:$F,"failed",Kiskstarter!$R:$R,"plays")</f>
        <v>1</v>
      </c>
      <c r="D10">
        <f>COUNTIFS(Kiskstarter!$D:$D,"&gt;=40000",Kiskstarter!$D:$D,"&lt;=44999",Kiskstarter!$F:$F,"canceled",Kiskstarter!$R:$R,"plays")</f>
        <v>0</v>
      </c>
      <c r="E10">
        <f t="shared" si="0"/>
        <v>3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5">
      <c r="A11" s="17" t="s">
        <v>8415</v>
      </c>
      <c r="B11">
        <f>COUNTIFS(Kiskstarter!$D:$D,"&gt;=45000",Kiskstarter!$D:$D,"&lt;=49999",Kiskstarter!$F:$F,"successful",Kiskstarter!$R:$R,"plays")</f>
        <v>0</v>
      </c>
      <c r="C11">
        <f>COUNTIFS(Kiskstarter!$D:$D,"&gt;=45000",Kiskstarter!$D:$D,"&lt;=49999",Kiskstarter!$F:$F,"failed",Kiskstarter!$R:$R,"plays")</f>
        <v>1</v>
      </c>
      <c r="D11">
        <f>COUNTIFS(Kiskstarter!$D:$D,"&gt;=45000",Kiskstarter!$D:$D,"&lt;=49999",Kiskstarter!$F:$F,"canceled",Kiskstarter!$R:$R,"plays")</f>
        <v>0</v>
      </c>
      <c r="E11">
        <f t="shared" si="0"/>
        <v>1</v>
      </c>
      <c r="F11">
        <f t="shared" si="1"/>
        <v>0</v>
      </c>
      <c r="G11">
        <f t="shared" si="2"/>
        <v>100</v>
      </c>
      <c r="H11">
        <f t="shared" si="3"/>
        <v>0</v>
      </c>
    </row>
    <row r="12" spans="1:8" x14ac:dyDescent="0.35">
      <c r="A12" s="17" t="s">
        <v>8416</v>
      </c>
      <c r="B12">
        <f>COUNTIFS(Kiskstarter!$D:$D,"&gt;=50000",Kiskstarter!$F:$F,"successful",Kiskstarter!$R:$R,"plays")</f>
        <v>2</v>
      </c>
      <c r="C12">
        <f>COUNTIFS(Kiskstarter!$D:$D,"&gt;=50000",Kiskstarter!$F:$F,"failed",Kiskstarter!$R:$R,"plays")</f>
        <v>14</v>
      </c>
      <c r="D12">
        <f>COUNTIFS(Kiskstarter!$D:$D,"&gt;=50000",Kiskstarter!$F:$F,"canceled",Kiskstarter!$R:$R,"plays")</f>
        <v>0</v>
      </c>
      <c r="E12">
        <f t="shared" si="0"/>
        <v>16</v>
      </c>
      <c r="F12">
        <f t="shared" si="1"/>
        <v>13</v>
      </c>
      <c r="G12">
        <f t="shared" si="2"/>
        <v>88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14CB9-E8BC-414B-A6A5-9EFCFE8EC8A3}">
  <dimension ref="A1:F18"/>
  <sheetViews>
    <sheetView tabSelected="1" workbookViewId="0">
      <selection activeCell="F6" sqref="F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F8CD-5616-4BCF-8ED4-2C5A6C864A79}">
  <dimension ref="A1:C17"/>
  <sheetViews>
    <sheetView workbookViewId="0">
      <selection activeCell="C18" sqref="C18"/>
    </sheetView>
  </sheetViews>
  <sheetFormatPr defaultRowHeight="14.5" x14ac:dyDescent="0.35"/>
  <cols>
    <col min="1" max="1" width="23.453125" bestFit="1" customWidth="1"/>
    <col min="2" max="2" width="9.1796875" style="7" customWidth="1"/>
    <col min="3" max="3" width="9.81640625" style="7" bestFit="1" customWidth="1"/>
  </cols>
  <sheetData>
    <row r="1" spans="1:3" x14ac:dyDescent="0.35">
      <c r="B1" s="7" t="s">
        <v>8384</v>
      </c>
      <c r="C1" s="7" t="s">
        <v>8385</v>
      </c>
    </row>
    <row r="2" spans="1:3" x14ac:dyDescent="0.35">
      <c r="A2" t="s">
        <v>8386</v>
      </c>
      <c r="B2" s="7" t="e">
        <f>AVERAGE(#REF!)</f>
        <v>#REF!</v>
      </c>
      <c r="C2" s="7" t="e">
        <f>AVERAGE(#REF!)</f>
        <v>#REF!</v>
      </c>
    </row>
    <row r="3" spans="1:3" x14ac:dyDescent="0.35">
      <c r="A3" t="s">
        <v>8387</v>
      </c>
      <c r="B3" s="7" t="e">
        <f>MEDIAN(#REF!)</f>
        <v>#REF!</v>
      </c>
      <c r="C3" s="7" t="e">
        <f>MEDIAN(#REF!)</f>
        <v>#REF!</v>
      </c>
    </row>
    <row r="4" spans="1:3" x14ac:dyDescent="0.35">
      <c r="A4" t="s">
        <v>8390</v>
      </c>
      <c r="B4" s="7" t="e">
        <f>_xlfn.STDEV.P(#REF!)</f>
        <v>#REF!</v>
      </c>
      <c r="C4" s="7" t="e">
        <f>_xlfn.STDEV.P(#REF!)</f>
        <v>#REF!</v>
      </c>
    </row>
    <row r="5" spans="1:3" x14ac:dyDescent="0.35">
      <c r="A5" t="s">
        <v>8391</v>
      </c>
      <c r="B5" s="7" t="e">
        <f>_xlfn.QUARTILE.EXC(#REF!, 3)</f>
        <v>#REF!</v>
      </c>
      <c r="C5" s="7" t="e">
        <f>_xlfn.QUARTILE.EXC(#REF!,3)</f>
        <v>#REF!</v>
      </c>
    </row>
    <row r="6" spans="1:3" x14ac:dyDescent="0.35">
      <c r="A6" t="s">
        <v>8392</v>
      </c>
      <c r="B6" s="7" t="e">
        <f>_xlfn.QUARTILE.EXC(#REF!, 1)</f>
        <v>#REF!</v>
      </c>
      <c r="C6" s="7" t="e">
        <f>_xlfn.QUARTILE.EXC(#REF!,1)</f>
        <v>#REF!</v>
      </c>
    </row>
    <row r="7" spans="1:3" x14ac:dyDescent="0.35">
      <c r="A7" t="s">
        <v>8393</v>
      </c>
      <c r="B7" s="7" t="e">
        <f>B5-B6</f>
        <v>#REF!</v>
      </c>
      <c r="C7" s="7" t="e">
        <f>C5-C6</f>
        <v>#REF!</v>
      </c>
    </row>
    <row r="12" spans="1:3" x14ac:dyDescent="0.35">
      <c r="A12" t="s">
        <v>8388</v>
      </c>
      <c r="B12" s="7" t="e">
        <f>AVERAGE(#REF!)</f>
        <v>#REF!</v>
      </c>
      <c r="C12" s="7" t="e">
        <f>AVERAGE(#REF!)</f>
        <v>#REF!</v>
      </c>
    </row>
    <row r="13" spans="1:3" x14ac:dyDescent="0.35">
      <c r="A13" t="s">
        <v>8389</v>
      </c>
      <c r="B13" s="7" t="e">
        <f>MEDIAN(#REF!)</f>
        <v>#REF!</v>
      </c>
      <c r="C13" s="7" t="e">
        <f>MEDIAN(#REF!)</f>
        <v>#REF!</v>
      </c>
    </row>
    <row r="14" spans="1:3" x14ac:dyDescent="0.35">
      <c r="A14" t="s">
        <v>8394</v>
      </c>
      <c r="B14" s="7" t="e">
        <f>_xlfn.STDEV.P(#REF!)</f>
        <v>#REF!</v>
      </c>
      <c r="C14" s="7" t="e">
        <f>_xlfn.STDEV.P(#REF!)</f>
        <v>#REF!</v>
      </c>
    </row>
    <row r="15" spans="1:3" x14ac:dyDescent="0.35">
      <c r="A15" t="s">
        <v>8395</v>
      </c>
      <c r="B15" s="7" t="e">
        <f>_xlfn.QUARTILE.EXC(#REF!, 3)</f>
        <v>#REF!</v>
      </c>
      <c r="C15" s="7" t="e">
        <f>_xlfn.QUARTILE.EXC(#REF!,3)</f>
        <v>#REF!</v>
      </c>
    </row>
    <row r="16" spans="1:3" x14ac:dyDescent="0.35">
      <c r="A16" t="s">
        <v>8396</v>
      </c>
      <c r="B16" s="7" t="e">
        <f>_xlfn.QUARTILE.EXC(#REF!, 1)</f>
        <v>#REF!</v>
      </c>
      <c r="C16" s="7" t="e">
        <f>_xlfn.QUARTILE.EXC(#REF!,1)</f>
        <v>#REF!</v>
      </c>
    </row>
    <row r="17" spans="1:3" x14ac:dyDescent="0.35">
      <c r="A17" t="s">
        <v>8397</v>
      </c>
      <c r="B17" s="7" t="e">
        <f>B15-B16</f>
        <v>#REF!</v>
      </c>
      <c r="C17" s="7" t="e">
        <f>C15-C16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2AA16-5BE2-49E9-9710-633332C50EF8}">
  <dimension ref="A1:F14"/>
  <sheetViews>
    <sheetView workbookViewId="0">
      <selection activeCell="O8" sqref="O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D8E4E-F75E-4A49-93A9-C0A4CC1799F4}">
  <dimension ref="A1:F43"/>
  <sheetViews>
    <sheetView workbookViewId="0">
      <selection activeCell="F27" sqref="F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8362</v>
      </c>
    </row>
    <row r="5" spans="1:6" x14ac:dyDescent="0.3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3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3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3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3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3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3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3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3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3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3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3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3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3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3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3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3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3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3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3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3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3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3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3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3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3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3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3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3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3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4E4BF-CFE9-4348-A9AC-02EF7FBE2F3F}">
  <dimension ref="A1:D6"/>
  <sheetViews>
    <sheetView topLeftCell="B1" workbookViewId="0">
      <selection activeCell="D2" sqref="D2:D6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x14ac:dyDescent="0.35">
      <c r="A2" t="s">
        <v>3473</v>
      </c>
      <c r="B2" t="str">
        <f>VLOOKUP(A2,Kiskstarter!B:C,2,FALSE)</f>
        <v>Help us get actor-writer Ian Bonar's debut play - a hilarious, heartbreaking story of grief and loss - to the 2016 Edinburgh Fringe.</v>
      </c>
      <c r="C2">
        <f>VLOOKUP(A2, Kiskstarter!B:E, 3, FALSE)</f>
        <v>2000</v>
      </c>
      <c r="D2">
        <f>VLOOKUP(A2, Kiskstarter!B:E, 4, FALSE)</f>
        <v>2020</v>
      </c>
    </row>
    <row r="3" spans="1:4" x14ac:dyDescent="0.35">
      <c r="A3" t="s">
        <v>3616</v>
      </c>
      <c r="B3" t="str">
        <f>VLOOKUP(A3,Kiskstarter!B:C,2,FALSE)</f>
        <v>The play yet to be described as "A surefire Edinburgh Fringe Festival Cult Hit". Coming to the Underbelly, Edinburgh, 5th-30th August.</v>
      </c>
      <c r="C3">
        <f>VLOOKUP(A3, Kiskstarter!B:E, 3, FALSE)</f>
        <v>2000</v>
      </c>
      <c r="D3">
        <f>VLOOKUP(A3, Kiskstarter!B:E, 4, FALSE)</f>
        <v>2020</v>
      </c>
    </row>
    <row r="4" spans="1:4" x14ac:dyDescent="0.35">
      <c r="A4" t="s">
        <v>3178</v>
      </c>
      <c r="B4" t="str">
        <f>VLOOKUP(A4,Kiskstarter!B:C,2,FALSE)</f>
        <v>Cutting Off Kate Bush is a one-woman show written &amp; performed by Lucy Benson-Brown, premiering at the Edinburgh Fringe Festival 2014</v>
      </c>
      <c r="C4">
        <f>VLOOKUP(A4, Kiskstarter!B:E, 3, FALSE)</f>
        <v>1500</v>
      </c>
      <c r="D4">
        <f>VLOOKUP(A4, Kiskstarter!B:E, 4, FALSE)</f>
        <v>2576</v>
      </c>
    </row>
    <row r="5" spans="1:4" x14ac:dyDescent="0.35">
      <c r="A5" t="s">
        <v>3329</v>
      </c>
      <c r="B5" t="str">
        <f>VLOOKUP(A5,Kiskstarter!B:C,2,FALSE)</f>
        <v>Jestia and Raedon is a brand new romantic comedy play going to the Edinburgh Fringe Festival this summer.</v>
      </c>
      <c r="C5">
        <f>VLOOKUP(A5, Kiskstarter!B:E, 3, FALSE)</f>
        <v>1000</v>
      </c>
      <c r="D5">
        <f>VLOOKUP(A5, Kiskstarter!B:E, 4, FALSE)</f>
        <v>1168</v>
      </c>
    </row>
    <row r="6" spans="1:4" x14ac:dyDescent="0.35">
      <c r="A6" t="s">
        <v>3221</v>
      </c>
      <c r="B6" t="str">
        <f>VLOOKUP(A6,Kiskstarter!B:C,2,FALSE)</f>
        <v>A one-man show about love, loss, and motorways, written &amp; performed by Ben Norris. Help us get to the 2015 Edinburgh Fringe and beyond!</v>
      </c>
      <c r="C6">
        <f>VLOOKUP(A6, Kiskstarter!B:E, 3, FALSE)</f>
        <v>4000</v>
      </c>
      <c r="D6">
        <f>VLOOKUP(A6, Kiskstarter!B:E,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Kiskstarter</vt:lpstr>
      <vt:lpstr>Outcomes Based on Goals</vt:lpstr>
      <vt:lpstr>Outcomes Based on Launch Date</vt:lpstr>
      <vt:lpstr>Descriptive Statistics</vt:lpstr>
      <vt:lpstr>Category Statistics</vt:lpstr>
      <vt:lpstr>Sub 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Bilal Rizvi</cp:lastModifiedBy>
  <dcterms:created xsi:type="dcterms:W3CDTF">2017-04-20T15:17:24Z</dcterms:created>
  <dcterms:modified xsi:type="dcterms:W3CDTF">2022-01-09T08:54:53Z</dcterms:modified>
</cp:coreProperties>
</file>