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rrish\OneDrive\Contracts\"/>
    </mc:Choice>
  </mc:AlternateContent>
  <bookViews>
    <workbookView xWindow="0" yWindow="0" windowWidth="20490" windowHeight="8655" activeTab="5"/>
  </bookViews>
  <sheets>
    <sheet name="Dashboard" sheetId="7" r:id="rId1"/>
    <sheet name="Expiring No Options" sheetId="20" r:id="rId2"/>
    <sheet name="Expiring Options" sheetId="21" r:id="rId3"/>
    <sheet name="Spending" sheetId="23" r:id="rId4"/>
    <sheet name="pivot" sheetId="4" r:id="rId5"/>
    <sheet name="master" sheetId="1" r:id="rId6"/>
    <sheet name="expiring" sheetId="2" state="hidden" r:id="rId7"/>
    <sheet name="spending limit" sheetId="3" state="hidden" r:id="rId8"/>
    <sheet name="Fleet Spending" sheetId="6" state="hidden" r:id="rId9"/>
    <sheet name="high burn rate contracts" sheetId="5" state="hidden" r:id="rId10"/>
  </sheets>
  <definedNames>
    <definedName name="_xlnm._FilterDatabase" localSheetId="5" hidden="1">master!$C$1:$J$246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J247" i="1" l="1"/>
  <c r="I247" i="1"/>
  <c r="A246" i="1"/>
  <c r="B246" i="1"/>
  <c r="K246" i="1"/>
  <c r="AD246" i="1" s="1"/>
  <c r="L246" i="1"/>
  <c r="M246" i="1" s="1"/>
  <c r="W246" i="1"/>
  <c r="A245" i="1"/>
  <c r="B245" i="1"/>
  <c r="K245" i="1"/>
  <c r="AD245" i="1" s="1"/>
  <c r="L245" i="1"/>
  <c r="M245" i="1" s="1"/>
  <c r="W245" i="1"/>
  <c r="A244" i="1"/>
  <c r="B244" i="1"/>
  <c r="K244" i="1"/>
  <c r="AD244" i="1" s="1"/>
  <c r="L244" i="1"/>
  <c r="M244" i="1" s="1"/>
  <c r="W244" i="1"/>
  <c r="K207" i="1" l="1"/>
  <c r="A243" i="1" l="1"/>
  <c r="B243" i="1"/>
  <c r="K243" i="1"/>
  <c r="AD243" i="1" s="1"/>
  <c r="L243" i="1"/>
  <c r="M243" i="1" s="1"/>
  <c r="W243" i="1"/>
  <c r="A242" i="1"/>
  <c r="B242" i="1"/>
  <c r="K242" i="1"/>
  <c r="AD242" i="1" s="1"/>
  <c r="L242" i="1"/>
  <c r="M242" i="1" s="1"/>
  <c r="W242" i="1"/>
  <c r="A241" i="1" l="1"/>
  <c r="B241" i="1"/>
  <c r="K241" i="1"/>
  <c r="AD241" i="1" s="1"/>
  <c r="L241" i="1"/>
  <c r="M241" i="1" s="1"/>
  <c r="W241" i="1"/>
  <c r="A240" i="1"/>
  <c r="B240" i="1"/>
  <c r="K240" i="1"/>
  <c r="AD240" i="1" s="1"/>
  <c r="L240" i="1"/>
  <c r="M240" i="1" s="1"/>
  <c r="W240" i="1"/>
  <c r="A239" i="1"/>
  <c r="B239" i="1"/>
  <c r="K239" i="1"/>
  <c r="AD239" i="1" s="1"/>
  <c r="L239" i="1"/>
  <c r="M239" i="1" s="1"/>
  <c r="W239" i="1"/>
  <c r="A75" i="1" l="1"/>
  <c r="B75" i="1"/>
  <c r="K75" i="1"/>
  <c r="AD75" i="1" s="1"/>
  <c r="L75" i="1"/>
  <c r="M75" i="1" s="1"/>
  <c r="W75" i="1"/>
  <c r="A234" i="1" l="1"/>
  <c r="B234" i="1"/>
  <c r="K234" i="1"/>
  <c r="AD234" i="1" s="1"/>
  <c r="L234" i="1"/>
  <c r="M234" i="1" s="1"/>
  <c r="W234" i="1"/>
  <c r="A233" i="1"/>
  <c r="B233" i="1"/>
  <c r="K233" i="1"/>
  <c r="AD233" i="1" s="1"/>
  <c r="L233" i="1"/>
  <c r="M233" i="1" s="1"/>
  <c r="W233" i="1"/>
  <c r="K67" i="1" l="1"/>
  <c r="AD67" i="1" s="1"/>
  <c r="K122" i="1"/>
  <c r="AD122" i="1" s="1"/>
  <c r="K133" i="1"/>
  <c r="AD133" i="1" s="1"/>
  <c r="K142" i="1"/>
  <c r="AD142" i="1" s="1"/>
  <c r="K146" i="1"/>
  <c r="AD146" i="1" s="1"/>
  <c r="K232" i="1"/>
  <c r="AD232" i="1" s="1"/>
  <c r="K231" i="1"/>
  <c r="AD231" i="1" s="1"/>
  <c r="A34" i="1"/>
  <c r="L67" i="1"/>
  <c r="M67" i="1" s="1"/>
  <c r="B122" i="1"/>
  <c r="B133" i="1"/>
  <c r="A142" i="1"/>
  <c r="B145" i="1"/>
  <c r="B146" i="1"/>
  <c r="A122" i="1"/>
  <c r="W122" i="1"/>
  <c r="A231" i="1"/>
  <c r="B231" i="1"/>
  <c r="L231" i="1"/>
  <c r="M231" i="1" s="1"/>
  <c r="W231" i="1"/>
  <c r="A232" i="1"/>
  <c r="B232" i="1"/>
  <c r="L232" i="1"/>
  <c r="W232" i="1"/>
  <c r="A133" i="1"/>
  <c r="L133" i="1"/>
  <c r="W133" i="1"/>
  <c r="A146" i="1"/>
  <c r="W146" i="1"/>
  <c r="B34" i="1"/>
  <c r="K34" i="1"/>
  <c r="AD34" i="1" s="1"/>
  <c r="L34" i="1"/>
  <c r="M34" i="1" s="1"/>
  <c r="W34" i="1"/>
  <c r="A143" i="1"/>
  <c r="A144" i="1"/>
  <c r="A145" i="1"/>
  <c r="B143" i="1"/>
  <c r="B144" i="1"/>
  <c r="K143" i="1"/>
  <c r="AD143" i="1" s="1"/>
  <c r="K144" i="1"/>
  <c r="AD144" i="1" s="1"/>
  <c r="K145" i="1"/>
  <c r="AD145" i="1" s="1"/>
  <c r="L143" i="1"/>
  <c r="M143" i="1" s="1"/>
  <c r="L144" i="1"/>
  <c r="M144" i="1" s="1"/>
  <c r="L145" i="1"/>
  <c r="L142" i="1"/>
  <c r="M142" i="1" s="1"/>
  <c r="W143" i="1"/>
  <c r="W144" i="1"/>
  <c r="W145" i="1"/>
  <c r="W142" i="1"/>
  <c r="W67" i="1"/>
  <c r="M145" i="1" l="1"/>
  <c r="M133" i="1"/>
  <c r="M232" i="1"/>
  <c r="L122" i="1"/>
  <c r="M122" i="1" s="1"/>
  <c r="B67" i="1"/>
  <c r="L146" i="1"/>
  <c r="M146" i="1" s="1"/>
  <c r="B142" i="1"/>
  <c r="A67" i="1"/>
  <c r="K247" i="1"/>
  <c r="AD207" i="1" l="1"/>
  <c r="A230" i="1"/>
  <c r="B230" i="1"/>
  <c r="K230" i="1"/>
  <c r="AD230" i="1" s="1"/>
  <c r="L230" i="1"/>
  <c r="M230" i="1" s="1"/>
  <c r="W230" i="1"/>
  <c r="W6" i="1" l="1"/>
  <c r="W7" i="1"/>
  <c r="W8" i="1"/>
  <c r="W9" i="1"/>
  <c r="W10" i="1"/>
  <c r="W11" i="1"/>
  <c r="W12" i="1"/>
  <c r="W13" i="1"/>
  <c r="W14" i="1"/>
  <c r="W15" i="1"/>
  <c r="L49" i="5" l="1"/>
  <c r="L48" i="5"/>
  <c r="L34" i="5"/>
  <c r="L29" i="5"/>
  <c r="L24" i="5"/>
  <c r="L22" i="5"/>
  <c r="L21" i="5"/>
  <c r="L19" i="5"/>
  <c r="L17" i="5"/>
  <c r="L16" i="5"/>
  <c r="L15" i="5"/>
  <c r="L12" i="5"/>
  <c r="L10" i="5"/>
  <c r="L9" i="5"/>
  <c r="L8" i="5"/>
  <c r="L7" i="5"/>
  <c r="L6" i="5"/>
  <c r="L5" i="5"/>
  <c r="L2" i="5"/>
  <c r="L3" i="5"/>
  <c r="L4" i="5"/>
  <c r="L11" i="5"/>
  <c r="L13" i="5"/>
  <c r="L14" i="5"/>
  <c r="L18" i="5"/>
  <c r="L20" i="5"/>
  <c r="L23" i="5"/>
  <c r="L25" i="5"/>
  <c r="L26" i="5"/>
  <c r="L27" i="5"/>
  <c r="L28" i="5"/>
  <c r="L30" i="5"/>
  <c r="L31" i="5"/>
  <c r="L32" i="5"/>
  <c r="L33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J50" i="6"/>
  <c r="I50" i="6"/>
  <c r="J24" i="6"/>
  <c r="I24" i="6"/>
  <c r="J10" i="6"/>
  <c r="I10" i="6"/>
  <c r="J4" i="6"/>
  <c r="I4" i="6"/>
  <c r="K50" i="6" l="1"/>
  <c r="K10" i="6"/>
  <c r="K4" i="6"/>
  <c r="K24" i="6"/>
  <c r="B98" i="1"/>
  <c r="B102" i="1"/>
  <c r="B103" i="1"/>
  <c r="B105" i="1"/>
  <c r="B108" i="1"/>
  <c r="B109" i="1"/>
  <c r="B110" i="1"/>
  <c r="B111" i="1"/>
  <c r="B112" i="1"/>
  <c r="B118" i="1"/>
  <c r="B123" i="1"/>
  <c r="B124" i="1"/>
  <c r="B113" i="1"/>
  <c r="B119" i="1"/>
  <c r="B120" i="1"/>
  <c r="B164" i="1"/>
  <c r="B165" i="1"/>
  <c r="B166" i="1"/>
  <c r="B167" i="1"/>
  <c r="B168" i="1"/>
  <c r="B169" i="1"/>
  <c r="B170" i="1"/>
  <c r="B171" i="1"/>
  <c r="B172" i="1"/>
  <c r="B125" i="1"/>
  <c r="B126" i="1"/>
  <c r="B127" i="1"/>
  <c r="B128" i="1"/>
  <c r="B129" i="1"/>
  <c r="B130" i="1"/>
  <c r="B131" i="1"/>
  <c r="B5" i="1"/>
  <c r="B136" i="1"/>
  <c r="B139" i="1"/>
  <c r="B2" i="1"/>
  <c r="B141" i="1"/>
  <c r="B20" i="1"/>
  <c r="B3" i="1"/>
  <c r="B150" i="1"/>
  <c r="B151" i="1"/>
  <c r="B152" i="1"/>
  <c r="B154" i="1"/>
  <c r="B155" i="1"/>
  <c r="B156" i="1"/>
  <c r="B157" i="1"/>
  <c r="B4" i="1"/>
  <c r="B16" i="1"/>
  <c r="B6" i="1"/>
  <c r="B7" i="1"/>
  <c r="B8" i="1"/>
  <c r="B9" i="1"/>
  <c r="B10" i="1"/>
  <c r="B11" i="1"/>
  <c r="B12" i="1"/>
  <c r="B13" i="1"/>
  <c r="B14" i="1"/>
  <c r="B15" i="1"/>
  <c r="B17" i="1"/>
  <c r="B18" i="1"/>
  <c r="B57" i="1"/>
  <c r="B58" i="1"/>
  <c r="B21" i="1"/>
  <c r="B159" i="1"/>
  <c r="B158" i="1"/>
  <c r="B163" i="1"/>
  <c r="B19" i="1"/>
  <c r="B22" i="1"/>
  <c r="B23" i="1"/>
  <c r="B28" i="1"/>
  <c r="B29" i="1"/>
  <c r="B174" i="1"/>
  <c r="B175" i="1"/>
  <c r="B176" i="1"/>
  <c r="B30" i="1"/>
  <c r="B177" i="1"/>
  <c r="B178" i="1"/>
  <c r="B179" i="1"/>
  <c r="B31" i="1"/>
  <c r="B32" i="1"/>
  <c r="B37" i="1"/>
  <c r="B38" i="1"/>
  <c r="B39" i="1"/>
  <c r="B35" i="1"/>
  <c r="B36" i="1"/>
  <c r="B40" i="1"/>
  <c r="B42" i="1"/>
  <c r="B41" i="1"/>
  <c r="B43" i="1"/>
  <c r="B44" i="1"/>
  <c r="B45" i="1"/>
  <c r="B46" i="1"/>
  <c r="B47" i="1"/>
  <c r="B48" i="1"/>
  <c r="B53" i="1"/>
  <c r="B54" i="1"/>
  <c r="B55" i="1"/>
  <c r="B49" i="1"/>
  <c r="B56" i="1"/>
  <c r="B50" i="1"/>
  <c r="B51" i="1"/>
  <c r="B52" i="1"/>
  <c r="B59" i="1"/>
  <c r="B60" i="1"/>
  <c r="B61" i="1"/>
  <c r="B62" i="1"/>
  <c r="B64" i="1"/>
  <c r="B65" i="1"/>
  <c r="B66" i="1"/>
  <c r="B68" i="1"/>
  <c r="B69" i="1"/>
  <c r="B70" i="1"/>
  <c r="B71" i="1"/>
  <c r="B72" i="1"/>
  <c r="B73" i="1"/>
  <c r="B76" i="1"/>
  <c r="B77" i="1"/>
  <c r="B74" i="1"/>
  <c r="B78" i="1"/>
  <c r="B79" i="1"/>
  <c r="B80" i="1"/>
  <c r="B81" i="1"/>
  <c r="B82" i="1"/>
  <c r="B87" i="1"/>
  <c r="B88" i="1"/>
  <c r="B89" i="1"/>
  <c r="B90" i="1"/>
  <c r="B91" i="1"/>
  <c r="B92" i="1"/>
  <c r="B93" i="1"/>
  <c r="B94" i="1"/>
  <c r="B97" i="1"/>
  <c r="B99" i="1"/>
  <c r="B100" i="1"/>
  <c r="B101" i="1"/>
  <c r="B116" i="1"/>
  <c r="B117" i="1"/>
  <c r="B138" i="1"/>
  <c r="B153" i="1"/>
  <c r="B160" i="1"/>
  <c r="B161" i="1"/>
  <c r="B180" i="1"/>
  <c r="B181" i="1"/>
  <c r="B185" i="1"/>
  <c r="B186" i="1"/>
  <c r="B187" i="1"/>
  <c r="B194" i="1"/>
  <c r="B195" i="1"/>
  <c r="B199" i="1"/>
  <c r="B200" i="1"/>
  <c r="B201" i="1"/>
  <c r="B203" i="1"/>
  <c r="B204" i="1"/>
  <c r="B209" i="1"/>
  <c r="B210" i="1"/>
  <c r="B212" i="1"/>
  <c r="B216" i="1"/>
  <c r="B217" i="1"/>
  <c r="B218" i="1"/>
  <c r="B220" i="1"/>
  <c r="B221" i="1"/>
  <c r="B224" i="1"/>
  <c r="B225" i="1"/>
  <c r="B226" i="1"/>
  <c r="B227" i="1"/>
  <c r="B235" i="1"/>
  <c r="B236" i="1"/>
  <c r="B237" i="1"/>
  <c r="B229" i="1"/>
  <c r="B228" i="1"/>
  <c r="B106" i="1"/>
  <c r="B104" i="1"/>
  <c r="B205" i="1"/>
  <c r="B206" i="1"/>
  <c r="B207" i="1"/>
  <c r="B107" i="1"/>
  <c r="B114" i="1"/>
  <c r="B121" i="1"/>
  <c r="B132" i="1"/>
  <c r="B137" i="1"/>
  <c r="B140" i="1"/>
  <c r="B148" i="1"/>
  <c r="B149" i="1"/>
  <c r="B24" i="1"/>
  <c r="B25" i="1"/>
  <c r="B26" i="1"/>
  <c r="B27" i="1"/>
  <c r="B173" i="1"/>
  <c r="B33" i="1"/>
  <c r="B63" i="1"/>
  <c r="B83" i="1"/>
  <c r="B84" i="1"/>
  <c r="B85" i="1"/>
  <c r="B86" i="1"/>
  <c r="B95" i="1"/>
  <c r="B96" i="1"/>
  <c r="B115" i="1"/>
  <c r="B134" i="1"/>
  <c r="B135" i="1"/>
  <c r="B147" i="1"/>
  <c r="B162" i="1"/>
  <c r="B182" i="1"/>
  <c r="B184" i="1"/>
  <c r="B183" i="1"/>
  <c r="B188" i="1"/>
  <c r="B189" i="1"/>
  <c r="B190" i="1"/>
  <c r="B191" i="1"/>
  <c r="B192" i="1"/>
  <c r="B193" i="1"/>
  <c r="B196" i="1"/>
  <c r="B197" i="1"/>
  <c r="B198" i="1"/>
  <c r="B202" i="1"/>
  <c r="B208" i="1"/>
  <c r="B211" i="1"/>
  <c r="B213" i="1"/>
  <c r="B214" i="1"/>
  <c r="B215" i="1"/>
  <c r="B219" i="1"/>
  <c r="B222" i="1"/>
  <c r="B223" i="1"/>
  <c r="B238" i="1"/>
  <c r="A98" i="1"/>
  <c r="A102" i="1"/>
  <c r="A103" i="1"/>
  <c r="A105" i="1"/>
  <c r="A108" i="1"/>
  <c r="A109" i="1"/>
  <c r="A110" i="1"/>
  <c r="A111" i="1"/>
  <c r="A112" i="1"/>
  <c r="A118" i="1"/>
  <c r="A123" i="1"/>
  <c r="A124" i="1"/>
  <c r="A113" i="1"/>
  <c r="A119" i="1"/>
  <c r="A120" i="1"/>
  <c r="A164" i="1"/>
  <c r="A165" i="1"/>
  <c r="A166" i="1"/>
  <c r="A167" i="1"/>
  <c r="A168" i="1"/>
  <c r="A169" i="1"/>
  <c r="A170" i="1"/>
  <c r="A171" i="1"/>
  <c r="A172" i="1"/>
  <c r="A125" i="1"/>
  <c r="A126" i="1"/>
  <c r="A127" i="1"/>
  <c r="A128" i="1"/>
  <c r="A129" i="1"/>
  <c r="A130" i="1"/>
  <c r="A131" i="1"/>
  <c r="A5" i="1"/>
  <c r="A136" i="1"/>
  <c r="A139" i="1"/>
  <c r="A2" i="1"/>
  <c r="A141" i="1"/>
  <c r="A20" i="1"/>
  <c r="A3" i="1"/>
  <c r="A150" i="1"/>
  <c r="A151" i="1"/>
  <c r="A152" i="1"/>
  <c r="A154" i="1"/>
  <c r="A155" i="1"/>
  <c r="A156" i="1"/>
  <c r="A157" i="1"/>
  <c r="A4" i="1"/>
  <c r="A16" i="1"/>
  <c r="A6" i="1"/>
  <c r="A7" i="1"/>
  <c r="A8" i="1"/>
  <c r="A9" i="1"/>
  <c r="A10" i="1"/>
  <c r="A11" i="1"/>
  <c r="A12" i="1"/>
  <c r="A13" i="1"/>
  <c r="A14" i="1"/>
  <c r="A15" i="1"/>
  <c r="A17" i="1"/>
  <c r="A18" i="1"/>
  <c r="A57" i="1"/>
  <c r="A58" i="1"/>
  <c r="A21" i="1"/>
  <c r="A159" i="1"/>
  <c r="A158" i="1"/>
  <c r="A163" i="1"/>
  <c r="A19" i="1"/>
  <c r="A22" i="1"/>
  <c r="A23" i="1"/>
  <c r="A28" i="1"/>
  <c r="A29" i="1"/>
  <c r="A174" i="1"/>
  <c r="A175" i="1"/>
  <c r="A176" i="1"/>
  <c r="A30" i="1"/>
  <c r="A177" i="1"/>
  <c r="A178" i="1"/>
  <c r="A179" i="1"/>
  <c r="A31" i="1"/>
  <c r="A32" i="1"/>
  <c r="A37" i="1"/>
  <c r="A38" i="1"/>
  <c r="A39" i="1"/>
  <c r="A35" i="1"/>
  <c r="A36" i="1"/>
  <c r="A40" i="1"/>
  <c r="A42" i="1"/>
  <c r="A41" i="1"/>
  <c r="A43" i="1"/>
  <c r="A44" i="1"/>
  <c r="A45" i="1"/>
  <c r="A46" i="1"/>
  <c r="A47" i="1"/>
  <c r="A48" i="1"/>
  <c r="A53" i="1"/>
  <c r="A54" i="1"/>
  <c r="A55" i="1"/>
  <c r="A49" i="1"/>
  <c r="A56" i="1"/>
  <c r="A50" i="1"/>
  <c r="A51" i="1"/>
  <c r="A52" i="1"/>
  <c r="A59" i="1"/>
  <c r="A60" i="1"/>
  <c r="A61" i="1"/>
  <c r="A62" i="1"/>
  <c r="A64" i="1"/>
  <c r="A65" i="1"/>
  <c r="A66" i="1"/>
  <c r="A68" i="1"/>
  <c r="A69" i="1"/>
  <c r="A70" i="1"/>
  <c r="A71" i="1"/>
  <c r="A72" i="1"/>
  <c r="A73" i="1"/>
  <c r="A76" i="1"/>
  <c r="A77" i="1"/>
  <c r="A74" i="1"/>
  <c r="A78" i="1"/>
  <c r="A79" i="1"/>
  <c r="A80" i="1"/>
  <c r="A81" i="1"/>
  <c r="A82" i="1"/>
  <c r="A87" i="1"/>
  <c r="A88" i="1"/>
  <c r="A89" i="1"/>
  <c r="A90" i="1"/>
  <c r="A91" i="1"/>
  <c r="A92" i="1"/>
  <c r="A93" i="1"/>
  <c r="A94" i="1"/>
  <c r="A97" i="1"/>
  <c r="A99" i="1"/>
  <c r="A100" i="1"/>
  <c r="A101" i="1"/>
  <c r="A116" i="1"/>
  <c r="A117" i="1"/>
  <c r="A138" i="1"/>
  <c r="A153" i="1"/>
  <c r="A160" i="1"/>
  <c r="A161" i="1"/>
  <c r="A180" i="1"/>
  <c r="A181" i="1"/>
  <c r="A185" i="1"/>
  <c r="A186" i="1"/>
  <c r="A187" i="1"/>
  <c r="A194" i="1"/>
  <c r="A195" i="1"/>
  <c r="A199" i="1"/>
  <c r="A200" i="1"/>
  <c r="A201" i="1"/>
  <c r="A203" i="1"/>
  <c r="A204" i="1"/>
  <c r="A209" i="1"/>
  <c r="A210" i="1"/>
  <c r="A212" i="1"/>
  <c r="A216" i="1"/>
  <c r="A217" i="1"/>
  <c r="A218" i="1"/>
  <c r="A220" i="1"/>
  <c r="A221" i="1"/>
  <c r="A224" i="1"/>
  <c r="A225" i="1"/>
  <c r="A226" i="1"/>
  <c r="A227" i="1"/>
  <c r="A235" i="1"/>
  <c r="A236" i="1"/>
  <c r="A237" i="1"/>
  <c r="A229" i="1"/>
  <c r="A228" i="1"/>
  <c r="A106" i="1"/>
  <c r="A104" i="1"/>
  <c r="A205" i="1"/>
  <c r="A206" i="1"/>
  <c r="A207" i="1"/>
  <c r="A107" i="1"/>
  <c r="A114" i="1"/>
  <c r="A121" i="1"/>
  <c r="A132" i="1"/>
  <c r="A137" i="1"/>
  <c r="A140" i="1"/>
  <c r="A148" i="1"/>
  <c r="A149" i="1"/>
  <c r="A24" i="1"/>
  <c r="A25" i="1"/>
  <c r="A26" i="1"/>
  <c r="A27" i="1"/>
  <c r="A173" i="1"/>
  <c r="A33" i="1"/>
  <c r="A63" i="1"/>
  <c r="A83" i="1"/>
  <c r="A84" i="1"/>
  <c r="A85" i="1"/>
  <c r="A86" i="1"/>
  <c r="A95" i="1"/>
  <c r="A96" i="1"/>
  <c r="A115" i="1"/>
  <c r="A134" i="1"/>
  <c r="A135" i="1"/>
  <c r="A147" i="1"/>
  <c r="A162" i="1"/>
  <c r="A182" i="1"/>
  <c r="A184" i="1"/>
  <c r="A183" i="1"/>
  <c r="A188" i="1"/>
  <c r="A189" i="1"/>
  <c r="A190" i="1"/>
  <c r="A191" i="1"/>
  <c r="A192" i="1"/>
  <c r="A193" i="1"/>
  <c r="A196" i="1"/>
  <c r="A197" i="1"/>
  <c r="A198" i="1"/>
  <c r="A202" i="1"/>
  <c r="A208" i="1"/>
  <c r="A211" i="1"/>
  <c r="A213" i="1"/>
  <c r="A214" i="1"/>
  <c r="A215" i="1"/>
  <c r="A219" i="1"/>
  <c r="A222" i="1"/>
  <c r="A223" i="1"/>
  <c r="A238" i="1"/>
  <c r="K191" i="1" l="1"/>
  <c r="AD191" i="1" s="1"/>
  <c r="K86" i="1"/>
  <c r="AD86" i="1" s="1"/>
  <c r="W229" i="1" l="1"/>
  <c r="W228" i="1"/>
  <c r="W106" i="1"/>
  <c r="W104" i="1"/>
  <c r="W205" i="1"/>
  <c r="W206" i="1"/>
  <c r="W207" i="1"/>
  <c r="W107" i="1"/>
  <c r="W114" i="1"/>
  <c r="W121" i="1"/>
  <c r="W132" i="1"/>
  <c r="W137" i="1"/>
  <c r="W140" i="1"/>
  <c r="W148" i="1"/>
  <c r="W149" i="1"/>
  <c r="W24" i="1"/>
  <c r="W25" i="1"/>
  <c r="W26" i="1"/>
  <c r="W27" i="1"/>
  <c r="W173" i="1"/>
  <c r="W33" i="1"/>
  <c r="W63" i="1"/>
  <c r="W83" i="1"/>
  <c r="W84" i="1"/>
  <c r="W85" i="1"/>
  <c r="W86" i="1"/>
  <c r="W95" i="1"/>
  <c r="W96" i="1"/>
  <c r="W115" i="1"/>
  <c r="W134" i="1"/>
  <c r="W135" i="1"/>
  <c r="W147" i="1"/>
  <c r="W162" i="1"/>
  <c r="W182" i="1"/>
  <c r="W184" i="1"/>
  <c r="W183" i="1"/>
  <c r="W188" i="1"/>
  <c r="W189" i="1"/>
  <c r="W190" i="1"/>
  <c r="W191" i="1"/>
  <c r="W192" i="1"/>
  <c r="W193" i="1"/>
  <c r="W196" i="1"/>
  <c r="W197" i="1"/>
  <c r="W198" i="1"/>
  <c r="W202" i="1"/>
  <c r="W208" i="1"/>
  <c r="W211" i="1"/>
  <c r="W213" i="1"/>
  <c r="W214" i="1"/>
  <c r="W215" i="1"/>
  <c r="W219" i="1"/>
  <c r="W222" i="1"/>
  <c r="W223" i="1"/>
  <c r="W238" i="1"/>
  <c r="L229" i="1"/>
  <c r="M229" i="1" s="1"/>
  <c r="L228" i="1"/>
  <c r="M228" i="1" s="1"/>
  <c r="L106" i="1"/>
  <c r="M106" i="1" s="1"/>
  <c r="L104" i="1"/>
  <c r="M104" i="1" s="1"/>
  <c r="L205" i="1"/>
  <c r="M205" i="1" s="1"/>
  <c r="L206" i="1"/>
  <c r="M206" i="1" s="1"/>
  <c r="L207" i="1"/>
  <c r="M207" i="1" s="1"/>
  <c r="L107" i="1"/>
  <c r="M107" i="1" s="1"/>
  <c r="L114" i="1"/>
  <c r="M114" i="1" s="1"/>
  <c r="L121" i="1"/>
  <c r="M121" i="1" s="1"/>
  <c r="L132" i="1"/>
  <c r="M132" i="1" s="1"/>
  <c r="L137" i="1"/>
  <c r="M137" i="1" s="1"/>
  <c r="L140" i="1"/>
  <c r="M140" i="1" s="1"/>
  <c r="L148" i="1"/>
  <c r="M148" i="1" s="1"/>
  <c r="L149" i="1"/>
  <c r="M149" i="1" s="1"/>
  <c r="L24" i="1"/>
  <c r="M24" i="1" s="1"/>
  <c r="L25" i="1"/>
  <c r="M25" i="1" s="1"/>
  <c r="L26" i="1"/>
  <c r="M26" i="1" s="1"/>
  <c r="L27" i="1"/>
  <c r="M27" i="1" s="1"/>
  <c r="L173" i="1"/>
  <c r="M173" i="1" s="1"/>
  <c r="L33" i="1"/>
  <c r="M33" i="1" s="1"/>
  <c r="L63" i="1"/>
  <c r="M63" i="1" s="1"/>
  <c r="L83" i="1"/>
  <c r="M83" i="1" s="1"/>
  <c r="L84" i="1"/>
  <c r="M84" i="1" s="1"/>
  <c r="L85" i="1"/>
  <c r="M85" i="1" s="1"/>
  <c r="L86" i="1"/>
  <c r="M86" i="1" s="1"/>
  <c r="L95" i="1"/>
  <c r="M95" i="1" s="1"/>
  <c r="L96" i="1"/>
  <c r="M96" i="1" s="1"/>
  <c r="L115" i="1"/>
  <c r="M115" i="1" s="1"/>
  <c r="L134" i="1"/>
  <c r="M134" i="1" s="1"/>
  <c r="L135" i="1"/>
  <c r="M135" i="1" s="1"/>
  <c r="L147" i="1"/>
  <c r="M147" i="1" s="1"/>
  <c r="L162" i="1"/>
  <c r="M162" i="1" s="1"/>
  <c r="L182" i="1"/>
  <c r="M182" i="1" s="1"/>
  <c r="L184" i="1"/>
  <c r="M184" i="1" s="1"/>
  <c r="L183" i="1"/>
  <c r="M183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6" i="1"/>
  <c r="M196" i="1" s="1"/>
  <c r="L197" i="1"/>
  <c r="M197" i="1" s="1"/>
  <c r="L198" i="1"/>
  <c r="M198" i="1" s="1"/>
  <c r="L202" i="1"/>
  <c r="M202" i="1" s="1"/>
  <c r="L208" i="1"/>
  <c r="M208" i="1" s="1"/>
  <c r="L211" i="1"/>
  <c r="M211" i="1" s="1"/>
  <c r="L213" i="1"/>
  <c r="M213" i="1" s="1"/>
  <c r="L214" i="1"/>
  <c r="M214" i="1" s="1"/>
  <c r="L215" i="1"/>
  <c r="M215" i="1" s="1"/>
  <c r="L219" i="1"/>
  <c r="M219" i="1" s="1"/>
  <c r="L222" i="1"/>
  <c r="M222" i="1" s="1"/>
  <c r="L223" i="1"/>
  <c r="M223" i="1" s="1"/>
  <c r="L238" i="1"/>
  <c r="M238" i="1" s="1"/>
  <c r="K229" i="1"/>
  <c r="AD229" i="1" s="1"/>
  <c r="K228" i="1"/>
  <c r="AD228" i="1" s="1"/>
  <c r="K106" i="1"/>
  <c r="AD106" i="1" s="1"/>
  <c r="K104" i="1"/>
  <c r="AD104" i="1" s="1"/>
  <c r="K205" i="1"/>
  <c r="AD205" i="1" s="1"/>
  <c r="K206" i="1"/>
  <c r="AD206" i="1" s="1"/>
  <c r="K107" i="1"/>
  <c r="AD107" i="1" s="1"/>
  <c r="K114" i="1"/>
  <c r="AD114" i="1" s="1"/>
  <c r="K121" i="1"/>
  <c r="AD121" i="1" s="1"/>
  <c r="K132" i="1"/>
  <c r="AD132" i="1" s="1"/>
  <c r="K137" i="1"/>
  <c r="AD137" i="1" s="1"/>
  <c r="K140" i="1"/>
  <c r="AD140" i="1" s="1"/>
  <c r="K148" i="1"/>
  <c r="AD148" i="1" s="1"/>
  <c r="K149" i="1"/>
  <c r="AD149" i="1" s="1"/>
  <c r="K24" i="1"/>
  <c r="AD24" i="1" s="1"/>
  <c r="K25" i="1"/>
  <c r="AD25" i="1" s="1"/>
  <c r="K26" i="1"/>
  <c r="AD26" i="1" s="1"/>
  <c r="K27" i="1"/>
  <c r="AD27" i="1" s="1"/>
  <c r="K173" i="1"/>
  <c r="AD173" i="1" s="1"/>
  <c r="K33" i="1"/>
  <c r="AD33" i="1" s="1"/>
  <c r="K63" i="1"/>
  <c r="AD63" i="1" s="1"/>
  <c r="K83" i="1"/>
  <c r="AD83" i="1" s="1"/>
  <c r="K84" i="1"/>
  <c r="AD84" i="1" s="1"/>
  <c r="K85" i="1"/>
  <c r="AD85" i="1" s="1"/>
  <c r="K95" i="1"/>
  <c r="AD95" i="1" s="1"/>
  <c r="K96" i="1"/>
  <c r="AD96" i="1" s="1"/>
  <c r="K115" i="1"/>
  <c r="AD115" i="1" s="1"/>
  <c r="K134" i="1"/>
  <c r="AD134" i="1" s="1"/>
  <c r="K135" i="1"/>
  <c r="AD135" i="1" s="1"/>
  <c r="K147" i="1"/>
  <c r="AD147" i="1" s="1"/>
  <c r="K162" i="1"/>
  <c r="AD162" i="1" s="1"/>
  <c r="K182" i="1"/>
  <c r="AD182" i="1" s="1"/>
  <c r="K184" i="1"/>
  <c r="AD184" i="1" s="1"/>
  <c r="K183" i="1"/>
  <c r="AD183" i="1" s="1"/>
  <c r="K188" i="1"/>
  <c r="AD188" i="1" s="1"/>
  <c r="K189" i="1"/>
  <c r="AD189" i="1" s="1"/>
  <c r="K190" i="1"/>
  <c r="AD190" i="1" s="1"/>
  <c r="K192" i="1"/>
  <c r="AD192" i="1" s="1"/>
  <c r="K193" i="1"/>
  <c r="AD193" i="1" s="1"/>
  <c r="K196" i="1"/>
  <c r="AD196" i="1" s="1"/>
  <c r="K197" i="1"/>
  <c r="AD197" i="1" s="1"/>
  <c r="K198" i="1"/>
  <c r="AD198" i="1" s="1"/>
  <c r="K202" i="1"/>
  <c r="AD202" i="1" s="1"/>
  <c r="K208" i="1"/>
  <c r="AD208" i="1" s="1"/>
  <c r="K211" i="1"/>
  <c r="AD211" i="1" s="1"/>
  <c r="K213" i="1"/>
  <c r="AD213" i="1" s="1"/>
  <c r="K214" i="1"/>
  <c r="AD214" i="1" s="1"/>
  <c r="K215" i="1"/>
  <c r="AD215" i="1" s="1"/>
  <c r="K219" i="1"/>
  <c r="AD219" i="1" s="1"/>
  <c r="K222" i="1"/>
  <c r="AD222" i="1" s="1"/>
  <c r="K223" i="1"/>
  <c r="AD223" i="1" s="1"/>
  <c r="K238" i="1"/>
  <c r="AD238" i="1" s="1"/>
  <c r="W98" i="1" l="1"/>
  <c r="W102" i="1"/>
  <c r="W103" i="1"/>
  <c r="W105" i="1"/>
  <c r="W108" i="1"/>
  <c r="W109" i="1"/>
  <c r="W110" i="1"/>
  <c r="W111" i="1"/>
  <c r="W112" i="1"/>
  <c r="W118" i="1"/>
  <c r="W123" i="1"/>
  <c r="W124" i="1"/>
  <c r="W113" i="1"/>
  <c r="W119" i="1"/>
  <c r="W120" i="1"/>
  <c r="W164" i="1"/>
  <c r="W165" i="1"/>
  <c r="W166" i="1"/>
  <c r="W167" i="1"/>
  <c r="W168" i="1"/>
  <c r="W169" i="1"/>
  <c r="W170" i="1"/>
  <c r="W171" i="1"/>
  <c r="W172" i="1"/>
  <c r="W125" i="1"/>
  <c r="W126" i="1"/>
  <c r="W127" i="1"/>
  <c r="W128" i="1"/>
  <c r="W129" i="1"/>
  <c r="W130" i="1"/>
  <c r="W131" i="1"/>
  <c r="W5" i="1"/>
  <c r="W136" i="1"/>
  <c r="W139" i="1"/>
  <c r="W2" i="1"/>
  <c r="W141" i="1"/>
  <c r="W20" i="1"/>
  <c r="W3" i="1"/>
  <c r="W150" i="1"/>
  <c r="W151" i="1"/>
  <c r="W152" i="1"/>
  <c r="W154" i="1"/>
  <c r="W155" i="1"/>
  <c r="W156" i="1"/>
  <c r="W157" i="1"/>
  <c r="W4" i="1"/>
  <c r="W16" i="1"/>
  <c r="W17" i="1"/>
  <c r="W18" i="1"/>
  <c r="W57" i="1"/>
  <c r="W58" i="1"/>
  <c r="W21" i="1"/>
  <c r="W159" i="1"/>
  <c r="W158" i="1"/>
  <c r="W163" i="1"/>
  <c r="W19" i="1"/>
  <c r="W22" i="1"/>
  <c r="W23" i="1"/>
  <c r="W28" i="1"/>
  <c r="W29" i="1"/>
  <c r="W174" i="1"/>
  <c r="W175" i="1"/>
  <c r="W176" i="1"/>
  <c r="W30" i="1"/>
  <c r="W177" i="1"/>
  <c r="W178" i="1"/>
  <c r="W179" i="1"/>
  <c r="W31" i="1"/>
  <c r="W32" i="1"/>
  <c r="W37" i="1"/>
  <c r="W38" i="1"/>
  <c r="W39" i="1"/>
  <c r="W35" i="1"/>
  <c r="W36" i="1"/>
  <c r="W40" i="1"/>
  <c r="W42" i="1"/>
  <c r="W41" i="1"/>
  <c r="W43" i="1"/>
  <c r="W44" i="1"/>
  <c r="W45" i="1"/>
  <c r="W46" i="1"/>
  <c r="W47" i="1"/>
  <c r="W48" i="1"/>
  <c r="W53" i="1"/>
  <c r="W54" i="1"/>
  <c r="W55" i="1"/>
  <c r="W49" i="1"/>
  <c r="W56" i="1"/>
  <c r="W50" i="1"/>
  <c r="W51" i="1"/>
  <c r="W52" i="1"/>
  <c r="W59" i="1"/>
  <c r="W60" i="1"/>
  <c r="W61" i="1"/>
  <c r="W62" i="1"/>
  <c r="W64" i="1"/>
  <c r="W65" i="1"/>
  <c r="W66" i="1"/>
  <c r="W68" i="1"/>
  <c r="W69" i="1"/>
  <c r="W70" i="1"/>
  <c r="W71" i="1"/>
  <c r="W72" i="1"/>
  <c r="W73" i="1"/>
  <c r="W76" i="1"/>
  <c r="W77" i="1"/>
  <c r="W74" i="1"/>
  <c r="W78" i="1"/>
  <c r="W79" i="1"/>
  <c r="W80" i="1"/>
  <c r="W81" i="1"/>
  <c r="W82" i="1"/>
  <c r="W87" i="1"/>
  <c r="W88" i="1"/>
  <c r="W89" i="1"/>
  <c r="W90" i="1"/>
  <c r="W91" i="1"/>
  <c r="W92" i="1"/>
  <c r="W93" i="1"/>
  <c r="W94" i="1"/>
  <c r="W97" i="1"/>
  <c r="W99" i="1"/>
  <c r="W100" i="1"/>
  <c r="W101" i="1"/>
  <c r="W116" i="1"/>
  <c r="W117" i="1"/>
  <c r="W138" i="1"/>
  <c r="W153" i="1"/>
  <c r="W160" i="1"/>
  <c r="W161" i="1"/>
  <c r="W180" i="1"/>
  <c r="W181" i="1"/>
  <c r="W185" i="1"/>
  <c r="W186" i="1"/>
  <c r="W187" i="1"/>
  <c r="W194" i="1"/>
  <c r="W195" i="1"/>
  <c r="W199" i="1"/>
  <c r="W200" i="1"/>
  <c r="W201" i="1"/>
  <c r="W203" i="1"/>
  <c r="W204" i="1"/>
  <c r="W209" i="1"/>
  <c r="W210" i="1"/>
  <c r="W212" i="1"/>
  <c r="W216" i="1"/>
  <c r="W217" i="1"/>
  <c r="W218" i="1"/>
  <c r="W220" i="1"/>
  <c r="W221" i="1"/>
  <c r="W224" i="1"/>
  <c r="W225" i="1"/>
  <c r="W226" i="1"/>
  <c r="W227" i="1"/>
  <c r="W235" i="1"/>
  <c r="W236" i="1"/>
  <c r="W237" i="1"/>
  <c r="K98" i="1"/>
  <c r="AD98" i="1" s="1"/>
  <c r="K102" i="1"/>
  <c r="AD102" i="1" s="1"/>
  <c r="K103" i="1"/>
  <c r="AD103" i="1" s="1"/>
  <c r="K105" i="1"/>
  <c r="AD105" i="1" s="1"/>
  <c r="K108" i="1"/>
  <c r="AD108" i="1" s="1"/>
  <c r="K109" i="1"/>
  <c r="AD109" i="1" s="1"/>
  <c r="K110" i="1"/>
  <c r="AD110" i="1" s="1"/>
  <c r="K111" i="1"/>
  <c r="AD111" i="1" s="1"/>
  <c r="K112" i="1"/>
  <c r="AD112" i="1" s="1"/>
  <c r="K118" i="1"/>
  <c r="AD118" i="1" s="1"/>
  <c r="K123" i="1"/>
  <c r="AD123" i="1" s="1"/>
  <c r="K124" i="1"/>
  <c r="AD124" i="1" s="1"/>
  <c r="K113" i="1"/>
  <c r="AD113" i="1" s="1"/>
  <c r="K119" i="1"/>
  <c r="AD119" i="1" s="1"/>
  <c r="K120" i="1"/>
  <c r="AD120" i="1" s="1"/>
  <c r="K164" i="1"/>
  <c r="AD164" i="1" s="1"/>
  <c r="K165" i="1"/>
  <c r="AD165" i="1" s="1"/>
  <c r="K166" i="1"/>
  <c r="AD166" i="1" s="1"/>
  <c r="K167" i="1"/>
  <c r="AD167" i="1" s="1"/>
  <c r="K168" i="1"/>
  <c r="AD168" i="1" s="1"/>
  <c r="K169" i="1"/>
  <c r="AD169" i="1" s="1"/>
  <c r="K170" i="1"/>
  <c r="AD170" i="1" s="1"/>
  <c r="K171" i="1"/>
  <c r="AD171" i="1" s="1"/>
  <c r="K172" i="1"/>
  <c r="AD172" i="1" s="1"/>
  <c r="K125" i="1"/>
  <c r="AD125" i="1" s="1"/>
  <c r="K126" i="1"/>
  <c r="AD126" i="1" s="1"/>
  <c r="K127" i="1"/>
  <c r="AD127" i="1" s="1"/>
  <c r="K128" i="1"/>
  <c r="AD128" i="1" s="1"/>
  <c r="K129" i="1"/>
  <c r="AD129" i="1" s="1"/>
  <c r="K130" i="1"/>
  <c r="AD130" i="1" s="1"/>
  <c r="K131" i="1"/>
  <c r="AD131" i="1" s="1"/>
  <c r="K5" i="1"/>
  <c r="AD5" i="1" s="1"/>
  <c r="K136" i="1"/>
  <c r="AD136" i="1" s="1"/>
  <c r="K139" i="1"/>
  <c r="AD139" i="1" s="1"/>
  <c r="K2" i="1"/>
  <c r="AD2" i="1" s="1"/>
  <c r="K141" i="1"/>
  <c r="AD141" i="1" s="1"/>
  <c r="K20" i="1"/>
  <c r="AD20" i="1" s="1"/>
  <c r="K3" i="1"/>
  <c r="AD3" i="1" s="1"/>
  <c r="K150" i="1"/>
  <c r="AD150" i="1" s="1"/>
  <c r="K151" i="1"/>
  <c r="AD151" i="1" s="1"/>
  <c r="K152" i="1"/>
  <c r="AD152" i="1" s="1"/>
  <c r="K154" i="1"/>
  <c r="AD154" i="1" s="1"/>
  <c r="K155" i="1"/>
  <c r="AD155" i="1" s="1"/>
  <c r="K156" i="1"/>
  <c r="AD156" i="1" s="1"/>
  <c r="K157" i="1"/>
  <c r="AD157" i="1" s="1"/>
  <c r="K4" i="1"/>
  <c r="AD4" i="1" s="1"/>
  <c r="K16" i="1"/>
  <c r="AD16" i="1" s="1"/>
  <c r="K6" i="1"/>
  <c r="AD6" i="1" s="1"/>
  <c r="K7" i="1"/>
  <c r="AD7" i="1" s="1"/>
  <c r="K8" i="1"/>
  <c r="AD8" i="1" s="1"/>
  <c r="K9" i="1"/>
  <c r="AD9" i="1" s="1"/>
  <c r="K10" i="1"/>
  <c r="AD10" i="1" s="1"/>
  <c r="K11" i="1"/>
  <c r="AD11" i="1" s="1"/>
  <c r="K12" i="1"/>
  <c r="AD12" i="1" s="1"/>
  <c r="K13" i="1"/>
  <c r="AD13" i="1" s="1"/>
  <c r="K14" i="1"/>
  <c r="AD14" i="1" s="1"/>
  <c r="K15" i="1"/>
  <c r="AD15" i="1" s="1"/>
  <c r="K17" i="1"/>
  <c r="AD17" i="1" s="1"/>
  <c r="K18" i="1"/>
  <c r="AD18" i="1" s="1"/>
  <c r="K57" i="1"/>
  <c r="AD57" i="1" s="1"/>
  <c r="K58" i="1"/>
  <c r="AD58" i="1" s="1"/>
  <c r="K21" i="1"/>
  <c r="AD21" i="1" s="1"/>
  <c r="K159" i="1"/>
  <c r="AD159" i="1" s="1"/>
  <c r="K158" i="1"/>
  <c r="AD158" i="1" s="1"/>
  <c r="K163" i="1"/>
  <c r="AD163" i="1" s="1"/>
  <c r="K19" i="1"/>
  <c r="AD19" i="1" s="1"/>
  <c r="K22" i="1"/>
  <c r="AD22" i="1" s="1"/>
  <c r="K23" i="1"/>
  <c r="AD23" i="1" s="1"/>
  <c r="K28" i="1"/>
  <c r="AD28" i="1" s="1"/>
  <c r="K29" i="1"/>
  <c r="AD29" i="1" s="1"/>
  <c r="K174" i="1"/>
  <c r="AD174" i="1" s="1"/>
  <c r="K175" i="1"/>
  <c r="AD175" i="1" s="1"/>
  <c r="K176" i="1"/>
  <c r="AD176" i="1" s="1"/>
  <c r="K30" i="1"/>
  <c r="AD30" i="1" s="1"/>
  <c r="K177" i="1"/>
  <c r="AD177" i="1" s="1"/>
  <c r="K178" i="1"/>
  <c r="AD178" i="1" s="1"/>
  <c r="K179" i="1"/>
  <c r="AD179" i="1" s="1"/>
  <c r="K31" i="1"/>
  <c r="AD31" i="1" s="1"/>
  <c r="K32" i="1"/>
  <c r="AD32" i="1" s="1"/>
  <c r="K37" i="1"/>
  <c r="AD37" i="1" s="1"/>
  <c r="K38" i="1"/>
  <c r="AD38" i="1" s="1"/>
  <c r="K39" i="1"/>
  <c r="AD39" i="1" s="1"/>
  <c r="K35" i="1"/>
  <c r="AD35" i="1" s="1"/>
  <c r="K36" i="1"/>
  <c r="AD36" i="1" s="1"/>
  <c r="K40" i="1"/>
  <c r="AD40" i="1" s="1"/>
  <c r="K42" i="1"/>
  <c r="AD42" i="1" s="1"/>
  <c r="K41" i="1"/>
  <c r="AD41" i="1" s="1"/>
  <c r="K43" i="1"/>
  <c r="AD43" i="1" s="1"/>
  <c r="K44" i="1"/>
  <c r="AD44" i="1" s="1"/>
  <c r="K45" i="1"/>
  <c r="AD45" i="1" s="1"/>
  <c r="K46" i="1"/>
  <c r="AD46" i="1" s="1"/>
  <c r="K47" i="1"/>
  <c r="AD47" i="1" s="1"/>
  <c r="K48" i="1"/>
  <c r="AD48" i="1" s="1"/>
  <c r="K53" i="1"/>
  <c r="AD53" i="1" s="1"/>
  <c r="K54" i="1"/>
  <c r="AD54" i="1" s="1"/>
  <c r="K55" i="1"/>
  <c r="AD55" i="1" s="1"/>
  <c r="K49" i="1"/>
  <c r="AD49" i="1" s="1"/>
  <c r="K56" i="1"/>
  <c r="AD56" i="1" s="1"/>
  <c r="K50" i="1"/>
  <c r="AD50" i="1" s="1"/>
  <c r="K51" i="1"/>
  <c r="AD51" i="1" s="1"/>
  <c r="K52" i="1"/>
  <c r="AD52" i="1" s="1"/>
  <c r="K59" i="1"/>
  <c r="AD59" i="1" s="1"/>
  <c r="K60" i="1"/>
  <c r="AD60" i="1" s="1"/>
  <c r="K61" i="1"/>
  <c r="AD61" i="1" s="1"/>
  <c r="K62" i="1"/>
  <c r="AD62" i="1" s="1"/>
  <c r="K64" i="1"/>
  <c r="AD64" i="1" s="1"/>
  <c r="K65" i="1"/>
  <c r="AD65" i="1" s="1"/>
  <c r="K66" i="1"/>
  <c r="AD66" i="1" s="1"/>
  <c r="K68" i="1"/>
  <c r="AD68" i="1" s="1"/>
  <c r="K69" i="1"/>
  <c r="AD69" i="1" s="1"/>
  <c r="K70" i="1"/>
  <c r="AD70" i="1" s="1"/>
  <c r="K71" i="1"/>
  <c r="AD71" i="1" s="1"/>
  <c r="K72" i="1"/>
  <c r="AD72" i="1" s="1"/>
  <c r="K73" i="1"/>
  <c r="AD73" i="1" s="1"/>
  <c r="K76" i="1"/>
  <c r="AD76" i="1" s="1"/>
  <c r="K77" i="1"/>
  <c r="AD77" i="1" s="1"/>
  <c r="K74" i="1"/>
  <c r="AD74" i="1" s="1"/>
  <c r="K78" i="1"/>
  <c r="AD78" i="1" s="1"/>
  <c r="K79" i="1"/>
  <c r="AD79" i="1" s="1"/>
  <c r="K80" i="1"/>
  <c r="AD80" i="1" s="1"/>
  <c r="K81" i="1"/>
  <c r="AD81" i="1" s="1"/>
  <c r="K82" i="1"/>
  <c r="AD82" i="1" s="1"/>
  <c r="K87" i="1"/>
  <c r="AD87" i="1" s="1"/>
  <c r="K88" i="1"/>
  <c r="AD88" i="1" s="1"/>
  <c r="K89" i="1"/>
  <c r="AD89" i="1" s="1"/>
  <c r="K90" i="1"/>
  <c r="AD90" i="1" s="1"/>
  <c r="K91" i="1"/>
  <c r="AD91" i="1" s="1"/>
  <c r="K92" i="1"/>
  <c r="AD92" i="1" s="1"/>
  <c r="K93" i="1"/>
  <c r="AD93" i="1" s="1"/>
  <c r="K94" i="1"/>
  <c r="AD94" i="1" s="1"/>
  <c r="K97" i="1"/>
  <c r="AD97" i="1" s="1"/>
  <c r="K99" i="1"/>
  <c r="AD99" i="1" s="1"/>
  <c r="K100" i="1"/>
  <c r="AD100" i="1" s="1"/>
  <c r="K101" i="1"/>
  <c r="AD101" i="1" s="1"/>
  <c r="K116" i="1"/>
  <c r="AD116" i="1" s="1"/>
  <c r="K117" i="1"/>
  <c r="AD117" i="1" s="1"/>
  <c r="K138" i="1"/>
  <c r="AD138" i="1" s="1"/>
  <c r="K153" i="1"/>
  <c r="AD153" i="1" s="1"/>
  <c r="K160" i="1"/>
  <c r="AD160" i="1" s="1"/>
  <c r="K161" i="1"/>
  <c r="AD161" i="1" s="1"/>
  <c r="K180" i="1"/>
  <c r="AD180" i="1" s="1"/>
  <c r="K181" i="1"/>
  <c r="AD181" i="1" s="1"/>
  <c r="K185" i="1"/>
  <c r="AD185" i="1" s="1"/>
  <c r="K186" i="1"/>
  <c r="AD186" i="1" s="1"/>
  <c r="K187" i="1"/>
  <c r="AD187" i="1" s="1"/>
  <c r="K194" i="1"/>
  <c r="AD194" i="1" s="1"/>
  <c r="K195" i="1"/>
  <c r="AD195" i="1" s="1"/>
  <c r="K199" i="1"/>
  <c r="AD199" i="1" s="1"/>
  <c r="K200" i="1"/>
  <c r="AD200" i="1" s="1"/>
  <c r="K201" i="1"/>
  <c r="AD201" i="1" s="1"/>
  <c r="K203" i="1"/>
  <c r="AD203" i="1" s="1"/>
  <c r="K204" i="1"/>
  <c r="AD204" i="1" s="1"/>
  <c r="K209" i="1"/>
  <c r="AD209" i="1" s="1"/>
  <c r="K210" i="1"/>
  <c r="AD210" i="1" s="1"/>
  <c r="K212" i="1"/>
  <c r="AD212" i="1" s="1"/>
  <c r="K216" i="1"/>
  <c r="AD216" i="1" s="1"/>
  <c r="K217" i="1"/>
  <c r="AD217" i="1" s="1"/>
  <c r="K218" i="1"/>
  <c r="AD218" i="1" s="1"/>
  <c r="K220" i="1"/>
  <c r="AD220" i="1" s="1"/>
  <c r="K221" i="1"/>
  <c r="AD221" i="1" s="1"/>
  <c r="K224" i="1"/>
  <c r="AD224" i="1" s="1"/>
  <c r="K225" i="1"/>
  <c r="AD225" i="1" s="1"/>
  <c r="K226" i="1"/>
  <c r="AD226" i="1" s="1"/>
  <c r="K227" i="1"/>
  <c r="AD227" i="1" s="1"/>
  <c r="K235" i="1"/>
  <c r="AD235" i="1" s="1"/>
  <c r="K236" i="1"/>
  <c r="AD236" i="1" s="1"/>
  <c r="K237" i="1"/>
  <c r="AD237" i="1" s="1"/>
  <c r="L98" i="1"/>
  <c r="M98" i="1" s="1"/>
  <c r="L102" i="1"/>
  <c r="M102" i="1" s="1"/>
  <c r="L103" i="1"/>
  <c r="M103" i="1" s="1"/>
  <c r="L105" i="1"/>
  <c r="M105" i="1" s="1"/>
  <c r="L108" i="1"/>
  <c r="M108" i="1" s="1"/>
  <c r="L109" i="1"/>
  <c r="M109" i="1" s="1"/>
  <c r="L110" i="1"/>
  <c r="M110" i="1" s="1"/>
  <c r="L111" i="1"/>
  <c r="M111" i="1" s="1"/>
  <c r="L112" i="1"/>
  <c r="M112" i="1" s="1"/>
  <c r="L118" i="1"/>
  <c r="M118" i="1" s="1"/>
  <c r="L123" i="1"/>
  <c r="M123" i="1" s="1"/>
  <c r="L124" i="1"/>
  <c r="M124" i="1" s="1"/>
  <c r="L113" i="1"/>
  <c r="M113" i="1" s="1"/>
  <c r="L119" i="1"/>
  <c r="M119" i="1" s="1"/>
  <c r="L120" i="1"/>
  <c r="M120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5" i="1"/>
  <c r="M5" i="1" s="1"/>
  <c r="L136" i="1"/>
  <c r="M136" i="1" s="1"/>
  <c r="L139" i="1"/>
  <c r="M139" i="1" s="1"/>
  <c r="L2" i="1"/>
  <c r="M2" i="1" s="1"/>
  <c r="L141" i="1"/>
  <c r="M141" i="1" s="1"/>
  <c r="L20" i="1"/>
  <c r="M20" i="1" s="1"/>
  <c r="L3" i="1"/>
  <c r="M3" i="1" s="1"/>
  <c r="L150" i="1"/>
  <c r="M150" i="1" s="1"/>
  <c r="L151" i="1"/>
  <c r="M151" i="1" s="1"/>
  <c r="L152" i="1"/>
  <c r="M152" i="1" s="1"/>
  <c r="L154" i="1"/>
  <c r="M154" i="1" s="1"/>
  <c r="L155" i="1"/>
  <c r="M155" i="1" s="1"/>
  <c r="L156" i="1"/>
  <c r="M156" i="1" s="1"/>
  <c r="L157" i="1"/>
  <c r="M157" i="1" s="1"/>
  <c r="L4" i="1"/>
  <c r="M4" i="1" s="1"/>
  <c r="L16" i="1"/>
  <c r="M16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57" i="1"/>
  <c r="M57" i="1" s="1"/>
  <c r="L58" i="1"/>
  <c r="M58" i="1" s="1"/>
  <c r="L21" i="1"/>
  <c r="M21" i="1" s="1"/>
  <c r="L159" i="1"/>
  <c r="M159" i="1" s="1"/>
  <c r="L158" i="1"/>
  <c r="M158" i="1" s="1"/>
  <c r="L163" i="1"/>
  <c r="M163" i="1" s="1"/>
  <c r="L19" i="1"/>
  <c r="M19" i="1" s="1"/>
  <c r="L22" i="1"/>
  <c r="M22" i="1" s="1"/>
  <c r="L23" i="1"/>
  <c r="M23" i="1" s="1"/>
  <c r="L28" i="1"/>
  <c r="M28" i="1" s="1"/>
  <c r="L29" i="1"/>
  <c r="M29" i="1" s="1"/>
  <c r="L174" i="1"/>
  <c r="M174" i="1" s="1"/>
  <c r="L175" i="1"/>
  <c r="M175" i="1" s="1"/>
  <c r="L176" i="1"/>
  <c r="M176" i="1" s="1"/>
  <c r="L30" i="1"/>
  <c r="M30" i="1" s="1"/>
  <c r="L177" i="1"/>
  <c r="M177" i="1" s="1"/>
  <c r="L178" i="1"/>
  <c r="M178" i="1" s="1"/>
  <c r="L179" i="1"/>
  <c r="M179" i="1" s="1"/>
  <c r="L31" i="1"/>
  <c r="M31" i="1" s="1"/>
  <c r="L32" i="1"/>
  <c r="M32" i="1" s="1"/>
  <c r="L37" i="1"/>
  <c r="M37" i="1" s="1"/>
  <c r="L38" i="1"/>
  <c r="M38" i="1" s="1"/>
  <c r="L39" i="1"/>
  <c r="M39" i="1" s="1"/>
  <c r="L35" i="1"/>
  <c r="M35" i="1" s="1"/>
  <c r="L36" i="1"/>
  <c r="M36" i="1" s="1"/>
  <c r="L40" i="1"/>
  <c r="M40" i="1" s="1"/>
  <c r="L42" i="1"/>
  <c r="M42" i="1" s="1"/>
  <c r="L41" i="1"/>
  <c r="M41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53" i="1"/>
  <c r="M53" i="1" s="1"/>
  <c r="L54" i="1"/>
  <c r="M54" i="1" s="1"/>
  <c r="L55" i="1"/>
  <c r="M55" i="1" s="1"/>
  <c r="L49" i="1"/>
  <c r="M49" i="1" s="1"/>
  <c r="L56" i="1"/>
  <c r="M56" i="1" s="1"/>
  <c r="L50" i="1"/>
  <c r="M50" i="1" s="1"/>
  <c r="L51" i="1"/>
  <c r="M51" i="1" s="1"/>
  <c r="L52" i="1"/>
  <c r="M52" i="1" s="1"/>
  <c r="L59" i="1"/>
  <c r="M59" i="1" s="1"/>
  <c r="L60" i="1"/>
  <c r="M60" i="1" s="1"/>
  <c r="L61" i="1"/>
  <c r="M61" i="1" s="1"/>
  <c r="L62" i="1"/>
  <c r="M62" i="1" s="1"/>
  <c r="L64" i="1"/>
  <c r="M64" i="1" s="1"/>
  <c r="L65" i="1"/>
  <c r="M65" i="1" s="1"/>
  <c r="L66" i="1"/>
  <c r="M66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6" i="1"/>
  <c r="M76" i="1" s="1"/>
  <c r="L77" i="1"/>
  <c r="M77" i="1" s="1"/>
  <c r="L74" i="1"/>
  <c r="M74" i="1" s="1"/>
  <c r="L78" i="1"/>
  <c r="M78" i="1" s="1"/>
  <c r="L79" i="1"/>
  <c r="M79" i="1" s="1"/>
  <c r="L80" i="1"/>
  <c r="M80" i="1" s="1"/>
  <c r="L81" i="1"/>
  <c r="M81" i="1" s="1"/>
  <c r="L82" i="1"/>
  <c r="M82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7" i="1"/>
  <c r="M97" i="1" s="1"/>
  <c r="L99" i="1"/>
  <c r="M99" i="1" s="1"/>
  <c r="L100" i="1"/>
  <c r="M100" i="1" s="1"/>
  <c r="L101" i="1"/>
  <c r="M101" i="1" s="1"/>
  <c r="L116" i="1"/>
  <c r="M116" i="1" s="1"/>
  <c r="L117" i="1"/>
  <c r="M117" i="1" s="1"/>
  <c r="L138" i="1"/>
  <c r="M138" i="1" s="1"/>
  <c r="L153" i="1"/>
  <c r="M153" i="1" s="1"/>
  <c r="L160" i="1"/>
  <c r="M160" i="1" s="1"/>
  <c r="L161" i="1"/>
  <c r="M161" i="1" s="1"/>
  <c r="L180" i="1"/>
  <c r="M180" i="1" s="1"/>
  <c r="L181" i="1"/>
  <c r="M181" i="1" s="1"/>
  <c r="L185" i="1"/>
  <c r="M185" i="1" s="1"/>
  <c r="L186" i="1"/>
  <c r="M186" i="1" s="1"/>
  <c r="L187" i="1"/>
  <c r="M187" i="1" s="1"/>
  <c r="L194" i="1"/>
  <c r="M194" i="1" s="1"/>
  <c r="L195" i="1"/>
  <c r="M195" i="1" s="1"/>
  <c r="L199" i="1"/>
  <c r="M199" i="1" s="1"/>
  <c r="L200" i="1"/>
  <c r="M200" i="1" s="1"/>
  <c r="L201" i="1"/>
  <c r="M201" i="1" s="1"/>
  <c r="L203" i="1"/>
  <c r="M203" i="1" s="1"/>
  <c r="L204" i="1"/>
  <c r="M204" i="1" s="1"/>
  <c r="L209" i="1"/>
  <c r="M209" i="1" s="1"/>
  <c r="L210" i="1"/>
  <c r="M210" i="1" s="1"/>
  <c r="L212" i="1"/>
  <c r="M212" i="1" s="1"/>
  <c r="L216" i="1"/>
  <c r="M216" i="1" s="1"/>
  <c r="L217" i="1"/>
  <c r="M217" i="1" s="1"/>
  <c r="L218" i="1"/>
  <c r="M218" i="1" s="1"/>
  <c r="L220" i="1"/>
  <c r="M220" i="1" s="1"/>
  <c r="L221" i="1"/>
  <c r="M221" i="1" s="1"/>
  <c r="L224" i="1"/>
  <c r="M224" i="1" s="1"/>
  <c r="L225" i="1"/>
  <c r="M225" i="1" s="1"/>
  <c r="L226" i="1"/>
  <c r="M226" i="1" s="1"/>
  <c r="L227" i="1"/>
  <c r="M227" i="1" s="1"/>
  <c r="L235" i="1"/>
  <c r="M235" i="1" s="1"/>
  <c r="L236" i="1"/>
  <c r="M236" i="1" s="1"/>
  <c r="L237" i="1"/>
  <c r="M237" i="1" s="1"/>
  <c r="AE1" i="1"/>
  <c r="N246" i="1" l="1"/>
  <c r="Z246" i="1"/>
  <c r="N245" i="1"/>
  <c r="Z245" i="1"/>
  <c r="N244" i="1"/>
  <c r="Z244" i="1"/>
  <c r="N243" i="1"/>
  <c r="Z243" i="1"/>
  <c r="N242" i="1"/>
  <c r="Z242" i="1"/>
  <c r="N241" i="1"/>
  <c r="Z241" i="1"/>
  <c r="N240" i="1"/>
  <c r="Z240" i="1"/>
  <c r="N239" i="1"/>
  <c r="Z239" i="1"/>
  <c r="N75" i="1"/>
  <c r="Z75" i="1"/>
  <c r="N234" i="1"/>
  <c r="Z234" i="1"/>
  <c r="N233" i="1"/>
  <c r="Z233" i="1"/>
  <c r="N122" i="1"/>
  <c r="Z122" i="1"/>
  <c r="N231" i="1"/>
  <c r="Z231" i="1"/>
  <c r="N232" i="1"/>
  <c r="Z232" i="1"/>
  <c r="N133" i="1"/>
  <c r="Z133" i="1"/>
  <c r="N146" i="1"/>
  <c r="Z146" i="1"/>
  <c r="N34" i="1"/>
  <c r="Z34" i="1"/>
  <c r="N143" i="1"/>
  <c r="N67" i="1"/>
  <c r="Z143" i="1"/>
  <c r="Z67" i="1"/>
  <c r="N144" i="1"/>
  <c r="Z144" i="1"/>
  <c r="N145" i="1"/>
  <c r="Z145" i="1"/>
  <c r="N142" i="1"/>
  <c r="Z142" i="1"/>
  <c r="Z104" i="1"/>
  <c r="Z206" i="1"/>
  <c r="Z108" i="1"/>
  <c r="Z112" i="1"/>
  <c r="Z124" i="1"/>
  <c r="Z120" i="1"/>
  <c r="Z165" i="1"/>
  <c r="Z169" i="1"/>
  <c r="Z128" i="1"/>
  <c r="Z2" i="1"/>
  <c r="Z3" i="1"/>
  <c r="Z148" i="1"/>
  <c r="Z155" i="1"/>
  <c r="Z6" i="1"/>
  <c r="Z10" i="1"/>
  <c r="Z14" i="1"/>
  <c r="Z21" i="1"/>
  <c r="Z17" i="1"/>
  <c r="Z19" i="1"/>
  <c r="AB19" i="1" s="1"/>
  <c r="Z25" i="1"/>
  <c r="Z29" i="1"/>
  <c r="Z30" i="1"/>
  <c r="Z173" i="1"/>
  <c r="Z33" i="1"/>
  <c r="Z35" i="1"/>
  <c r="AB35" i="1" s="1"/>
  <c r="Z41" i="1"/>
  <c r="Z46" i="1"/>
  <c r="Z51" i="1"/>
  <c r="Z54" i="1"/>
  <c r="Z60" i="1"/>
  <c r="Z64" i="1"/>
  <c r="Z69" i="1"/>
  <c r="Z73" i="1"/>
  <c r="AB73" i="1" s="1"/>
  <c r="Z79" i="1"/>
  <c r="Z74" i="1"/>
  <c r="Z84" i="1"/>
  <c r="Z87" i="1"/>
  <c r="Z90" i="1"/>
  <c r="Z94" i="1"/>
  <c r="Z97" i="1"/>
  <c r="Z100" i="1"/>
  <c r="Z117" i="1"/>
  <c r="Z138" i="1"/>
  <c r="Z161" i="1"/>
  <c r="Z182" i="1"/>
  <c r="Z186" i="1"/>
  <c r="Z190" i="1"/>
  <c r="Z194" i="1"/>
  <c r="Z198" i="1"/>
  <c r="Z202" i="1"/>
  <c r="Z209" i="1"/>
  <c r="Z213" i="1"/>
  <c r="Z216" i="1"/>
  <c r="AB216" i="1" s="1"/>
  <c r="Z220" i="1"/>
  <c r="Z224" i="1"/>
  <c r="Z228" i="1"/>
  <c r="Z236" i="1"/>
  <c r="Z207" i="1"/>
  <c r="Z109" i="1"/>
  <c r="AB109" i="1" s="1"/>
  <c r="Z118" i="1"/>
  <c r="Z113" i="1"/>
  <c r="AB113" i="1" s="1"/>
  <c r="Z114" i="1"/>
  <c r="Z121" i="1"/>
  <c r="Z166" i="1"/>
  <c r="AB166" i="1" s="1"/>
  <c r="Z170" i="1"/>
  <c r="Z125" i="1"/>
  <c r="Z129" i="1"/>
  <c r="Z132" i="1"/>
  <c r="Z5" i="1"/>
  <c r="Z105" i="1"/>
  <c r="Z171" i="1"/>
  <c r="Z130" i="1"/>
  <c r="Z136" i="1"/>
  <c r="Z139" i="1"/>
  <c r="AB139" i="1" s="1"/>
  <c r="Z151" i="1"/>
  <c r="Z154" i="1"/>
  <c r="Z4" i="1"/>
  <c r="Z8" i="1"/>
  <c r="AB8" i="1" s="1"/>
  <c r="Z13" i="1"/>
  <c r="Z159" i="1"/>
  <c r="Z163" i="1"/>
  <c r="AB163" i="1" s="1"/>
  <c r="Z24" i="1"/>
  <c r="Z174" i="1"/>
  <c r="Z178" i="1"/>
  <c r="Z32" i="1"/>
  <c r="AB32" i="1" s="1"/>
  <c r="Z36" i="1"/>
  <c r="AB36" i="1" s="1"/>
  <c r="Z44" i="1"/>
  <c r="Z50" i="1"/>
  <c r="AB50" i="1" s="1"/>
  <c r="Z55" i="1"/>
  <c r="Z62" i="1"/>
  <c r="Z68" i="1"/>
  <c r="Z76" i="1"/>
  <c r="Z81" i="1"/>
  <c r="Z83" i="1"/>
  <c r="Z88" i="1"/>
  <c r="Z92" i="1"/>
  <c r="Z96" i="1"/>
  <c r="Z101" i="1"/>
  <c r="Z134" i="1"/>
  <c r="Z160" i="1"/>
  <c r="Z183" i="1"/>
  <c r="Z188" i="1"/>
  <c r="Z193" i="1"/>
  <c r="Z199" i="1"/>
  <c r="Z204" i="1"/>
  <c r="Z212" i="1"/>
  <c r="Z217" i="1"/>
  <c r="Z222" i="1"/>
  <c r="Z227" i="1"/>
  <c r="Z237" i="1"/>
  <c r="AB237" i="1" s="1"/>
  <c r="Z205" i="1"/>
  <c r="Z123" i="1"/>
  <c r="Z164" i="1"/>
  <c r="Z172" i="1"/>
  <c r="Z131" i="1"/>
  <c r="Z140" i="1"/>
  <c r="Z20" i="1"/>
  <c r="Z152" i="1"/>
  <c r="Z156" i="1"/>
  <c r="Z9" i="1"/>
  <c r="Z15" i="1"/>
  <c r="Z158" i="1"/>
  <c r="Z26" i="1"/>
  <c r="Z175" i="1"/>
  <c r="Z179" i="1"/>
  <c r="Z37" i="1"/>
  <c r="Z40" i="1"/>
  <c r="Z45" i="1"/>
  <c r="AB45" i="1" s="1"/>
  <c r="Z52" i="1"/>
  <c r="Z56" i="1"/>
  <c r="Z63" i="1"/>
  <c r="Z70" i="1"/>
  <c r="Z77" i="1"/>
  <c r="Z82" i="1"/>
  <c r="Z85" i="1"/>
  <c r="Z89" i="1"/>
  <c r="Z93" i="1"/>
  <c r="Z98" i="1"/>
  <c r="Z103" i="1"/>
  <c r="Z135" i="1"/>
  <c r="Z162" i="1"/>
  <c r="Z184" i="1"/>
  <c r="Z189" i="1"/>
  <c r="Z195" i="1"/>
  <c r="Z200" i="1"/>
  <c r="Z208" i="1"/>
  <c r="Z214" i="1"/>
  <c r="Z218" i="1"/>
  <c r="Z223" i="1"/>
  <c r="Z229" i="1"/>
  <c r="Z238" i="1"/>
  <c r="AB238" i="1" s="1"/>
  <c r="Z106" i="1"/>
  <c r="Z111" i="1"/>
  <c r="Z119" i="1"/>
  <c r="Z168" i="1"/>
  <c r="Z127" i="1"/>
  <c r="Z141" i="1"/>
  <c r="Z150" i="1"/>
  <c r="Z7" i="1"/>
  <c r="Z12" i="1"/>
  <c r="Z58" i="1"/>
  <c r="Z18" i="1"/>
  <c r="AB18" i="1" s="1"/>
  <c r="Z23" i="1"/>
  <c r="Z28" i="1"/>
  <c r="Z177" i="1"/>
  <c r="Z31" i="1"/>
  <c r="Z39" i="1"/>
  <c r="Z43" i="1"/>
  <c r="Z49" i="1"/>
  <c r="Z53" i="1"/>
  <c r="Z61" i="1"/>
  <c r="Z66" i="1"/>
  <c r="Z72" i="1"/>
  <c r="Z80" i="1"/>
  <c r="AB80" i="1" s="1"/>
  <c r="Z86" i="1"/>
  <c r="Z91" i="1"/>
  <c r="Z95" i="1"/>
  <c r="Z99" i="1"/>
  <c r="Z115" i="1"/>
  <c r="Z153" i="1"/>
  <c r="Z181" i="1"/>
  <c r="AB181" i="1" s="1"/>
  <c r="Z187" i="1"/>
  <c r="Z192" i="1"/>
  <c r="Z197" i="1"/>
  <c r="Z203" i="1"/>
  <c r="Z211" i="1"/>
  <c r="Z215" i="1"/>
  <c r="Z221" i="1"/>
  <c r="Z226" i="1"/>
  <c r="Z235" i="1"/>
  <c r="Z107" i="1"/>
  <c r="Z110" i="1"/>
  <c r="Z167" i="1"/>
  <c r="Z126" i="1"/>
  <c r="Z137" i="1"/>
  <c r="Z149" i="1"/>
  <c r="Z157" i="1"/>
  <c r="Z11" i="1"/>
  <c r="Z57" i="1"/>
  <c r="Z16" i="1"/>
  <c r="Z22" i="1"/>
  <c r="Z27" i="1"/>
  <c r="Z176" i="1"/>
  <c r="Z38" i="1"/>
  <c r="Z42" i="1"/>
  <c r="Z47" i="1"/>
  <c r="Z48" i="1"/>
  <c r="Z59" i="1"/>
  <c r="Z65" i="1"/>
  <c r="Z71" i="1"/>
  <c r="Z78" i="1"/>
  <c r="Z102" i="1"/>
  <c r="Z116" i="1"/>
  <c r="AB116" i="1" s="1"/>
  <c r="Z147" i="1"/>
  <c r="Z180" i="1"/>
  <c r="Z185" i="1"/>
  <c r="Z191" i="1"/>
  <c r="Z196" i="1"/>
  <c r="Z201" i="1"/>
  <c r="Z210" i="1"/>
  <c r="Z219" i="1"/>
  <c r="Z225" i="1"/>
  <c r="Z230" i="1"/>
  <c r="N230" i="1"/>
  <c r="N106" i="1"/>
  <c r="N207" i="1"/>
  <c r="N137" i="1"/>
  <c r="N24" i="1"/>
  <c r="N83" i="1"/>
  <c r="N95" i="1"/>
  <c r="N135" i="1"/>
  <c r="N184" i="1"/>
  <c r="N190" i="1"/>
  <c r="N196" i="1"/>
  <c r="N208" i="1"/>
  <c r="N223" i="1"/>
  <c r="N104" i="1"/>
  <c r="N107" i="1"/>
  <c r="N140" i="1"/>
  <c r="N25" i="1"/>
  <c r="N173" i="1"/>
  <c r="N84" i="1"/>
  <c r="N96" i="1"/>
  <c r="N147" i="1"/>
  <c r="N183" i="1"/>
  <c r="N191" i="1"/>
  <c r="N197" i="1"/>
  <c r="N211" i="1"/>
  <c r="N215" i="1"/>
  <c r="N238" i="1"/>
  <c r="N229" i="1"/>
  <c r="N205" i="1"/>
  <c r="N121" i="1"/>
  <c r="N148" i="1"/>
  <c r="N26" i="1"/>
  <c r="N33" i="1"/>
  <c r="N85" i="1"/>
  <c r="N86" i="1"/>
  <c r="N115" i="1"/>
  <c r="N162" i="1"/>
  <c r="N188" i="1"/>
  <c r="N192" i="1"/>
  <c r="N198" i="1"/>
  <c r="N213" i="1"/>
  <c r="N219" i="1"/>
  <c r="N228" i="1"/>
  <c r="N206" i="1"/>
  <c r="N114" i="1"/>
  <c r="N132" i="1"/>
  <c r="N149" i="1"/>
  <c r="N27" i="1"/>
  <c r="N63" i="1"/>
  <c r="N134" i="1"/>
  <c r="N182" i="1"/>
  <c r="N189" i="1"/>
  <c r="N193" i="1"/>
  <c r="N202" i="1"/>
  <c r="N214" i="1"/>
  <c r="N222" i="1"/>
  <c r="N102" i="1"/>
  <c r="N108" i="1"/>
  <c r="N112" i="1"/>
  <c r="N124" i="1"/>
  <c r="N167" i="1"/>
  <c r="N171" i="1"/>
  <c r="N125" i="1"/>
  <c r="N129" i="1"/>
  <c r="N136" i="1"/>
  <c r="N2" i="1"/>
  <c r="N3" i="1"/>
  <c r="O3" i="1" s="1"/>
  <c r="N4" i="1"/>
  <c r="N6" i="1"/>
  <c r="N10" i="1"/>
  <c r="N14" i="1"/>
  <c r="N57" i="1"/>
  <c r="N158" i="1"/>
  <c r="N22" i="1"/>
  <c r="N174" i="1"/>
  <c r="N177" i="1"/>
  <c r="N38" i="1"/>
  <c r="N40" i="1"/>
  <c r="N44" i="1"/>
  <c r="N48" i="1"/>
  <c r="N49" i="1"/>
  <c r="N52" i="1"/>
  <c r="N62" i="1"/>
  <c r="N68" i="1"/>
  <c r="N72" i="1"/>
  <c r="N74" i="1"/>
  <c r="N81" i="1"/>
  <c r="N89" i="1"/>
  <c r="N93" i="1"/>
  <c r="N100" i="1"/>
  <c r="N138" i="1"/>
  <c r="N180" i="1"/>
  <c r="N187" i="1"/>
  <c r="N200" i="1"/>
  <c r="N209" i="1"/>
  <c r="N217" i="1"/>
  <c r="N221" i="1"/>
  <c r="N227" i="1"/>
  <c r="N98" i="1"/>
  <c r="N103" i="1"/>
  <c r="N110" i="1"/>
  <c r="N119" i="1"/>
  <c r="N165" i="1"/>
  <c r="N169" i="1"/>
  <c r="N127" i="1"/>
  <c r="N131" i="1"/>
  <c r="N141" i="1"/>
  <c r="N20" i="1"/>
  <c r="N151" i="1"/>
  <c r="N155" i="1"/>
  <c r="N8" i="1"/>
  <c r="N12" i="1"/>
  <c r="N17" i="1"/>
  <c r="N21" i="1"/>
  <c r="N19" i="1"/>
  <c r="N28" i="1"/>
  <c r="N176" i="1"/>
  <c r="N179" i="1"/>
  <c r="N35" i="1"/>
  <c r="N41" i="1"/>
  <c r="N46" i="1"/>
  <c r="N54" i="1"/>
  <c r="N50" i="1"/>
  <c r="N60" i="1"/>
  <c r="N65" i="1"/>
  <c r="N70" i="1"/>
  <c r="N76" i="1"/>
  <c r="N79" i="1"/>
  <c r="N87" i="1"/>
  <c r="N91" i="1"/>
  <c r="N97" i="1"/>
  <c r="N116" i="1"/>
  <c r="N160" i="1"/>
  <c r="N185" i="1"/>
  <c r="N195" i="1"/>
  <c r="N203" i="1"/>
  <c r="N212" i="1"/>
  <c r="N218" i="1"/>
  <c r="N225" i="1"/>
  <c r="N236" i="1"/>
  <c r="N118" i="1"/>
  <c r="N168" i="1"/>
  <c r="N126" i="1"/>
  <c r="N150" i="1"/>
  <c r="N157" i="1"/>
  <c r="N7" i="1"/>
  <c r="N15" i="1"/>
  <c r="N163" i="1"/>
  <c r="N175" i="1"/>
  <c r="N32" i="1"/>
  <c r="N42" i="1"/>
  <c r="N53" i="1"/>
  <c r="N59" i="1"/>
  <c r="N69" i="1"/>
  <c r="N78" i="1"/>
  <c r="N90" i="1"/>
  <c r="N101" i="1"/>
  <c r="N181" i="1"/>
  <c r="N201" i="1"/>
  <c r="N235" i="1"/>
  <c r="N105" i="1"/>
  <c r="N109" i="1"/>
  <c r="N113" i="1"/>
  <c r="N164" i="1"/>
  <c r="N172" i="1"/>
  <c r="N130" i="1"/>
  <c r="N154" i="1"/>
  <c r="N11" i="1"/>
  <c r="N58" i="1"/>
  <c r="N23" i="1"/>
  <c r="N178" i="1"/>
  <c r="N39" i="1"/>
  <c r="N45" i="1"/>
  <c r="N56" i="1"/>
  <c r="N64" i="1"/>
  <c r="N73" i="1"/>
  <c r="N82" i="1"/>
  <c r="N94" i="1"/>
  <c r="N153" i="1"/>
  <c r="N194" i="1"/>
  <c r="N210" i="1"/>
  <c r="N224" i="1"/>
  <c r="N120" i="1"/>
  <c r="N128" i="1"/>
  <c r="N18" i="1"/>
  <c r="N30" i="1"/>
  <c r="N43" i="1"/>
  <c r="N61" i="1"/>
  <c r="N80" i="1"/>
  <c r="N117" i="1"/>
  <c r="N204" i="1"/>
  <c r="N237" i="1"/>
  <c r="N123" i="1"/>
  <c r="N170" i="1"/>
  <c r="N5" i="1"/>
  <c r="N152" i="1"/>
  <c r="N9" i="1"/>
  <c r="N37" i="1"/>
  <c r="N55" i="1"/>
  <c r="N71" i="1"/>
  <c r="N92" i="1"/>
  <c r="N186" i="1"/>
  <c r="N220" i="1"/>
  <c r="N166" i="1"/>
  <c r="N159" i="1"/>
  <c r="N47" i="1"/>
  <c r="N88" i="1"/>
  <c r="N216" i="1"/>
  <c r="N156" i="1"/>
  <c r="N29" i="1"/>
  <c r="N51" i="1"/>
  <c r="N99" i="1"/>
  <c r="N226" i="1"/>
  <c r="N111" i="1"/>
  <c r="N16" i="1"/>
  <c r="N31" i="1"/>
  <c r="N66" i="1"/>
  <c r="N161" i="1"/>
  <c r="N139" i="1"/>
  <c r="N13" i="1"/>
  <c r="N36" i="1"/>
  <c r="N77" i="1"/>
  <c r="N199" i="1"/>
  <c r="AA246" i="1" l="1"/>
  <c r="AC246" i="1" s="1"/>
  <c r="AB246" i="1"/>
  <c r="O246" i="1"/>
  <c r="P246" i="1" s="1"/>
  <c r="Q246" i="1"/>
  <c r="R246" i="1" s="1"/>
  <c r="AB245" i="1"/>
  <c r="AA245" i="1"/>
  <c r="AC245" i="1" s="1"/>
  <c r="Q245" i="1"/>
  <c r="R245" i="1" s="1"/>
  <c r="O245" i="1"/>
  <c r="P245" i="1" s="1"/>
  <c r="AA244" i="1"/>
  <c r="AC244" i="1" s="1"/>
  <c r="AB244" i="1"/>
  <c r="O244" i="1"/>
  <c r="P244" i="1" s="1"/>
  <c r="Q244" i="1"/>
  <c r="R244" i="1" s="1"/>
  <c r="AA243" i="1"/>
  <c r="AC243" i="1" s="1"/>
  <c r="AB243" i="1"/>
  <c r="Q243" i="1"/>
  <c r="R243" i="1" s="1"/>
  <c r="O243" i="1"/>
  <c r="P243" i="1" s="1"/>
  <c r="AA242" i="1"/>
  <c r="AC242" i="1" s="1"/>
  <c r="AB242" i="1"/>
  <c r="O242" i="1"/>
  <c r="P242" i="1" s="1"/>
  <c r="Q242" i="1"/>
  <c r="R242" i="1" s="1"/>
  <c r="AA241" i="1"/>
  <c r="AC241" i="1" s="1"/>
  <c r="AB241" i="1"/>
  <c r="Q241" i="1"/>
  <c r="R241" i="1" s="1"/>
  <c r="O241" i="1"/>
  <c r="P241" i="1" s="1"/>
  <c r="AB240" i="1"/>
  <c r="AA240" i="1"/>
  <c r="AC240" i="1" s="1"/>
  <c r="Q240" i="1"/>
  <c r="R240" i="1" s="1"/>
  <c r="O240" i="1"/>
  <c r="P240" i="1" s="1"/>
  <c r="AA239" i="1"/>
  <c r="AC239" i="1" s="1"/>
  <c r="AB239" i="1"/>
  <c r="O239" i="1"/>
  <c r="P239" i="1" s="1"/>
  <c r="Q239" i="1"/>
  <c r="R239" i="1" s="1"/>
  <c r="AA75" i="1"/>
  <c r="AC75" i="1" s="1"/>
  <c r="AB75" i="1"/>
  <c r="O75" i="1"/>
  <c r="P75" i="1" s="1"/>
  <c r="Q75" i="1"/>
  <c r="R75" i="1" s="1"/>
  <c r="AA234" i="1"/>
  <c r="AC234" i="1" s="1"/>
  <c r="AB234" i="1"/>
  <c r="Q234" i="1"/>
  <c r="R234" i="1" s="1"/>
  <c r="O234" i="1"/>
  <c r="P234" i="1" s="1"/>
  <c r="AA233" i="1"/>
  <c r="AC233" i="1" s="1"/>
  <c r="AB233" i="1"/>
  <c r="Q233" i="1"/>
  <c r="R233" i="1" s="1"/>
  <c r="O233" i="1"/>
  <c r="P233" i="1" s="1"/>
  <c r="AA122" i="1"/>
  <c r="AC122" i="1" s="1"/>
  <c r="AB122" i="1"/>
  <c r="Q122" i="1"/>
  <c r="R122" i="1" s="1"/>
  <c r="O122" i="1"/>
  <c r="P122" i="1" s="1"/>
  <c r="AA231" i="1"/>
  <c r="AC231" i="1" s="1"/>
  <c r="AB231" i="1"/>
  <c r="Q231" i="1"/>
  <c r="R231" i="1" s="1"/>
  <c r="O231" i="1"/>
  <c r="P231" i="1" s="1"/>
  <c r="AA232" i="1"/>
  <c r="AC232" i="1" s="1"/>
  <c r="AB232" i="1"/>
  <c r="Q232" i="1"/>
  <c r="R232" i="1" s="1"/>
  <c r="O232" i="1"/>
  <c r="P232" i="1" s="1"/>
  <c r="Q133" i="1"/>
  <c r="R133" i="1" s="1"/>
  <c r="O133" i="1"/>
  <c r="P133" i="1" s="1"/>
  <c r="AA133" i="1"/>
  <c r="AC133" i="1" s="1"/>
  <c r="AB133" i="1"/>
  <c r="AA146" i="1"/>
  <c r="AC146" i="1" s="1"/>
  <c r="AB146" i="1"/>
  <c r="Q146" i="1"/>
  <c r="R146" i="1" s="1"/>
  <c r="O146" i="1"/>
  <c r="P146" i="1" s="1"/>
  <c r="AB34" i="1"/>
  <c r="AA34" i="1"/>
  <c r="AC34" i="1" s="1"/>
  <c r="Q34" i="1"/>
  <c r="R34" i="1" s="1"/>
  <c r="O34" i="1"/>
  <c r="P34" i="1" s="1"/>
  <c r="AA67" i="1"/>
  <c r="AC67" i="1" s="1"/>
  <c r="AB67" i="1"/>
  <c r="Q145" i="1"/>
  <c r="R145" i="1" s="1"/>
  <c r="O145" i="1"/>
  <c r="P145" i="1" s="1"/>
  <c r="AA143" i="1"/>
  <c r="AC143" i="1" s="1"/>
  <c r="AB143" i="1"/>
  <c r="AA142" i="1"/>
  <c r="AC142" i="1" s="1"/>
  <c r="AB142" i="1"/>
  <c r="AA144" i="1"/>
  <c r="AC144" i="1" s="1"/>
  <c r="AB144" i="1"/>
  <c r="O67" i="1"/>
  <c r="P67" i="1" s="1"/>
  <c r="Q67" i="1"/>
  <c r="R67" i="1" s="1"/>
  <c r="AB145" i="1"/>
  <c r="AA145" i="1"/>
  <c r="AC145" i="1" s="1"/>
  <c r="O142" i="1"/>
  <c r="P142" i="1" s="1"/>
  <c r="Q142" i="1"/>
  <c r="R142" i="1" s="1"/>
  <c r="Q144" i="1"/>
  <c r="R144" i="1" s="1"/>
  <c r="O144" i="1"/>
  <c r="P144" i="1" s="1"/>
  <c r="O143" i="1"/>
  <c r="P143" i="1" s="1"/>
  <c r="Q143" i="1"/>
  <c r="R143" i="1" s="1"/>
  <c r="AA230" i="1"/>
  <c r="AC230" i="1" s="1"/>
  <c r="AB230" i="1"/>
  <c r="AA210" i="1"/>
  <c r="AC210" i="1" s="1"/>
  <c r="AB210" i="1"/>
  <c r="AA185" i="1"/>
  <c r="AC185" i="1" s="1"/>
  <c r="AB185" i="1"/>
  <c r="AA102" i="1"/>
  <c r="AC102" i="1" s="1"/>
  <c r="AB102" i="1"/>
  <c r="AA59" i="1"/>
  <c r="AC59" i="1" s="1"/>
  <c r="AB59" i="1"/>
  <c r="AA38" i="1"/>
  <c r="AC38" i="1" s="1"/>
  <c r="AB38" i="1"/>
  <c r="AA22" i="1"/>
  <c r="AC22" i="1" s="1"/>
  <c r="AB22" i="1"/>
  <c r="AA167" i="1"/>
  <c r="AC167" i="1" s="1"/>
  <c r="AB167" i="1"/>
  <c r="AA107" i="1"/>
  <c r="AC107" i="1" s="1"/>
  <c r="AB107" i="1"/>
  <c r="AA221" i="1"/>
  <c r="AC221" i="1" s="1"/>
  <c r="AB221" i="1"/>
  <c r="AA197" i="1"/>
  <c r="AC197" i="1" s="1"/>
  <c r="AB197" i="1"/>
  <c r="AA153" i="1"/>
  <c r="AC153" i="1" s="1"/>
  <c r="AB153" i="1"/>
  <c r="AA91" i="1"/>
  <c r="AC91" i="1" s="1"/>
  <c r="AB91" i="1"/>
  <c r="AA72" i="1"/>
  <c r="AC72" i="1" s="1"/>
  <c r="AB72" i="1"/>
  <c r="AA49" i="1"/>
  <c r="AC49" i="1" s="1"/>
  <c r="AB49" i="1"/>
  <c r="AA177" i="1"/>
  <c r="AC177" i="1" s="1"/>
  <c r="AB177" i="1"/>
  <c r="AA58" i="1"/>
  <c r="AC58" i="1" s="1"/>
  <c r="AB58" i="1"/>
  <c r="AA214" i="1"/>
  <c r="AC214" i="1" s="1"/>
  <c r="AB214" i="1"/>
  <c r="AA189" i="1"/>
  <c r="AC189" i="1" s="1"/>
  <c r="AB189" i="1"/>
  <c r="AA103" i="1"/>
  <c r="AC103" i="1" s="1"/>
  <c r="AB103" i="1"/>
  <c r="AA85" i="1"/>
  <c r="AC85" i="1" s="1"/>
  <c r="AB85" i="1"/>
  <c r="AA63" i="1"/>
  <c r="AC63" i="1" s="1"/>
  <c r="AB63" i="1"/>
  <c r="AA40" i="1"/>
  <c r="AC40" i="1" s="1"/>
  <c r="AB40" i="1"/>
  <c r="AA26" i="1"/>
  <c r="AC26" i="1" s="1"/>
  <c r="AB26" i="1"/>
  <c r="AA9" i="1"/>
  <c r="AC9" i="1" s="1"/>
  <c r="AB9" i="1"/>
  <c r="AA20" i="1"/>
  <c r="AC20" i="1" s="1"/>
  <c r="AB20" i="1"/>
  <c r="AA172" i="1"/>
  <c r="AC172" i="1" s="1"/>
  <c r="AB172" i="1"/>
  <c r="AA227" i="1"/>
  <c r="AC227" i="1" s="1"/>
  <c r="AB227" i="1"/>
  <c r="AA204" i="1"/>
  <c r="AC204" i="1" s="1"/>
  <c r="AB204" i="1"/>
  <c r="AA183" i="1"/>
  <c r="AC183" i="1" s="1"/>
  <c r="AB183" i="1"/>
  <c r="AA96" i="1"/>
  <c r="AC96" i="1" s="1"/>
  <c r="AB96" i="1"/>
  <c r="AA81" i="1"/>
  <c r="AC81" i="1" s="1"/>
  <c r="AB81" i="1"/>
  <c r="AA55" i="1"/>
  <c r="AC55" i="1" s="1"/>
  <c r="AB55" i="1"/>
  <c r="AA4" i="1"/>
  <c r="AC4" i="1" s="1"/>
  <c r="AB4" i="1"/>
  <c r="AA105" i="1"/>
  <c r="AC105" i="1" s="1"/>
  <c r="AB105" i="1"/>
  <c r="AA129" i="1"/>
  <c r="AC129" i="1" s="1"/>
  <c r="AB129" i="1"/>
  <c r="AA121" i="1"/>
  <c r="AC121" i="1" s="1"/>
  <c r="AB121" i="1"/>
  <c r="AA118" i="1"/>
  <c r="AC118" i="1" s="1"/>
  <c r="AB118" i="1"/>
  <c r="AA228" i="1"/>
  <c r="AC228" i="1" s="1"/>
  <c r="AB228" i="1"/>
  <c r="AA213" i="1"/>
  <c r="AC213" i="1" s="1"/>
  <c r="AB213" i="1"/>
  <c r="AA194" i="1"/>
  <c r="AC194" i="1" s="1"/>
  <c r="AB194" i="1"/>
  <c r="AA161" i="1"/>
  <c r="AC161" i="1" s="1"/>
  <c r="AB161" i="1"/>
  <c r="AA97" i="1"/>
  <c r="AC97" i="1" s="1"/>
  <c r="AB97" i="1"/>
  <c r="AA84" i="1"/>
  <c r="AC84" i="1" s="1"/>
  <c r="AB84" i="1"/>
  <c r="AA69" i="1"/>
  <c r="AC69" i="1" s="1"/>
  <c r="AB69" i="1"/>
  <c r="AA51" i="1"/>
  <c r="AC51" i="1" s="1"/>
  <c r="AB51" i="1"/>
  <c r="AA33" i="1"/>
  <c r="AC33" i="1" s="1"/>
  <c r="AB33" i="1"/>
  <c r="AA25" i="1"/>
  <c r="AC25" i="1" s="1"/>
  <c r="AB25" i="1"/>
  <c r="AA14" i="1"/>
  <c r="AC14" i="1" s="1"/>
  <c r="AB14" i="1"/>
  <c r="AA155" i="1"/>
  <c r="AC155" i="1" s="1"/>
  <c r="AB155" i="1"/>
  <c r="AA2" i="1"/>
  <c r="AC2" i="1" s="1"/>
  <c r="AB2" i="1"/>
  <c r="AA128" i="1"/>
  <c r="AC128" i="1" s="1"/>
  <c r="AB128" i="1"/>
  <c r="AA120" i="1"/>
  <c r="AC120" i="1" s="1"/>
  <c r="AB120" i="1"/>
  <c r="AA112" i="1"/>
  <c r="AC112" i="1" s="1"/>
  <c r="AB112" i="1"/>
  <c r="AA104" i="1"/>
  <c r="AC104" i="1" s="1"/>
  <c r="AB104" i="1"/>
  <c r="AA225" i="1"/>
  <c r="AC225" i="1" s="1"/>
  <c r="AB225" i="1"/>
  <c r="AA201" i="1"/>
  <c r="AC201" i="1" s="1"/>
  <c r="AB201" i="1"/>
  <c r="AA180" i="1"/>
  <c r="AC180" i="1" s="1"/>
  <c r="AB180" i="1"/>
  <c r="AA78" i="1"/>
  <c r="AC78" i="1" s="1"/>
  <c r="AB78" i="1"/>
  <c r="AA48" i="1"/>
  <c r="AC48" i="1" s="1"/>
  <c r="AB48" i="1"/>
  <c r="AA16" i="1"/>
  <c r="AC16" i="1" s="1"/>
  <c r="AB16" i="1"/>
  <c r="AA157" i="1"/>
  <c r="AC157" i="1" s="1"/>
  <c r="AB157" i="1"/>
  <c r="AA137" i="1"/>
  <c r="AC137" i="1" s="1"/>
  <c r="AB137" i="1"/>
  <c r="AA215" i="1"/>
  <c r="AC215" i="1" s="1"/>
  <c r="AB215" i="1"/>
  <c r="AA192" i="1"/>
  <c r="AC192" i="1" s="1"/>
  <c r="AB192" i="1"/>
  <c r="AA115" i="1"/>
  <c r="AC115" i="1" s="1"/>
  <c r="AB115" i="1"/>
  <c r="AA86" i="1"/>
  <c r="AC86" i="1" s="1"/>
  <c r="AB86" i="1"/>
  <c r="AA66" i="1"/>
  <c r="AC66" i="1" s="1"/>
  <c r="AB66" i="1"/>
  <c r="AA43" i="1"/>
  <c r="AC43" i="1" s="1"/>
  <c r="AB43" i="1"/>
  <c r="AA28" i="1"/>
  <c r="AC28" i="1" s="1"/>
  <c r="AB28" i="1"/>
  <c r="AA12" i="1"/>
  <c r="AC12" i="1" s="1"/>
  <c r="AB12" i="1"/>
  <c r="AA150" i="1"/>
  <c r="AC150" i="1" s="1"/>
  <c r="AB150" i="1"/>
  <c r="AA127" i="1"/>
  <c r="AC127" i="1" s="1"/>
  <c r="AB127" i="1"/>
  <c r="AA111" i="1"/>
  <c r="AC111" i="1" s="1"/>
  <c r="AB111" i="1"/>
  <c r="AA229" i="1"/>
  <c r="AC229" i="1" s="1"/>
  <c r="AB229" i="1"/>
  <c r="AA208" i="1"/>
  <c r="AC208" i="1" s="1"/>
  <c r="AB208" i="1"/>
  <c r="AA184" i="1"/>
  <c r="AC184" i="1" s="1"/>
  <c r="AB184" i="1"/>
  <c r="AA98" i="1"/>
  <c r="AC98" i="1" s="1"/>
  <c r="AB98" i="1"/>
  <c r="AA82" i="1"/>
  <c r="AC82" i="1" s="1"/>
  <c r="AB82" i="1"/>
  <c r="AA56" i="1"/>
  <c r="AC56" i="1" s="1"/>
  <c r="AB56" i="1"/>
  <c r="AA37" i="1"/>
  <c r="AC37" i="1" s="1"/>
  <c r="AB37" i="1"/>
  <c r="AA140" i="1"/>
  <c r="AC140" i="1" s="1"/>
  <c r="AB140" i="1"/>
  <c r="AA164" i="1"/>
  <c r="AC164" i="1" s="1"/>
  <c r="AB164" i="1"/>
  <c r="AA205" i="1"/>
  <c r="AC205" i="1" s="1"/>
  <c r="AB205" i="1"/>
  <c r="AA222" i="1"/>
  <c r="AC222" i="1" s="1"/>
  <c r="AB222" i="1"/>
  <c r="AA199" i="1"/>
  <c r="AC199" i="1" s="1"/>
  <c r="AB199" i="1"/>
  <c r="AA160" i="1"/>
  <c r="AC160" i="1" s="1"/>
  <c r="AB160" i="1"/>
  <c r="AA92" i="1"/>
  <c r="AC92" i="1" s="1"/>
  <c r="AB92" i="1"/>
  <c r="AA76" i="1"/>
  <c r="AC76" i="1" s="1"/>
  <c r="AB76" i="1"/>
  <c r="AA178" i="1"/>
  <c r="AC178" i="1" s="1"/>
  <c r="AB178" i="1"/>
  <c r="AA159" i="1"/>
  <c r="AC159" i="1" s="1"/>
  <c r="AB159" i="1"/>
  <c r="AA154" i="1"/>
  <c r="AC154" i="1" s="1"/>
  <c r="AB154" i="1"/>
  <c r="AA136" i="1"/>
  <c r="AC136" i="1" s="1"/>
  <c r="AB136" i="1"/>
  <c r="AA125" i="1"/>
  <c r="AC125" i="1" s="1"/>
  <c r="AB125" i="1"/>
  <c r="AA224" i="1"/>
  <c r="AC224" i="1" s="1"/>
  <c r="AB224" i="1"/>
  <c r="AA209" i="1"/>
  <c r="AC209" i="1" s="1"/>
  <c r="AB209" i="1"/>
  <c r="AA190" i="1"/>
  <c r="AC190" i="1" s="1"/>
  <c r="AB190" i="1"/>
  <c r="AA138" i="1"/>
  <c r="AC138" i="1" s="1"/>
  <c r="AB138" i="1"/>
  <c r="AA94" i="1"/>
  <c r="AC94" i="1" s="1"/>
  <c r="AB94" i="1"/>
  <c r="AA74" i="1"/>
  <c r="AC74" i="1" s="1"/>
  <c r="AB74" i="1"/>
  <c r="AA64" i="1"/>
  <c r="AC64" i="1" s="1"/>
  <c r="AB64" i="1"/>
  <c r="AA46" i="1"/>
  <c r="AC46" i="1" s="1"/>
  <c r="AB46" i="1"/>
  <c r="AA173" i="1"/>
  <c r="AC173" i="1" s="1"/>
  <c r="AB173" i="1"/>
  <c r="AA10" i="1"/>
  <c r="AC10" i="1" s="1"/>
  <c r="AB10" i="1"/>
  <c r="AA148" i="1"/>
  <c r="AC148" i="1" s="1"/>
  <c r="AB148" i="1"/>
  <c r="AA108" i="1"/>
  <c r="AC108" i="1" s="1"/>
  <c r="AB108" i="1"/>
  <c r="AA219" i="1"/>
  <c r="AC219" i="1" s="1"/>
  <c r="AB219" i="1"/>
  <c r="AA196" i="1"/>
  <c r="AC196" i="1" s="1"/>
  <c r="AB196" i="1"/>
  <c r="AA147" i="1"/>
  <c r="AC147" i="1" s="1"/>
  <c r="AB147" i="1"/>
  <c r="AA71" i="1"/>
  <c r="AC71" i="1" s="1"/>
  <c r="AB71" i="1"/>
  <c r="AA47" i="1"/>
  <c r="AC47" i="1" s="1"/>
  <c r="AB47" i="1"/>
  <c r="AA176" i="1"/>
  <c r="AC176" i="1" s="1"/>
  <c r="AB176" i="1"/>
  <c r="AA57" i="1"/>
  <c r="AC57" i="1" s="1"/>
  <c r="AB57" i="1"/>
  <c r="AA149" i="1"/>
  <c r="AC149" i="1" s="1"/>
  <c r="AB149" i="1"/>
  <c r="AA235" i="1"/>
  <c r="AC235" i="1" s="1"/>
  <c r="AB235" i="1"/>
  <c r="AA211" i="1"/>
  <c r="AC211" i="1" s="1"/>
  <c r="AB211" i="1"/>
  <c r="AA187" i="1"/>
  <c r="AC187" i="1" s="1"/>
  <c r="AB187" i="1"/>
  <c r="AA99" i="1"/>
  <c r="AC99" i="1" s="1"/>
  <c r="AB99" i="1"/>
  <c r="AA61" i="1"/>
  <c r="AC61" i="1" s="1"/>
  <c r="AB61" i="1"/>
  <c r="AA39" i="1"/>
  <c r="AC39" i="1" s="1"/>
  <c r="AB39" i="1"/>
  <c r="AA23" i="1"/>
  <c r="AC23" i="1" s="1"/>
  <c r="AB23" i="1"/>
  <c r="AA7" i="1"/>
  <c r="AC7" i="1" s="1"/>
  <c r="AB7" i="1"/>
  <c r="AA141" i="1"/>
  <c r="AC141" i="1" s="1"/>
  <c r="AB141" i="1"/>
  <c r="AA168" i="1"/>
  <c r="AC168" i="1" s="1"/>
  <c r="AB168" i="1"/>
  <c r="AA223" i="1"/>
  <c r="AC223" i="1" s="1"/>
  <c r="AB223" i="1"/>
  <c r="AA200" i="1"/>
  <c r="AC200" i="1" s="1"/>
  <c r="AB200" i="1"/>
  <c r="AA162" i="1"/>
  <c r="AC162" i="1" s="1"/>
  <c r="AB162" i="1"/>
  <c r="AA93" i="1"/>
  <c r="AC93" i="1" s="1"/>
  <c r="AB93" i="1"/>
  <c r="AA77" i="1"/>
  <c r="AC77" i="1" s="1"/>
  <c r="AB77" i="1"/>
  <c r="AA52" i="1"/>
  <c r="AC52" i="1" s="1"/>
  <c r="AB52" i="1"/>
  <c r="AA179" i="1"/>
  <c r="AC179" i="1" s="1"/>
  <c r="AB179" i="1"/>
  <c r="AA158" i="1"/>
  <c r="AC158" i="1" s="1"/>
  <c r="AB158" i="1"/>
  <c r="AA156" i="1"/>
  <c r="AC156" i="1" s="1"/>
  <c r="AB156" i="1"/>
  <c r="AA217" i="1"/>
  <c r="AC217" i="1" s="1"/>
  <c r="AB217" i="1"/>
  <c r="AA193" i="1"/>
  <c r="AC193" i="1" s="1"/>
  <c r="AB193" i="1"/>
  <c r="AA134" i="1"/>
  <c r="AC134" i="1" s="1"/>
  <c r="AB134" i="1"/>
  <c r="AA88" i="1"/>
  <c r="AC88" i="1" s="1"/>
  <c r="AB88" i="1"/>
  <c r="AA68" i="1"/>
  <c r="AC68" i="1" s="1"/>
  <c r="AB68" i="1"/>
  <c r="AA44" i="1"/>
  <c r="AC44" i="1" s="1"/>
  <c r="AB44" i="1"/>
  <c r="AA174" i="1"/>
  <c r="AC174" i="1" s="1"/>
  <c r="AB174" i="1"/>
  <c r="AA13" i="1"/>
  <c r="AC13" i="1" s="1"/>
  <c r="AB13" i="1"/>
  <c r="AA151" i="1"/>
  <c r="AC151" i="1" s="1"/>
  <c r="AB151" i="1"/>
  <c r="AA130" i="1"/>
  <c r="AC130" i="1" s="1"/>
  <c r="AB130" i="1"/>
  <c r="AA5" i="1"/>
  <c r="AC5" i="1" s="1"/>
  <c r="AB5" i="1"/>
  <c r="AA170" i="1"/>
  <c r="AC170" i="1" s="1"/>
  <c r="AB170" i="1"/>
  <c r="AA114" i="1"/>
  <c r="AC114" i="1" s="1"/>
  <c r="AB114" i="1"/>
  <c r="AA220" i="1"/>
  <c r="AC220" i="1" s="1"/>
  <c r="AB220" i="1"/>
  <c r="AA202" i="1"/>
  <c r="AC202" i="1" s="1"/>
  <c r="AB202" i="1"/>
  <c r="AA186" i="1"/>
  <c r="AC186" i="1" s="1"/>
  <c r="AB186" i="1"/>
  <c r="AA117" i="1"/>
  <c r="AC117" i="1" s="1"/>
  <c r="AB117" i="1"/>
  <c r="AA90" i="1"/>
  <c r="AC90" i="1" s="1"/>
  <c r="AB90" i="1"/>
  <c r="AA79" i="1"/>
  <c r="AC79" i="1" s="1"/>
  <c r="AB79" i="1"/>
  <c r="AA60" i="1"/>
  <c r="AC60" i="1" s="1"/>
  <c r="AB60" i="1"/>
  <c r="AA41" i="1"/>
  <c r="AC41" i="1" s="1"/>
  <c r="AB41" i="1"/>
  <c r="AA30" i="1"/>
  <c r="AC30" i="1" s="1"/>
  <c r="AB30" i="1"/>
  <c r="AA17" i="1"/>
  <c r="AC17" i="1" s="1"/>
  <c r="AB17" i="1"/>
  <c r="AA6" i="1"/>
  <c r="AC6" i="1" s="1"/>
  <c r="AB6" i="1"/>
  <c r="AA3" i="1"/>
  <c r="AC3" i="1" s="1"/>
  <c r="AB3" i="1"/>
  <c r="AA169" i="1"/>
  <c r="AC169" i="1" s="1"/>
  <c r="AB169" i="1"/>
  <c r="AA191" i="1"/>
  <c r="AC191" i="1" s="1"/>
  <c r="AB191" i="1"/>
  <c r="AA65" i="1"/>
  <c r="AC65" i="1" s="1"/>
  <c r="AB65" i="1"/>
  <c r="AA42" i="1"/>
  <c r="AC42" i="1" s="1"/>
  <c r="AB42" i="1"/>
  <c r="AA27" i="1"/>
  <c r="AC27" i="1" s="1"/>
  <c r="AB27" i="1"/>
  <c r="AA11" i="1"/>
  <c r="AC11" i="1" s="1"/>
  <c r="AB11" i="1"/>
  <c r="AA126" i="1"/>
  <c r="AC126" i="1" s="1"/>
  <c r="AB126" i="1"/>
  <c r="AA110" i="1"/>
  <c r="AC110" i="1" s="1"/>
  <c r="AB110" i="1"/>
  <c r="AA226" i="1"/>
  <c r="AC226" i="1" s="1"/>
  <c r="AB226" i="1"/>
  <c r="AA203" i="1"/>
  <c r="AC203" i="1" s="1"/>
  <c r="AB203" i="1"/>
  <c r="AA95" i="1"/>
  <c r="AC95" i="1" s="1"/>
  <c r="AB95" i="1"/>
  <c r="AA53" i="1"/>
  <c r="AC53" i="1" s="1"/>
  <c r="AB53" i="1"/>
  <c r="AA31" i="1"/>
  <c r="AC31" i="1" s="1"/>
  <c r="AB31" i="1"/>
  <c r="AA119" i="1"/>
  <c r="AC119" i="1" s="1"/>
  <c r="AB119" i="1"/>
  <c r="AA106" i="1"/>
  <c r="AC106" i="1" s="1"/>
  <c r="AB106" i="1"/>
  <c r="AA218" i="1"/>
  <c r="AC218" i="1" s="1"/>
  <c r="AB218" i="1"/>
  <c r="AA195" i="1"/>
  <c r="AC195" i="1" s="1"/>
  <c r="AB195" i="1"/>
  <c r="AA135" i="1"/>
  <c r="AC135" i="1" s="1"/>
  <c r="AB135" i="1"/>
  <c r="AA89" i="1"/>
  <c r="AC89" i="1" s="1"/>
  <c r="AB89" i="1"/>
  <c r="AA70" i="1"/>
  <c r="AC70" i="1" s="1"/>
  <c r="AB70" i="1"/>
  <c r="AA175" i="1"/>
  <c r="AC175" i="1" s="1"/>
  <c r="AB175" i="1"/>
  <c r="AA15" i="1"/>
  <c r="AC15" i="1" s="1"/>
  <c r="AB15" i="1"/>
  <c r="AA152" i="1"/>
  <c r="AC152" i="1" s="1"/>
  <c r="AB152" i="1"/>
  <c r="AA131" i="1"/>
  <c r="AC131" i="1" s="1"/>
  <c r="AB131" i="1"/>
  <c r="AA123" i="1"/>
  <c r="AC123" i="1" s="1"/>
  <c r="AB123" i="1"/>
  <c r="AA212" i="1"/>
  <c r="AC212" i="1" s="1"/>
  <c r="AB212" i="1"/>
  <c r="AA188" i="1"/>
  <c r="AC188" i="1" s="1"/>
  <c r="AB188" i="1"/>
  <c r="AA101" i="1"/>
  <c r="AC101" i="1" s="1"/>
  <c r="AB101" i="1"/>
  <c r="AA83" i="1"/>
  <c r="AC83" i="1" s="1"/>
  <c r="AB83" i="1"/>
  <c r="AA62" i="1"/>
  <c r="AC62" i="1" s="1"/>
  <c r="AB62" i="1"/>
  <c r="AA24" i="1"/>
  <c r="AC24" i="1" s="1"/>
  <c r="AB24" i="1"/>
  <c r="AA171" i="1"/>
  <c r="AC171" i="1" s="1"/>
  <c r="AB171" i="1"/>
  <c r="AA132" i="1"/>
  <c r="AC132" i="1" s="1"/>
  <c r="AB132" i="1"/>
  <c r="AA207" i="1"/>
  <c r="AC207" i="1" s="1"/>
  <c r="AB207" i="1"/>
  <c r="AA236" i="1"/>
  <c r="AC236" i="1" s="1"/>
  <c r="AB236" i="1"/>
  <c r="AA198" i="1"/>
  <c r="AC198" i="1" s="1"/>
  <c r="AB198" i="1"/>
  <c r="AA182" i="1"/>
  <c r="AC182" i="1" s="1"/>
  <c r="AB182" i="1"/>
  <c r="AA100" i="1"/>
  <c r="AC100" i="1" s="1"/>
  <c r="AB100" i="1"/>
  <c r="AA87" i="1"/>
  <c r="AC87" i="1" s="1"/>
  <c r="AB87" i="1"/>
  <c r="AA54" i="1"/>
  <c r="AC54" i="1" s="1"/>
  <c r="AB54" i="1"/>
  <c r="AA29" i="1"/>
  <c r="AC29" i="1" s="1"/>
  <c r="AB29" i="1"/>
  <c r="AA21" i="1"/>
  <c r="AC21" i="1" s="1"/>
  <c r="AB21" i="1"/>
  <c r="AA165" i="1"/>
  <c r="AC165" i="1" s="1"/>
  <c r="AB165" i="1"/>
  <c r="AA124" i="1"/>
  <c r="AC124" i="1" s="1"/>
  <c r="AB124" i="1"/>
  <c r="AA206" i="1"/>
  <c r="AC206" i="1" s="1"/>
  <c r="AB206" i="1"/>
  <c r="AA50" i="1"/>
  <c r="AC50" i="1" s="1"/>
  <c r="AA109" i="1"/>
  <c r="AC109" i="1" s="1"/>
  <c r="AA19" i="1"/>
  <c r="AC19" i="1" s="1"/>
  <c r="AA116" i="1"/>
  <c r="AC116" i="1" s="1"/>
  <c r="AA181" i="1"/>
  <c r="AC181" i="1" s="1"/>
  <c r="AA80" i="1"/>
  <c r="AC80" i="1" s="1"/>
  <c r="AA18" i="1"/>
  <c r="AC18" i="1" s="1"/>
  <c r="AA45" i="1"/>
  <c r="AC45" i="1" s="1"/>
  <c r="AA237" i="1"/>
  <c r="AC237" i="1" s="1"/>
  <c r="AA36" i="1"/>
  <c r="AC36" i="1" s="1"/>
  <c r="AA8" i="1"/>
  <c r="AC8" i="1" s="1"/>
  <c r="AA166" i="1"/>
  <c r="AC166" i="1" s="1"/>
  <c r="AA113" i="1"/>
  <c r="AC113" i="1" s="1"/>
  <c r="AA216" i="1"/>
  <c r="AC216" i="1" s="1"/>
  <c r="AA73" i="1"/>
  <c r="AC73" i="1" s="1"/>
  <c r="AA35" i="1"/>
  <c r="AC35" i="1" s="1"/>
  <c r="AA238" i="1"/>
  <c r="AC238" i="1" s="1"/>
  <c r="AA32" i="1"/>
  <c r="AC32" i="1" s="1"/>
  <c r="AA163" i="1"/>
  <c r="AC163" i="1" s="1"/>
  <c r="AA139" i="1"/>
  <c r="AC139" i="1" s="1"/>
  <c r="Q230" i="1"/>
  <c r="R230" i="1" s="1"/>
  <c r="O230" i="1"/>
  <c r="P230" i="1" s="1"/>
  <c r="O214" i="1"/>
  <c r="P214" i="1" s="1"/>
  <c r="Q214" i="1"/>
  <c r="R214" i="1" s="1"/>
  <c r="O182" i="1"/>
  <c r="P182" i="1" s="1"/>
  <c r="Q182" i="1"/>
  <c r="R182" i="1" s="1"/>
  <c r="O63" i="1"/>
  <c r="P63" i="1" s="1"/>
  <c r="Q63" i="1"/>
  <c r="R63" i="1" s="1"/>
  <c r="O114" i="1"/>
  <c r="P114" i="1" s="1"/>
  <c r="Q114" i="1"/>
  <c r="R114" i="1" s="1"/>
  <c r="O213" i="1"/>
  <c r="P213" i="1" s="1"/>
  <c r="Q213" i="1"/>
  <c r="R213" i="1" s="1"/>
  <c r="O162" i="1"/>
  <c r="P162" i="1" s="1"/>
  <c r="Q162" i="1"/>
  <c r="R162" i="1" s="1"/>
  <c r="O33" i="1"/>
  <c r="P33" i="1" s="1"/>
  <c r="Q33" i="1"/>
  <c r="R33" i="1" s="1"/>
  <c r="O215" i="1"/>
  <c r="P215" i="1" s="1"/>
  <c r="Q215" i="1"/>
  <c r="R215" i="1" s="1"/>
  <c r="O183" i="1"/>
  <c r="P183" i="1" s="1"/>
  <c r="Q183" i="1"/>
  <c r="R183" i="1" s="1"/>
  <c r="O84" i="1"/>
  <c r="P84" i="1" s="1"/>
  <c r="Q84" i="1"/>
  <c r="R84" i="1" s="1"/>
  <c r="O184" i="1"/>
  <c r="P184" i="1" s="1"/>
  <c r="Q184" i="1"/>
  <c r="R184" i="1" s="1"/>
  <c r="O83" i="1"/>
  <c r="P83" i="1" s="1"/>
  <c r="Q83" i="1"/>
  <c r="R83" i="1" s="1"/>
  <c r="O202" i="1"/>
  <c r="P202" i="1" s="1"/>
  <c r="Q202" i="1"/>
  <c r="R202" i="1" s="1"/>
  <c r="O134" i="1"/>
  <c r="P134" i="1" s="1"/>
  <c r="Q134" i="1"/>
  <c r="R134" i="1" s="1"/>
  <c r="O27" i="1"/>
  <c r="P27" i="1" s="1"/>
  <c r="Q27" i="1"/>
  <c r="R27" i="1" s="1"/>
  <c r="O206" i="1"/>
  <c r="P206" i="1" s="1"/>
  <c r="Q206" i="1"/>
  <c r="R206" i="1" s="1"/>
  <c r="O198" i="1"/>
  <c r="P198" i="1" s="1"/>
  <c r="Q198" i="1"/>
  <c r="R198" i="1" s="1"/>
  <c r="O115" i="1"/>
  <c r="P115" i="1" s="1"/>
  <c r="Q115" i="1"/>
  <c r="R115" i="1" s="1"/>
  <c r="O26" i="1"/>
  <c r="P26" i="1" s="1"/>
  <c r="Q26" i="1"/>
  <c r="R26" i="1" s="1"/>
  <c r="O205" i="1"/>
  <c r="P205" i="1" s="1"/>
  <c r="Q205" i="1"/>
  <c r="R205" i="1" s="1"/>
  <c r="O211" i="1"/>
  <c r="P211" i="1" s="1"/>
  <c r="Q211" i="1"/>
  <c r="R211" i="1" s="1"/>
  <c r="O147" i="1"/>
  <c r="P147" i="1" s="1"/>
  <c r="Q147" i="1"/>
  <c r="R147" i="1" s="1"/>
  <c r="O173" i="1"/>
  <c r="P173" i="1" s="1"/>
  <c r="Q173" i="1"/>
  <c r="R173" i="1" s="1"/>
  <c r="O107" i="1"/>
  <c r="P107" i="1" s="1"/>
  <c r="Q107" i="1"/>
  <c r="R107" i="1" s="1"/>
  <c r="O208" i="1"/>
  <c r="P208" i="1" s="1"/>
  <c r="Q208" i="1"/>
  <c r="R208" i="1" s="1"/>
  <c r="O135" i="1"/>
  <c r="P135" i="1" s="1"/>
  <c r="Q135" i="1"/>
  <c r="R135" i="1" s="1"/>
  <c r="O207" i="1"/>
  <c r="P207" i="1" s="1"/>
  <c r="Q207" i="1"/>
  <c r="R207" i="1" s="1"/>
  <c r="O193" i="1"/>
  <c r="P193" i="1" s="1"/>
  <c r="Q193" i="1"/>
  <c r="R193" i="1" s="1"/>
  <c r="O149" i="1"/>
  <c r="P149" i="1" s="1"/>
  <c r="Q149" i="1"/>
  <c r="R149" i="1" s="1"/>
  <c r="O192" i="1"/>
  <c r="P192" i="1" s="1"/>
  <c r="Q192" i="1"/>
  <c r="R192" i="1" s="1"/>
  <c r="O86" i="1"/>
  <c r="P86" i="1" s="1"/>
  <c r="Q86" i="1"/>
  <c r="R86" i="1" s="1"/>
  <c r="O148" i="1"/>
  <c r="P148" i="1" s="1"/>
  <c r="Q148" i="1"/>
  <c r="R148" i="1" s="1"/>
  <c r="O197" i="1"/>
  <c r="P197" i="1" s="1"/>
  <c r="Q197" i="1"/>
  <c r="R197" i="1" s="1"/>
  <c r="O96" i="1"/>
  <c r="P96" i="1" s="1"/>
  <c r="Q96" i="1"/>
  <c r="R96" i="1" s="1"/>
  <c r="O25" i="1"/>
  <c r="P25" i="1" s="1"/>
  <c r="Q25" i="1"/>
  <c r="R25" i="1" s="1"/>
  <c r="O104" i="1"/>
  <c r="P104" i="1" s="1"/>
  <c r="Q104" i="1"/>
  <c r="R104" i="1" s="1"/>
  <c r="O196" i="1"/>
  <c r="P196" i="1" s="1"/>
  <c r="Q196" i="1"/>
  <c r="R196" i="1" s="1"/>
  <c r="O95" i="1"/>
  <c r="P95" i="1" s="1"/>
  <c r="Q95" i="1"/>
  <c r="R95" i="1" s="1"/>
  <c r="O24" i="1"/>
  <c r="P24" i="1" s="1"/>
  <c r="Q24" i="1"/>
  <c r="R24" i="1" s="1"/>
  <c r="O106" i="1"/>
  <c r="P106" i="1" s="1"/>
  <c r="Q106" i="1"/>
  <c r="R106" i="1" s="1"/>
  <c r="O222" i="1"/>
  <c r="P222" i="1" s="1"/>
  <c r="Q222" i="1"/>
  <c r="R222" i="1" s="1"/>
  <c r="O189" i="1"/>
  <c r="P189" i="1" s="1"/>
  <c r="Q189" i="1"/>
  <c r="R189" i="1" s="1"/>
  <c r="O132" i="1"/>
  <c r="P132" i="1" s="1"/>
  <c r="Q132" i="1"/>
  <c r="R132" i="1" s="1"/>
  <c r="O228" i="1"/>
  <c r="P228" i="1" s="1"/>
  <c r="Q228" i="1"/>
  <c r="R228" i="1" s="1"/>
  <c r="O219" i="1"/>
  <c r="P219" i="1" s="1"/>
  <c r="Q219" i="1"/>
  <c r="R219" i="1" s="1"/>
  <c r="O188" i="1"/>
  <c r="P188" i="1" s="1"/>
  <c r="Q188" i="1"/>
  <c r="R188" i="1" s="1"/>
  <c r="O85" i="1"/>
  <c r="P85" i="1" s="1"/>
  <c r="Q85" i="1"/>
  <c r="R85" i="1" s="1"/>
  <c r="O121" i="1"/>
  <c r="P121" i="1" s="1"/>
  <c r="Q121" i="1"/>
  <c r="R121" i="1" s="1"/>
  <c r="O229" i="1"/>
  <c r="P229" i="1" s="1"/>
  <c r="Q229" i="1"/>
  <c r="R229" i="1" s="1"/>
  <c r="O238" i="1"/>
  <c r="P238" i="1" s="1"/>
  <c r="Q238" i="1"/>
  <c r="R238" i="1" s="1"/>
  <c r="O191" i="1"/>
  <c r="P191" i="1" s="1"/>
  <c r="Q191" i="1"/>
  <c r="R191" i="1" s="1"/>
  <c r="O140" i="1"/>
  <c r="P140" i="1" s="1"/>
  <c r="Q140" i="1"/>
  <c r="R140" i="1" s="1"/>
  <c r="O223" i="1"/>
  <c r="P223" i="1" s="1"/>
  <c r="Q223" i="1"/>
  <c r="R223" i="1" s="1"/>
  <c r="O190" i="1"/>
  <c r="P190" i="1" s="1"/>
  <c r="Q190" i="1"/>
  <c r="R190" i="1" s="1"/>
  <c r="O137" i="1"/>
  <c r="P137" i="1" s="1"/>
  <c r="Q137" i="1"/>
  <c r="R137" i="1" s="1"/>
  <c r="Q36" i="1"/>
  <c r="R36" i="1" s="1"/>
  <c r="O36" i="1"/>
  <c r="P36" i="1" s="1"/>
  <c r="Q199" i="1"/>
  <c r="R199" i="1" s="1"/>
  <c r="O199" i="1"/>
  <c r="P199" i="1" s="1"/>
  <c r="O139" i="1"/>
  <c r="P139" i="1" s="1"/>
  <c r="Q139" i="1"/>
  <c r="R139" i="1" s="1"/>
  <c r="O31" i="1"/>
  <c r="P31" i="1" s="1"/>
  <c r="Q31" i="1"/>
  <c r="R31" i="1" s="1"/>
  <c r="Q226" i="1"/>
  <c r="R226" i="1" s="1"/>
  <c r="O226" i="1"/>
  <c r="P226" i="1" s="1"/>
  <c r="O156" i="1"/>
  <c r="P156" i="1" s="1"/>
  <c r="Q156" i="1"/>
  <c r="R156" i="1" s="1"/>
  <c r="O88" i="1"/>
  <c r="P88" i="1" s="1"/>
  <c r="Q88" i="1"/>
  <c r="R88" i="1" s="1"/>
  <c r="O166" i="1"/>
  <c r="P166" i="1" s="1"/>
  <c r="Q166" i="1"/>
  <c r="R166" i="1" s="1"/>
  <c r="O92" i="1"/>
  <c r="P92" i="1" s="1"/>
  <c r="Q92" i="1"/>
  <c r="R92" i="1" s="1"/>
  <c r="O170" i="1"/>
  <c r="P170" i="1" s="1"/>
  <c r="Q170" i="1"/>
  <c r="R170" i="1" s="1"/>
  <c r="O204" i="1"/>
  <c r="P204" i="1" s="1"/>
  <c r="Q204" i="1"/>
  <c r="R204" i="1" s="1"/>
  <c r="O43" i="1"/>
  <c r="P43" i="1" s="1"/>
  <c r="Q43" i="1"/>
  <c r="R43" i="1" s="1"/>
  <c r="O153" i="1"/>
  <c r="P153" i="1" s="1"/>
  <c r="Q153" i="1"/>
  <c r="R153" i="1" s="1"/>
  <c r="O64" i="1"/>
  <c r="P64" i="1" s="1"/>
  <c r="Q64" i="1"/>
  <c r="R64" i="1" s="1"/>
  <c r="O178" i="1"/>
  <c r="P178" i="1" s="1"/>
  <c r="Q178" i="1"/>
  <c r="R178" i="1" s="1"/>
  <c r="O130" i="1"/>
  <c r="P130" i="1" s="1"/>
  <c r="Q130" i="1"/>
  <c r="R130" i="1" s="1"/>
  <c r="O109" i="1"/>
  <c r="P109" i="1" s="1"/>
  <c r="Q109" i="1"/>
  <c r="R109" i="1" s="1"/>
  <c r="O90" i="1"/>
  <c r="P90" i="1" s="1"/>
  <c r="Q90" i="1"/>
  <c r="R90" i="1" s="1"/>
  <c r="O53" i="1"/>
  <c r="P53" i="1" s="1"/>
  <c r="Q53" i="1"/>
  <c r="R53" i="1" s="1"/>
  <c r="O163" i="1"/>
  <c r="P163" i="1" s="1"/>
  <c r="Q163" i="1"/>
  <c r="R163" i="1" s="1"/>
  <c r="O150" i="1"/>
  <c r="P150" i="1" s="1"/>
  <c r="Q150" i="1"/>
  <c r="R150" i="1" s="1"/>
  <c r="O168" i="1"/>
  <c r="P168" i="1" s="1"/>
  <c r="Q168" i="1"/>
  <c r="R168" i="1" s="1"/>
  <c r="O218" i="1"/>
  <c r="P218" i="1" s="1"/>
  <c r="Q218" i="1"/>
  <c r="R218" i="1" s="1"/>
  <c r="O185" i="1"/>
  <c r="P185" i="1" s="1"/>
  <c r="Q185" i="1"/>
  <c r="R185" i="1" s="1"/>
  <c r="O91" i="1"/>
  <c r="P91" i="1" s="1"/>
  <c r="Q91" i="1"/>
  <c r="R91" i="1" s="1"/>
  <c r="O70" i="1"/>
  <c r="P70" i="1" s="1"/>
  <c r="Q70" i="1"/>
  <c r="R70" i="1" s="1"/>
  <c r="O54" i="1"/>
  <c r="P54" i="1" s="1"/>
  <c r="Q54" i="1"/>
  <c r="R54" i="1" s="1"/>
  <c r="O19" i="1"/>
  <c r="P19" i="1" s="1"/>
  <c r="Q19" i="1"/>
  <c r="R19" i="1" s="1"/>
  <c r="O8" i="1"/>
  <c r="P8" i="1" s="1"/>
  <c r="Q8" i="1"/>
  <c r="R8" i="1" s="1"/>
  <c r="O151" i="1"/>
  <c r="P151" i="1" s="1"/>
  <c r="Q151" i="1"/>
  <c r="R151" i="1" s="1"/>
  <c r="O169" i="1"/>
  <c r="P169" i="1" s="1"/>
  <c r="Q169" i="1"/>
  <c r="R169" i="1" s="1"/>
  <c r="O103" i="1"/>
  <c r="P103" i="1" s="1"/>
  <c r="Q103" i="1"/>
  <c r="R103" i="1" s="1"/>
  <c r="O221" i="1"/>
  <c r="P221" i="1" s="1"/>
  <c r="Q221" i="1"/>
  <c r="R221" i="1" s="1"/>
  <c r="O187" i="1"/>
  <c r="P187" i="1" s="1"/>
  <c r="Q187" i="1"/>
  <c r="R187" i="1" s="1"/>
  <c r="O93" i="1"/>
  <c r="P93" i="1" s="1"/>
  <c r="Q93" i="1"/>
  <c r="R93" i="1" s="1"/>
  <c r="O72" i="1"/>
  <c r="P72" i="1" s="1"/>
  <c r="Q72" i="1"/>
  <c r="R72" i="1" s="1"/>
  <c r="O49" i="1"/>
  <c r="P49" i="1" s="1"/>
  <c r="Q49" i="1"/>
  <c r="R49" i="1" s="1"/>
  <c r="O38" i="1"/>
  <c r="P38" i="1" s="1"/>
  <c r="Q38" i="1"/>
  <c r="R38" i="1" s="1"/>
  <c r="O22" i="1"/>
  <c r="P22" i="1" s="1"/>
  <c r="Q22" i="1"/>
  <c r="R22" i="1" s="1"/>
  <c r="O10" i="1"/>
  <c r="P10" i="1" s="1"/>
  <c r="Q10" i="1"/>
  <c r="R10" i="1" s="1"/>
  <c r="O136" i="1"/>
  <c r="P136" i="1" s="1"/>
  <c r="Q136" i="1"/>
  <c r="R136" i="1" s="1"/>
  <c r="O171" i="1"/>
  <c r="P171" i="1" s="1"/>
  <c r="Q171" i="1"/>
  <c r="R171" i="1" s="1"/>
  <c r="O124" i="1"/>
  <c r="P124" i="1" s="1"/>
  <c r="Q124" i="1"/>
  <c r="R124" i="1" s="1"/>
  <c r="Q77" i="1"/>
  <c r="R77" i="1" s="1"/>
  <c r="O77" i="1"/>
  <c r="P77" i="1" s="1"/>
  <c r="O16" i="1"/>
  <c r="P16" i="1" s="1"/>
  <c r="Q16" i="1"/>
  <c r="R16" i="1" s="1"/>
  <c r="Q99" i="1"/>
  <c r="R99" i="1" s="1"/>
  <c r="O99" i="1"/>
  <c r="P99" i="1" s="1"/>
  <c r="O47" i="1"/>
  <c r="P47" i="1" s="1"/>
  <c r="Q47" i="1"/>
  <c r="R47" i="1" s="1"/>
  <c r="O71" i="1"/>
  <c r="P71" i="1" s="1"/>
  <c r="Q71" i="1"/>
  <c r="R71" i="1" s="1"/>
  <c r="O9" i="1"/>
  <c r="P9" i="1" s="1"/>
  <c r="Q9" i="1"/>
  <c r="R9" i="1" s="1"/>
  <c r="O123" i="1"/>
  <c r="P123" i="1" s="1"/>
  <c r="Q123" i="1"/>
  <c r="R123" i="1" s="1"/>
  <c r="O117" i="1"/>
  <c r="P117" i="1" s="1"/>
  <c r="Q117" i="1"/>
  <c r="R117" i="1" s="1"/>
  <c r="O30" i="1"/>
  <c r="P30" i="1" s="1"/>
  <c r="Q30" i="1"/>
  <c r="R30" i="1" s="1"/>
  <c r="O128" i="1"/>
  <c r="P128" i="1" s="1"/>
  <c r="Q128" i="1"/>
  <c r="R128" i="1" s="1"/>
  <c r="O224" i="1"/>
  <c r="P224" i="1" s="1"/>
  <c r="Q224" i="1"/>
  <c r="R224" i="1" s="1"/>
  <c r="O94" i="1"/>
  <c r="P94" i="1" s="1"/>
  <c r="Q94" i="1"/>
  <c r="R94" i="1" s="1"/>
  <c r="O56" i="1"/>
  <c r="P56" i="1" s="1"/>
  <c r="Q56" i="1"/>
  <c r="R56" i="1" s="1"/>
  <c r="O23" i="1"/>
  <c r="P23" i="1" s="1"/>
  <c r="Q23" i="1"/>
  <c r="R23" i="1" s="1"/>
  <c r="O154" i="1"/>
  <c r="P154" i="1" s="1"/>
  <c r="Q154" i="1"/>
  <c r="R154" i="1" s="1"/>
  <c r="O172" i="1"/>
  <c r="P172" i="1" s="1"/>
  <c r="Q172" i="1"/>
  <c r="R172" i="1" s="1"/>
  <c r="O105" i="1"/>
  <c r="P105" i="1" s="1"/>
  <c r="Q105" i="1"/>
  <c r="R105" i="1" s="1"/>
  <c r="O201" i="1"/>
  <c r="P201" i="1" s="1"/>
  <c r="Q201" i="1"/>
  <c r="R201" i="1" s="1"/>
  <c r="O78" i="1"/>
  <c r="P78" i="1" s="1"/>
  <c r="Q78" i="1"/>
  <c r="R78" i="1" s="1"/>
  <c r="O42" i="1"/>
  <c r="P42" i="1" s="1"/>
  <c r="Q42" i="1"/>
  <c r="R42" i="1" s="1"/>
  <c r="O15" i="1"/>
  <c r="P15" i="1" s="1"/>
  <c r="Q15" i="1"/>
  <c r="R15" i="1" s="1"/>
  <c r="O212" i="1"/>
  <c r="P212" i="1" s="1"/>
  <c r="Q212" i="1"/>
  <c r="R212" i="1" s="1"/>
  <c r="O160" i="1"/>
  <c r="P160" i="1" s="1"/>
  <c r="Q160" i="1"/>
  <c r="R160" i="1" s="1"/>
  <c r="O87" i="1"/>
  <c r="P87" i="1" s="1"/>
  <c r="Q87" i="1"/>
  <c r="R87" i="1" s="1"/>
  <c r="O65" i="1"/>
  <c r="P65" i="1" s="1"/>
  <c r="Q65" i="1"/>
  <c r="R65" i="1" s="1"/>
  <c r="O46" i="1"/>
  <c r="P46" i="1" s="1"/>
  <c r="Q46" i="1"/>
  <c r="R46" i="1" s="1"/>
  <c r="O179" i="1"/>
  <c r="P179" i="1" s="1"/>
  <c r="Q179" i="1"/>
  <c r="R179" i="1" s="1"/>
  <c r="O21" i="1"/>
  <c r="P21" i="1" s="1"/>
  <c r="Q21" i="1"/>
  <c r="R21" i="1" s="1"/>
  <c r="O20" i="1"/>
  <c r="P20" i="1" s="1"/>
  <c r="Q20" i="1"/>
  <c r="R20" i="1" s="1"/>
  <c r="O131" i="1"/>
  <c r="P131" i="1" s="1"/>
  <c r="Q131" i="1"/>
  <c r="R131" i="1" s="1"/>
  <c r="O165" i="1"/>
  <c r="P165" i="1" s="1"/>
  <c r="Q165" i="1"/>
  <c r="R165" i="1" s="1"/>
  <c r="O110" i="1"/>
  <c r="P110" i="1" s="1"/>
  <c r="Q110" i="1"/>
  <c r="R110" i="1" s="1"/>
  <c r="O217" i="1"/>
  <c r="P217" i="1" s="1"/>
  <c r="Q217" i="1"/>
  <c r="R217" i="1" s="1"/>
  <c r="O180" i="1"/>
  <c r="P180" i="1" s="1"/>
  <c r="Q180" i="1"/>
  <c r="R180" i="1" s="1"/>
  <c r="O89" i="1"/>
  <c r="P89" i="1" s="1"/>
  <c r="Q89" i="1"/>
  <c r="R89" i="1" s="1"/>
  <c r="O68" i="1"/>
  <c r="P68" i="1" s="1"/>
  <c r="Q68" i="1"/>
  <c r="R68" i="1" s="1"/>
  <c r="O48" i="1"/>
  <c r="P48" i="1" s="1"/>
  <c r="Q48" i="1"/>
  <c r="R48" i="1" s="1"/>
  <c r="O158" i="1"/>
  <c r="P158" i="1" s="1"/>
  <c r="Q158" i="1"/>
  <c r="R158" i="1" s="1"/>
  <c r="O6" i="1"/>
  <c r="P6" i="1" s="1"/>
  <c r="Q6" i="1"/>
  <c r="R6" i="1" s="1"/>
  <c r="P3" i="1"/>
  <c r="Q3" i="1"/>
  <c r="R3" i="1" s="1"/>
  <c r="O167" i="1"/>
  <c r="P167" i="1" s="1"/>
  <c r="Q167" i="1"/>
  <c r="R167" i="1" s="1"/>
  <c r="O112" i="1"/>
  <c r="P112" i="1" s="1"/>
  <c r="Q112" i="1"/>
  <c r="R112" i="1" s="1"/>
  <c r="O161" i="1"/>
  <c r="P161" i="1" s="1"/>
  <c r="Q161" i="1"/>
  <c r="R161" i="1" s="1"/>
  <c r="Q51" i="1"/>
  <c r="R51" i="1" s="1"/>
  <c r="O51" i="1"/>
  <c r="P51" i="1" s="1"/>
  <c r="O159" i="1"/>
  <c r="P159" i="1" s="1"/>
  <c r="Q159" i="1"/>
  <c r="R159" i="1" s="1"/>
  <c r="O220" i="1"/>
  <c r="P220" i="1" s="1"/>
  <c r="Q220" i="1"/>
  <c r="R220" i="1" s="1"/>
  <c r="O55" i="1"/>
  <c r="P55" i="1" s="1"/>
  <c r="Q55" i="1"/>
  <c r="R55" i="1" s="1"/>
  <c r="O152" i="1"/>
  <c r="P152" i="1" s="1"/>
  <c r="Q152" i="1"/>
  <c r="R152" i="1" s="1"/>
  <c r="O80" i="1"/>
  <c r="P80" i="1" s="1"/>
  <c r="Q80" i="1"/>
  <c r="R80" i="1" s="1"/>
  <c r="O18" i="1"/>
  <c r="P18" i="1" s="1"/>
  <c r="Q18" i="1"/>
  <c r="R18" i="1" s="1"/>
  <c r="O120" i="1"/>
  <c r="P120" i="1" s="1"/>
  <c r="Q120" i="1"/>
  <c r="R120" i="1" s="1"/>
  <c r="O210" i="1"/>
  <c r="P210" i="1" s="1"/>
  <c r="Q210" i="1"/>
  <c r="R210" i="1" s="1"/>
  <c r="O82" i="1"/>
  <c r="P82" i="1" s="1"/>
  <c r="Q82" i="1"/>
  <c r="R82" i="1" s="1"/>
  <c r="O45" i="1"/>
  <c r="P45" i="1" s="1"/>
  <c r="Q45" i="1"/>
  <c r="R45" i="1" s="1"/>
  <c r="O58" i="1"/>
  <c r="P58" i="1" s="1"/>
  <c r="Q58" i="1"/>
  <c r="R58" i="1" s="1"/>
  <c r="O164" i="1"/>
  <c r="P164" i="1" s="1"/>
  <c r="Q164" i="1"/>
  <c r="R164" i="1" s="1"/>
  <c r="O181" i="1"/>
  <c r="P181" i="1" s="1"/>
  <c r="Q181" i="1"/>
  <c r="R181" i="1" s="1"/>
  <c r="O69" i="1"/>
  <c r="P69" i="1" s="1"/>
  <c r="Q69" i="1"/>
  <c r="R69" i="1" s="1"/>
  <c r="O32" i="1"/>
  <c r="P32" i="1" s="1"/>
  <c r="Q32" i="1"/>
  <c r="R32" i="1" s="1"/>
  <c r="O7" i="1"/>
  <c r="P7" i="1" s="1"/>
  <c r="Q7" i="1"/>
  <c r="R7" i="1" s="1"/>
  <c r="O118" i="1"/>
  <c r="P118" i="1" s="1"/>
  <c r="Q118" i="1"/>
  <c r="R118" i="1" s="1"/>
  <c r="O236" i="1"/>
  <c r="P236" i="1" s="1"/>
  <c r="Q236" i="1"/>
  <c r="R236" i="1" s="1"/>
  <c r="O203" i="1"/>
  <c r="P203" i="1" s="1"/>
  <c r="Q203" i="1"/>
  <c r="R203" i="1" s="1"/>
  <c r="O116" i="1"/>
  <c r="P116" i="1" s="1"/>
  <c r="Q116" i="1"/>
  <c r="R116" i="1" s="1"/>
  <c r="O79" i="1"/>
  <c r="P79" i="1" s="1"/>
  <c r="Q79" i="1"/>
  <c r="R79" i="1" s="1"/>
  <c r="O60" i="1"/>
  <c r="P60" i="1" s="1"/>
  <c r="Q60" i="1"/>
  <c r="R60" i="1" s="1"/>
  <c r="O41" i="1"/>
  <c r="P41" i="1" s="1"/>
  <c r="Q41" i="1"/>
  <c r="R41" i="1" s="1"/>
  <c r="O176" i="1"/>
  <c r="P176" i="1" s="1"/>
  <c r="Q176" i="1"/>
  <c r="R176" i="1" s="1"/>
  <c r="O17" i="1"/>
  <c r="P17" i="1" s="1"/>
  <c r="Q17" i="1"/>
  <c r="R17" i="1" s="1"/>
  <c r="O141" i="1"/>
  <c r="P141" i="1" s="1"/>
  <c r="Q141" i="1"/>
  <c r="R141" i="1" s="1"/>
  <c r="O127" i="1"/>
  <c r="P127" i="1" s="1"/>
  <c r="Q127" i="1"/>
  <c r="R127" i="1" s="1"/>
  <c r="O119" i="1"/>
  <c r="P119" i="1" s="1"/>
  <c r="Q119" i="1"/>
  <c r="R119" i="1" s="1"/>
  <c r="O98" i="1"/>
  <c r="P98" i="1" s="1"/>
  <c r="Q98" i="1"/>
  <c r="R98" i="1" s="1"/>
  <c r="O209" i="1"/>
  <c r="P209" i="1" s="1"/>
  <c r="Q209" i="1"/>
  <c r="R209" i="1" s="1"/>
  <c r="O138" i="1"/>
  <c r="P138" i="1" s="1"/>
  <c r="Q138" i="1"/>
  <c r="R138" i="1" s="1"/>
  <c r="O81" i="1"/>
  <c r="P81" i="1" s="1"/>
  <c r="Q81" i="1"/>
  <c r="R81" i="1" s="1"/>
  <c r="O62" i="1"/>
  <c r="P62" i="1" s="1"/>
  <c r="Q62" i="1"/>
  <c r="R62" i="1" s="1"/>
  <c r="O44" i="1"/>
  <c r="P44" i="1" s="1"/>
  <c r="Q44" i="1"/>
  <c r="R44" i="1" s="1"/>
  <c r="O177" i="1"/>
  <c r="P177" i="1" s="1"/>
  <c r="Q177" i="1"/>
  <c r="R177" i="1" s="1"/>
  <c r="O57" i="1"/>
  <c r="P57" i="1" s="1"/>
  <c r="Q57" i="1"/>
  <c r="R57" i="1" s="1"/>
  <c r="O4" i="1"/>
  <c r="P4" i="1" s="1"/>
  <c r="Q4" i="1"/>
  <c r="R4" i="1" s="1"/>
  <c r="O129" i="1"/>
  <c r="P129" i="1" s="1"/>
  <c r="Q129" i="1"/>
  <c r="R129" i="1" s="1"/>
  <c r="O108" i="1"/>
  <c r="P108" i="1" s="1"/>
  <c r="Q108" i="1"/>
  <c r="R108" i="1" s="1"/>
  <c r="O102" i="1"/>
  <c r="P102" i="1" s="1"/>
  <c r="Q102" i="1"/>
  <c r="R102" i="1" s="1"/>
  <c r="O13" i="1"/>
  <c r="P13" i="1" s="1"/>
  <c r="Q13" i="1"/>
  <c r="R13" i="1" s="1"/>
  <c r="O66" i="1"/>
  <c r="P66" i="1" s="1"/>
  <c r="Q66" i="1"/>
  <c r="R66" i="1" s="1"/>
  <c r="O111" i="1"/>
  <c r="P111" i="1" s="1"/>
  <c r="Q111" i="1"/>
  <c r="R111" i="1" s="1"/>
  <c r="O29" i="1"/>
  <c r="P29" i="1" s="1"/>
  <c r="Q29" i="1"/>
  <c r="R29" i="1" s="1"/>
  <c r="O216" i="1"/>
  <c r="P216" i="1" s="1"/>
  <c r="Q216" i="1"/>
  <c r="R216" i="1" s="1"/>
  <c r="O186" i="1"/>
  <c r="P186" i="1" s="1"/>
  <c r="Q186" i="1"/>
  <c r="R186" i="1" s="1"/>
  <c r="O37" i="1"/>
  <c r="P37" i="1" s="1"/>
  <c r="Q37" i="1"/>
  <c r="R37" i="1" s="1"/>
  <c r="O5" i="1"/>
  <c r="P5" i="1" s="1"/>
  <c r="Q5" i="1"/>
  <c r="R5" i="1" s="1"/>
  <c r="O237" i="1"/>
  <c r="P237" i="1" s="1"/>
  <c r="Q237" i="1"/>
  <c r="R237" i="1" s="1"/>
  <c r="O61" i="1"/>
  <c r="P61" i="1" s="1"/>
  <c r="Q61" i="1"/>
  <c r="R61" i="1" s="1"/>
  <c r="O194" i="1"/>
  <c r="P194" i="1" s="1"/>
  <c r="Q194" i="1"/>
  <c r="R194" i="1" s="1"/>
  <c r="O73" i="1"/>
  <c r="P73" i="1" s="1"/>
  <c r="Q73" i="1"/>
  <c r="R73" i="1" s="1"/>
  <c r="O39" i="1"/>
  <c r="P39" i="1" s="1"/>
  <c r="Q39" i="1"/>
  <c r="R39" i="1" s="1"/>
  <c r="O11" i="1"/>
  <c r="P11" i="1" s="1"/>
  <c r="Q11" i="1"/>
  <c r="R11" i="1" s="1"/>
  <c r="O113" i="1"/>
  <c r="P113" i="1" s="1"/>
  <c r="Q113" i="1"/>
  <c r="R113" i="1" s="1"/>
  <c r="O235" i="1"/>
  <c r="P235" i="1" s="1"/>
  <c r="Q235" i="1"/>
  <c r="R235" i="1" s="1"/>
  <c r="O101" i="1"/>
  <c r="P101" i="1" s="1"/>
  <c r="Q101" i="1"/>
  <c r="R101" i="1" s="1"/>
  <c r="O59" i="1"/>
  <c r="P59" i="1" s="1"/>
  <c r="Q59" i="1"/>
  <c r="R59" i="1" s="1"/>
  <c r="O175" i="1"/>
  <c r="P175" i="1" s="1"/>
  <c r="Q175" i="1"/>
  <c r="R175" i="1" s="1"/>
  <c r="O157" i="1"/>
  <c r="P157" i="1" s="1"/>
  <c r="Q157" i="1"/>
  <c r="R157" i="1" s="1"/>
  <c r="O126" i="1"/>
  <c r="P126" i="1" s="1"/>
  <c r="Q126" i="1"/>
  <c r="R126" i="1" s="1"/>
  <c r="O225" i="1"/>
  <c r="P225" i="1" s="1"/>
  <c r="Q225" i="1"/>
  <c r="R225" i="1" s="1"/>
  <c r="O195" i="1"/>
  <c r="P195" i="1" s="1"/>
  <c r="Q195" i="1"/>
  <c r="R195" i="1" s="1"/>
  <c r="O97" i="1"/>
  <c r="P97" i="1" s="1"/>
  <c r="Q97" i="1"/>
  <c r="R97" i="1" s="1"/>
  <c r="O76" i="1"/>
  <c r="P76" i="1" s="1"/>
  <c r="Q76" i="1"/>
  <c r="R76" i="1" s="1"/>
  <c r="O50" i="1"/>
  <c r="P50" i="1" s="1"/>
  <c r="Q50" i="1"/>
  <c r="R50" i="1" s="1"/>
  <c r="O35" i="1"/>
  <c r="P35" i="1" s="1"/>
  <c r="Q35" i="1"/>
  <c r="R35" i="1" s="1"/>
  <c r="O28" i="1"/>
  <c r="P28" i="1" s="1"/>
  <c r="Q28" i="1"/>
  <c r="R28" i="1" s="1"/>
  <c r="O12" i="1"/>
  <c r="P12" i="1" s="1"/>
  <c r="Q12" i="1"/>
  <c r="R12" i="1" s="1"/>
  <c r="O155" i="1"/>
  <c r="P155" i="1" s="1"/>
  <c r="Q155" i="1"/>
  <c r="R155" i="1" s="1"/>
  <c r="O227" i="1"/>
  <c r="P227" i="1" s="1"/>
  <c r="Q227" i="1"/>
  <c r="R227" i="1" s="1"/>
  <c r="O200" i="1"/>
  <c r="P200" i="1" s="1"/>
  <c r="Q200" i="1"/>
  <c r="R200" i="1" s="1"/>
  <c r="O100" i="1"/>
  <c r="P100" i="1" s="1"/>
  <c r="Q100" i="1"/>
  <c r="R100" i="1" s="1"/>
  <c r="O74" i="1"/>
  <c r="P74" i="1" s="1"/>
  <c r="Q74" i="1"/>
  <c r="R74" i="1" s="1"/>
  <c r="O52" i="1"/>
  <c r="P52" i="1" s="1"/>
  <c r="Q52" i="1"/>
  <c r="R52" i="1" s="1"/>
  <c r="O40" i="1"/>
  <c r="P40" i="1" s="1"/>
  <c r="Q40" i="1"/>
  <c r="R40" i="1" s="1"/>
  <c r="O174" i="1"/>
  <c r="P174" i="1" s="1"/>
  <c r="Q174" i="1"/>
  <c r="R174" i="1" s="1"/>
  <c r="O14" i="1"/>
  <c r="P14" i="1" s="1"/>
  <c r="Q14" i="1"/>
  <c r="R14" i="1" s="1"/>
  <c r="O2" i="1"/>
  <c r="P2" i="1" s="1"/>
  <c r="Q2" i="1"/>
  <c r="R2" i="1" s="1"/>
  <c r="O125" i="1"/>
  <c r="P125" i="1" s="1"/>
  <c r="Q125" i="1"/>
  <c r="R125" i="1" s="1"/>
  <c r="S246" i="1" l="1"/>
  <c r="T246" i="1"/>
  <c r="T245" i="1"/>
  <c r="S245" i="1"/>
  <c r="S244" i="1"/>
  <c r="T244" i="1"/>
  <c r="T243" i="1"/>
  <c r="S243" i="1"/>
  <c r="S242" i="1"/>
  <c r="T242" i="1"/>
  <c r="S241" i="1"/>
  <c r="T241" i="1"/>
  <c r="T240" i="1"/>
  <c r="S240" i="1"/>
  <c r="S239" i="1"/>
  <c r="T239" i="1"/>
  <c r="S75" i="1"/>
  <c r="T75" i="1"/>
  <c r="S234" i="1"/>
  <c r="T234" i="1"/>
  <c r="T233" i="1"/>
  <c r="S233" i="1"/>
  <c r="S122" i="1"/>
  <c r="T122" i="1"/>
  <c r="T231" i="1"/>
  <c r="S231" i="1"/>
  <c r="S232" i="1"/>
  <c r="T232" i="1"/>
  <c r="S133" i="1"/>
  <c r="T133" i="1"/>
  <c r="S146" i="1"/>
  <c r="T146" i="1"/>
  <c r="T34" i="1"/>
  <c r="S34" i="1"/>
  <c r="T145" i="1"/>
  <c r="S145" i="1"/>
  <c r="S67" i="1"/>
  <c r="T67" i="1"/>
  <c r="S143" i="1"/>
  <c r="T143" i="1"/>
  <c r="S142" i="1"/>
  <c r="T142" i="1"/>
  <c r="S144" i="1"/>
  <c r="T144" i="1"/>
  <c r="T230" i="1"/>
  <c r="S230" i="1"/>
  <c r="S223" i="1"/>
  <c r="T223" i="1"/>
  <c r="S140" i="1"/>
  <c r="T140" i="1"/>
  <c r="S191" i="1"/>
  <c r="T191" i="1"/>
  <c r="S229" i="1"/>
  <c r="T229" i="1"/>
  <c r="S85" i="1"/>
  <c r="T85" i="1"/>
  <c r="S219" i="1"/>
  <c r="T219" i="1"/>
  <c r="S132" i="1"/>
  <c r="T132" i="1"/>
  <c r="S189" i="1"/>
  <c r="T189" i="1"/>
  <c r="S24" i="1"/>
  <c r="T24" i="1"/>
  <c r="S196" i="1"/>
  <c r="T196" i="1"/>
  <c r="S104" i="1"/>
  <c r="T104" i="1"/>
  <c r="S96" i="1"/>
  <c r="T96" i="1"/>
  <c r="S148" i="1"/>
  <c r="T148" i="1"/>
  <c r="S192" i="1"/>
  <c r="T192" i="1"/>
  <c r="S208" i="1"/>
  <c r="T208" i="1"/>
  <c r="S107" i="1"/>
  <c r="T107" i="1"/>
  <c r="S147" i="1"/>
  <c r="T147" i="1"/>
  <c r="S26" i="1"/>
  <c r="T26" i="1"/>
  <c r="S198" i="1"/>
  <c r="T198" i="1"/>
  <c r="S206" i="1"/>
  <c r="T206" i="1"/>
  <c r="S134" i="1"/>
  <c r="T134" i="1"/>
  <c r="S83" i="1"/>
  <c r="T83" i="1"/>
  <c r="T183" i="1"/>
  <c r="S183" i="1"/>
  <c r="S33" i="1"/>
  <c r="T33" i="1"/>
  <c r="S213" i="1"/>
  <c r="T213" i="1"/>
  <c r="S114" i="1"/>
  <c r="T114" i="1"/>
  <c r="S182" i="1"/>
  <c r="T182" i="1"/>
  <c r="S137" i="1"/>
  <c r="T137" i="1"/>
  <c r="S190" i="1"/>
  <c r="T190" i="1"/>
  <c r="S238" i="1"/>
  <c r="T238" i="1"/>
  <c r="S121" i="1"/>
  <c r="T121" i="1"/>
  <c r="S188" i="1"/>
  <c r="T188" i="1"/>
  <c r="S228" i="1"/>
  <c r="T228" i="1"/>
  <c r="S222" i="1"/>
  <c r="T222" i="1"/>
  <c r="S106" i="1"/>
  <c r="T106" i="1"/>
  <c r="S95" i="1"/>
  <c r="T95" i="1"/>
  <c r="S25" i="1"/>
  <c r="T25" i="1"/>
  <c r="S197" i="1"/>
  <c r="T197" i="1"/>
  <c r="S86" i="1"/>
  <c r="T86" i="1"/>
  <c r="T149" i="1"/>
  <c r="S149" i="1"/>
  <c r="S193" i="1"/>
  <c r="T193" i="1"/>
  <c r="S207" i="1"/>
  <c r="T207" i="1"/>
  <c r="S135" i="1"/>
  <c r="T135" i="1"/>
  <c r="S173" i="1"/>
  <c r="T173" i="1"/>
  <c r="S211" i="1"/>
  <c r="T211" i="1"/>
  <c r="S205" i="1"/>
  <c r="T205" i="1"/>
  <c r="S115" i="1"/>
  <c r="T115" i="1"/>
  <c r="S27" i="1"/>
  <c r="T27" i="1"/>
  <c r="S202" i="1"/>
  <c r="T202" i="1"/>
  <c r="S184" i="1"/>
  <c r="T184" i="1"/>
  <c r="S84" i="1"/>
  <c r="T84" i="1"/>
  <c r="S215" i="1"/>
  <c r="T215" i="1"/>
  <c r="S162" i="1"/>
  <c r="T162" i="1"/>
  <c r="S63" i="1"/>
  <c r="T63" i="1"/>
  <c r="S214" i="1"/>
  <c r="T214" i="1"/>
  <c r="S125" i="1"/>
  <c r="T125" i="1"/>
  <c r="S174" i="1"/>
  <c r="T174" i="1"/>
  <c r="S52" i="1"/>
  <c r="T52" i="1"/>
  <c r="S100" i="1"/>
  <c r="T100" i="1"/>
  <c r="S227" i="1"/>
  <c r="T227" i="1"/>
  <c r="S12" i="1"/>
  <c r="T12" i="1"/>
  <c r="S35" i="1"/>
  <c r="T35" i="1"/>
  <c r="S76" i="1"/>
  <c r="T76" i="1"/>
  <c r="S195" i="1"/>
  <c r="T195" i="1"/>
  <c r="S157" i="1"/>
  <c r="T157" i="1"/>
  <c r="S59" i="1"/>
  <c r="T59" i="1"/>
  <c r="S235" i="1"/>
  <c r="T235" i="1"/>
  <c r="S39" i="1"/>
  <c r="T39" i="1"/>
  <c r="S194" i="1"/>
  <c r="T194" i="1"/>
  <c r="S237" i="1"/>
  <c r="T237" i="1"/>
  <c r="S37" i="1"/>
  <c r="T37" i="1"/>
  <c r="S29" i="1"/>
  <c r="T29" i="1"/>
  <c r="S66" i="1"/>
  <c r="T66" i="1"/>
  <c r="S102" i="1"/>
  <c r="T102" i="1"/>
  <c r="S57" i="1"/>
  <c r="T57" i="1"/>
  <c r="S44" i="1"/>
  <c r="T44" i="1"/>
  <c r="S81" i="1"/>
  <c r="T81" i="1"/>
  <c r="S209" i="1"/>
  <c r="T209" i="1"/>
  <c r="S127" i="1"/>
  <c r="T127" i="1"/>
  <c r="S176" i="1"/>
  <c r="T176" i="1"/>
  <c r="S60" i="1"/>
  <c r="T60" i="1"/>
  <c r="S116" i="1"/>
  <c r="T116" i="1"/>
  <c r="S236" i="1"/>
  <c r="T236" i="1"/>
  <c r="S32" i="1"/>
  <c r="T32" i="1"/>
  <c r="S181" i="1"/>
  <c r="T181" i="1"/>
  <c r="S164" i="1"/>
  <c r="T164" i="1"/>
  <c r="S58" i="1"/>
  <c r="T58" i="1"/>
  <c r="S82" i="1"/>
  <c r="T82" i="1"/>
  <c r="S120" i="1"/>
  <c r="T120" i="1"/>
  <c r="S80" i="1"/>
  <c r="T80" i="1"/>
  <c r="S152" i="1"/>
  <c r="T152" i="1"/>
  <c r="S220" i="1"/>
  <c r="T220" i="1"/>
  <c r="S167" i="1"/>
  <c r="T167" i="1"/>
  <c r="S3" i="1"/>
  <c r="T3" i="1"/>
  <c r="S158" i="1"/>
  <c r="T158" i="1"/>
  <c r="S48" i="1"/>
  <c r="T48" i="1"/>
  <c r="S89" i="1"/>
  <c r="T89" i="1"/>
  <c r="S217" i="1"/>
  <c r="T217" i="1"/>
  <c r="S110" i="1"/>
  <c r="T110" i="1"/>
  <c r="S131" i="1"/>
  <c r="T131" i="1"/>
  <c r="S179" i="1"/>
  <c r="T179" i="1"/>
  <c r="S65" i="1"/>
  <c r="T65" i="1"/>
  <c r="S160" i="1"/>
  <c r="T160" i="1"/>
  <c r="S42" i="1"/>
  <c r="T42" i="1"/>
  <c r="S201" i="1"/>
  <c r="T201" i="1"/>
  <c r="S172" i="1"/>
  <c r="T172" i="1"/>
  <c r="S23" i="1"/>
  <c r="T23" i="1"/>
  <c r="S94" i="1"/>
  <c r="T94" i="1"/>
  <c r="S128" i="1"/>
  <c r="T128" i="1"/>
  <c r="S117" i="1"/>
  <c r="T117" i="1"/>
  <c r="S9" i="1"/>
  <c r="T9" i="1"/>
  <c r="S16" i="1"/>
  <c r="T16" i="1"/>
  <c r="S124" i="1"/>
  <c r="T124" i="1"/>
  <c r="S136" i="1"/>
  <c r="T136" i="1"/>
  <c r="S10" i="1"/>
  <c r="T10" i="1"/>
  <c r="S38" i="1"/>
  <c r="T38" i="1"/>
  <c r="S72" i="1"/>
  <c r="T72" i="1"/>
  <c r="S187" i="1"/>
  <c r="T187" i="1"/>
  <c r="S103" i="1"/>
  <c r="T103" i="1"/>
  <c r="S169" i="1"/>
  <c r="T169" i="1"/>
  <c r="S151" i="1"/>
  <c r="T151" i="1"/>
  <c r="S19" i="1"/>
  <c r="T19" i="1"/>
  <c r="S54" i="1"/>
  <c r="T54" i="1"/>
  <c r="S91" i="1"/>
  <c r="T91" i="1"/>
  <c r="S218" i="1"/>
  <c r="T218" i="1"/>
  <c r="S168" i="1"/>
  <c r="T168" i="1"/>
  <c r="S163" i="1"/>
  <c r="T163" i="1"/>
  <c r="S90" i="1"/>
  <c r="T90" i="1"/>
  <c r="S109" i="1"/>
  <c r="T109" i="1"/>
  <c r="S64" i="1"/>
  <c r="T64" i="1"/>
  <c r="S43" i="1"/>
  <c r="T43" i="1"/>
  <c r="S170" i="1"/>
  <c r="T170" i="1"/>
  <c r="S92" i="1"/>
  <c r="T92" i="1"/>
  <c r="S88" i="1"/>
  <c r="T88" i="1"/>
  <c r="S139" i="1"/>
  <c r="T139" i="1"/>
  <c r="S77" i="1"/>
  <c r="T77" i="1"/>
  <c r="S226" i="1"/>
  <c r="T226" i="1"/>
  <c r="S36" i="1"/>
  <c r="T36" i="1"/>
  <c r="S2" i="1"/>
  <c r="T2" i="1"/>
  <c r="S14" i="1"/>
  <c r="T14" i="1"/>
  <c r="S40" i="1"/>
  <c r="T40" i="1"/>
  <c r="S74" i="1"/>
  <c r="T74" i="1"/>
  <c r="S200" i="1"/>
  <c r="T200" i="1"/>
  <c r="S155" i="1"/>
  <c r="T155" i="1"/>
  <c r="S28" i="1"/>
  <c r="T28" i="1"/>
  <c r="S50" i="1"/>
  <c r="T50" i="1"/>
  <c r="S97" i="1"/>
  <c r="T97" i="1"/>
  <c r="S225" i="1"/>
  <c r="T225" i="1"/>
  <c r="S126" i="1"/>
  <c r="T126" i="1"/>
  <c r="S175" i="1"/>
  <c r="T175" i="1"/>
  <c r="S101" i="1"/>
  <c r="T101" i="1"/>
  <c r="S113" i="1"/>
  <c r="T113" i="1"/>
  <c r="S11" i="1"/>
  <c r="T11" i="1"/>
  <c r="S73" i="1"/>
  <c r="T73" i="1"/>
  <c r="S61" i="1"/>
  <c r="T61" i="1"/>
  <c r="S5" i="1"/>
  <c r="T5" i="1"/>
  <c r="S186" i="1"/>
  <c r="T186" i="1"/>
  <c r="S216" i="1"/>
  <c r="T216" i="1"/>
  <c r="S111" i="1"/>
  <c r="T111" i="1"/>
  <c r="S13" i="1"/>
  <c r="T13" i="1"/>
  <c r="S108" i="1"/>
  <c r="T108" i="1"/>
  <c r="S129" i="1"/>
  <c r="T129" i="1"/>
  <c r="S4" i="1"/>
  <c r="T4" i="1"/>
  <c r="S177" i="1"/>
  <c r="T177" i="1"/>
  <c r="S62" i="1"/>
  <c r="T62" i="1"/>
  <c r="S138" i="1"/>
  <c r="T138" i="1"/>
  <c r="S98" i="1"/>
  <c r="T98" i="1"/>
  <c r="S119" i="1"/>
  <c r="T119" i="1"/>
  <c r="S141" i="1"/>
  <c r="T141" i="1"/>
  <c r="S17" i="1"/>
  <c r="T17" i="1"/>
  <c r="S41" i="1"/>
  <c r="T41" i="1"/>
  <c r="S79" i="1"/>
  <c r="T79" i="1"/>
  <c r="S203" i="1"/>
  <c r="T203" i="1"/>
  <c r="S118" i="1"/>
  <c r="T118" i="1"/>
  <c r="S7" i="1"/>
  <c r="T7" i="1"/>
  <c r="S69" i="1"/>
  <c r="T69" i="1"/>
  <c r="S45" i="1"/>
  <c r="T45" i="1"/>
  <c r="S210" i="1"/>
  <c r="T210" i="1"/>
  <c r="S18" i="1"/>
  <c r="T18" i="1"/>
  <c r="S55" i="1"/>
  <c r="T55" i="1"/>
  <c r="S159" i="1"/>
  <c r="T159" i="1"/>
  <c r="S161" i="1"/>
  <c r="T161" i="1"/>
  <c r="S112" i="1"/>
  <c r="T112" i="1"/>
  <c r="S6" i="1"/>
  <c r="T6" i="1"/>
  <c r="S68" i="1"/>
  <c r="T68" i="1"/>
  <c r="S180" i="1"/>
  <c r="T180" i="1"/>
  <c r="S165" i="1"/>
  <c r="T165" i="1"/>
  <c r="S20" i="1"/>
  <c r="T20" i="1"/>
  <c r="S21" i="1"/>
  <c r="T21" i="1"/>
  <c r="S46" i="1"/>
  <c r="T46" i="1"/>
  <c r="S87" i="1"/>
  <c r="T87" i="1"/>
  <c r="S212" i="1"/>
  <c r="T212" i="1"/>
  <c r="S15" i="1"/>
  <c r="T15" i="1"/>
  <c r="S78" i="1"/>
  <c r="T78" i="1"/>
  <c r="S105" i="1"/>
  <c r="T105" i="1"/>
  <c r="S154" i="1"/>
  <c r="T154" i="1"/>
  <c r="S56" i="1"/>
  <c r="T56" i="1"/>
  <c r="S224" i="1"/>
  <c r="T224" i="1"/>
  <c r="S30" i="1"/>
  <c r="T30" i="1"/>
  <c r="S123" i="1"/>
  <c r="T123" i="1"/>
  <c r="S71" i="1"/>
  <c r="T71" i="1"/>
  <c r="S47" i="1"/>
  <c r="T47" i="1"/>
  <c r="S171" i="1"/>
  <c r="T171" i="1"/>
  <c r="S22" i="1"/>
  <c r="T22" i="1"/>
  <c r="S49" i="1"/>
  <c r="T49" i="1"/>
  <c r="S93" i="1"/>
  <c r="T93" i="1"/>
  <c r="S221" i="1"/>
  <c r="T221" i="1"/>
  <c r="S8" i="1"/>
  <c r="T8" i="1"/>
  <c r="S70" i="1"/>
  <c r="T70" i="1"/>
  <c r="S185" i="1"/>
  <c r="T185" i="1"/>
  <c r="S150" i="1"/>
  <c r="T150" i="1"/>
  <c r="S53" i="1"/>
  <c r="T53" i="1"/>
  <c r="S130" i="1"/>
  <c r="T130" i="1"/>
  <c r="S178" i="1"/>
  <c r="T178" i="1"/>
  <c r="S153" i="1"/>
  <c r="T153" i="1"/>
  <c r="S204" i="1"/>
  <c r="T204" i="1"/>
  <c r="S166" i="1"/>
  <c r="T166" i="1"/>
  <c r="S156" i="1"/>
  <c r="T156" i="1"/>
  <c r="S31" i="1"/>
  <c r="T31" i="1"/>
  <c r="S51" i="1"/>
  <c r="T51" i="1"/>
  <c r="S99" i="1"/>
  <c r="T99" i="1"/>
  <c r="S199" i="1"/>
  <c r="T199" i="1"/>
</calcChain>
</file>

<file path=xl/sharedStrings.xml><?xml version="1.0" encoding="utf-8"?>
<sst xmlns="http://schemas.openxmlformats.org/spreadsheetml/2006/main" count="5086" uniqueCount="967">
  <si>
    <t>ABBEY</t>
  </si>
  <si>
    <t>Construction Contract Planning and Coordination Services Software</t>
  </si>
  <si>
    <t>P514297</t>
  </si>
  <si>
    <t>KHAMMER2</t>
  </si>
  <si>
    <t xml:space="preserve">Aftermarket Parts and Supplies for Cars and Light Trucks </t>
  </si>
  <si>
    <t>The Baltimore Auto Supply Company</t>
  </si>
  <si>
    <t>P514298</t>
  </si>
  <si>
    <t>KTREAT</t>
  </si>
  <si>
    <t>IEH Auto Parts LLC</t>
  </si>
  <si>
    <t>P514299</t>
  </si>
  <si>
    <t>Quality Automotive Whse</t>
  </si>
  <si>
    <t>P514300</t>
  </si>
  <si>
    <t>PA Southern LLC.</t>
  </si>
  <si>
    <t>P514301</t>
  </si>
  <si>
    <t>FLEETPRIDE INC</t>
  </si>
  <si>
    <t>P514302</t>
  </si>
  <si>
    <t>Salvo Limited Partnership, LLLP</t>
  </si>
  <si>
    <t>P514303</t>
  </si>
  <si>
    <t>ROK Brothers Inc.</t>
  </si>
  <si>
    <t>P514304</t>
  </si>
  <si>
    <t>Service Parts Company DBA Papa Auto Parts</t>
  </si>
  <si>
    <t>P514305</t>
  </si>
  <si>
    <t>CRW Parts</t>
  </si>
  <si>
    <t>P515180</t>
  </si>
  <si>
    <t>BCOLE</t>
  </si>
  <si>
    <t xml:space="preserve">Body Shop Repair Services </t>
  </si>
  <si>
    <t>AL PACKER'S WHITE MARSH FORD</t>
  </si>
  <si>
    <t>P515181</t>
  </si>
  <si>
    <t xml:space="preserve">R&amp;E body and paint inc/ DBA MAACO </t>
  </si>
  <si>
    <t>P515182</t>
  </si>
  <si>
    <t>Beavers' Auto Body repair Center, Inc</t>
  </si>
  <si>
    <t>P515183</t>
  </si>
  <si>
    <t>C &amp; W Body and Fender Shop, Inc.</t>
  </si>
  <si>
    <t>P515184</t>
  </si>
  <si>
    <t>Herman Born &amp; Sons, Inc.</t>
  </si>
  <si>
    <t>P515185</t>
  </si>
  <si>
    <t>BALTIMORE FREIGHTLINER</t>
  </si>
  <si>
    <t>P515186</t>
  </si>
  <si>
    <t>Middleton &amp; Meads</t>
  </si>
  <si>
    <t>P515187</t>
  </si>
  <si>
    <t>AutoNation Chevrolet Timonium dba Valley Chevrolet</t>
  </si>
  <si>
    <t>P515188</t>
  </si>
  <si>
    <t>Linthicum Ferndale Auto Body, Inc.</t>
  </si>
  <si>
    <t>P515189</t>
  </si>
  <si>
    <t>Donahoo Collision Center LLC</t>
  </si>
  <si>
    <t>P515190</t>
  </si>
  <si>
    <t>Lords Collision Experts trading as Security Auto Body</t>
  </si>
  <si>
    <t>P517893</t>
  </si>
  <si>
    <t>SZIEGLER</t>
  </si>
  <si>
    <t>Uniform &amp; Locker Rental with Laundry Service</t>
  </si>
  <si>
    <t>G&amp;K Services</t>
  </si>
  <si>
    <t>P518386</t>
  </si>
  <si>
    <t>MVASAVAD</t>
  </si>
  <si>
    <t>Drain Cleaning services</t>
  </si>
  <si>
    <t>Mitchell Plumbing &amp; Heating, Inc</t>
  </si>
  <si>
    <t>P518464</t>
  </si>
  <si>
    <t>Spring and Suspension Repairs</t>
  </si>
  <si>
    <t>P518465</t>
  </si>
  <si>
    <t>SFELDMAN</t>
  </si>
  <si>
    <t>Maintenance, Parts and Repair Service for The Fire Boats</t>
  </si>
  <si>
    <t>The General Ship Repair Corp.</t>
  </si>
  <si>
    <t>P518466</t>
  </si>
  <si>
    <t>Marcon Engineering</t>
  </si>
  <si>
    <t>P520012</t>
  </si>
  <si>
    <t>BREADY</t>
  </si>
  <si>
    <t>Caterpillar Maintenance &amp; Repair</t>
  </si>
  <si>
    <t>CORRELLI INCORPORATED</t>
  </si>
  <si>
    <t>P520013</t>
  </si>
  <si>
    <t>Alban Tractor Co. Inc.</t>
  </si>
  <si>
    <t>P520649</t>
  </si>
  <si>
    <t>Inspection and Repairs of the Compressed Natural Gas System for Vehicles</t>
  </si>
  <si>
    <t>O'Donnell Honda</t>
  </si>
  <si>
    <t>P521030</t>
  </si>
  <si>
    <t>Parts and Service for Tennant Scrubbers - Sweepers and Litter Vacs</t>
  </si>
  <si>
    <t>Tennant Sales and Service Company</t>
  </si>
  <si>
    <t>P521426</t>
  </si>
  <si>
    <t>Recreational Vehicle and Motor Home Repairs</t>
  </si>
  <si>
    <t>EFFICIENCY ENTERPRISES</t>
  </si>
  <si>
    <t>P521466</t>
  </si>
  <si>
    <t xml:space="preserve">OEM Parts and Service for John Deere Equipment </t>
  </si>
  <si>
    <t>JESCO, INC.</t>
  </si>
  <si>
    <t>P521601</t>
  </si>
  <si>
    <t>OEM Parts, Service and Warranty Repairs for International Heavy Trucks</t>
  </si>
  <si>
    <t>West End Service Inc</t>
  </si>
  <si>
    <t>P521602</t>
  </si>
  <si>
    <t>BELTWAY INTERNATIONAL</t>
  </si>
  <si>
    <t>P522012</t>
  </si>
  <si>
    <t xml:space="preserve">Vehicle Upholstery Services </t>
  </si>
  <si>
    <t>Smith Auto Glass</t>
  </si>
  <si>
    <t>P522357</t>
  </si>
  <si>
    <t>Aftermarket Parts and Repair Service for Heavy Trucks and Equipment</t>
  </si>
  <si>
    <t>P522358</t>
  </si>
  <si>
    <t>Waste Equipment Sales &amp; Service, LLC</t>
  </si>
  <si>
    <t>P522359</t>
  </si>
  <si>
    <t>Mid-Atlantic Waste Systems</t>
  </si>
  <si>
    <t>P522360</t>
  </si>
  <si>
    <t>P522588</t>
  </si>
  <si>
    <t xml:space="preserve">Havis Shields OEM Parts </t>
  </si>
  <si>
    <t>Priority Install</t>
  </si>
  <si>
    <t>P522607</t>
  </si>
  <si>
    <t xml:space="preserve">O.E.M. Parts &amp; Service for Honda Vehicles </t>
  </si>
  <si>
    <t>Tims automotive and towing</t>
  </si>
  <si>
    <t>P522689</t>
  </si>
  <si>
    <t>O.E.M. Parts and Service for Mauldin Construction Equipment</t>
  </si>
  <si>
    <t>George Associates, Inc.</t>
  </si>
  <si>
    <t>P522700</t>
  </si>
  <si>
    <t xml:space="preserve">OEM and Afermarket Parts and Service for Cushman Electric Products  </t>
  </si>
  <si>
    <t>Werres Corporation</t>
  </si>
  <si>
    <t>P522735</t>
  </si>
  <si>
    <t>O.E.M. Parts and Service for Nissan Automotive</t>
  </si>
  <si>
    <t>Criswell Chevrolet Inc</t>
  </si>
  <si>
    <t>P522846</t>
  </si>
  <si>
    <t>Qualified Dealers for Cars and Light Trucks</t>
  </si>
  <si>
    <t>Baltimore City Fleet Vendors</t>
  </si>
  <si>
    <t>P522937</t>
  </si>
  <si>
    <t>Boiler Repair Related Services</t>
  </si>
  <si>
    <t>Denver-Elek</t>
  </si>
  <si>
    <t>P522966</t>
  </si>
  <si>
    <t>Spray -In Bedliners As Required</t>
  </si>
  <si>
    <t>acres automotive</t>
  </si>
  <si>
    <t>P523033</t>
  </si>
  <si>
    <t xml:space="preserve">OEM Parts and Service for Saf T Liner Bus </t>
  </si>
  <si>
    <t>Columbia Fleet Service</t>
  </si>
  <si>
    <t>P523054</t>
  </si>
  <si>
    <t>Used/ Salvage Foreign and Domestic Auto Parts</t>
  </si>
  <si>
    <t>Millennium Auto Parts</t>
  </si>
  <si>
    <t>P523055</t>
  </si>
  <si>
    <t>OEM and Aftermarket Parts and Service for Marine Equipment</t>
  </si>
  <si>
    <t>Anchor Bay East Marina</t>
  </si>
  <si>
    <t>P523098</t>
  </si>
  <si>
    <t>Automotive Transmission Repair Service</t>
  </si>
  <si>
    <t>Holabird Enterprises of Maryland Inc.</t>
  </si>
  <si>
    <t>P523951</t>
  </si>
  <si>
    <t>OEM Parts for PL Custom Fire Apparatus and Equipment</t>
  </si>
  <si>
    <t>Delmarva Pump Center (DPC Emergency Equipment)</t>
  </si>
  <si>
    <t>P523988</t>
  </si>
  <si>
    <t>BOLUWASU</t>
  </si>
  <si>
    <t>Fleet Fuel Credit Card Services</t>
  </si>
  <si>
    <t>Wright Express</t>
  </si>
  <si>
    <t>P524137</t>
  </si>
  <si>
    <t>OEM Parts and Service for Elkin Cement Mixers</t>
  </si>
  <si>
    <t xml:space="preserve">Volumetric Service Center and Elkin Spreaders </t>
  </si>
  <si>
    <t>P524844</t>
  </si>
  <si>
    <t>BG Chemicals</t>
  </si>
  <si>
    <t>CROVATO PRODUCTS AND SERVICES, LLC</t>
  </si>
  <si>
    <t>P525152</t>
  </si>
  <si>
    <t>OEM Parts and Service for Horton Medics</t>
  </si>
  <si>
    <t>FESCO Emergency Sales</t>
  </si>
  <si>
    <t>P525512</t>
  </si>
  <si>
    <t>Response Services for Oil Spill &amp; Hazardous Waste Cleanup</t>
  </si>
  <si>
    <t>Kalyani Environmental Solutions, LLC</t>
  </si>
  <si>
    <t>P526059</t>
  </si>
  <si>
    <t xml:space="preserve">OEM Parts for  Billy Goat  Lawn Mowers </t>
  </si>
  <si>
    <t>BMR INC</t>
  </si>
  <si>
    <t>P526070</t>
  </si>
  <si>
    <t xml:space="preserve">OEM Parts &amp; Service for Elgin Sweepers and Vactor Sewer Vacs </t>
  </si>
  <si>
    <t>Maryland Industrial Trucks</t>
  </si>
  <si>
    <t>P526180</t>
  </si>
  <si>
    <t>OEM Parts &amp; Service for Altec Bucket Trucks</t>
  </si>
  <si>
    <t>Altec Industries Inc</t>
  </si>
  <si>
    <t>P526468</t>
  </si>
  <si>
    <t>Steel Products</t>
  </si>
  <si>
    <t>DS Pipe &amp; Stell Supply, LLC dba DS Steel Supply LLC</t>
  </si>
  <si>
    <t>P526534</t>
  </si>
  <si>
    <t>Hydraulic &amp; Welding Repair Services</t>
  </si>
  <si>
    <t>Greb Service, Inc.</t>
  </si>
  <si>
    <t>P526535</t>
  </si>
  <si>
    <t>P526537</t>
  </si>
  <si>
    <t>OEM Parts - EJ Ward Canceivers</t>
  </si>
  <si>
    <t>E.J. Ward, Inc.</t>
  </si>
  <si>
    <t>P526556</t>
  </si>
  <si>
    <t>New Holland O.E.M Parts and Service</t>
  </si>
  <si>
    <t>Security Equipment Co</t>
  </si>
  <si>
    <t>P526746</t>
  </si>
  <si>
    <t>OEM Parts and Service for GM/Chevrolet Vehicles</t>
  </si>
  <si>
    <t>P526837</t>
  </si>
  <si>
    <t>PEPCO -Baltimore City Government Buildings-Monthly Invoice#BGB3-55</t>
  </si>
  <si>
    <t>Pepco Government Services</t>
  </si>
  <si>
    <t>P526856</t>
  </si>
  <si>
    <t>Heavy Duty Transmission and Differentials Rebuild and Repair Service</t>
  </si>
  <si>
    <t>P526887</t>
  </si>
  <si>
    <t>O.E.M. Parts and Service for Toro Equipment</t>
  </si>
  <si>
    <t>P526890</t>
  </si>
  <si>
    <t xml:space="preserve">OEM Parts and Service for Bobcat Equipment </t>
  </si>
  <si>
    <t>metro rentals, inc.</t>
  </si>
  <si>
    <t xml:space="preserve">Automotive Radiators &amp; Heaters </t>
  </si>
  <si>
    <t>CUMMINS RADIATOR CO</t>
  </si>
  <si>
    <t>P526900</t>
  </si>
  <si>
    <t>P527231</t>
  </si>
  <si>
    <t xml:space="preserve">Automotive Starters &amp; Alternators </t>
  </si>
  <si>
    <t>BEST BATTERY CO INC</t>
  </si>
  <si>
    <t>P527249</t>
  </si>
  <si>
    <t>OEM Parts and Service for Ford Vehicles</t>
  </si>
  <si>
    <t>P527371</t>
  </si>
  <si>
    <t>OEM Parts and Service for Chrysler Group Vehicles</t>
  </si>
  <si>
    <t>HERITAGE DODGE</t>
  </si>
  <si>
    <t>P527375</t>
  </si>
  <si>
    <t>Truck Mounted Generators &amp; Electrical Equipment, Parts and Service</t>
  </si>
  <si>
    <t>Frank Quinn Co., Inc.</t>
  </si>
  <si>
    <t>P527447</t>
  </si>
  <si>
    <t>O.E.M Parts and Service for Sefac Mobile Lifts</t>
  </si>
  <si>
    <t>SLEC, Inc.</t>
  </si>
  <si>
    <t>P527667</t>
  </si>
  <si>
    <t>Automotive Paint and Supplies</t>
  </si>
  <si>
    <t>marty's auto paint supply inc</t>
  </si>
  <si>
    <t>P527694</t>
  </si>
  <si>
    <t>Marine Skimmer Maintenance, Repair, Parts and Service</t>
  </si>
  <si>
    <t>P527708</t>
  </si>
  <si>
    <t>Archibus Maintenance and Support Agreement</t>
  </si>
  <si>
    <t>Rand Worldwide Subsidiary Inc.</t>
  </si>
  <si>
    <t>P527826</t>
  </si>
  <si>
    <t>On Site Preventative Maintenance Service for Heavy Duty Vehicles</t>
  </si>
  <si>
    <t>P527839</t>
  </si>
  <si>
    <t>OEM Parts and Service for Mack Trucks</t>
  </si>
  <si>
    <t>P528024</t>
  </si>
  <si>
    <t xml:space="preserve">OEM Parts and Service for Gravely Equipment and Ariens </t>
  </si>
  <si>
    <t>MID ATLANTIC TURF EQUIPMENT LLC</t>
  </si>
  <si>
    <t>P528031</t>
  </si>
  <si>
    <t>O.E.M. Parts and Service for Scag Lawn Mowers</t>
  </si>
  <si>
    <t>P528103</t>
  </si>
  <si>
    <t>OEM Parts and Service for General Motors Heavy Duty Trucks</t>
  </si>
  <si>
    <t>BOB BELL CHEVROLET</t>
  </si>
  <si>
    <t>P528190</t>
  </si>
  <si>
    <t>O.E.M Parts and Service for Allison Transmissions  - 2ND CALL (1ST CALL FOR OVERHAUL ONLY)</t>
  </si>
  <si>
    <t>Johnson &amp; Towers, Inc.</t>
  </si>
  <si>
    <t>P528191</t>
  </si>
  <si>
    <t xml:space="preserve">O.E.M Parts and Service for Allison Transmissions - 1ST CALL </t>
  </si>
  <si>
    <t>P528193</t>
  </si>
  <si>
    <t xml:space="preserve">O.E.M. Parts &amp; Service for Cummins Engines </t>
  </si>
  <si>
    <t>P528194</t>
  </si>
  <si>
    <t>O.E.M Parts and Service for Detroit Engines</t>
  </si>
  <si>
    <t>P528195</t>
  </si>
  <si>
    <t>O.E.M Parts and Service for Doosan Heavy Equipment</t>
  </si>
  <si>
    <t>H&amp;E Equipment Services</t>
  </si>
  <si>
    <t>P528196</t>
  </si>
  <si>
    <t>O.E.M Parts and Service for New Way Trucks - 1st CALL</t>
  </si>
  <si>
    <t>P528197</t>
  </si>
  <si>
    <t>O.E.M Parts and Service for New Way Trucks - 2ND CALL (1ST CALL FOR WARRANTY ONLY)</t>
  </si>
  <si>
    <t>MDEAN1</t>
  </si>
  <si>
    <t>P528564</t>
  </si>
  <si>
    <t>Turf Equipment &amp; Supply Co Inc.</t>
  </si>
  <si>
    <t>P528667</t>
  </si>
  <si>
    <t>Snow Emergency Food For Fleet Management Division</t>
  </si>
  <si>
    <t>Prima Foods</t>
  </si>
  <si>
    <t>P528788</t>
  </si>
  <si>
    <t xml:space="preserve">OEM Parts and Service for Hustler Lawn Equipment </t>
  </si>
  <si>
    <t>GAMBRILLS EQUIPMENT CO.,INC.</t>
  </si>
  <si>
    <t>P528792</t>
  </si>
  <si>
    <t xml:space="preserve"> Waste Oil/Revenue</t>
  </si>
  <si>
    <t>Heritage-Crystal Clean, LLC</t>
  </si>
  <si>
    <t>P528856</t>
  </si>
  <si>
    <t>Recovery Services for Used Oil Filters, Contaminated Gasoline, Oily Water/sludge and etc</t>
  </si>
  <si>
    <t>P528895</t>
  </si>
  <si>
    <t>O.E.M Parts and Service For Peterbilt Heavy Truck</t>
  </si>
  <si>
    <t>Peterbilt of Baltimore</t>
  </si>
  <si>
    <t>P528896</t>
  </si>
  <si>
    <t>P529066</t>
  </si>
  <si>
    <t>OEM Parts and Service for UD Cab &amp; Chassis Trucks</t>
  </si>
  <si>
    <t>Norris Chesapeake Truck Sales LLC</t>
  </si>
  <si>
    <t>P529089</t>
  </si>
  <si>
    <t>GANDERSON</t>
  </si>
  <si>
    <t>Service Contract for Commercial and Residential Appliances</t>
  </si>
  <si>
    <t>K&amp;K Industrials</t>
  </si>
  <si>
    <t>P529175</t>
  </si>
  <si>
    <t>Testing and Inspection of Fuel Facilities</t>
  </si>
  <si>
    <t>Clean Fuels Associates</t>
  </si>
  <si>
    <t>P529186</t>
  </si>
  <si>
    <t xml:space="preserve">Parts and Repair Service for Muncie Pumps, Power Take Offs and Valves </t>
  </si>
  <si>
    <t>HYDRATEC INC.</t>
  </si>
  <si>
    <t>P529190</t>
  </si>
  <si>
    <t>OEM Parts and Service for Sterling Heavy Trucks</t>
  </si>
  <si>
    <t>P529191</t>
  </si>
  <si>
    <t>P529221</t>
  </si>
  <si>
    <t>On-call Roofing Services</t>
  </si>
  <si>
    <t>Simpson of Maryland, Inc.</t>
  </si>
  <si>
    <t>P529222</t>
  </si>
  <si>
    <t>CitiRoof Corp.</t>
  </si>
  <si>
    <t>P529224</t>
  </si>
  <si>
    <t xml:space="preserve">Autumn Contracting, Inc. </t>
  </si>
  <si>
    <t>P529372</t>
  </si>
  <si>
    <t>Aftermarket Parts and Services for Detroit Engines.</t>
  </si>
  <si>
    <t>multiparts and services</t>
  </si>
  <si>
    <t>P529415</t>
  </si>
  <si>
    <t>OEM Parts and Service for Freightliner Trucks</t>
  </si>
  <si>
    <t>P529416</t>
  </si>
  <si>
    <t>P529439</t>
  </si>
  <si>
    <t xml:space="preserve">O.E.M Parts &amp; Service for JCB &amp; LeeBoy Equipment </t>
  </si>
  <si>
    <t>Valley Supply and Equipment Co., Inc.</t>
  </si>
  <si>
    <t>P529481</t>
  </si>
  <si>
    <t xml:space="preserve"> Amida Light Towers - O.E.M. Parts and Service</t>
  </si>
  <si>
    <t>P529506</t>
  </si>
  <si>
    <t>Parts and Maintenance for Fuel Dispensing Equipment</t>
  </si>
  <si>
    <t>Total Environmental Concepts, Inc.</t>
  </si>
  <si>
    <t>P529824</t>
  </si>
  <si>
    <t xml:space="preserve">Towing Services for Cars, Trucks and Heavy Equipment </t>
  </si>
  <si>
    <t>Ted's Towing Service Inc.</t>
  </si>
  <si>
    <t>P529825</t>
  </si>
  <si>
    <t>The Auto Barn Inc.</t>
  </si>
  <si>
    <t>P529937</t>
  </si>
  <si>
    <t>Automotive Window Tinting Service</t>
  </si>
  <si>
    <t>Eclipse tinting Service llc</t>
  </si>
  <si>
    <t>P530010</t>
  </si>
  <si>
    <t xml:space="preserve">Automotive Hardware and Fasteners </t>
  </si>
  <si>
    <t>ROBNET, INC</t>
  </si>
  <si>
    <t>P530380</t>
  </si>
  <si>
    <t>Removal of waste paint and service and repair for a manual paint gun cleaning station</t>
  </si>
  <si>
    <t>Safety-Kleen</t>
  </si>
  <si>
    <t>P530424</t>
  </si>
  <si>
    <t>Major Repairs, Upgrades &amp; Replacement of Underground and Aboveground Fuel Tanks</t>
  </si>
  <si>
    <t>P530460</t>
  </si>
  <si>
    <t>Shop Towels / Rags</t>
  </si>
  <si>
    <t>CCP Industries</t>
  </si>
  <si>
    <t>P530680</t>
  </si>
  <si>
    <t>Accela, Inc.</t>
  </si>
  <si>
    <t>P530759</t>
  </si>
  <si>
    <t>DMACER</t>
  </si>
  <si>
    <t>Monthly Services and Hands Free Sanitary Disposal Units</t>
  </si>
  <si>
    <t>Workplace Essentials</t>
  </si>
  <si>
    <t>P530898</t>
  </si>
  <si>
    <t>Hydraulic Hoses &amp; Fittings</t>
  </si>
  <si>
    <t>Tipco Technologies, Inc.</t>
  </si>
  <si>
    <t>P531066</t>
  </si>
  <si>
    <t xml:space="preserve">Welding Equipment and Supplies  </t>
  </si>
  <si>
    <t xml:space="preserve">Airgas USA, LLC </t>
  </si>
  <si>
    <t>P531368</t>
  </si>
  <si>
    <t>O.E.M. Parts and Service for Case Construction Equipment</t>
  </si>
  <si>
    <t>Folcomer Equipment Corp</t>
  </si>
  <si>
    <t>P531619</t>
  </si>
  <si>
    <t>KPARRY</t>
  </si>
  <si>
    <t>Door Installation and Repair</t>
  </si>
  <si>
    <t>Total Contracting, Inc.</t>
  </si>
  <si>
    <t>P531620</t>
  </si>
  <si>
    <t>Colossal Contractors</t>
  </si>
  <si>
    <t>P531621</t>
  </si>
  <si>
    <t>JB Contracting, Inc.</t>
  </si>
  <si>
    <t>P531873</t>
  </si>
  <si>
    <t xml:space="preserve">Custodial Services for CitiWatch </t>
  </si>
  <si>
    <t>Southern Management Company</t>
  </si>
  <si>
    <t>P532057</t>
  </si>
  <si>
    <t>BBROOKS1</t>
  </si>
  <si>
    <t xml:space="preserve">Windows and Trusses Cleaning Services </t>
  </si>
  <si>
    <t>AAA National USA, Inc.</t>
  </si>
  <si>
    <t>P532264</t>
  </si>
  <si>
    <t xml:space="preserve">Tire Repair and Maintenance Supplies </t>
  </si>
  <si>
    <t>Myers Tire Supply</t>
  </si>
  <si>
    <t>P532330</t>
  </si>
  <si>
    <t>Gasoline And Diesel Fuel</t>
  </si>
  <si>
    <t>PAPCO, Inc.</t>
  </si>
  <si>
    <t>P532668</t>
  </si>
  <si>
    <t>DFINNERTY</t>
  </si>
  <si>
    <t>Stratos Contract Extension for Post Modernization Out of Scope Elevator Repairs</t>
  </si>
  <si>
    <t>Stratos Elevator, Inc.</t>
  </si>
  <si>
    <t>P532867</t>
  </si>
  <si>
    <t>OEM Parts and Service for Onan and Cummins Generators</t>
  </si>
  <si>
    <t>Cummins Power Systems LLC</t>
  </si>
  <si>
    <t>P533657</t>
  </si>
  <si>
    <t>GM Training - Raytheon</t>
  </si>
  <si>
    <t>Raytheon Professional Services LLC</t>
  </si>
  <si>
    <t>P533675</t>
  </si>
  <si>
    <t xml:space="preserve">Vehicle Glass Repair and Installation Services </t>
  </si>
  <si>
    <t>Millenium 2, Inc.</t>
  </si>
  <si>
    <t>P533676</t>
  </si>
  <si>
    <t>P533925</t>
  </si>
  <si>
    <t xml:space="preserve">Truck Accessories </t>
  </si>
  <si>
    <t>Admiral Tire</t>
  </si>
  <si>
    <t>P533956</t>
  </si>
  <si>
    <t>OEM Parts and Service for FUSO Mitsubishi Trucks</t>
  </si>
  <si>
    <t>P534281</t>
  </si>
  <si>
    <t>Decals and Striping</t>
  </si>
  <si>
    <t>Shannon-Baum Signs, Inc.</t>
  </si>
  <si>
    <t>P534307</t>
  </si>
  <si>
    <t xml:space="preserve">OEM Parts and Service for Pierce Fire Apparatus </t>
  </si>
  <si>
    <t>Atlantic Emergency Solutions, Inc.</t>
  </si>
  <si>
    <t>P534308</t>
  </si>
  <si>
    <t xml:space="preserve">OEM Parts &amp; Service for Seagrave Fire Apparatus  </t>
  </si>
  <si>
    <t>P534359</t>
  </si>
  <si>
    <t xml:space="preserve">OEM Parts and Service for regenerated filters for Ward Diesel Filter Systems in Vehicles </t>
  </si>
  <si>
    <t>Beecher Emission Solution Technologies, LLC</t>
  </si>
  <si>
    <t>P534739</t>
  </si>
  <si>
    <t>OEM Parts and Service for LTI Ladder Trucks</t>
  </si>
  <si>
    <t>Fire Line Equipment LLC</t>
  </si>
  <si>
    <t>P534987</t>
  </si>
  <si>
    <t>Parts and Service for RTI Technologies Brand A/C Machines</t>
  </si>
  <si>
    <t>ferguson corporation</t>
  </si>
  <si>
    <t>P535335</t>
  </si>
  <si>
    <t xml:space="preserve">Parts and Service for Power Pressure Washer </t>
  </si>
  <si>
    <t xml:space="preserve">McHenry Equipment Inc. </t>
  </si>
  <si>
    <t>P535658</t>
  </si>
  <si>
    <t>Vermeer Equipment O.E.M. Parts and Service</t>
  </si>
  <si>
    <t>Vermeer Mid Atlantic, Inc.</t>
  </si>
  <si>
    <t>P535812</t>
  </si>
  <si>
    <t>Skid Steer Loaders</t>
  </si>
  <si>
    <t>Finch Services, Inc.</t>
  </si>
  <si>
    <t>P535834</t>
  </si>
  <si>
    <t>Automotive Air Conditioning System Repairs</t>
  </si>
  <si>
    <t>ABC Radiator &amp; Welding Corporation</t>
  </si>
  <si>
    <t>P535957</t>
  </si>
  <si>
    <t xml:space="preserve">Car Wash Soap and Supplies for Fallsway Sub Station </t>
  </si>
  <si>
    <t>B &amp; L Sales Inc</t>
  </si>
  <si>
    <t>P536038</t>
  </si>
  <si>
    <t xml:space="preserve">MLFY16T10 - Rotary Mower </t>
  </si>
  <si>
    <t>Jacobsen, a division of Textron</t>
  </si>
  <si>
    <t>P536051</t>
  </si>
  <si>
    <t>Regular Cab Truck with a 30 Foot Aerial Lift Bucket</t>
  </si>
  <si>
    <t>P536055</t>
  </si>
  <si>
    <t>Chipper Trucks with an Aerial Lift</t>
  </si>
  <si>
    <t>P536071</t>
  </si>
  <si>
    <t>Archibus Mobile Application Licenses (GSA Schedule Contract)</t>
  </si>
  <si>
    <t>DLT Solutions, LLC</t>
  </si>
  <si>
    <t>P536174</t>
  </si>
  <si>
    <t>Pneumatic Tire Forklift - Color: White</t>
  </si>
  <si>
    <t>P536184</t>
  </si>
  <si>
    <t>Aftermarket Body and Fender Parts</t>
  </si>
  <si>
    <t>P536207</t>
  </si>
  <si>
    <t>Tandem Dump Truck</t>
  </si>
  <si>
    <t>P536261</t>
  </si>
  <si>
    <t>Zero Turn Sand Rake</t>
  </si>
  <si>
    <t>P536303</t>
  </si>
  <si>
    <t>Archibus Web Central Licenses Renewal 9GSA Schedule Contract #GS-35F-267DA)</t>
  </si>
  <si>
    <t>P536386</t>
  </si>
  <si>
    <t>R.S. Means Company, LLC  Online Software</t>
  </si>
  <si>
    <t>R.S. Means Company, LLC</t>
  </si>
  <si>
    <t>P536466</t>
  </si>
  <si>
    <t xml:space="preserve">Cummins Training DGS Fleet Auto Mechanics  </t>
  </si>
  <si>
    <t>Automotive Training Authority Inc</t>
  </si>
  <si>
    <t>P536688</t>
  </si>
  <si>
    <t>Mats- Odorite</t>
  </si>
  <si>
    <t>ODORITE</t>
  </si>
  <si>
    <t>P536723</t>
  </si>
  <si>
    <t>Stratos Elevator Preventative Maintenance- Courthouse East -111 North Calvert Street</t>
  </si>
  <si>
    <t>P536725</t>
  </si>
  <si>
    <t>Alarm Security System - War Memorial Building</t>
  </si>
  <si>
    <t xml:space="preserve">Stanley Security Solutions </t>
  </si>
  <si>
    <t>P536850</t>
  </si>
  <si>
    <t>Tractors - Various Types</t>
  </si>
  <si>
    <t>P537003</t>
  </si>
  <si>
    <t>VFA Reporting Software</t>
  </si>
  <si>
    <t>VFA Inc</t>
  </si>
  <si>
    <t>P537050</t>
  </si>
  <si>
    <t>Cold Milling Machine - Color: White</t>
  </si>
  <si>
    <t>Elliott &amp; Frantz, Inc.</t>
  </si>
  <si>
    <t>P537056</t>
  </si>
  <si>
    <t>Emergency Vehicle Lighting and Accessories</t>
  </si>
  <si>
    <t>EAST COAST EMERGENCY LIGHTING, INC</t>
  </si>
  <si>
    <t>P537224</t>
  </si>
  <si>
    <t>Landscaping Services</t>
  </si>
  <si>
    <t>The Garrison Company</t>
  </si>
  <si>
    <t>P537310</t>
  </si>
  <si>
    <t>John Deere HPX Gators</t>
  </si>
  <si>
    <t>P537474</t>
  </si>
  <si>
    <t>Masonry and Concrete Repair Services</t>
  </si>
  <si>
    <t>P537501</t>
  </si>
  <si>
    <t>Pest Control Services and Bed Bug K9 Detection</t>
  </si>
  <si>
    <t>J.C. Ehrlich d/b/a Target Specialty Products</t>
  </si>
  <si>
    <t>P537512</t>
  </si>
  <si>
    <t>PORTABLE GENERATOR</t>
  </si>
  <si>
    <t>Leete Generators</t>
  </si>
  <si>
    <t>P537780</t>
  </si>
  <si>
    <t>Regular Cab Truck with a Dump Body</t>
  </si>
  <si>
    <t>Kip Killmon Louisa Ford, LLC</t>
  </si>
  <si>
    <t>P537814</t>
  </si>
  <si>
    <t xml:space="preserve"> Vehicle Exhaust  Repairs </t>
  </si>
  <si>
    <t>Meineke Car Care Center</t>
  </si>
  <si>
    <t>P537815</t>
  </si>
  <si>
    <t>Beltway Kenwood, LLC</t>
  </si>
  <si>
    <t>P537843</t>
  </si>
  <si>
    <t>Inspections and Certification for Fuel Tanker Trucks</t>
  </si>
  <si>
    <t>Westmor Industries</t>
  </si>
  <si>
    <t>P537850</t>
  </si>
  <si>
    <t>One Ton Crew Cab Dump Truck</t>
  </si>
  <si>
    <t>Hertrich Fleet Services</t>
  </si>
  <si>
    <t>P537904</t>
  </si>
  <si>
    <t>OEM Parts and Service for Harley-Davidson Motorcycles</t>
  </si>
  <si>
    <t>baltimore harley-davidson</t>
  </si>
  <si>
    <t>P537905</t>
  </si>
  <si>
    <t>Old Glory Harley Davidson</t>
  </si>
  <si>
    <t>P538021</t>
  </si>
  <si>
    <t>Parts and Service for All Terrain Vehicles and Dirt Bikes</t>
  </si>
  <si>
    <t>GLEN BURNIE MOTORSPORTS</t>
  </si>
  <si>
    <t>P538037</t>
  </si>
  <si>
    <t>OEM  and Aftermarket Parts and Repair for Lawn Mowers and Landscape Equipment</t>
  </si>
  <si>
    <t>P538038</t>
  </si>
  <si>
    <t>Port City Equipment Co</t>
  </si>
  <si>
    <t>P538039</t>
  </si>
  <si>
    <t>OEM Parts and Service for Stellar Truck Bodies</t>
  </si>
  <si>
    <t>P538145</t>
  </si>
  <si>
    <t>Snow Removal Services for Police Districts</t>
  </si>
  <si>
    <t>C&amp;W CONSTRUCTION COMPANY</t>
  </si>
  <si>
    <t>P538169</t>
  </si>
  <si>
    <t xml:space="preserve">Backhoe with Loader </t>
  </si>
  <si>
    <t>P538225</t>
  </si>
  <si>
    <t>Janitorial Services - Area A</t>
  </si>
  <si>
    <t>Associated Building Maintenance Co., Inc.</t>
  </si>
  <si>
    <t>P538246</t>
  </si>
  <si>
    <t xml:space="preserve">Janitorial Services - Area C </t>
  </si>
  <si>
    <t>P538247</t>
  </si>
  <si>
    <t>Cutaway Vans with a Dry Freight Body</t>
  </si>
  <si>
    <t>bayshore ford truck sales</t>
  </si>
  <si>
    <t>P538249</t>
  </si>
  <si>
    <t xml:space="preserve">Janitorial Services - Area B </t>
  </si>
  <si>
    <t>P538281</t>
  </si>
  <si>
    <t>Mobile Stage Trailer</t>
  </si>
  <si>
    <t>century industries</t>
  </si>
  <si>
    <t>P538386</t>
  </si>
  <si>
    <t>Volvo Asphalt Compactor/Paver - OEM Parts and Service</t>
  </si>
  <si>
    <t>McClung-Logan Equipment Company, Inc.</t>
  </si>
  <si>
    <t>P538397</t>
  </si>
  <si>
    <t>Parts and Service for SmartWash Storm Touchless Gantry Washer</t>
  </si>
  <si>
    <t>Myco Incorporated</t>
  </si>
  <si>
    <t>P538499</t>
  </si>
  <si>
    <t xml:space="preserve"> Catering - DGS</t>
  </si>
  <si>
    <t>Jay's Restaurant Group, Inc.</t>
  </si>
  <si>
    <t>P538508</t>
  </si>
  <si>
    <t>Transit Van with Camera Inspection System</t>
  </si>
  <si>
    <t>P538598</t>
  </si>
  <si>
    <t>E.J. Ward, Inc. Service, Call Center and Support Agreement</t>
  </si>
  <si>
    <t>P538778</t>
  </si>
  <si>
    <t>OEM Parts and Service for Car Wash (The Tandem Rite Touch) at Fallsway Substation</t>
  </si>
  <si>
    <t>WashTech</t>
  </si>
  <si>
    <t>P538870</t>
  </si>
  <si>
    <t>Parts and On- Site Service for Hunter Tire Equipment</t>
  </si>
  <si>
    <t>Hunter Service Solutions</t>
  </si>
  <si>
    <t>P538998</t>
  </si>
  <si>
    <t xml:space="preserve">Annual and Five Year Certifications and Inspections for Ladder Trucks </t>
  </si>
  <si>
    <t>American Test Center</t>
  </si>
  <si>
    <t>P539028</t>
  </si>
  <si>
    <t>O.E.M. Parts and Service for Wirtgen Cold Milling Machine</t>
  </si>
  <si>
    <t>elliott &amp; Frantz</t>
  </si>
  <si>
    <t>P539050</t>
  </si>
  <si>
    <t>MACS Mobile A/C Training Proposal for DGS Fleet Management</t>
  </si>
  <si>
    <t>Mobile Air Conditioning Society, Inc.</t>
  </si>
  <si>
    <t>P539155</t>
  </si>
  <si>
    <t>Fleet IT Training</t>
  </si>
  <si>
    <t>Learning Tree International USA, Inc.</t>
  </si>
  <si>
    <t>P539270</t>
  </si>
  <si>
    <t>MLFY17T6 - MEDICS</t>
  </si>
  <si>
    <t>PO</t>
  </si>
  <si>
    <t>BUYER</t>
  </si>
  <si>
    <t>MB START</t>
  </si>
  <si>
    <t>MB END</t>
  </si>
  <si>
    <t>DESCRIPTION</t>
  </si>
  <si>
    <t>VENDOR</t>
  </si>
  <si>
    <t>MB $ LIMIT</t>
  </si>
  <si>
    <t>% SPEND</t>
  </si>
  <si>
    <t>Contract Length by # Months</t>
  </si>
  <si>
    <t>Desired Burn Rate</t>
  </si>
  <si>
    <t># Months Passed</t>
  </si>
  <si>
    <t>Current Burn Rate</t>
  </si>
  <si>
    <t>Burn Rate Status</t>
  </si>
  <si>
    <t>Projected Limit Mo.</t>
  </si>
  <si>
    <t>Projected Limit Date</t>
  </si>
  <si>
    <t>Limit Month</t>
  </si>
  <si>
    <t>Limit FY</t>
  </si>
  <si>
    <t>Division</t>
  </si>
  <si>
    <t>Options Remaining</t>
  </si>
  <si>
    <t>Option (Y/N)</t>
  </si>
  <si>
    <t>Comments</t>
  </si>
  <si>
    <t>Less than 6  Mos?</t>
  </si>
  <si>
    <t>Expiring</t>
  </si>
  <si>
    <t>Safe</t>
  </si>
  <si>
    <t>Less than 6  mos No Options</t>
  </si>
  <si>
    <t>Over 75% Spending Limit</t>
  </si>
  <si>
    <t>Fleet</t>
  </si>
  <si>
    <t>Facilities</t>
  </si>
  <si>
    <t>Fiscal</t>
  </si>
  <si>
    <t>No options</t>
  </si>
  <si>
    <t>open to cover outstanding invoices</t>
  </si>
  <si>
    <t>(6) Two-day Clinics</t>
  </si>
  <si>
    <t>one, one-year renewal option</t>
  </si>
  <si>
    <t>1 one-yr option</t>
  </si>
  <si>
    <t xml:space="preserve">Master Lease Purchase </t>
  </si>
  <si>
    <t>(3) three years with (2) two (1) one year renewal options</t>
  </si>
  <si>
    <t>Reaching Spending Limit</t>
  </si>
  <si>
    <t>two one-year renewal options</t>
  </si>
  <si>
    <t>1 one-year renewal option</t>
  </si>
  <si>
    <t>P526449</t>
  </si>
  <si>
    <t>O.E.M. Parts and Service for Exmark Mowers</t>
  </si>
  <si>
    <t>not going to renewed by DGS; bad vendor reports. Turf equiptment is other contract</t>
  </si>
  <si>
    <t>P526450</t>
  </si>
  <si>
    <t>Hickory International dba Baltimore Turf Equipment</t>
  </si>
  <si>
    <t>one three-year renewals</t>
  </si>
  <si>
    <t>plan to renew?</t>
  </si>
  <si>
    <t>P536602</t>
  </si>
  <si>
    <t>FASTER Maintenance Agreement for 2016</t>
  </si>
  <si>
    <t>CCG Systems, Inc.</t>
  </si>
  <si>
    <t>annual purchase</t>
  </si>
  <si>
    <t>one one-year renewal options</t>
  </si>
  <si>
    <t>P527291</t>
  </si>
  <si>
    <t>Plumbing Supplies and Parts</t>
  </si>
  <si>
    <t>Best Plumbing Specialties</t>
  </si>
  <si>
    <t>P527294</t>
  </si>
  <si>
    <t>Fastenal Company</t>
  </si>
  <si>
    <t>P527796</t>
  </si>
  <si>
    <t xml:space="preserve">Central Chilled Water Systems Service - Denver-Elek </t>
  </si>
  <si>
    <t>1 two-yr option</t>
  </si>
  <si>
    <t>P527797</t>
  </si>
  <si>
    <t xml:space="preserve">Central Chilled Water Systems Service -R.F.Warder,Inc </t>
  </si>
  <si>
    <t>R.F.Warder,inc</t>
  </si>
  <si>
    <t>P527798</t>
  </si>
  <si>
    <t>Central Chilled Water Systems Service -J F Fischer, Inc.</t>
  </si>
  <si>
    <t>J.F. Fischer, Inc.</t>
  </si>
  <si>
    <t>P535976</t>
  </si>
  <si>
    <t>Plumbing Supplies- AO Smith Water Heaters and Ridgid Drain Cleaners</t>
  </si>
  <si>
    <t>B T Plumbing Supply, Inc.</t>
  </si>
  <si>
    <t>3 one year options</t>
  </si>
  <si>
    <t>P520425</t>
  </si>
  <si>
    <t>WGLASMYE</t>
  </si>
  <si>
    <t xml:space="preserve">Security Guard Services - Unarmed Uniformed </t>
  </si>
  <si>
    <t>Abacus Corporation</t>
  </si>
  <si>
    <t>P531583</t>
  </si>
  <si>
    <t>Lamps and Ballasts, Large, and Specialty</t>
  </si>
  <si>
    <t>C.N.R. LIGHTING SUPPLY CO.</t>
  </si>
  <si>
    <t>one one-year renewal option</t>
  </si>
  <si>
    <t>P536188</t>
  </si>
  <si>
    <t>Carpet, Floor, Drapery and Upholstered Furniture Cleaning Services</t>
  </si>
  <si>
    <t>A.S.B.</t>
  </si>
  <si>
    <t>four renewal options</t>
  </si>
  <si>
    <t>P524356</t>
  </si>
  <si>
    <t xml:space="preserve">Tow Chains, Tow Cables,  Assemblies, Tie Downs and Related Items  </t>
  </si>
  <si>
    <t>Indusco Wire Rope &amp; Supplies</t>
  </si>
  <si>
    <t>two one-year renewal</t>
  </si>
  <si>
    <t>P524796</t>
  </si>
  <si>
    <t>Elevator  Maintenance Service</t>
  </si>
  <si>
    <t>Kone Inc.</t>
  </si>
  <si>
    <t>P536726</t>
  </si>
  <si>
    <t xml:space="preserve"> Calcium Chloride Pellets- Furnish and Deliver</t>
  </si>
  <si>
    <t>CommoditiesUSA, Inc.</t>
  </si>
  <si>
    <t>P525025</t>
  </si>
  <si>
    <t>Tires for Cars, Trucks &amp; Heavy Equipment</t>
  </si>
  <si>
    <t>Donald B. Rice Tire Co.</t>
  </si>
  <si>
    <t>P525024</t>
  </si>
  <si>
    <t>P533698</t>
  </si>
  <si>
    <t>On-call Repair and Maint Services for Electronic Fire Alarm Systems</t>
  </si>
  <si>
    <t>Fireline Corporation</t>
  </si>
  <si>
    <t>Major Projects</t>
  </si>
  <si>
    <t>3, one-year renewals</t>
  </si>
  <si>
    <t>P535185</t>
  </si>
  <si>
    <t xml:space="preserve">On-call repair and maintenance services for electronic fire alarm systems. </t>
  </si>
  <si>
    <t>Protection 1</t>
  </si>
  <si>
    <t>P529433</t>
  </si>
  <si>
    <t>Electrical Supplies</t>
  </si>
  <si>
    <t>GRAYBAR ELECTRIC</t>
  </si>
  <si>
    <t>P529434</t>
  </si>
  <si>
    <t>Ideal Electrical Supply</t>
  </si>
  <si>
    <t>P523553</t>
  </si>
  <si>
    <t>Medium and High Voltage Electrical Systems</t>
  </si>
  <si>
    <t>Bluestar Technologies Inc.</t>
  </si>
  <si>
    <t>2 one year options</t>
  </si>
  <si>
    <t>P533605</t>
  </si>
  <si>
    <t>PGOUGH</t>
  </si>
  <si>
    <t>Supply and Deliver Lumber to Various City Agencies</t>
  </si>
  <si>
    <t>Pikesville Lumber Company</t>
  </si>
  <si>
    <t>P529833</t>
  </si>
  <si>
    <t>Flat Tire Repairs</t>
  </si>
  <si>
    <t>two (2) one-year renewal options</t>
  </si>
  <si>
    <t>P526328</t>
  </si>
  <si>
    <t xml:space="preserve">Vehicle, Motorcycle, Generator and Lawn &amp; Garden Batteries </t>
  </si>
  <si>
    <t>1 one year options</t>
  </si>
  <si>
    <t>P535034</t>
  </si>
  <si>
    <t xml:space="preserve"> Services for Electronic Security Systems- Protection 1</t>
  </si>
  <si>
    <t>one two-year renewals</t>
  </si>
  <si>
    <t>P530583</t>
  </si>
  <si>
    <t>Maintenance, Repair &amp; Installation Services for Electronic Security Systems</t>
  </si>
  <si>
    <t>Stanley Convergent Security Solutions, Inc.</t>
  </si>
  <si>
    <t>P534612</t>
  </si>
  <si>
    <t xml:space="preserve">Hand and Power Tools and Related Hardware Items  </t>
  </si>
  <si>
    <t xml:space="preserve">4 one-year renewal options </t>
  </si>
  <si>
    <t>P534614</t>
  </si>
  <si>
    <t>Hilti, Inc.</t>
  </si>
  <si>
    <t>P531132</t>
  </si>
  <si>
    <t>City of Baltimore Automatic Vehicle Location (AVL) System</t>
  </si>
  <si>
    <t>Navman Wireless North America, LP</t>
  </si>
  <si>
    <t>1 one-year renewal options</t>
  </si>
  <si>
    <t>P535549</t>
  </si>
  <si>
    <t>Pest Control</t>
  </si>
  <si>
    <t>Solomon's Termite &amp; Pest Control</t>
  </si>
  <si>
    <t>5 one-year renewals</t>
  </si>
  <si>
    <t>P535552</t>
  </si>
  <si>
    <t>AB&amp;B Termite &amp; Pest Control</t>
  </si>
  <si>
    <t>five additional one-year periods</t>
  </si>
  <si>
    <t>P520115</t>
  </si>
  <si>
    <t>Cements, Mortars, &amp; Concrete Mixes</t>
  </si>
  <si>
    <t>Belair Road Supply Co., Inc</t>
  </si>
  <si>
    <t>P532540</t>
  </si>
  <si>
    <t>Miscellaneous Electrical Work</t>
  </si>
  <si>
    <t>Calmi Electrical Company</t>
  </si>
  <si>
    <t>P532541</t>
  </si>
  <si>
    <t>Hawkeye Construction, LLC</t>
  </si>
  <si>
    <t>three one-year renewal options</t>
  </si>
  <si>
    <t>P532945</t>
  </si>
  <si>
    <t>Repair and Installation Services for Building Glass</t>
  </si>
  <si>
    <t>aspen building products, inc</t>
  </si>
  <si>
    <t>P533048</t>
  </si>
  <si>
    <t xml:space="preserve">Diesel Fuel for Generators </t>
  </si>
  <si>
    <t xml:space="preserve">C.Hoffberger co </t>
  </si>
  <si>
    <t>P534049</t>
  </si>
  <si>
    <t xml:space="preserve">Furnish and Install Carpet and Various Floor Coverings </t>
  </si>
  <si>
    <t xml:space="preserve">J.D. Carpets Inc. </t>
  </si>
  <si>
    <t>two one-year renewals</t>
  </si>
  <si>
    <t>P534097</t>
  </si>
  <si>
    <t>Repairs &amp; Maintenance Services for Automatic Sprinkler Systems</t>
  </si>
  <si>
    <t>P534098</t>
  </si>
  <si>
    <t>National Fire Protection, LLC</t>
  </si>
  <si>
    <t>P526022</t>
  </si>
  <si>
    <t>Maintenance &amp;Repair Services for H.V.A.C.R</t>
  </si>
  <si>
    <t>working on renewal option; mukesh</t>
  </si>
  <si>
    <t>P526021</t>
  </si>
  <si>
    <t xml:space="preserve">Maintenance &amp;Repair Services for H.V.A.C.R-Denver-Elek </t>
  </si>
  <si>
    <t>S Stricklin Having discussion with Purchasing to terminate service; purchases working on renewal option</t>
  </si>
  <si>
    <t>P526023</t>
  </si>
  <si>
    <t>Maintenance &amp;Repair Services for H.V.A.C.R-Fresh Air company</t>
  </si>
  <si>
    <t>fresh air company inc.</t>
  </si>
  <si>
    <t>Purchases working on renewal option</t>
  </si>
  <si>
    <t>P526184</t>
  </si>
  <si>
    <t xml:space="preserve">Maitenance and Repair Services- Plumbing and Heating-J.F. Fischer, Inc. </t>
  </si>
  <si>
    <t>P526182</t>
  </si>
  <si>
    <t xml:space="preserve">Maitenance and Repair Services- Plumbing and Heating-Denver-Elek </t>
  </si>
  <si>
    <t>S Stricklin Having discussion with Purchasing to terminate service?</t>
  </si>
  <si>
    <t>P526183</t>
  </si>
  <si>
    <t>Maitenance and Repair Services- Plumbing and Heating-R.F.Warder,inc</t>
  </si>
  <si>
    <t>P534247</t>
  </si>
  <si>
    <t>Hazardous Material Abatement Services</t>
  </si>
  <si>
    <t>P534246</t>
  </si>
  <si>
    <t>Retro Environmental, Inc.</t>
  </si>
  <si>
    <t>2 one-year renewal options</t>
  </si>
  <si>
    <t>P534248</t>
  </si>
  <si>
    <t>Allec LLC</t>
  </si>
  <si>
    <t>two, one-year renewal options</t>
  </si>
  <si>
    <t>P536503</t>
  </si>
  <si>
    <t>Paint and Paint Products</t>
  </si>
  <si>
    <t>McCormick Paint Works</t>
  </si>
  <si>
    <t>P535053</t>
  </si>
  <si>
    <t>Installation of Alarm &amp; Fire Systems</t>
  </si>
  <si>
    <t>P536860</t>
  </si>
  <si>
    <t>PVC Pipes &amp; Fittings</t>
  </si>
  <si>
    <t>FERGUSON WATERWORKS DBA Wolsely Industrial Group</t>
  </si>
  <si>
    <t>two-one year renewal options</t>
  </si>
  <si>
    <t>P536960</t>
  </si>
  <si>
    <t>Locksmith Services First Call</t>
  </si>
  <si>
    <t>Homeland Security Group dba Easter's Lock and Access</t>
  </si>
  <si>
    <t>P536961</t>
  </si>
  <si>
    <t>Locksmith Services  Second Call</t>
  </si>
  <si>
    <t>BALTIMORE LOCK &amp; HARDWARE, INC.</t>
  </si>
  <si>
    <t>p537826</t>
  </si>
  <si>
    <t>Janitorial Services for New Area D</t>
  </si>
  <si>
    <t xml:space="preserve">No Opportunity Wasted </t>
  </si>
  <si>
    <t>P537436</t>
  </si>
  <si>
    <t xml:space="preserve">Drain Cleaning Service </t>
  </si>
  <si>
    <t>Joseph Heil Company, Inc</t>
  </si>
  <si>
    <t xml:space="preserve">two one-yr renewals </t>
  </si>
  <si>
    <t>P538420</t>
  </si>
  <si>
    <t>Interior Renovations, Carpentry and Associated Trades</t>
  </si>
  <si>
    <t>First Potomac Environmental Corp.</t>
  </si>
  <si>
    <t>P538421</t>
  </si>
  <si>
    <t>P525136</t>
  </si>
  <si>
    <t>Energy Performance Contract - Phase II</t>
  </si>
  <si>
    <t>Johnson Controls Inc.</t>
  </si>
  <si>
    <t>one one-yr option</t>
  </si>
  <si>
    <t xml:space="preserve">one-one yr renewal </t>
  </si>
  <si>
    <t>two (2) one-year renewals</t>
  </si>
  <si>
    <t>(2) two (1) one year renewal options</t>
  </si>
  <si>
    <t>2 one-yr options</t>
  </si>
  <si>
    <t>one renewal option</t>
  </si>
  <si>
    <t>(2) one year renewal options</t>
  </si>
  <si>
    <t>three, one-year renewal options</t>
  </si>
  <si>
    <t>two one-year options</t>
  </si>
  <si>
    <t>two (2) one (1) year renewal options</t>
  </si>
  <si>
    <t>1 one-yr options</t>
  </si>
  <si>
    <t>2 one-yr options left</t>
  </si>
  <si>
    <t>one one year options</t>
  </si>
  <si>
    <t>4 one yr renewals</t>
  </si>
  <si>
    <t>two (2) one-year options</t>
  </si>
  <si>
    <t>one, two-year renerwal option</t>
  </si>
  <si>
    <t xml:space="preserve">2 one-yr options </t>
  </si>
  <si>
    <t>1 one year renewal options</t>
  </si>
  <si>
    <t>One One Year Renewal Option</t>
  </si>
  <si>
    <t>1 one-yr renewal</t>
  </si>
  <si>
    <t>two one year options</t>
  </si>
  <si>
    <t>one (1) year renewal option</t>
  </si>
  <si>
    <t>2 two-yr options</t>
  </si>
  <si>
    <t>renew?</t>
  </si>
  <si>
    <t>one-time purchase</t>
  </si>
  <si>
    <t>does dgs use this?</t>
  </si>
  <si>
    <t>Renewal/amt increase change order in process, 
anticipated BOE date 8/17/16; Went to Board 9142016; Kristy will update before end of month.</t>
  </si>
  <si>
    <t>Expiring Month</t>
  </si>
  <si>
    <t>Expiring Yr</t>
  </si>
  <si>
    <t>Grand Total</t>
  </si>
  <si>
    <t>are we using this training after expiration?</t>
  </si>
  <si>
    <t>annual purchase- need new req for new year</t>
  </si>
  <si>
    <t>renewe annually. Need a new req for new year</t>
  </si>
  <si>
    <t>annual purchase- need new req for new year- check with Bambi</t>
  </si>
  <si>
    <t>need a new request form</t>
  </si>
  <si>
    <t>need new specs and request form</t>
  </si>
  <si>
    <t>for ice melt, check back in july for req</t>
  </si>
  <si>
    <t>annual purchase- do we use this?</t>
  </si>
  <si>
    <t>need new specs and request</t>
  </si>
  <si>
    <t>Sue is repsonsible for this service</t>
  </si>
  <si>
    <t>4 one-year options</t>
  </si>
  <si>
    <t>Sum of MB $ LIMIT</t>
  </si>
  <si>
    <t>Sum of MB $ SPEND</t>
  </si>
  <si>
    <t>Sum of % SPEND</t>
  </si>
  <si>
    <t>High Burn Rate</t>
  </si>
  <si>
    <t>Really High Burn Rate</t>
  </si>
  <si>
    <t>September</t>
  </si>
  <si>
    <t>October</t>
  </si>
  <si>
    <t>November</t>
  </si>
  <si>
    <t>December</t>
  </si>
  <si>
    <t>Row Labels</t>
  </si>
  <si>
    <t>Count of PO</t>
  </si>
  <si>
    <t>(Multiple Items)</t>
  </si>
  <si>
    <t>Karen Addams will renew</t>
  </si>
  <si>
    <t>Bolu Oluwasuji will renew</t>
  </si>
  <si>
    <t>Karen Addams will renew Change Order added $150,000.00</t>
  </si>
  <si>
    <t>Stuart Feldman will renew</t>
  </si>
  <si>
    <t>Karen will renew Change Order in process for $110,000.00</t>
  </si>
  <si>
    <t>Renewed to 7/31/2018</t>
  </si>
  <si>
    <t>Handled by buyer</t>
  </si>
  <si>
    <t>renew</t>
  </si>
  <si>
    <t>P539554</t>
  </si>
  <si>
    <t xml:space="preserve">O.E.M. Parts &amp; Svc. for Scag Lawn Mowers </t>
  </si>
  <si>
    <t>one (1) one-year renewal option</t>
  </si>
  <si>
    <t>FM will  get a quote by Friday</t>
  </si>
  <si>
    <t>1 one yr option</t>
  </si>
  <si>
    <t>2, one-year renewal options</t>
  </si>
  <si>
    <t>3 renewal options</t>
  </si>
  <si>
    <t>1one-year renewal options</t>
  </si>
  <si>
    <t>P540978</t>
  </si>
  <si>
    <t>P540979</t>
  </si>
  <si>
    <t>P540980</t>
  </si>
  <si>
    <t>P540427</t>
  </si>
  <si>
    <t>P540758</t>
  </si>
  <si>
    <t>MLFY17T6-Cutaway Vans w/Dry Freight Bodies</t>
  </si>
  <si>
    <t>Century Ford of Mt. Airy Inc.</t>
  </si>
  <si>
    <t>MLFY17T10-Load Packers-Solid Waste</t>
  </si>
  <si>
    <t>Baltimore Mack Trucks, Inc.</t>
  </si>
  <si>
    <t xml:space="preserve">Automotive Window Tinting </t>
  </si>
  <si>
    <t>P540814</t>
  </si>
  <si>
    <t xml:space="preserve">Certified Inspection and Repairs for Lifts </t>
  </si>
  <si>
    <t>LeFevre7LLC, DBA:Automotive Lift Service</t>
  </si>
  <si>
    <t>P540931</t>
  </si>
  <si>
    <t xml:space="preserve"> Courthouse East Annual Elevator PM Services  August 1, 2017 thru July 31, 2018 </t>
  </si>
  <si>
    <t>P540536</t>
  </si>
  <si>
    <t>Vistor Pass Plus Scanning System for Various Locations</t>
  </si>
  <si>
    <t>Morrison Consulting Inc</t>
  </si>
  <si>
    <t>P539960</t>
  </si>
  <si>
    <t>P540326</t>
  </si>
  <si>
    <t>HVAC and Plumbing Materials - Parts Pilot</t>
  </si>
  <si>
    <t>R. E. Michel Company, Inc.</t>
  </si>
  <si>
    <t>P539953</t>
  </si>
  <si>
    <t>OEM Parts and Service for Gravely Equipment and Ariens</t>
  </si>
  <si>
    <t>one one-yr renewal</t>
  </si>
  <si>
    <t>1, one-year renewal options</t>
  </si>
  <si>
    <t>B50005011 bids being evaluated. Should be awarded before December.</t>
  </si>
  <si>
    <t>On Hold by CPA</t>
  </si>
  <si>
    <t>ON Hold by CPA</t>
  </si>
  <si>
    <t>Scheduled for the Board 10-18-17</t>
  </si>
  <si>
    <t>Scheduled for the Board 10-25-17</t>
  </si>
  <si>
    <t>Scheduled for  the Board 10-18-17</t>
  </si>
  <si>
    <t>the current contract is being extended until February 28th. A new solicitation will be completed by that time.</t>
  </si>
  <si>
    <t>this is web migration Agreement, it has gone to the Board. I am awaiting approval with ALL signatures.</t>
  </si>
  <si>
    <t>Expiring &lt; 6 Months</t>
  </si>
  <si>
    <t>Expiring &gt; 6 Months</t>
  </si>
  <si>
    <t>Options</t>
  </si>
  <si>
    <t>Column Labels</t>
  </si>
  <si>
    <t>January</t>
  </si>
  <si>
    <t>February</t>
  </si>
  <si>
    <t>March</t>
  </si>
  <si>
    <t>2 one-yr renewals</t>
  </si>
  <si>
    <t>P541343</t>
  </si>
  <si>
    <t>On Site Preventative Maintenance Service for Heavy Trucks and Equipment in the City's Fleet</t>
  </si>
  <si>
    <t>Fleetpro, Inc.</t>
  </si>
  <si>
    <t>P541344</t>
  </si>
  <si>
    <t>(3) three years with (2) two (1) one year renewal </t>
  </si>
  <si>
    <r>
      <t>is out for bid, bids open November 8 (3/28/17)</t>
    </r>
    <r>
      <rPr>
        <vertAlign val="superscript"/>
        <sz val="11"/>
        <color rgb="FF1F497D"/>
        <rFont val="Calibri"/>
        <family val="2"/>
        <scheme val="minor"/>
      </rPr>
      <t xml:space="preserve"> </t>
    </r>
  </si>
  <si>
    <t>gone to bid r772126 (7/28/17); RFP packets are being reviewed and will be sent back to purchasing on 11/6/17 and will be sent to MBOO for approval.</t>
  </si>
  <si>
    <t>specs were modified and sent to purchasing buyer for review and processing</t>
  </si>
  <si>
    <t>will renew</t>
  </si>
  <si>
    <t>monthly payments</t>
  </si>
  <si>
    <t>P541500</t>
  </si>
  <si>
    <t>OEM Parts and Service for John Deere Equipment</t>
  </si>
  <si>
    <t>Finch Services, Inc. </t>
  </si>
  <si>
    <t>two one-year renewal options.</t>
  </si>
  <si>
    <t>P541501</t>
  </si>
  <si>
    <t>T.E.K. Equipment Repair </t>
  </si>
  <si>
    <t>P541503</t>
  </si>
  <si>
    <t>Raybestos Brakes for Cars and Light Trucks</t>
  </si>
  <si>
    <t>ROK Brothers Inc. </t>
  </si>
  <si>
    <t>B50005176 in progress, since 10/6</t>
  </si>
  <si>
    <t>Spending Comments</t>
  </si>
  <si>
    <t>KADDAMS</t>
  </si>
  <si>
    <t>Beverly Cole sending letter to board</t>
  </si>
  <si>
    <t>need a new req</t>
  </si>
  <si>
    <t>Two Contracts - 1st awarded - P541500 &amp; P541501, 2nd ready for award but pending information from vendor. #06000</t>
  </si>
  <si>
    <t>Had renewal options - was told not to renew - currently drafting a new solicitation</t>
  </si>
  <si>
    <t>Solicitation B50005235 - Opens December 14, 2017</t>
  </si>
  <si>
    <t>Solicitation will be next in line</t>
  </si>
  <si>
    <t>New Solicitation will be started in December. Will need to do an extension</t>
  </si>
  <si>
    <t>Solicitation B50005160 - Opens January 10, 2018</t>
  </si>
  <si>
    <t>New Solicitation will be started in December</t>
  </si>
  <si>
    <t>AWAITING Compliance Review from MWBOO before award can be made.</t>
  </si>
  <si>
    <t xml:space="preserve">Stuart previously did an increase and committed to no more renewals. </t>
  </si>
  <si>
    <t>Letting expire. Zero dollars have been used in 3 years. Transportation advised.</t>
  </si>
  <si>
    <t>Awaiting Compliance Review from MWBOO before renewal can be started.</t>
  </si>
  <si>
    <t>This item has renewals. It will be started in December.</t>
  </si>
  <si>
    <t>This item has a renewal. It will be started in December.</t>
  </si>
  <si>
    <t>Do we plan to renew?</t>
  </si>
  <si>
    <t>Informal to be started in December</t>
  </si>
  <si>
    <t>This item has a renewal. It will be started in February.</t>
  </si>
  <si>
    <t>A new solicitiation will be started in December.</t>
  </si>
  <si>
    <t>ONE RENEWAL OPTION</t>
  </si>
  <si>
    <t>R770637 (7/14/17)- any updates? - B50005242 in progress. Anticipated bid opening date 12/29/17</t>
  </si>
  <si>
    <r>
      <t xml:space="preserve">R770637 (7/14/17)- </t>
    </r>
    <r>
      <rPr>
        <sz val="11"/>
        <color rgb="FFFF0000"/>
        <rFont val="Calibri"/>
        <family val="2"/>
        <scheme val="minor"/>
      </rPr>
      <t xml:space="preserve">any updates? - </t>
    </r>
    <r>
      <rPr>
        <sz val="11"/>
        <color theme="1" tint="0.34998626667073579"/>
        <rFont val="Calibri"/>
        <family val="2"/>
        <scheme val="minor"/>
      </rPr>
      <t>B50005242 in progress. Anticipated bid opening date 12/29/17</t>
    </r>
  </si>
  <si>
    <r>
      <t xml:space="preserve">Do we plan to renew? - </t>
    </r>
    <r>
      <rPr>
        <sz val="11"/>
        <color theme="1" tint="0.34998626667073579"/>
        <rFont val="Calibri"/>
        <family val="2"/>
        <scheme val="minor"/>
      </rPr>
      <t>Will renew in December</t>
    </r>
  </si>
  <si>
    <t>Are we working on a new solicitation? - need req for new contract</t>
  </si>
  <si>
    <r>
      <t>Are we working on a new solicitation? -</t>
    </r>
    <r>
      <rPr>
        <sz val="11"/>
        <color theme="1" tint="0.34998626667073579"/>
        <rFont val="Calibri"/>
        <family val="2"/>
        <scheme val="minor"/>
      </rPr>
      <t xml:space="preserve"> need req for new contract</t>
    </r>
  </si>
  <si>
    <r>
      <t xml:space="preserve">Do we plan to renew? - </t>
    </r>
    <r>
      <rPr>
        <sz val="11"/>
        <rFont val="Calibri"/>
        <family val="2"/>
        <scheme val="minor"/>
      </rPr>
      <t>Will renew in Feb.</t>
    </r>
  </si>
  <si>
    <t>Will need req for new contract</t>
  </si>
  <si>
    <t>B50005221 in progress</t>
  </si>
  <si>
    <t>are we renewing?</t>
  </si>
  <si>
    <t>A renewal will be started in February.</t>
  </si>
  <si>
    <t>renewal in progress</t>
  </si>
  <si>
    <t>P541720</t>
  </si>
  <si>
    <t>Parts and Repair Service for Muncie Pumps, Power Take Offs and Valves</t>
  </si>
  <si>
    <t>R&amp;M Equipment </t>
  </si>
  <si>
    <t>P541625</t>
  </si>
  <si>
    <t>O.E.M. Parts, Warranty and Service for John Deere Forestry and Heavy Construction</t>
  </si>
  <si>
    <t>JESCO, INC. </t>
  </si>
  <si>
    <t>covering 3 months until new contract is in place, bid opens 1/24/18</t>
  </si>
  <si>
    <t xml:space="preserve">is out for bid, bids open November 8 (3/28/17) </t>
  </si>
  <si>
    <t>Nov 2017 Contracts</t>
  </si>
  <si>
    <t>MB $ SPENT</t>
  </si>
  <si>
    <t>FMD filling out expiring contract form</t>
  </si>
  <si>
    <t>no longer need</t>
  </si>
  <si>
    <t>2 one year renewals</t>
  </si>
  <si>
    <t>requesting 300k</t>
  </si>
  <si>
    <t>waiting on a response from purchases. 
We wanted to add $4M. Emailed mukesh 11/28</t>
  </si>
  <si>
    <t>2017</t>
  </si>
  <si>
    <t>April</t>
  </si>
  <si>
    <t>June</t>
  </si>
  <si>
    <t>August</t>
  </si>
  <si>
    <t>2018</t>
  </si>
  <si>
    <t>May</t>
  </si>
  <si>
    <t>Do we plan to renew? - Will renew in Feb.</t>
  </si>
  <si>
    <t>Do we plan to renew? - Will renew in December</t>
  </si>
  <si>
    <t>2021</t>
  </si>
  <si>
    <t>2020</t>
  </si>
  <si>
    <t>2019</t>
  </si>
  <si>
    <t>was increased 600k</t>
  </si>
  <si>
    <t>not using</t>
  </si>
  <si>
    <t>will not renew</t>
  </si>
  <si>
    <t>no changes necessary</t>
  </si>
  <si>
    <t xml:space="preserve">No changes necessary.  Awaiting update from Karl on  contract performance 
status recommendation.  </t>
  </si>
  <si>
    <t>Requested $2.3 million.  Awaiting update on increase.</t>
  </si>
  <si>
    <t>Requested $600k.  Awaiting update on increase.</t>
  </si>
  <si>
    <t>renew request sent to dmacer 11/29/17</t>
  </si>
  <si>
    <t>requested 500k in July, waitinng on purchases</t>
  </si>
  <si>
    <t>Requested $600k in september Awaiting update on increase.</t>
  </si>
  <si>
    <t>Requested $2.3 million in september Awaiting update on increase.</t>
  </si>
  <si>
    <t>P541673</t>
  </si>
  <si>
    <t>FASTER WEB Migration Upgrade</t>
  </si>
  <si>
    <t>P541455</t>
  </si>
  <si>
    <t>MHOWARD</t>
  </si>
  <si>
    <t>HVAC Air Duct Cleaning  Services</t>
  </si>
  <si>
    <t>Airborne Contamination Identification Associates, Ltd.</t>
  </si>
  <si>
    <t>P541456</t>
  </si>
  <si>
    <t>Interior Maintenance Company</t>
  </si>
  <si>
    <t>3 one-yr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</si>
</sst>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vertAlign val="superscript"/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5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7"/>
      </patternFill>
    </fill>
    <fill>
      <patternFill patternType="solid">
        <fgColor theme="1"/>
        <bgColor theme="8"/>
      </patternFill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4" fontId="0" fillId="0" borderId="0" xfId="1" applyFont="1" applyAlignment="1"/>
    <xf numFmtId="44" fontId="0" fillId="0" borderId="0" xfId="1" applyFont="1"/>
    <xf numFmtId="9" fontId="3" fillId="4" borderId="1" xfId="2" applyNumberFormat="1" applyFont="1" applyFill="1" applyBorder="1"/>
    <xf numFmtId="1" fontId="3" fillId="4" borderId="1" xfId="2" applyNumberFormat="1" applyFont="1" applyFill="1" applyBorder="1"/>
    <xf numFmtId="44" fontId="5" fillId="3" borderId="1" xfId="1" applyNumberFormat="1" applyFont="1" applyFill="1" applyBorder="1" applyAlignment="1"/>
    <xf numFmtId="44" fontId="5" fillId="3" borderId="1" xfId="1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5" fillId="5" borderId="2" xfId="0" applyFont="1" applyFill="1" applyBorder="1"/>
    <xf numFmtId="14" fontId="0" fillId="0" borderId="0" xfId="0" applyNumberFormat="1"/>
    <xf numFmtId="1" fontId="3" fillId="4" borderId="1" xfId="1" applyNumberFormat="1" applyFont="1" applyFill="1" applyBorder="1"/>
    <xf numFmtId="1" fontId="0" fillId="0" borderId="0" xfId="0" applyNumberFormat="1"/>
    <xf numFmtId="14" fontId="3" fillId="4" borderId="1" xfId="2" applyNumberFormat="1" applyFont="1" applyFill="1" applyBorder="1"/>
    <xf numFmtId="9" fontId="5" fillId="3" borderId="1" xfId="2" applyFont="1" applyFill="1" applyBorder="1" applyAlignment="1">
      <alignment horizontal="right"/>
    </xf>
    <xf numFmtId="9" fontId="0" fillId="0" borderId="0" xfId="2" applyFont="1"/>
    <xf numFmtId="9" fontId="3" fillId="4" borderId="1" xfId="2" applyFont="1" applyFill="1" applyBorder="1"/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0" fillId="7" borderId="0" xfId="1" applyNumberFormat="1" applyFont="1" applyFill="1" applyBorder="1"/>
    <xf numFmtId="1" fontId="0" fillId="7" borderId="0" xfId="2" applyNumberFormat="1" applyFont="1" applyFill="1" applyBorder="1"/>
    <xf numFmtId="14" fontId="0" fillId="7" borderId="0" xfId="2" applyNumberFormat="1" applyFont="1" applyFill="1" applyBorder="1"/>
    <xf numFmtId="0" fontId="0" fillId="7" borderId="0" xfId="2" applyNumberFormat="1" applyFont="1" applyFill="1" applyBorder="1"/>
    <xf numFmtId="0" fontId="0" fillId="7" borderId="0" xfId="0" applyFont="1" applyFill="1" applyBorder="1" applyAlignment="1"/>
    <xf numFmtId="14" fontId="0" fillId="7" borderId="0" xfId="0" applyNumberFormat="1" applyFont="1" applyFill="1" applyBorder="1" applyAlignment="1">
      <alignment horizontal="center"/>
    </xf>
    <xf numFmtId="9" fontId="0" fillId="7" borderId="0" xfId="2" applyFont="1" applyFill="1" applyBorder="1" applyAlignment="1">
      <alignment horizontal="right"/>
    </xf>
    <xf numFmtId="9" fontId="0" fillId="7" borderId="0" xfId="2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/>
    <xf numFmtId="0" fontId="4" fillId="7" borderId="0" xfId="0" applyNumberFormat="1" applyFont="1" applyFill="1" applyBorder="1" applyAlignment="1">
      <alignment wrapText="1"/>
    </xf>
    <xf numFmtId="0" fontId="0" fillId="8" borderId="0" xfId="0" applyNumberFormat="1" applyFill="1" applyBorder="1" applyAlignment="1">
      <alignment wrapText="1"/>
    </xf>
    <xf numFmtId="0" fontId="0" fillId="7" borderId="0" xfId="0" applyNumberFormat="1" applyFill="1" applyBorder="1" applyAlignment="1">
      <alignment wrapText="1"/>
    </xf>
    <xf numFmtId="0" fontId="2" fillId="7" borderId="0" xfId="0" applyFont="1" applyFill="1" applyBorder="1" applyAlignment="1"/>
    <xf numFmtId="1" fontId="2" fillId="7" borderId="0" xfId="1" applyNumberFormat="1" applyFont="1" applyFill="1" applyBorder="1"/>
    <xf numFmtId="1" fontId="2" fillId="7" borderId="0" xfId="2" applyNumberFormat="1" applyFont="1" applyFill="1" applyBorder="1"/>
    <xf numFmtId="14" fontId="2" fillId="7" borderId="0" xfId="2" applyNumberFormat="1" applyFont="1" applyFill="1" applyBorder="1"/>
    <xf numFmtId="14" fontId="2" fillId="7" borderId="0" xfId="0" applyNumberFormat="1" applyFont="1" applyFill="1" applyBorder="1" applyAlignment="1">
      <alignment horizontal="center"/>
    </xf>
    <xf numFmtId="9" fontId="2" fillId="7" borderId="0" xfId="2" applyFont="1" applyFill="1" applyBorder="1" applyAlignment="1">
      <alignment horizontal="right"/>
    </xf>
    <xf numFmtId="9" fontId="2" fillId="7" borderId="0" xfId="2" applyFont="1" applyFill="1" applyBorder="1"/>
    <xf numFmtId="0" fontId="2" fillId="7" borderId="0" xfId="2" applyNumberFormat="1" applyFont="1" applyFill="1" applyBorder="1"/>
    <xf numFmtId="0" fontId="2" fillId="9" borderId="0" xfId="2" applyNumberFormat="1" applyFont="1" applyFill="1" applyBorder="1"/>
    <xf numFmtId="0" fontId="2" fillId="7" borderId="0" xfId="0" applyNumberFormat="1" applyFont="1" applyFill="1" applyBorder="1"/>
    <xf numFmtId="0" fontId="0" fillId="7" borderId="0" xfId="0" applyNumberFormat="1" applyFill="1" applyBorder="1" applyAlignment="1">
      <alignment horizontal="left"/>
    </xf>
    <xf numFmtId="44" fontId="1" fillId="6" borderId="0" xfId="1" applyFont="1" applyFill="1" applyAlignment="1">
      <alignment horizontal="center"/>
    </xf>
    <xf numFmtId="0" fontId="0" fillId="10" borderId="3" xfId="0" applyNumberFormat="1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0" fillId="0" borderId="0" xfId="0" pivotButton="1"/>
    <xf numFmtId="0" fontId="0" fillId="0" borderId="0" xfId="0" applyAlignment="1">
      <alignment vertical="top" wrapText="1"/>
    </xf>
    <xf numFmtId="0" fontId="0" fillId="0" borderId="7" xfId="0" applyFont="1" applyBorder="1"/>
    <xf numFmtId="14" fontId="0" fillId="0" borderId="7" xfId="0" applyNumberFormat="1" applyFont="1" applyBorder="1"/>
    <xf numFmtId="0" fontId="0" fillId="11" borderId="6" xfId="0" applyFont="1" applyFill="1" applyBorder="1"/>
    <xf numFmtId="0" fontId="0" fillId="11" borderId="7" xfId="0" applyFont="1" applyFill="1" applyBorder="1"/>
    <xf numFmtId="14" fontId="0" fillId="11" borderId="7" xfId="0" applyNumberFormat="1" applyFont="1" applyFill="1" applyBorder="1"/>
    <xf numFmtId="0" fontId="0" fillId="11" borderId="8" xfId="0" applyFont="1" applyFill="1" applyBorder="1"/>
    <xf numFmtId="0" fontId="1" fillId="0" borderId="9" xfId="0" applyFont="1" applyBorder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1" fillId="11" borderId="6" xfId="0" applyFont="1" applyFill="1" applyBorder="1"/>
    <xf numFmtId="0" fontId="1" fillId="11" borderId="7" xfId="0" applyFont="1" applyFill="1" applyBorder="1"/>
    <xf numFmtId="14" fontId="1" fillId="11" borderId="7" xfId="0" applyNumberFormat="1" applyFont="1" applyFill="1" applyBorder="1"/>
    <xf numFmtId="164" fontId="0" fillId="11" borderId="7" xfId="0" applyNumberFormat="1" applyFont="1" applyFill="1" applyBorder="1"/>
    <xf numFmtId="0" fontId="1" fillId="0" borderId="6" xfId="0" applyFont="1" applyBorder="1"/>
    <xf numFmtId="0" fontId="1" fillId="0" borderId="7" xfId="0" applyFont="1" applyBorder="1"/>
    <xf numFmtId="14" fontId="1" fillId="0" borderId="7" xfId="0" applyNumberFormat="1" applyFont="1" applyBorder="1"/>
    <xf numFmtId="164" fontId="0" fillId="0" borderId="7" xfId="0" applyNumberFormat="1" applyFont="1" applyBorder="1"/>
    <xf numFmtId="10" fontId="0" fillId="0" borderId="8" xfId="0" applyNumberFormat="1" applyFont="1" applyBorder="1"/>
    <xf numFmtId="0" fontId="6" fillId="11" borderId="9" xfId="0" applyFont="1" applyFill="1" applyBorder="1"/>
    <xf numFmtId="0" fontId="6" fillId="11" borderId="6" xfId="0" applyFont="1" applyFill="1" applyBorder="1"/>
    <xf numFmtId="0" fontId="6" fillId="11" borderId="7" xfId="0" applyFont="1" applyFill="1" applyBorder="1"/>
    <xf numFmtId="0" fontId="6" fillId="11" borderId="8" xfId="0" applyFont="1" applyFill="1" applyBorder="1"/>
    <xf numFmtId="44" fontId="0" fillId="11" borderId="7" xfId="1" applyNumberFormat="1" applyFont="1" applyFill="1" applyBorder="1"/>
    <xf numFmtId="14" fontId="0" fillId="0" borderId="0" xfId="1" applyNumberFormat="1" applyFont="1"/>
    <xf numFmtId="9" fontId="0" fillId="11" borderId="7" xfId="2" applyNumberFormat="1" applyFont="1" applyFill="1" applyBorder="1"/>
    <xf numFmtId="164" fontId="1" fillId="0" borderId="0" xfId="0" applyNumberFormat="1" applyFont="1"/>
    <xf numFmtId="9" fontId="1" fillId="0" borderId="0" xfId="2" applyFont="1"/>
    <xf numFmtId="164" fontId="1" fillId="0" borderId="7" xfId="0" applyNumberFormat="1" applyFont="1" applyBorder="1"/>
    <xf numFmtId="9" fontId="0" fillId="11" borderId="8" xfId="0" applyNumberFormat="1" applyFont="1" applyFill="1" applyBorder="1"/>
    <xf numFmtId="9" fontId="0" fillId="0" borderId="8" xfId="0" applyNumberFormat="1" applyFont="1" applyBorder="1"/>
    <xf numFmtId="9" fontId="1" fillId="0" borderId="8" xfId="0" applyNumberFormat="1" applyFont="1" applyBorder="1"/>
    <xf numFmtId="164" fontId="1" fillId="11" borderId="7" xfId="0" applyNumberFormat="1" applyFont="1" applyFill="1" applyBorder="1"/>
    <xf numFmtId="9" fontId="1" fillId="11" borderId="8" xfId="0" applyNumberFormat="1" applyFont="1" applyFill="1" applyBorder="1"/>
    <xf numFmtId="9" fontId="1" fillId="11" borderId="8" xfId="2" applyFont="1" applyFill="1" applyBorder="1"/>
    <xf numFmtId="9" fontId="1" fillId="0" borderId="8" xfId="2" applyFont="1" applyBorder="1"/>
    <xf numFmtId="0" fontId="1" fillId="0" borderId="6" xfId="0" applyFont="1" applyFill="1" applyBorder="1"/>
    <xf numFmtId="0" fontId="1" fillId="0" borderId="7" xfId="0" applyFont="1" applyFill="1" applyBorder="1"/>
    <xf numFmtId="0" fontId="0" fillId="0" borderId="7" xfId="0" applyFont="1" applyFill="1" applyBorder="1"/>
    <xf numFmtId="14" fontId="1" fillId="0" borderId="7" xfId="0" applyNumberFormat="1" applyFont="1" applyFill="1" applyBorder="1"/>
    <xf numFmtId="14" fontId="0" fillId="0" borderId="7" xfId="0" applyNumberFormat="1" applyFont="1" applyFill="1" applyBorder="1"/>
    <xf numFmtId="164" fontId="1" fillId="0" borderId="7" xfId="0" applyNumberFormat="1" applyFont="1" applyFill="1" applyBorder="1"/>
    <xf numFmtId="9" fontId="1" fillId="0" borderId="8" xfId="2" applyFont="1" applyFill="1" applyBorder="1"/>
    <xf numFmtId="9" fontId="1" fillId="0" borderId="8" xfId="0" applyNumberFormat="1" applyFont="1" applyFill="1" applyBorder="1"/>
    <xf numFmtId="164" fontId="0" fillId="0" borderId="7" xfId="0" applyNumberFormat="1" applyFont="1" applyFill="1" applyBorder="1"/>
    <xf numFmtId="10" fontId="0" fillId="0" borderId="8" xfId="0" applyNumberFormat="1" applyFont="1" applyFill="1" applyBorder="1"/>
    <xf numFmtId="0" fontId="1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12" borderId="0" xfId="0" applyFill="1"/>
    <xf numFmtId="0" fontId="7" fillId="12" borderId="0" xfId="0" applyFont="1" applyFill="1"/>
    <xf numFmtId="44" fontId="0" fillId="0" borderId="0" xfId="2" applyNumberFormat="1" applyFont="1"/>
    <xf numFmtId="0" fontId="0" fillId="0" borderId="3" xfId="0" applyNumberFormat="1" applyBorder="1"/>
    <xf numFmtId="0" fontId="0" fillId="10" borderId="0" xfId="0" applyNumberFormat="1" applyFont="1" applyFill="1" applyBorder="1"/>
    <xf numFmtId="0" fontId="0" fillId="13" borderId="0" xfId="0" applyFont="1" applyFill="1" applyBorder="1"/>
    <xf numFmtId="0" fontId="0" fillId="0" borderId="8" xfId="0" applyBorder="1"/>
    <xf numFmtId="0" fontId="0" fillId="0" borderId="0" xfId="0" applyBorder="1"/>
    <xf numFmtId="14" fontId="0" fillId="9" borderId="0" xfId="0" applyNumberFormat="1" applyFill="1" applyAlignment="1">
      <alignment horizontal="center"/>
    </xf>
    <xf numFmtId="0" fontId="0" fillId="0" borderId="0" xfId="0" applyNumberFormat="1" applyFill="1" applyBorder="1"/>
    <xf numFmtId="44" fontId="0" fillId="7" borderId="0" xfId="2" applyNumberFormat="1" applyFont="1" applyFill="1" applyBorder="1"/>
    <xf numFmtId="0" fontId="0" fillId="0" borderId="0" xfId="0" applyNumberFormat="1" applyBorder="1"/>
    <xf numFmtId="0" fontId="8" fillId="0" borderId="0" xfId="0" applyFont="1"/>
    <xf numFmtId="0" fontId="10" fillId="7" borderId="0" xfId="0" applyFont="1" applyFill="1" applyBorder="1" applyAlignment="1"/>
    <xf numFmtId="0" fontId="10" fillId="0" borderId="0" xfId="0" applyFont="1" applyAlignment="1"/>
    <xf numFmtId="0" fontId="0" fillId="0" borderId="0" xfId="0" applyFont="1" applyBorder="1" applyAlignment="1">
      <alignment wrapText="1"/>
    </xf>
    <xf numFmtId="0" fontId="0" fillId="0" borderId="10" xfId="0" applyBorder="1"/>
    <xf numFmtId="0" fontId="4" fillId="0" borderId="0" xfId="0" applyFont="1"/>
    <xf numFmtId="14" fontId="0" fillId="9" borderId="0" xfId="0" applyNumberFormat="1" applyFont="1" applyFill="1" applyBorder="1" applyAlignment="1">
      <alignment horizontal="center"/>
    </xf>
    <xf numFmtId="44" fontId="0" fillId="0" borderId="0" xfId="1" applyNumberFormat="1" applyFont="1" applyAlignment="1"/>
    <xf numFmtId="0" fontId="4" fillId="14" borderId="10" xfId="0" applyFont="1" applyFill="1" applyBorder="1" applyAlignment="1"/>
    <xf numFmtId="0" fontId="0" fillId="0" borderId="10" xfId="0" applyFont="1" applyBorder="1" applyAlignment="1">
      <alignment wrapText="1"/>
    </xf>
    <xf numFmtId="0" fontId="4" fillId="0" borderId="10" xfId="0" applyFont="1" applyBorder="1"/>
    <xf numFmtId="0" fontId="4" fillId="14" borderId="10" xfId="0" applyFont="1" applyFill="1" applyBorder="1" applyAlignment="1">
      <alignment wrapText="1"/>
    </xf>
    <xf numFmtId="0" fontId="4" fillId="14" borderId="10" xfId="0" applyFont="1" applyFill="1" applyBorder="1"/>
    <xf numFmtId="0" fontId="12" fillId="0" borderId="0" xfId="0" applyFont="1"/>
    <xf numFmtId="0" fontId="10" fillId="0" borderId="0" xfId="0" applyFont="1"/>
    <xf numFmtId="0" fontId="14" fillId="7" borderId="0" xfId="0" applyFont="1" applyFill="1" applyBorder="1" applyAlignment="1"/>
    <xf numFmtId="44" fontId="11" fillId="0" borderId="0" xfId="1" applyNumberFormat="1" applyFont="1" applyAlignment="1"/>
    <xf numFmtId="0" fontId="0" fillId="9" borderId="0" xfId="0" applyNumberFormat="1" applyFill="1" applyBorder="1"/>
    <xf numFmtId="44" fontId="11" fillId="0" borderId="0" xfId="0" applyNumberFormat="1" applyFont="1" applyAlignment="1"/>
    <xf numFmtId="9" fontId="11" fillId="0" borderId="0" xfId="0" applyNumberFormat="1" applyFont="1"/>
    <xf numFmtId="0" fontId="0" fillId="7" borderId="0" xfId="0" applyNumberFormat="1" applyFill="1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/>
    <xf numFmtId="0" fontId="0" fillId="9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85">
    <dxf>
      <numFmt numFmtId="0" formatCode="General"/>
    </dxf>
    <dxf>
      <numFmt numFmtId="19" formatCode="m/d/yyyy"/>
    </dxf>
    <dxf>
      <numFmt numFmtId="19" formatCode="m/d/yyyy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theme="4" tint="0.79998168889431442"/>
      </font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 List.xlsx]pivot!PivotTable1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Contracts Expiring</a:t>
            </a:r>
          </a:p>
        </c:rich>
      </c:tx>
      <c:layout>
        <c:manualLayout>
          <c:xMode val="edge"/>
          <c:yMode val="edge"/>
          <c:x val="0.26107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pivot!$A$4:$A$6</c:f>
              <c:strCache>
                <c:ptCount val="2"/>
                <c:pt idx="0">
                  <c:v>Expiring &lt; 6 Months</c:v>
                </c:pt>
                <c:pt idx="1">
                  <c:v>Expiring &gt; 6 Months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82</c:v>
                </c:pt>
                <c:pt idx="1">
                  <c:v>135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 List.xlsx]pivot!PivotTable2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Options</a:t>
            </a:r>
            <a:r>
              <a:rPr lang="en-US" baseline="0"/>
              <a:t> v. No Options &lt; 6mos.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pivot!$A$15:$A$17</c:f>
              <c:strCache>
                <c:ptCount val="2"/>
                <c:pt idx="0">
                  <c:v>No options</c:v>
                </c:pt>
                <c:pt idx="1">
                  <c:v>Options</c:v>
                </c:pt>
              </c:strCache>
            </c:strRef>
          </c:cat>
          <c:val>
            <c:numRef>
              <c:f>pivot!$B$15:$B$17</c:f>
              <c:numCache>
                <c:formatCode>General</c:formatCode>
                <c:ptCount val="2"/>
                <c:pt idx="0">
                  <c:v>44</c:v>
                </c:pt>
                <c:pt idx="1">
                  <c:v>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 List.xlsx]pivot!PivotTable4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Expiring by Division,</a:t>
            </a:r>
            <a:r>
              <a:rPr lang="en-US" baseline="0"/>
              <a:t> </a:t>
            </a:r>
            <a:r>
              <a:rPr lang="en-US"/>
              <a:t>No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692038495188109E-2"/>
          <c:y val="0.12488444152814232"/>
          <c:w val="0.90286351706036749"/>
          <c:h val="0.592368401866433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pivot!$A$28:$A$31</c:f>
              <c:strCache>
                <c:ptCount val="3"/>
                <c:pt idx="0">
                  <c:v>Facilities</c:v>
                </c:pt>
                <c:pt idx="1">
                  <c:v>Fiscal</c:v>
                </c:pt>
                <c:pt idx="2">
                  <c:v>Fleet</c:v>
                </c:pt>
              </c:strCache>
            </c:strRef>
          </c:cat>
          <c:val>
            <c:numRef>
              <c:f>pivot!$B$28:$B$31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2978144"/>
        <c:axId val="72978704"/>
        <c:axId val="0"/>
      </c:bar3DChart>
      <c:catAx>
        <c:axId val="729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704"/>
        <c:crosses val="autoZero"/>
        <c:auto val="1"/>
        <c:lblAlgn val="ctr"/>
        <c:lblOffset val="100"/>
        <c:noMultiLvlLbl val="0"/>
      </c:catAx>
      <c:valAx>
        <c:axId val="729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 List.xlsx]pivot!PivotTable5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Contracts Expiring by Month, No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pivot!$B$41:$B$42</c:f>
              <c:strCache>
                <c:ptCount val="1"/>
                <c:pt idx="0">
                  <c:v>Facilities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pivot!$A$43:$A$49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pivot!$B$43:$B$49</c:f>
              <c:numCache>
                <c:formatCode>General</c:formatCode>
                <c:ptCount val="6"/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pivot!$C$41:$C$42</c:f>
              <c:strCache>
                <c:ptCount val="1"/>
                <c:pt idx="0">
                  <c:v>Fiscal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pivot!$A$43:$A$49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pivot!$C$43:$C$49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pivot!$D$41:$D$42</c:f>
              <c:strCache>
                <c:ptCount val="1"/>
                <c:pt idx="0">
                  <c:v>Fleet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pivot!$A$43:$A$49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pivot!$D$43:$D$49</c:f>
              <c:numCache>
                <c:formatCode>General</c:formatCode>
                <c:ptCount val="6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0221744"/>
        <c:axId val="190222304"/>
        <c:axId val="0"/>
      </c:bar3DChart>
      <c:catAx>
        <c:axId val="1902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2304"/>
        <c:crosses val="autoZero"/>
        <c:auto val="1"/>
        <c:lblAlgn val="ctr"/>
        <c:lblOffset val="100"/>
        <c:noMultiLvlLbl val="0"/>
      </c:catAx>
      <c:valAx>
        <c:axId val="1902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 List.xlsx]pivot!PivotTable6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Reaching Spending</a:t>
            </a:r>
            <a:r>
              <a:rPr lang="en-US" baseline="0"/>
              <a:t> Limit (75%)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pivot!$A$63:$A$65</c:f>
              <c:strCache>
                <c:ptCount val="2"/>
                <c:pt idx="0">
                  <c:v>Reaching Spending Limit</c:v>
                </c:pt>
                <c:pt idx="1">
                  <c:v>Safe</c:v>
                </c:pt>
              </c:strCache>
            </c:strRef>
          </c:cat>
          <c:val>
            <c:numRef>
              <c:f>pivot!$B$63:$B$65</c:f>
              <c:numCache>
                <c:formatCode>General</c:formatCode>
                <c:ptCount val="2"/>
                <c:pt idx="0">
                  <c:v>50</c:v>
                </c:pt>
                <c:pt idx="1">
                  <c:v>167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 List.xlsx]pivot!PivotTable7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Reaching Spending</a:t>
            </a:r>
            <a:r>
              <a:rPr lang="en-US" baseline="0"/>
              <a:t> by Division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pivot!$B$74:$B$75</c:f>
              <c:strCache>
                <c:ptCount val="1"/>
                <c:pt idx="0">
                  <c:v>Reaching Spending Limit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pivot!$A$76:$A$78</c:f>
              <c:strCache>
                <c:ptCount val="2"/>
                <c:pt idx="0">
                  <c:v>Facilities</c:v>
                </c:pt>
                <c:pt idx="1">
                  <c:v>Fleet</c:v>
                </c:pt>
              </c:strCache>
            </c:strRef>
          </c:cat>
          <c:val>
            <c:numRef>
              <c:f>pivot!$B$76:$B$78</c:f>
              <c:numCache>
                <c:formatCode>General</c:formatCode>
                <c:ptCount val="2"/>
                <c:pt idx="0">
                  <c:v>11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0226224"/>
        <c:axId val="190226784"/>
        <c:axId val="0"/>
      </c:bar3DChart>
      <c:catAx>
        <c:axId val="1902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784"/>
        <c:crosses val="autoZero"/>
        <c:auto val="1"/>
        <c:lblAlgn val="ctr"/>
        <c:lblOffset val="100"/>
        <c:noMultiLvlLbl val="0"/>
      </c:catAx>
      <c:valAx>
        <c:axId val="190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0</xdr:rowOff>
    </xdr:from>
    <xdr:to>
      <xdr:col>7</xdr:col>
      <xdr:colOff>457200</xdr:colOff>
      <xdr:row>16</xdr:row>
      <xdr:rowOff>76200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2</xdr:row>
      <xdr:rowOff>0</xdr:rowOff>
    </xdr:from>
    <xdr:to>
      <xdr:col>15</xdr:col>
      <xdr:colOff>333375</xdr:colOff>
      <xdr:row>16</xdr:row>
      <xdr:rowOff>76200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157162</xdr:colOff>
      <xdr:row>17</xdr:row>
      <xdr:rowOff>133350</xdr:rowOff>
    </xdr:from>
    <xdr:to>
      <xdr:col>7</xdr:col>
      <xdr:colOff>461962</xdr:colOff>
      <xdr:row>32</xdr:row>
      <xdr:rowOff>19050</xdr:rowOff>
    </xdr:to>
    <xdr:graphicFrame macro="">
      <xdr:nvGraphicFramePr>
        <xdr:cNvPr id="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161925</xdr:rowOff>
    </xdr:from>
    <xdr:to>
      <xdr:col>15</xdr:col>
      <xdr:colOff>342900</xdr:colOff>
      <xdr:row>32</xdr:row>
      <xdr:rowOff>47625</xdr:rowOff>
    </xdr:to>
    <xdr:graphicFrame macro="">
      <xdr:nvGraphicFramePr>
        <xdr:cNvPr id="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33</xdr:row>
      <xdr:rowOff>28575</xdr:rowOff>
    </xdr:from>
    <xdr:to>
      <xdr:col>7</xdr:col>
      <xdr:colOff>457199</xdr:colOff>
      <xdr:row>47</xdr:row>
      <xdr:rowOff>104775</xdr:rowOff>
    </xdr:to>
    <xdr:graphicFrame macro="">
      <xdr:nvGraphicFramePr>
        <xdr:cNvPr id="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128587</xdr:colOff>
      <xdr:row>33</xdr:row>
      <xdr:rowOff>38099</xdr:rowOff>
    </xdr:from>
    <xdr:to>
      <xdr:col>15</xdr:col>
      <xdr:colOff>381000</xdr:colOff>
      <xdr:row>47</xdr:row>
      <xdr:rowOff>123824</xdr:rowOff>
    </xdr:to>
    <xdr:graphicFrame macro="">
      <xdr:nvGraphicFramePr>
        <xdr:cNvPr id="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rish, Troy" refreshedDate="43068.673221296296" createdVersion="5" refreshedVersion="5" minRefreshableVersion="3" recordCount="242">
  <cacheSource type="worksheet">
    <worksheetSource name="Table2"/>
  </cacheSource>
  <cacheFields count="30">
    <cacheField name="Expiring Month" numFmtId="0">
      <sharedItems count="12">
        <s v="September"/>
        <s v="October"/>
        <s v="February"/>
        <s v="November"/>
        <s v="December"/>
        <s v="January"/>
        <s v="March"/>
        <s v="April"/>
        <s v="May"/>
        <s v="June"/>
        <s v="July"/>
        <s v="August"/>
      </sharedItems>
    </cacheField>
    <cacheField name="Expiring Yr" numFmtId="0">
      <sharedItems/>
    </cacheField>
    <cacheField name="PO" numFmtId="0">
      <sharedItems/>
    </cacheField>
    <cacheField name="BUYER" numFmtId="0">
      <sharedItems/>
    </cacheField>
    <cacheField name="MB START" numFmtId="14">
      <sharedItems containsSemiMixedTypes="0" containsNonDate="0" containsDate="1" containsString="0" minDate="2010-08-01T00:00:00" maxDate="2017-11-23T00:00:00"/>
    </cacheField>
    <cacheField name="MB END" numFmtId="14">
      <sharedItems containsSemiMixedTypes="0" containsNonDate="0" containsDate="1" containsString="0" minDate="2017-09-07T00:00:00" maxDate="2022-11-08T00:00:00"/>
    </cacheField>
    <cacheField name="DESCRIPTION" numFmtId="0">
      <sharedItems/>
    </cacheField>
    <cacheField name="VENDOR" numFmtId="0">
      <sharedItems/>
    </cacheField>
    <cacheField name="MB $ LIMIT" numFmtId="44">
      <sharedItems containsSemiMixedTypes="0" containsString="0" containsNumber="1" minValue="3085.94" maxValue="52500000"/>
    </cacheField>
    <cacheField name="MB $ SPENT" numFmtId="44">
      <sharedItems containsSemiMixedTypes="0" containsString="0" containsNumber="1" minValue="0" maxValue="36287410.329999998"/>
    </cacheField>
    <cacheField name="% SPEND" numFmtId="9">
      <sharedItems containsSemiMixedTypes="0" containsString="0" containsNumber="1" minValue="0" maxValue="1"/>
    </cacheField>
    <cacheField name="Contract Length by # Months" numFmtId="1">
      <sharedItems containsSemiMixedTypes="0" containsString="0" containsNumber="1" minValue="2.9666666666666668" maxValue="99.966666666666669"/>
    </cacheField>
    <cacheField name="Desired Burn Rate" numFmtId="0">
      <sharedItems containsSemiMixedTypes="0" containsString="0" containsNumber="1" minValue="1.0003334444814937E-2" maxValue="0.33707865168539325"/>
    </cacheField>
    <cacheField name="# Months Passed" numFmtId="1">
      <sharedItems containsSemiMixedTypes="0" containsString="0" containsNumber="1" minValue="0.23333333333333334" maxValue="87.933333333333337"/>
    </cacheField>
    <cacheField name="Current Burn Rate" numFmtId="0">
      <sharedItems containsSemiMixedTypes="0" containsString="0" containsNumber="1" minValue="0" maxValue="0.39473684210526316"/>
    </cacheField>
    <cacheField name="Burn Rate Status" numFmtId="0">
      <sharedItems/>
    </cacheField>
    <cacheField name="Projected Limit Mo." numFmtId="1">
      <sharedItems containsMixedTypes="1" containsNumber="1" minValue="2.5333333333333332" maxValue="13468.273092369476"/>
    </cacheField>
    <cacheField name="Projected Limit Date" numFmtId="14">
      <sharedItems containsDate="1" containsMixedTypes="1" minDate="2017-11-01T00:00:00" maxDate="3137-05-02T00:00:00"/>
    </cacheField>
    <cacheField name="Limit Month" numFmtId="0">
      <sharedItems/>
    </cacheField>
    <cacheField name="Limit FY" numFmtId="0">
      <sharedItems containsMixedTypes="1" containsNumber="1" containsInteger="1" minValue="2018" maxValue="3137"/>
    </cacheField>
    <cacheField name="Division" numFmtId="0">
      <sharedItems containsBlank="1" count="4">
        <s v="Facilities"/>
        <s v="Fleet"/>
        <s v="Fiscal"/>
        <m u="1"/>
      </sharedItems>
    </cacheField>
    <cacheField name="Options Remaining" numFmtId="0">
      <sharedItems/>
    </cacheField>
    <cacheField name="Option (Y/N)" numFmtId="0">
      <sharedItems count="2">
        <s v="No options"/>
        <s v="Options"/>
      </sharedItems>
    </cacheField>
    <cacheField name="Comments" numFmtId="0">
      <sharedItems containsBlank="1" count="92">
        <s v="no longer need"/>
        <s v="Two Contracts - 1st awarded - P541500 &amp; P541501, 2nd ready for award but pending information from vendor. #06000"/>
        <s v="Had renewal options - was told not to renew - currently drafting a new solicitation"/>
        <s v="AWAITING Compliance Review from MWBOO before award can be made."/>
        <s v="the current contract is being extended until February 28th. A new solicitation will be completed by that time."/>
        <s v="is out for bid, bids open November 8 (3/28/17) "/>
        <s v="gone to bid r772126 (7/28/17); RFP packets are being reviewed and will be sent back to purchasing on 11/6/17 and will be sent to MBOO for approval."/>
        <s v="annual purchase"/>
        <s v="R770637 (7/14/17)- any updates? - B50005242 in progress. Anticipated bid opening date 12/29/17"/>
        <s v="renewal in progress"/>
        <m/>
        <s v="Handled by buyer"/>
        <s v="Master Lease Purchase "/>
        <s v="Stuart previously did an increase and committed to no more renewals. "/>
        <s v="Bolu Oluwasuji will renew"/>
        <s v="Letting expire. Zero dollars have been used in 3 years. Transportation advised."/>
        <s v="Awaiting Compliance Review from MWBOO before renewal can be started."/>
        <s v="B50005176 in progress, since 10/6"/>
        <s v="specs were modified and sent to purchasing buyer for review and processing"/>
        <s v="B50005221 in progress"/>
        <s v="This item has renewals. It will be started in December."/>
        <s v="This item has a renewal. It will be started in December."/>
        <s v="Solicitation B50005235 - Opens December 14, 2017"/>
        <s v="Solicitation will be next in line"/>
        <s v="Do we plan to renew? - Will renew in December"/>
        <s v="New Solicitation will be started in December. Will need to do an extension"/>
        <s v="Solicitation B50005160 - Opens January 10, 2018"/>
        <s v="Informal to be started in December"/>
        <s v="need a new req"/>
        <s v="Do we plan to renew?"/>
        <s v="B50005011 bids being evaluated. Should be awarded before December."/>
        <s v="Are we working on a new solicitation? - need req for new contract"/>
        <s v="Will need req for new contract"/>
        <s v="are we renewing?"/>
        <s v="This item has a renewal. It will be started in February."/>
        <s v="New Solicitation will be started in December"/>
        <s v="FMD filling out expiring contract form"/>
        <s v="A new solicitiation will be started in December."/>
        <s v="Do we plan to renew? - Will renew in Feb."/>
        <s v="Beverly Cole sending letter to board"/>
        <s v="will renew"/>
        <s v="A renewal will be started in February."/>
        <s v="renew request sent to dmacer 11/29/17"/>
        <s v="will not renew"/>
        <s v="Renewed to 7/31/2018"/>
        <s v="one-time purchase"/>
        <s v="Stuart Feldman will renew"/>
        <s v="FM will  get a quote by Friday"/>
        <s v="Karen Addams will renew"/>
        <s v="On Hold by CPA"/>
        <s v="Karen Addams will renew Change Order added $150,000.00"/>
        <s v="Karen will renew Change Order in process for $110,000.00"/>
        <s v="Renewal/amt increase change order in process, _x000a_anticipated BOE date 8/17/16; Went to Board 9142016; Kristy will update before end of month."/>
        <s v="renew"/>
        <s v="this is web migration Agreement, it has gone to the Board. I am awaiting approval with ALL signatures."/>
        <s v="Scheduled for the Board 10-18-17"/>
        <s v="Scheduled for the Board 10-25-17"/>
        <s v="Scheduled for  the Board 10-18-17"/>
        <s v="working on renewal option; mukesh"/>
        <s v="S Stricklin Having discussion with Purchasing to terminate service; purchases working on renewal option"/>
        <s v="Purchases working on renewal option"/>
        <s v="S Stricklin Having discussion with Purchasing to terminate service?"/>
        <s v="plan to renew?"/>
        <s v="not going to renewed by DGS; bad vendor reports. Turf equiptment is other contract"/>
        <s v="monthly payments"/>
        <s v="covering 3 months until new contract is in place, bid opens 1/24/18"/>
        <s v="renewal by 12/31/2016" u="1"/>
        <s v="Stricklin working with Purchasing to ascertain contract needs. $ increase requested 11/14/16" u="1"/>
        <s v="was a new req put in for this?" u="1"/>
        <s v="working with buyer on how to handle contract" u="1"/>
        <s v="vendor sends invoice annually" u="1"/>
        <s v="renew?" u="1"/>
        <s v="check to see where we are next month" u="1"/>
        <s v="R770637- working on solicitation" u="1"/>
        <s v="req on 10-05-17" u="1"/>
        <s v="is out for bid, bids open November 8th" u="1"/>
        <s v="Bambi's shop working on purchase request" u="1"/>
        <s v="Vendor would not honor extension or renewal - new PO# P541148" u="1"/>
        <s v="will this be renewed on time?" u="1"/>
        <s v="new informal requistion in December, 2016-has 1 option left, are we keeping contract?" u="1"/>
        <s v="Abraham Bey will renew" u="1"/>
        <s v="gone to bid r772126" u="1"/>
        <s v="?" u="1"/>
        <s v="New Contract out for bid - Opens 10-18-17" u="1"/>
        <s v="New Requisition R764982" u="1"/>
        <s v="renewal request at end of sept by DF" u="1"/>
        <s v="waiting on response from Karl; spending- will this last entire po" u="1"/>
        <s v="review of contract needs by December,2016" u="1"/>
        <s v="New Requisition R761056-  Karen A. is buyer and working on extensiion/rebid. Jesco never submitted a bid &amp; the vendors recommended for award can't repair larger equipment" u="1"/>
        <s v="managed by risk management" u="1"/>
        <s v="B50005176 in progress" u="1"/>
        <s v="will start in nov" u="1"/>
      </sharedItems>
    </cacheField>
    <cacheField name="Spending Comments" numFmtId="0">
      <sharedItems containsBlank="1"/>
    </cacheField>
    <cacheField name="Less than 6  Mos?" numFmtId="0">
      <sharedItems count="2">
        <s v="Expiring &lt; 6 Months"/>
        <s v="Expiring &gt; 6 Months"/>
      </sharedItems>
    </cacheField>
    <cacheField name="Expiring" numFmtId="0">
      <sharedItems containsSemiMixedTypes="0" containsString="0" containsNumber="1" containsInteger="1" minValue="0" maxValue="1"/>
    </cacheField>
    <cacheField name="Safe" numFmtId="0">
      <sharedItems containsSemiMixedTypes="0" containsString="0" containsNumber="1" containsInteger="1" minValue="0" maxValue="0"/>
    </cacheField>
    <cacheField name="Less than 6  mos No Options" numFmtId="0">
      <sharedItems containsSemiMixedTypes="0" containsString="0" containsNumber="1" containsInteger="1" minValue="0" maxValue="1"/>
    </cacheField>
    <cacheField name="Over 75% Spending Limit" numFmtId="0">
      <sharedItems count="4">
        <s v="Reaching Spending Limit"/>
        <s v="Safe"/>
        <e v="#DIV/0!" u="1"/>
        <e v="#VALUE!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x v="0"/>
    <s v="2017"/>
    <s v="P532668"/>
    <s v="DFINNERTY"/>
    <d v="2015-09-08T00:00:00"/>
    <d v="2017-09-07T00:00:00"/>
    <s v="Stratos Contract Extension for Post Modernization Out of Scope Elevator Repairs"/>
    <s v="Stratos Elevator, Inc."/>
    <n v="10000"/>
    <n v="8604"/>
    <n v="0.86040000000000005"/>
    <n v="23.966666666666665"/>
    <n v="4.1724617524339362E-2"/>
    <n v="26.7"/>
    <n v="3.2224719101123595E-2"/>
    <s v="Desired Burn Rate"/>
    <n v="31.032078103207812"/>
    <d v="2018-04-08T00:00:00"/>
    <s v="April"/>
    <n v="2018"/>
    <x v="0"/>
    <s v="No options"/>
    <x v="0"/>
    <x v="0"/>
    <m/>
    <x v="0"/>
    <n v="1"/>
    <n v="0"/>
    <n v="1"/>
    <x v="0"/>
  </r>
  <r>
    <x v="1"/>
    <s v="2017"/>
    <s v="P521466"/>
    <s v="KADDAMS"/>
    <d v="2012-10-01T00:00:00"/>
    <d v="2017-10-18T00:00:00"/>
    <s v="OEM Parts and Service for John Deere Equipment "/>
    <s v="JESCO, INC."/>
    <n v="4200000"/>
    <n v="3963126.45"/>
    <n v="0.94360153571428573"/>
    <n v="60.56666666666667"/>
    <n v="1.6510731975784256E-2"/>
    <n v="61.93333333333333"/>
    <n v="1.5235762148239277E-2"/>
    <s v="Desired Burn Rate"/>
    <n v="65.635049318196735"/>
    <d v="2018-03-01T00:00:00"/>
    <s v="March"/>
    <n v="2018"/>
    <x v="1"/>
    <s v="No options"/>
    <x v="0"/>
    <x v="1"/>
    <m/>
    <x v="0"/>
    <n v="1"/>
    <n v="0"/>
    <n v="1"/>
    <x v="0"/>
  </r>
  <r>
    <x v="1"/>
    <s v="2017"/>
    <s v="P529186"/>
    <s v="KTREAT"/>
    <d v="2014-10-23T00:00:00"/>
    <d v="2017-10-22T00:00:00"/>
    <s v="Parts and Repair Service for Muncie Pumps, Power Take Offs and Valves "/>
    <s v="HYDRATEC INC."/>
    <n v="200000"/>
    <n v="147031.32"/>
    <n v="0.73515660000000005"/>
    <n v="35.966666666666669"/>
    <n v="2.780352177942539E-2"/>
    <n v="37.200000000000003"/>
    <n v="1.9762274193548389E-2"/>
    <s v="Desired Burn Rate"/>
    <n v="50.601463688144811"/>
    <d v="2018-12-23T00:00:00"/>
    <s v="December"/>
    <n v="2019"/>
    <x v="1"/>
    <s v="No options"/>
    <x v="0"/>
    <x v="2"/>
    <m/>
    <x v="0"/>
    <n v="1"/>
    <n v="0"/>
    <n v="1"/>
    <x v="1"/>
  </r>
  <r>
    <x v="1"/>
    <s v="2017"/>
    <s v="P521426"/>
    <s v="KADDAMS"/>
    <d v="2012-09-01T00:00:00"/>
    <d v="2017-10-31T00:00:00"/>
    <s v="Recreational Vehicle and Motor Home Repairs"/>
    <s v="EFFICIENCY ENTERPRISES"/>
    <n v="700000"/>
    <n v="164671.57999999999"/>
    <n v="0.23524511428571426"/>
    <n v="62"/>
    <n v="1.6129032258064516E-2"/>
    <n v="62.93333333333333"/>
    <n v="3.738004993946731E-3"/>
    <s v="Desired Burn Rate"/>
    <n v="267.5223820244716"/>
    <d v="2034-12-01T00:00:00"/>
    <s v="December"/>
    <n v="2035"/>
    <x v="1"/>
    <s v="2 one-yr options"/>
    <x v="1"/>
    <x v="3"/>
    <m/>
    <x v="0"/>
    <n v="1"/>
    <n v="0"/>
    <n v="0"/>
    <x v="1"/>
  </r>
  <r>
    <x v="1"/>
    <s v="2017"/>
    <s v="P515181"/>
    <s v="BCOLE"/>
    <d v="2010-11-01T00:00:00"/>
    <d v="2017-10-31T00:00:00"/>
    <s v="Body Shop Repair Services "/>
    <s v="R&amp;E body and paint inc/ DBA MAACO "/>
    <n v="1420000"/>
    <n v="1397186.92"/>
    <n v="0.98393445070422525"/>
    <n v="84"/>
    <n v="1.1904761904761904E-2"/>
    <n v="84.933333333333337"/>
    <n v="1.1584785526344881E-2"/>
    <s v="Desired Burn Rate"/>
    <n v="86.320113369894244"/>
    <d v="2018-01-01T00:00:00"/>
    <s v="January"/>
    <n v="2018"/>
    <x v="1"/>
    <s v="No options"/>
    <x v="0"/>
    <x v="4"/>
    <m/>
    <x v="0"/>
    <n v="1"/>
    <n v="0"/>
    <n v="1"/>
    <x v="0"/>
  </r>
  <r>
    <x v="2"/>
    <s v="2018"/>
    <s v="P515182"/>
    <s v="BCOLE"/>
    <d v="2010-11-01T00:00:00"/>
    <d v="2018-02-28T00:00:00"/>
    <s v="Body Shop Repair Services "/>
    <s v="Beavers' Auto Body repair Center, Inc"/>
    <n v="785000"/>
    <n v="699905.81"/>
    <n v="0.89159975796178348"/>
    <n v="87.9"/>
    <n v="1.1376564277588166E-2"/>
    <n v="84.933333333333337"/>
    <n v="1.0497642362187403E-2"/>
    <s v="Desired Burn Rate"/>
    <n v="95.259484510732477"/>
    <d v="2018-10-01T00:00:00"/>
    <s v="October"/>
    <n v="2019"/>
    <x v="1"/>
    <s v="No options"/>
    <x v="0"/>
    <x v="4"/>
    <m/>
    <x v="0"/>
    <n v="1"/>
    <n v="0"/>
    <n v="1"/>
    <x v="0"/>
  </r>
  <r>
    <x v="1"/>
    <s v="2017"/>
    <s v="P515183"/>
    <s v="BCOLE"/>
    <d v="2010-11-01T00:00:00"/>
    <d v="2017-10-31T00:00:00"/>
    <s v="Body Shop Repair Services "/>
    <s v="C &amp; W Body and Fender Shop, Inc."/>
    <n v="1793000"/>
    <n v="1705819.73"/>
    <n v="0.95137742889012822"/>
    <n v="84"/>
    <n v="1.1904761904761904E-2"/>
    <n v="84.933333333333337"/>
    <n v="1.120146109368283E-2"/>
    <s v="Desired Burn Rate"/>
    <n v="89.274068055636022"/>
    <d v="2018-04-01T00:00:00"/>
    <s v="April"/>
    <n v="2018"/>
    <x v="1"/>
    <s v="No options"/>
    <x v="0"/>
    <x v="4"/>
    <m/>
    <x v="0"/>
    <n v="1"/>
    <n v="0"/>
    <n v="1"/>
    <x v="0"/>
  </r>
  <r>
    <x v="1"/>
    <s v="2017"/>
    <s v="P515184"/>
    <s v="BCOLE"/>
    <d v="2010-11-01T00:00:00"/>
    <d v="2017-10-31T00:00:00"/>
    <s v="Body Shop Repair Services "/>
    <s v="Herman Born &amp; Sons, Inc."/>
    <n v="500000"/>
    <n v="444508.86"/>
    <n v="0.88901772000000001"/>
    <n v="84"/>
    <n v="1.1904761904761904E-2"/>
    <n v="84.933333333333337"/>
    <n v="1.0467241601255886E-2"/>
    <s v="Desired Burn Rate"/>
    <n v="95.536153467597188"/>
    <d v="2018-10-01T00:00:00"/>
    <s v="October"/>
    <n v="2019"/>
    <x v="1"/>
    <s v="No options"/>
    <x v="0"/>
    <x v="4"/>
    <m/>
    <x v="0"/>
    <n v="1"/>
    <n v="0"/>
    <n v="1"/>
    <x v="0"/>
  </r>
  <r>
    <x v="1"/>
    <s v="2017"/>
    <s v="P515185"/>
    <s v="BCOLE"/>
    <d v="2010-11-01T00:00:00"/>
    <d v="2017-10-31T00:00:00"/>
    <s v="Body Shop Repair Services "/>
    <s v="BALTIMORE FREIGHTLINER"/>
    <n v="580000"/>
    <n v="457757.89"/>
    <n v="0.78923774137931035"/>
    <n v="84"/>
    <n v="1.1904761904761904E-2"/>
    <n v="84.933333333333337"/>
    <n v="9.2924380853137006E-3"/>
    <s v="Desired Burn Rate"/>
    <n v="107.61438395596706"/>
    <d v="2019-10-01T00:00:00"/>
    <s v="October"/>
    <n v="2020"/>
    <x v="1"/>
    <s v="No options"/>
    <x v="0"/>
    <x v="4"/>
    <m/>
    <x v="0"/>
    <n v="1"/>
    <n v="0"/>
    <n v="1"/>
    <x v="0"/>
  </r>
  <r>
    <x v="1"/>
    <s v="2017"/>
    <s v="P515186"/>
    <s v="BCOLE"/>
    <d v="2010-11-01T00:00:00"/>
    <d v="2017-10-31T00:00:00"/>
    <s v="Body Shop Repair Services "/>
    <s v="Middleton &amp; Meads"/>
    <n v="806000"/>
    <n v="742961.88"/>
    <n v="0.92178893300248144"/>
    <n v="84"/>
    <n v="1.1904761904761906E-2"/>
    <n v="84.933333333333337"/>
    <n v="1.085308790819248E-2"/>
    <s v="Desired Burn Rate"/>
    <n v="92.139675681162359"/>
    <d v="2018-07-01T00:00:00"/>
    <s v="July"/>
    <n v="2019"/>
    <x v="1"/>
    <s v="No options"/>
    <x v="0"/>
    <x v="4"/>
    <m/>
    <x v="0"/>
    <n v="1"/>
    <n v="0"/>
    <n v="1"/>
    <x v="0"/>
  </r>
  <r>
    <x v="1"/>
    <s v="2017"/>
    <s v="P515187"/>
    <s v="BCOLE"/>
    <d v="2010-11-01T00:00:00"/>
    <d v="2017-10-31T00:00:00"/>
    <s v="Body Shop Repair Services "/>
    <s v="AutoNation Chevrolet Timonium dba Valley Chevrolet"/>
    <n v="932000"/>
    <n v="924229.29"/>
    <n v="0.99166232832618029"/>
    <n v="84"/>
    <n v="1.1904761904761904E-2"/>
    <n v="84.933333333333337"/>
    <n v="1.167577309646209E-2"/>
    <s v="Desired Burn Rate"/>
    <n v="85.647433513675665"/>
    <d v="2017-12-01T00:00:00"/>
    <s v="December"/>
    <n v="2018"/>
    <x v="1"/>
    <s v="No options"/>
    <x v="0"/>
    <x v="4"/>
    <m/>
    <x v="0"/>
    <n v="1"/>
    <n v="0"/>
    <n v="1"/>
    <x v="0"/>
  </r>
  <r>
    <x v="1"/>
    <s v="2017"/>
    <s v="P515188"/>
    <s v="BCOLE"/>
    <d v="2010-11-01T00:00:00"/>
    <d v="2017-10-31T00:00:00"/>
    <s v="Body Shop Repair Services "/>
    <s v="Linthicum Ferndale Auto Body, Inc."/>
    <n v="702000"/>
    <n v="600623.18000000005"/>
    <n v="0.85558857549857559"/>
    <n v="84"/>
    <n v="1.1904761904761904E-2"/>
    <n v="84.933333333333337"/>
    <n v="1.0073648848099399E-2"/>
    <s v="Desired Burn Rate"/>
    <n v="99.268896015634951"/>
    <d v="2019-02-01T00:00:00"/>
    <s v="February"/>
    <n v="2019"/>
    <x v="1"/>
    <s v="No options"/>
    <x v="0"/>
    <x v="4"/>
    <m/>
    <x v="0"/>
    <n v="1"/>
    <n v="0"/>
    <n v="1"/>
    <x v="0"/>
  </r>
  <r>
    <x v="1"/>
    <s v="2017"/>
    <s v="P515189"/>
    <s v="BCOLE"/>
    <d v="2010-11-01T00:00:00"/>
    <d v="2017-10-31T00:00:00"/>
    <s v="Body Shop Repair Services "/>
    <s v="Donahoo Collision Center LLC"/>
    <n v="980000"/>
    <n v="907859.57"/>
    <n v="0.9263873163265306"/>
    <n v="84"/>
    <n v="1.1904761904761904E-2"/>
    <n v="84.933333333333337"/>
    <n v="1.0907228999134976E-2"/>
    <s v="Desired Burn Rate"/>
    <n v="91.682314552972855"/>
    <d v="2018-06-01T00:00:00"/>
    <s v="June"/>
    <n v="2018"/>
    <x v="1"/>
    <s v="No options"/>
    <x v="0"/>
    <x v="4"/>
    <m/>
    <x v="0"/>
    <n v="1"/>
    <n v="0"/>
    <n v="1"/>
    <x v="0"/>
  </r>
  <r>
    <x v="1"/>
    <s v="2017"/>
    <s v="P515190"/>
    <s v="BCOLE"/>
    <d v="2010-11-01T00:00:00"/>
    <d v="2017-10-31T00:00:00"/>
    <s v="Body Shop Repair Services "/>
    <s v="Lords Collision Experts trading as Security Auto Body"/>
    <n v="725000"/>
    <n v="687854.89"/>
    <n v="0.94876536551724144"/>
    <n v="84"/>
    <n v="1.1904761904761906E-2"/>
    <n v="84.933333333333337"/>
    <n v="1.1170706815352135E-2"/>
    <s v="Desired Burn Rate"/>
    <n v="89.519850133894764"/>
    <d v="2018-04-01T00:00:00"/>
    <s v="April"/>
    <n v="2018"/>
    <x v="1"/>
    <s v="No options"/>
    <x v="0"/>
    <x v="4"/>
    <m/>
    <x v="0"/>
    <n v="1"/>
    <n v="0"/>
    <n v="1"/>
    <x v="0"/>
  </r>
  <r>
    <x v="1"/>
    <s v="2017"/>
    <s v="P515180"/>
    <s v="BCOLE"/>
    <d v="2010-11-01T00:00:00"/>
    <d v="2017-10-31T00:00:00"/>
    <s v="Body Shop Repair Services "/>
    <s v="AL PACKER'S WHITE MARSH FORD"/>
    <n v="1002000"/>
    <n v="996995.18"/>
    <n v="0.99500516966067865"/>
    <n v="84"/>
    <n v="1.1904761904761906E-2"/>
    <n v="84.933333333333337"/>
    <n v="1.1715131510918509E-2"/>
    <s v="Desired Burn Rate"/>
    <n v="85.359690505223895"/>
    <d v="2017-12-01T00:00:00"/>
    <s v="December"/>
    <n v="2018"/>
    <x v="1"/>
    <s v="No options"/>
    <x v="0"/>
    <x v="4"/>
    <m/>
    <x v="0"/>
    <n v="1"/>
    <n v="0"/>
    <n v="1"/>
    <x v="0"/>
  </r>
  <r>
    <x v="1"/>
    <s v="2017"/>
    <s v="P520012"/>
    <s v="BREADY"/>
    <d v="2012-04-01T00:00:00"/>
    <d v="2017-10-31T00:00:00"/>
    <s v="Caterpillar Maintenance &amp; Repair"/>
    <s v="CORRELLI INCORPORATED"/>
    <n v="100000"/>
    <n v="0"/>
    <n v="0"/>
    <n v="67"/>
    <n v="1.4925373134328358E-2"/>
    <n v="67.933333333333337"/>
    <n v="0"/>
    <s v="Desired Burn Rate"/>
    <e v="#DIV/0!"/>
    <e v="#DIV/0!"/>
    <e v="#DIV/0!"/>
    <e v="#DIV/0!"/>
    <x v="1"/>
    <s v="No options"/>
    <x v="0"/>
    <x v="5"/>
    <m/>
    <x v="0"/>
    <n v="1"/>
    <n v="0"/>
    <n v="1"/>
    <x v="1"/>
  </r>
  <r>
    <x v="1"/>
    <s v="2017"/>
    <s v="P520013"/>
    <s v="BREADY"/>
    <d v="2012-04-01T00:00:00"/>
    <d v="2017-10-31T00:00:00"/>
    <s v="Caterpillar Maintenance &amp; Repair"/>
    <s v="Alban Tractor Co. Inc."/>
    <n v="105000"/>
    <n v="41139.839999999997"/>
    <n v="0.39180799999999999"/>
    <n v="67"/>
    <n v="1.4925373134328358E-2"/>
    <n v="67.933333333333337"/>
    <n v="5.7675368007850825E-3"/>
    <s v="Desired Burn Rate"/>
    <n v="173.38424262223677"/>
    <d v="2026-09-01T00:00:00"/>
    <s v="September"/>
    <n v="2027"/>
    <x v="1"/>
    <s v="No options"/>
    <x v="0"/>
    <x v="5"/>
    <m/>
    <x v="0"/>
    <n v="1"/>
    <n v="0"/>
    <n v="1"/>
    <x v="1"/>
  </r>
  <r>
    <x v="3"/>
    <s v="2017"/>
    <s v="P537501"/>
    <s v="DFINNERTY"/>
    <d v="2016-11-02T00:00:00"/>
    <d v="2017-11-01T00:00:00"/>
    <s v="Pest Control Services and Bed Bug K9 Detection"/>
    <s v="J.C. Ehrlich d/b/a Target Specialty Products"/>
    <n v="157978"/>
    <n v="96782"/>
    <n v="0.61262960665409105"/>
    <n v="11.966666666666667"/>
    <n v="8.3565459610027856E-2"/>
    <n v="12.9"/>
    <n v="4.7490667182487678E-2"/>
    <s v="Desired Burn Rate"/>
    <n v="21.056768820648468"/>
    <d v="2018-08-02T00:00:00"/>
    <s v="August"/>
    <n v="2019"/>
    <x v="0"/>
    <s v="No options"/>
    <x v="0"/>
    <x v="6"/>
    <m/>
    <x v="0"/>
    <n v="1"/>
    <n v="0"/>
    <n v="1"/>
    <x v="1"/>
  </r>
  <r>
    <x v="3"/>
    <s v="2017"/>
    <s v="P530680"/>
    <s v="ABBEY"/>
    <d v="2015-03-18T00:00:00"/>
    <d v="2017-11-03T00:00:00"/>
    <s v="Construction Contract Planning and Coordination Services Software"/>
    <s v="Accela, Inc."/>
    <n v="110000"/>
    <n v="110000"/>
    <n v="1"/>
    <n v="31.5"/>
    <n v="3.1746031746031744E-2"/>
    <n v="32.366666666666667"/>
    <n v="3.0895983522142123E-2"/>
    <s v="Desired Burn Rate"/>
    <n v="32.366666666666667"/>
    <d v="2017-11-18T00:00:00"/>
    <s v="November"/>
    <n v="2018"/>
    <x v="0"/>
    <s v="No options"/>
    <x v="0"/>
    <x v="7"/>
    <m/>
    <x v="0"/>
    <n v="1"/>
    <n v="0"/>
    <n v="1"/>
    <x v="0"/>
  </r>
  <r>
    <x v="3"/>
    <s v="2017"/>
    <s v="P527708"/>
    <s v="ABBEY"/>
    <d v="2014-06-04T00:00:00"/>
    <d v="2017-11-03T00:00:00"/>
    <s v="Archibus Maintenance and Support Agreement"/>
    <s v="Rand Worldwide Subsidiary Inc."/>
    <n v="188816"/>
    <n v="179516"/>
    <n v="0.95074569951699006"/>
    <n v="40.966666666666669"/>
    <n v="2.4410089503661515E-2"/>
    <n v="41.833333333333336"/>
    <n v="2.2726988833075456E-2"/>
    <s v="Desired Burn Rate"/>
    <n v="44.000549626031486"/>
    <d v="2018-02-04T00:00:00"/>
    <s v="February"/>
    <n v="2018"/>
    <x v="0"/>
    <s v="4 one-year renewal options "/>
    <x v="1"/>
    <x v="7"/>
    <m/>
    <x v="0"/>
    <n v="1"/>
    <n v="0"/>
    <n v="0"/>
    <x v="0"/>
  </r>
  <r>
    <x v="3"/>
    <s v="2017"/>
    <s v="P537843"/>
    <s v="SFELDMAN"/>
    <d v="2016-11-07T00:00:00"/>
    <d v="2017-11-06T00:00:00"/>
    <s v="Inspections and Certification for Fuel Tanker Trucks"/>
    <s v="Westmor Industries"/>
    <n v="15966.37"/>
    <n v="15022.29"/>
    <n v="0.94087071763963881"/>
    <n v="11.966666666666667"/>
    <n v="8.3565459610027856E-2"/>
    <n v="12.733333333333333"/>
    <n v="7.3890370495259594E-2"/>
    <s v="Desired Burn Rate"/>
    <n v="13.533563213952954"/>
    <d v="2017-12-07T00:00:00"/>
    <s v="December"/>
    <n v="2018"/>
    <x v="1"/>
    <s v="No options"/>
    <x v="0"/>
    <x v="8"/>
    <m/>
    <x v="0"/>
    <n v="1"/>
    <n v="0"/>
    <n v="1"/>
    <x v="0"/>
  </r>
  <r>
    <x v="3"/>
    <s v="2017"/>
    <s v="P525512"/>
    <s v="ABBEY"/>
    <d v="2013-11-13T00:00:00"/>
    <d v="2017-11-12T00:00:00"/>
    <s v="Response Services for Oil Spill &amp; Hazardous Waste Cleanup"/>
    <s v="Kalyani Environmental Solutions, LLC"/>
    <n v="243100"/>
    <n v="3557.5"/>
    <n v="1.4633895516248458E-2"/>
    <n v="47.966666666666669"/>
    <n v="2.0847810979847115E-2"/>
    <n v="48.533333333333331"/>
    <n v="3.0152257245017432E-4"/>
    <s v="Desired Burn Rate"/>
    <n v="3316.5012883579288"/>
    <d v="2290-03-13T00:00:00"/>
    <s v="March"/>
    <n v="2290"/>
    <x v="1"/>
    <s v="1 one-yr option"/>
    <x v="1"/>
    <x v="9"/>
    <m/>
    <x v="0"/>
    <n v="1"/>
    <n v="0"/>
    <n v="0"/>
    <x v="1"/>
  </r>
  <r>
    <x v="3"/>
    <s v="2018"/>
    <s v="P533698"/>
    <s v="DFINNERTY"/>
    <d v="2015-11-18T00:00:00"/>
    <d v="2018-11-17T00:00:00"/>
    <s v="On-call Repair and Maint Services for Electronic Fire Alarm Systems"/>
    <s v="Fireline Corporation"/>
    <n v="400000"/>
    <n v="200441.46"/>
    <n v="0.50110365000000001"/>
    <n v="35.966666666666669"/>
    <n v="2.780352177942539E-2"/>
    <n v="24.366666666666667"/>
    <n v="2.0565129274965798E-2"/>
    <s v="Desired Burn Rate"/>
    <n v="48.626001160970731"/>
    <d v="2019-11-18T00:00:00"/>
    <s v="November"/>
    <n v="2020"/>
    <x v="0"/>
    <s v="2 one year renewals"/>
    <x v="1"/>
    <x v="10"/>
    <m/>
    <x v="1"/>
    <n v="0"/>
    <n v="0"/>
    <n v="0"/>
    <x v="1"/>
  </r>
  <r>
    <x v="3"/>
    <s v="2018"/>
    <s v="P535185"/>
    <s v="DFINNERTY"/>
    <d v="2016-04-21T00:00:00"/>
    <d v="2018-11-17T00:00:00"/>
    <s v="On-call repair and maintenance services for electronic fire alarm systems. "/>
    <s v="Protection 1"/>
    <n v="365000"/>
    <n v="51955.86"/>
    <n v="0.14234482191780823"/>
    <n v="30.866666666666667"/>
    <n v="3.2397408207343416E-2"/>
    <n v="19.266666666666666"/>
    <n v="7.3881395459070021E-3"/>
    <s v="Desired Burn Rate"/>
    <n v="135.35207257339852"/>
    <d v="2027-07-21T00:00:00"/>
    <s v="July"/>
    <n v="2028"/>
    <x v="0"/>
    <s v="2 one year renewals"/>
    <x v="1"/>
    <x v="10"/>
    <m/>
    <x v="1"/>
    <n v="0"/>
    <n v="0"/>
    <n v="0"/>
    <x v="1"/>
  </r>
  <r>
    <x v="3"/>
    <s v="2017"/>
    <s v="P529433"/>
    <s v="SZIEGLER"/>
    <d v="2014-10-19T00:00:00"/>
    <d v="2017-11-20T00:00:00"/>
    <s v="Electrical Supplies"/>
    <s v="GRAYBAR ELECTRIC"/>
    <n v="1469600"/>
    <n v="1468999.51"/>
    <n v="0.99959139221556892"/>
    <n v="37.033333333333331"/>
    <n v="2.7002700270027005E-2"/>
    <n v="37.333333333333336"/>
    <n v="2.6774769434345595E-2"/>
    <s v="Desired Burn Rate"/>
    <n v="37.348594259685399"/>
    <d v="2017-11-19T00:00:00"/>
    <s v="November"/>
    <n v="2018"/>
    <x v="0"/>
    <s v="No options"/>
    <x v="0"/>
    <x v="11"/>
    <m/>
    <x v="0"/>
    <n v="1"/>
    <n v="0"/>
    <n v="1"/>
    <x v="0"/>
  </r>
  <r>
    <x v="3"/>
    <s v="2017"/>
    <s v="P529434"/>
    <s v="SZIEGLER"/>
    <d v="2014-10-19T00:00:00"/>
    <d v="2017-11-20T00:00:00"/>
    <s v="Electrical Supplies"/>
    <s v="Ideal Electrical Supply"/>
    <n v="1231200"/>
    <n v="90962.11"/>
    <n v="7.3880856075373619E-2"/>
    <n v="37.033333333333331"/>
    <n v="2.7002700270027005E-2"/>
    <n v="37.333333333333336"/>
    <n v="1.9789515020189365E-3"/>
    <s v="Desired Burn Rate"/>
    <n v="505.31809343472793"/>
    <d v="2056-11-19T00:00:00"/>
    <s v="November"/>
    <n v="2057"/>
    <x v="0"/>
    <s v="No options"/>
    <x v="0"/>
    <x v="11"/>
    <m/>
    <x v="0"/>
    <n v="1"/>
    <n v="0"/>
    <n v="1"/>
    <x v="1"/>
  </r>
  <r>
    <x v="3"/>
    <s v="2017"/>
    <s v="P537780"/>
    <s v="SFELDMAN"/>
    <d v="2016-11-23T00:00:00"/>
    <d v="2017-11-22T00:00:00"/>
    <s v="Regular Cab Truck with a Dump Body"/>
    <s v="Kip Killmon Louisa Ford, LLC"/>
    <n v="81990"/>
    <n v="81990"/>
    <n v="1"/>
    <n v="11.966666666666667"/>
    <n v="8.3565459610027856E-2"/>
    <n v="12.2"/>
    <n v="8.1967213114754106E-2"/>
    <s v="Desired Burn Rate"/>
    <n v="12.2"/>
    <d v="2017-11-23T00:00:00"/>
    <s v="November"/>
    <n v="2018"/>
    <x v="1"/>
    <s v="No options"/>
    <x v="0"/>
    <x v="12"/>
    <m/>
    <x v="0"/>
    <n v="1"/>
    <n v="0"/>
    <n v="1"/>
    <x v="0"/>
  </r>
  <r>
    <x v="3"/>
    <s v="2017"/>
    <s v="P529372"/>
    <s v="KTREAT"/>
    <d v="2014-11-26T00:00:00"/>
    <d v="2017-11-25T00:00:00"/>
    <s v="Aftermarket Parts and Services for Detroit Engines."/>
    <s v="multiparts and services"/>
    <n v="72800"/>
    <n v="47141.25"/>
    <n v="0.64754464285714286"/>
    <n v="35.966666666666669"/>
    <n v="2.780352177942539E-2"/>
    <n v="36.1"/>
    <n v="1.7937524732884843E-2"/>
    <s v="Desired Burn Rate"/>
    <n v="55.749052051016896"/>
    <d v="2019-06-26T00:00:00"/>
    <s v="June"/>
    <n v="2019"/>
    <x v="1"/>
    <s v="two one-year renewal options"/>
    <x v="1"/>
    <x v="13"/>
    <m/>
    <x v="0"/>
    <n v="1"/>
    <n v="0"/>
    <n v="0"/>
    <x v="1"/>
  </r>
  <r>
    <x v="3"/>
    <s v="2017"/>
    <s v="P529175"/>
    <s v="BOLUWASU"/>
    <d v="2014-12-01T00:00:00"/>
    <d v="2017-11-30T00:00:00"/>
    <s v="Testing and Inspection of Fuel Facilities"/>
    <s v="Clean Fuels Associates"/>
    <n v="260000"/>
    <n v="196390.25"/>
    <n v="0.75534711538461541"/>
    <n v="35.966666666666669"/>
    <n v="2.7803521779425393E-2"/>
    <n v="35.93333333333333"/>
    <n v="2.102079170829171E-2"/>
    <s v="Desired Burn Rate"/>
    <n v="47.571947521155792"/>
    <d v="2018-11-01T00:00:00"/>
    <s v="November"/>
    <n v="2019"/>
    <x v="1"/>
    <s v="one, two-year renerwal option"/>
    <x v="1"/>
    <x v="14"/>
    <m/>
    <x v="0"/>
    <n v="1"/>
    <n v="0"/>
    <n v="0"/>
    <x v="0"/>
  </r>
  <r>
    <x v="4"/>
    <s v="2017"/>
    <s v="P537850"/>
    <s v="SFELDMAN"/>
    <d v="2016-12-07T00:00:00"/>
    <d v="2017-12-06T00:00:00"/>
    <s v="One Ton Crew Cab Dump Truck"/>
    <s v="Hertrich Fleet Services"/>
    <n v="375028"/>
    <n v="375028"/>
    <n v="1"/>
    <n v="11.966666666666667"/>
    <n v="8.3565459610027856E-2"/>
    <n v="11.733333333333333"/>
    <n v="8.5227272727272735E-2"/>
    <s v="High Burn Rate"/>
    <n v="11.733333333333333"/>
    <d v="2017-11-07T00:00:00"/>
    <s v="November"/>
    <n v="2018"/>
    <x v="1"/>
    <s v="No options"/>
    <x v="0"/>
    <x v="12"/>
    <m/>
    <x v="0"/>
    <n v="1"/>
    <n v="0"/>
    <n v="1"/>
    <x v="0"/>
  </r>
  <r>
    <x v="4"/>
    <s v="2017"/>
    <s v="P529481"/>
    <s v="KTREAT"/>
    <d v="2014-12-17T00:00:00"/>
    <d v="2017-12-16T00:00:00"/>
    <s v=" Amida Light Towers - O.E.M. Parts and Service"/>
    <s v="CORRELLI INCORPORATED"/>
    <n v="45000"/>
    <n v="0"/>
    <n v="0"/>
    <n v="35.966666666666669"/>
    <n v="2.7803521779425393E-2"/>
    <n v="35.4"/>
    <n v="0"/>
    <s v="Desired Burn Rate"/>
    <e v="#DIV/0!"/>
    <e v="#DIV/0!"/>
    <e v="#DIV/0!"/>
    <e v="#DIV/0!"/>
    <x v="1"/>
    <s v="two (2) one-year renewal options"/>
    <x v="1"/>
    <x v="15"/>
    <m/>
    <x v="0"/>
    <n v="1"/>
    <n v="0"/>
    <n v="0"/>
    <x v="1"/>
  </r>
  <r>
    <x v="4"/>
    <s v="2017"/>
    <s v="P529833"/>
    <s v="KTREAT"/>
    <d v="2014-12-31T00:00:00"/>
    <d v="2017-12-30T00:00:00"/>
    <s v="Flat Tire Repairs"/>
    <s v="Donald B. Rice Tire Co."/>
    <n v="2000000"/>
    <n v="1154132.06"/>
    <n v="0.57706603000000001"/>
    <n v="36"/>
    <n v="2.7777777777777776E-2"/>
    <n v="34.966666666666669"/>
    <n v="1.6503318303145855E-2"/>
    <s v="Desired Burn Rate"/>
    <n v="60.593874615469332"/>
    <d v="2019-12-31T00:00:00"/>
    <s v="December"/>
    <n v="2020"/>
    <x v="1"/>
    <s v="two (2) one-year renewal options"/>
    <x v="1"/>
    <x v="16"/>
    <m/>
    <x v="0"/>
    <n v="1"/>
    <n v="0"/>
    <n v="0"/>
    <x v="1"/>
  </r>
  <r>
    <x v="4"/>
    <s v="2017"/>
    <s v="P540814"/>
    <s v="SFELDMAN"/>
    <d v="2017-09-13T00:00:00"/>
    <d v="2017-12-31T00:00:00"/>
    <s v="Certified Inspection and Repairs for Lifts "/>
    <s v="LeFevre7LLC, DBA:Automotive Lift Service"/>
    <n v="4990"/>
    <n v="0"/>
    <n v="0"/>
    <n v="3.6"/>
    <n v="0.27777777777777779"/>
    <n v="2.5333333333333332"/>
    <n v="0"/>
    <s v="Desired Burn Rate"/>
    <e v="#DIV/0!"/>
    <e v="#DIV/0!"/>
    <e v="#DIV/0!"/>
    <e v="#DIV/0!"/>
    <x v="1"/>
    <s v="No options"/>
    <x v="0"/>
    <x v="17"/>
    <m/>
    <x v="0"/>
    <n v="1"/>
    <n v="0"/>
    <n v="1"/>
    <x v="1"/>
  </r>
  <r>
    <x v="4"/>
    <s v="2017"/>
    <s v="P538225"/>
    <s v="SZIEGLER"/>
    <d v="2017-02-01T00:00:00"/>
    <d v="2017-12-31T00:00:00"/>
    <s v="Janitorial Services - Area A"/>
    <s v="Associated Building Maintenance Co., Inc."/>
    <n v="734100"/>
    <n v="533888.72"/>
    <n v="0.7272697452663125"/>
    <n v="11"/>
    <n v="9.0909090909090898E-2"/>
    <n v="9.9333333333333336"/>
    <n v="7.3215075026809975E-2"/>
    <s v="Desired Burn Rate"/>
    <n v="13.658389336264683"/>
    <d v="2018-03-01T00:00:00"/>
    <s v="March"/>
    <n v="2018"/>
    <x v="0"/>
    <s v="No options"/>
    <x v="0"/>
    <x v="18"/>
    <m/>
    <x v="0"/>
    <n v="1"/>
    <n v="0"/>
    <n v="1"/>
    <x v="1"/>
  </r>
  <r>
    <x v="4"/>
    <s v="2017"/>
    <s v="P538246"/>
    <s v="SZIEGLER"/>
    <d v="2017-02-01T00:00:00"/>
    <d v="2017-12-31T00:00:00"/>
    <s v="Janitorial Services - Area C "/>
    <s v="Associated Building Maintenance Co., Inc."/>
    <n v="950000"/>
    <n v="633669.84"/>
    <n v="0.6670208842105263"/>
    <n v="11"/>
    <n v="9.0909090909090912E-2"/>
    <n v="9.9333333333333336"/>
    <n v="6.7149753444012708E-2"/>
    <s v="Desired Burn Rate"/>
    <n v="14.892087442045005"/>
    <d v="2018-04-01T00:00:00"/>
    <s v="April"/>
    <n v="2018"/>
    <x v="0"/>
    <s v="No options"/>
    <x v="0"/>
    <x v="18"/>
    <m/>
    <x v="0"/>
    <n v="1"/>
    <n v="0"/>
    <n v="1"/>
    <x v="1"/>
  </r>
  <r>
    <x v="4"/>
    <s v="2017"/>
    <s v="P522012"/>
    <s v="BCOLE"/>
    <d v="2013-01-01T00:00:00"/>
    <d v="2017-12-31T00:00:00"/>
    <s v="Vehicle Upholstery Services "/>
    <s v="Smith Auto Glass"/>
    <n v="575000"/>
    <n v="506531.86"/>
    <n v="0.88092497391304347"/>
    <n v="60"/>
    <n v="1.6666666666666666E-2"/>
    <n v="58.93333333333333"/>
    <n v="1.4947821955538067E-2"/>
    <s v="Desired Burn Rate"/>
    <n v="66.899378583346504"/>
    <d v="2018-07-01T00:00:00"/>
    <s v="July"/>
    <n v="2019"/>
    <x v="1"/>
    <s v="No options"/>
    <x v="0"/>
    <x v="19"/>
    <m/>
    <x v="0"/>
    <n v="1"/>
    <n v="0"/>
    <n v="1"/>
    <x v="0"/>
  </r>
  <r>
    <x v="4"/>
    <s v="2017"/>
    <s v="P529824"/>
    <s v="BOLUWASU"/>
    <d v="2015-01-01T00:00:00"/>
    <d v="2017-12-31T00:00:00"/>
    <s v="Towing Services for Cars, Trucks and Heavy Equipment "/>
    <s v="Ted's Towing Service Inc."/>
    <n v="200000"/>
    <n v="518.75"/>
    <n v="2.5937500000000001E-3"/>
    <n v="36"/>
    <n v="2.777777777777778E-2"/>
    <n v="34.93333333333333"/>
    <n v="7.4248568702290079E-5"/>
    <s v="Desired Burn Rate"/>
    <n v="13468.273092369476"/>
    <d v="3137-05-01T00:00:00"/>
    <s v="May"/>
    <n v="3137"/>
    <x v="1"/>
    <s v="two one-yr renewals "/>
    <x v="1"/>
    <x v="14"/>
    <m/>
    <x v="0"/>
    <n v="1"/>
    <n v="0"/>
    <n v="0"/>
    <x v="1"/>
  </r>
  <r>
    <x v="4"/>
    <s v="2017"/>
    <s v="P529825"/>
    <s v="BOLUWASU"/>
    <d v="2015-01-01T00:00:00"/>
    <d v="2017-12-31T00:00:00"/>
    <s v="Towing Services for Cars, Trucks and Heavy Equipment "/>
    <s v="The Auto Barn Inc."/>
    <n v="800000"/>
    <n v="572701.49"/>
    <n v="0.71587686249999993"/>
    <n v="36"/>
    <n v="2.777777777777778E-2"/>
    <n v="34.93333333333333"/>
    <n v="2.0492658277671758E-2"/>
    <s v="Desired Burn Rate"/>
    <n v="48.797963956173163"/>
    <d v="2019-01-01T00:00:00"/>
    <s v="January"/>
    <n v="2019"/>
    <x v="1"/>
    <s v="2 one-yr options "/>
    <x v="1"/>
    <x v="14"/>
    <m/>
    <x v="0"/>
    <n v="1"/>
    <n v="0"/>
    <n v="0"/>
    <x v="1"/>
  </r>
  <r>
    <x v="4"/>
    <s v="2017"/>
    <s v="P538249"/>
    <s v="SZIEGLER"/>
    <d v="2017-02-01T00:00:00"/>
    <d v="2017-12-31T00:00:00"/>
    <s v="Janitorial Services - Area B "/>
    <s v="Associated Building Maintenance Co., Inc."/>
    <n v="555428"/>
    <n v="370519.2"/>
    <n v="0.66708772334127919"/>
    <n v="11"/>
    <n v="9.0909090909090912E-2"/>
    <n v="9.9333333333333336"/>
    <n v="6.7156482215565014E-2"/>
    <s v="Desired Burn Rate"/>
    <n v="14.890595323175335"/>
    <d v="2018-04-01T00:00:00"/>
    <s v="April"/>
    <n v="2018"/>
    <x v="0"/>
    <s v="No options"/>
    <x v="0"/>
    <x v="18"/>
    <m/>
    <x v="0"/>
    <n v="1"/>
    <n v="0"/>
    <n v="1"/>
    <x v="1"/>
  </r>
  <r>
    <x v="5"/>
    <s v="2018"/>
    <s v="P538169"/>
    <s v="SFELDMAN"/>
    <d v="2017-01-11T00:00:00"/>
    <d v="2018-01-10T00:00:00"/>
    <s v="Backhoe with Loader "/>
    <s v="CORRELLI INCORPORATED"/>
    <n v="311320"/>
    <n v="311320"/>
    <n v="1"/>
    <n v="11.966666666666667"/>
    <n v="8.3565459610027856E-2"/>
    <n v="10.6"/>
    <n v="9.4339622641509441E-2"/>
    <s v="High Burn Rate"/>
    <n v="10.6"/>
    <d v="2017-11-11T00:00:00"/>
    <s v="November"/>
    <n v="2018"/>
    <x v="1"/>
    <s v="No options"/>
    <x v="0"/>
    <x v="12"/>
    <m/>
    <x v="0"/>
    <n v="1"/>
    <n v="0"/>
    <n v="1"/>
    <x v="0"/>
  </r>
  <r>
    <x v="5"/>
    <s v="2018"/>
    <s v="P538021"/>
    <s v="KTREAT"/>
    <d v="2017-01-11T00:00:00"/>
    <d v="2018-01-10T00:00:00"/>
    <s v="Parts and Service for All Terrain Vehicles and Dirt Bikes"/>
    <s v="GLEN BURNIE MOTORSPORTS"/>
    <n v="15000"/>
    <n v="1635"/>
    <n v="0.109"/>
    <n v="11.966666666666667"/>
    <n v="8.3565459610027842E-2"/>
    <n v="10.6"/>
    <n v="1.0283018867924529E-2"/>
    <s v="Desired Burn Rate"/>
    <n v="97.247706422018354"/>
    <d v="2025-02-11T00:00:00"/>
    <s v="February"/>
    <n v="2025"/>
    <x v="1"/>
    <s v="2 one-yr options"/>
    <x v="1"/>
    <x v="20"/>
    <m/>
    <x v="0"/>
    <n v="1"/>
    <n v="0"/>
    <n v="0"/>
    <x v="1"/>
  </r>
  <r>
    <x v="5"/>
    <s v="2018"/>
    <s v="P526059"/>
    <s v="KTREAT"/>
    <d v="2014-04-15T00:00:00"/>
    <d v="2018-01-14T00:00:00"/>
    <s v="OEM Parts for  Billy Goat  Lawn Mowers "/>
    <s v="BMR INC"/>
    <n v="24000"/>
    <n v="2694.12"/>
    <n v="0.11225499999999999"/>
    <n v="44.966666666666669"/>
    <n v="2.2238695329873982E-2"/>
    <n v="43.466666666666669"/>
    <n v="2.5825536809815949E-3"/>
    <s v="Desired Burn Rate"/>
    <n v="387.21363562127897"/>
    <d v="2046-07-15T00:00:00"/>
    <s v="July"/>
    <n v="2047"/>
    <x v="1"/>
    <s v="ONE RENEWAL OPTION"/>
    <x v="1"/>
    <x v="21"/>
    <m/>
    <x v="0"/>
    <n v="1"/>
    <n v="0"/>
    <n v="0"/>
    <x v="1"/>
  </r>
  <r>
    <x v="5"/>
    <s v="2018"/>
    <s v="P538247"/>
    <s v="SFELDMAN"/>
    <d v="2017-01-18T00:00:00"/>
    <d v="2018-01-17T00:00:00"/>
    <s v="Cutaway Vans with a Dry Freight Body"/>
    <s v="bayshore ford truck sales"/>
    <n v="129132"/>
    <n v="129132"/>
    <n v="1"/>
    <n v="11.966666666666667"/>
    <n v="8.3565459610027856E-2"/>
    <n v="10.366666666666667"/>
    <n v="9.6463022508038579E-2"/>
    <s v="High Burn Rate"/>
    <n v="10.366666666666667"/>
    <d v="2017-11-18T00:00:00"/>
    <s v="November"/>
    <n v="2018"/>
    <x v="1"/>
    <s v="No options"/>
    <x v="0"/>
    <x v="12"/>
    <m/>
    <x v="0"/>
    <n v="1"/>
    <n v="0"/>
    <n v="1"/>
    <x v="0"/>
  </r>
  <r>
    <x v="5"/>
    <s v="2018"/>
    <s v="P537904"/>
    <s v="KTREAT"/>
    <d v="2017-01-20T00:00:00"/>
    <d v="2018-01-19T00:00:00"/>
    <s v="OEM Parts and Service for Harley-Davidson Motorcycles"/>
    <s v="baltimore harley-davidson"/>
    <n v="86000"/>
    <n v="43377.3"/>
    <n v="0.50438720930232561"/>
    <n v="11.966666666666667"/>
    <n v="8.3565459610027856E-2"/>
    <n v="10.3"/>
    <n v="4.8969631971099568E-2"/>
    <s v="Desired Burn Rate"/>
    <n v="20.420819184227696"/>
    <d v="2018-09-20T00:00:00"/>
    <s v="September"/>
    <n v="2019"/>
    <x v="1"/>
    <s v="No options"/>
    <x v="0"/>
    <x v="22"/>
    <m/>
    <x v="0"/>
    <n v="1"/>
    <n v="0"/>
    <n v="1"/>
    <x v="1"/>
  </r>
  <r>
    <x v="5"/>
    <s v="2018"/>
    <s v="P537905"/>
    <s v="KTREAT"/>
    <d v="2017-01-20T00:00:00"/>
    <d v="2018-01-19T00:00:00"/>
    <s v="OEM Parts and Service for Harley-Davidson Motorcycles"/>
    <s v="Old Glory Harley Davidson"/>
    <n v="10000"/>
    <n v="0"/>
    <n v="0"/>
    <n v="11.966666666666667"/>
    <n v="8.3565459610027856E-2"/>
    <n v="10.3"/>
    <n v="0"/>
    <s v="Desired Burn Rate"/>
    <e v="#DIV/0!"/>
    <e v="#DIV/0!"/>
    <e v="#DIV/0!"/>
    <e v="#DIV/0!"/>
    <x v="1"/>
    <s v="No options"/>
    <x v="0"/>
    <x v="22"/>
    <m/>
    <x v="0"/>
    <n v="1"/>
    <n v="0"/>
    <n v="1"/>
    <x v="1"/>
  </r>
  <r>
    <x v="5"/>
    <s v="2018"/>
    <s v="P538281"/>
    <s v="SFELDMAN"/>
    <d v="2017-01-25T00:00:00"/>
    <d v="2018-01-24T00:00:00"/>
    <s v="Mobile Stage Trailer"/>
    <s v="century industries"/>
    <n v="118940"/>
    <n v="118940"/>
    <n v="1"/>
    <n v="11.966666666666667"/>
    <n v="8.3565459610027856E-2"/>
    <n v="10.133333333333333"/>
    <n v="9.8684210526315791E-2"/>
    <s v="High Burn Rate"/>
    <n v="10.133333333333333"/>
    <d v="2017-11-25T00:00:00"/>
    <s v="November"/>
    <n v="2018"/>
    <x v="1"/>
    <s v="No options"/>
    <x v="0"/>
    <x v="12"/>
    <m/>
    <x v="0"/>
    <n v="1"/>
    <n v="0"/>
    <n v="1"/>
    <x v="0"/>
  </r>
  <r>
    <x v="5"/>
    <s v="2018"/>
    <s v="P522357"/>
    <s v="KADDAMS"/>
    <d v="2013-02-01T00:00:00"/>
    <d v="2018-01-31T00:00:00"/>
    <s v="Aftermarket Parts and Repair Service for Heavy Trucks and Equipment"/>
    <s v="CORRELLI INCORPORATED"/>
    <n v="3550"/>
    <n v="3550"/>
    <n v="1"/>
    <n v="60"/>
    <n v="1.6666666666666666E-2"/>
    <n v="57.93333333333333"/>
    <n v="1.7261219792865361E-2"/>
    <s v="High Burn Rate"/>
    <n v="57.93333333333333"/>
    <d v="2017-11-01T00:00:00"/>
    <s v="November"/>
    <n v="2018"/>
    <x v="1"/>
    <s v="No options"/>
    <x v="0"/>
    <x v="23"/>
    <m/>
    <x v="0"/>
    <n v="1"/>
    <n v="0"/>
    <n v="1"/>
    <x v="0"/>
  </r>
  <r>
    <x v="5"/>
    <s v="2018"/>
    <s v="P522588"/>
    <s v="SFELDMAN"/>
    <d v="2013-02-01T00:00:00"/>
    <d v="2018-01-31T00:00:00"/>
    <s v="Havis Shields OEM Parts "/>
    <s v="Priority Install"/>
    <n v="24000"/>
    <n v="14255.14"/>
    <n v="0.59396416666666663"/>
    <n v="60"/>
    <n v="1.6666666666666666E-2"/>
    <n v="57.93333333333333"/>
    <n v="1.0252546029919448E-2"/>
    <s v="Desired Burn Rate"/>
    <n v="97.536748148387176"/>
    <d v="2021-03-01T00:00:00"/>
    <s v="March"/>
    <n v="2021"/>
    <x v="1"/>
    <s v="1 one-yr option"/>
    <x v="1"/>
    <x v="24"/>
    <m/>
    <x v="0"/>
    <n v="1"/>
    <n v="0"/>
    <n v="0"/>
    <x v="1"/>
  </r>
  <r>
    <x v="5"/>
    <s v="2018"/>
    <s v="P526070"/>
    <s v="SFELDMAN"/>
    <d v="2014-02-01T00:00:00"/>
    <d v="2018-01-31T00:00:00"/>
    <s v="OEM Parts &amp; Service for Elgin Sweepers and Vactor Sewer Vacs "/>
    <s v="Maryland Industrial Trucks"/>
    <n v="9000000"/>
    <n v="7809150.4199999999"/>
    <n v="0.86768338"/>
    <n v="48"/>
    <n v="2.0833333333333332E-2"/>
    <n v="45.93333333333333"/>
    <n v="1.8890059071117564E-2"/>
    <s v="Desired Burn Rate"/>
    <n v="52.937896924259782"/>
    <d v="2018-06-01T00:00:00"/>
    <s v="June"/>
    <n v="2018"/>
    <x v="1"/>
    <s v="1 one-yr options"/>
    <x v="1"/>
    <x v="24"/>
    <m/>
    <x v="0"/>
    <n v="1"/>
    <n v="0"/>
    <n v="0"/>
    <x v="0"/>
  </r>
  <r>
    <x v="5"/>
    <s v="2018"/>
    <s v="P530010"/>
    <s v="KTREAT"/>
    <d v="2015-02-01T00:00:00"/>
    <d v="2018-01-31T00:00:00"/>
    <s v="Automotive Hardware and Fasteners "/>
    <s v="ROBNET, INC"/>
    <n v="30000"/>
    <n v="27742.92"/>
    <n v="0.92476399999999992"/>
    <n v="36"/>
    <n v="2.777777777777778E-2"/>
    <n v="33.93333333333333"/>
    <n v="2.7252377210216113E-2"/>
    <s v="Desired Burn Rate"/>
    <n v="36.694046625229063"/>
    <d v="2018-02-01T00:00:00"/>
    <s v="February"/>
    <n v="2018"/>
    <x v="1"/>
    <s v="two one-year renewal options"/>
    <x v="1"/>
    <x v="20"/>
    <m/>
    <x v="0"/>
    <n v="1"/>
    <n v="0"/>
    <n v="0"/>
    <x v="0"/>
  </r>
  <r>
    <x v="5"/>
    <s v="2018"/>
    <s v="P538598"/>
    <s v="KTREAT"/>
    <d v="2017-02-01T00:00:00"/>
    <d v="2018-01-31T00:00:00"/>
    <s v="E.J. Ward, Inc. Service, Call Center and Support Agreement"/>
    <s v="E.J. Ward, Inc."/>
    <n v="165514"/>
    <n v="21341.29"/>
    <n v="0.12893948548159068"/>
    <n v="12"/>
    <n v="8.3333333333333343E-2"/>
    <n v="9.9333333333333336"/>
    <n v="1.2980485115596376E-2"/>
    <s v="Desired Burn Rate"/>
    <n v="77.038723213701388"/>
    <d v="2023-07-01T00:00:00"/>
    <s v="July"/>
    <n v="2024"/>
    <x v="1"/>
    <s v="two one-year renewal options"/>
    <x v="1"/>
    <x v="20"/>
    <m/>
    <x v="0"/>
    <n v="1"/>
    <n v="0"/>
    <n v="0"/>
    <x v="1"/>
  </r>
  <r>
    <x v="5"/>
    <s v="2018"/>
    <s v="P522358"/>
    <s v="KADDAMS"/>
    <d v="2013-02-01T00:00:00"/>
    <d v="2018-01-31T00:00:00"/>
    <s v="Aftermarket Parts and Repair Service for Heavy Trucks and Equipment"/>
    <s v="Waste Equipment Sales &amp; Service, LLC"/>
    <n v="1396000"/>
    <n v="1151740.77"/>
    <n v="0.82502920487106024"/>
    <n v="60"/>
    <n v="1.6666666666666666E-2"/>
    <n v="57.93333333333333"/>
    <n v="1.4241010440812317E-2"/>
    <s v="Desired Burn Rate"/>
    <n v="70.219736454526426"/>
    <d v="2018-12-01T00:00:00"/>
    <s v="December"/>
    <n v="2019"/>
    <x v="1"/>
    <s v="No options"/>
    <x v="0"/>
    <x v="23"/>
    <m/>
    <x v="0"/>
    <n v="1"/>
    <n v="0"/>
    <n v="1"/>
    <x v="0"/>
  </r>
  <r>
    <x v="5"/>
    <s v="2018"/>
    <s v="P522359"/>
    <s v="KADDAMS"/>
    <d v="2013-02-01T00:00:00"/>
    <d v="2018-01-31T00:00:00"/>
    <s v="Aftermarket Parts and Repair Service for Heavy Trucks and Equipment"/>
    <s v="Mid-Atlantic Waste Systems"/>
    <n v="244000"/>
    <n v="13599.86"/>
    <n v="5.5737131147540989E-2"/>
    <n v="60"/>
    <n v="1.6666666666666666E-2"/>
    <n v="57.93333333333333"/>
    <n v="9.62090871361467E-4"/>
    <s v="Desired Burn Rate"/>
    <n v="1039.4028565980334"/>
    <d v="2099-09-01T00:00:00"/>
    <s v="September"/>
    <n v="2100"/>
    <x v="1"/>
    <s v="No options"/>
    <x v="0"/>
    <x v="23"/>
    <m/>
    <x v="0"/>
    <n v="1"/>
    <n v="0"/>
    <n v="1"/>
    <x v="1"/>
  </r>
  <r>
    <x v="5"/>
    <s v="2018"/>
    <s v="P522360"/>
    <s v="KADDAMS"/>
    <d v="2013-02-01T00:00:00"/>
    <d v="2018-01-31T00:00:00"/>
    <s v="Aftermarket Parts and Repair Service for Heavy Trucks and Equipment"/>
    <s v="FLEETPRIDE INC"/>
    <n v="2350000"/>
    <n v="2006009.05"/>
    <n v="0.85362087234042561"/>
    <n v="60"/>
    <n v="1.6666666666666666E-2"/>
    <n v="57.93333333333333"/>
    <n v="1.4734537497245551E-2"/>
    <s v="Desired Burn Rate"/>
    <n v="67.867756296180872"/>
    <d v="2018-09-01T00:00:00"/>
    <s v="September"/>
    <n v="2019"/>
    <x v="1"/>
    <s v="No options"/>
    <x v="0"/>
    <x v="23"/>
    <m/>
    <x v="0"/>
    <n v="1"/>
    <n v="0"/>
    <n v="1"/>
    <x v="0"/>
  </r>
  <r>
    <x v="5"/>
    <s v="2018"/>
    <s v="P522689"/>
    <s v="KADDAMS"/>
    <d v="2013-02-01T00:00:00"/>
    <d v="2018-01-31T00:00:00"/>
    <s v="O.E.M. Parts and Service for Mauldin Construction Equipment"/>
    <s v="George Associates, Inc."/>
    <n v="240000"/>
    <n v="118352.09"/>
    <n v="0.49313370833333331"/>
    <n v="60"/>
    <n v="1.6666666666666666E-2"/>
    <n v="57.93333333333333"/>
    <n v="8.5120893268124283E-3"/>
    <s v="Desired Burn Rate"/>
    <n v="117.47997014670379"/>
    <d v="2022-11-01T00:00:00"/>
    <s v="November"/>
    <n v="2023"/>
    <x v="1"/>
    <s v="No options"/>
    <x v="0"/>
    <x v="25"/>
    <m/>
    <x v="0"/>
    <n v="1"/>
    <n v="0"/>
    <n v="1"/>
    <x v="1"/>
  </r>
  <r>
    <x v="2"/>
    <s v="2018"/>
    <s v="P521601"/>
    <s v="KADDAMS"/>
    <d v="2012-11-01T00:00:00"/>
    <d v="2018-02-01T00:00:00"/>
    <s v="OEM Parts, Service and Warranty Repairs for International Heavy Trucks"/>
    <s v="West End Service Inc"/>
    <n v="50000"/>
    <n v="429.82"/>
    <n v="8.5964000000000006E-3"/>
    <n v="63"/>
    <n v="1.5873015873015872E-2"/>
    <n v="60.93333333333333"/>
    <n v="1.4107877461706783E-4"/>
    <s v="Desired Burn Rate"/>
    <n v="7088.2384874288464"/>
    <d v="2603-07-01T00:00:00"/>
    <s v="July"/>
    <n v="2604"/>
    <x v="1"/>
    <s v="No options"/>
    <x v="0"/>
    <x v="26"/>
    <m/>
    <x v="0"/>
    <n v="1"/>
    <n v="0"/>
    <n v="1"/>
    <x v="1"/>
  </r>
  <r>
    <x v="2"/>
    <s v="2018"/>
    <s v="P521602"/>
    <s v="KADDAMS"/>
    <d v="2012-11-01T00:00:00"/>
    <d v="2018-02-01T00:00:00"/>
    <s v="OEM Parts, Service and Warranty Repairs for International Heavy Trucks"/>
    <s v="BELTWAY INTERNATIONAL"/>
    <n v="3500000"/>
    <n v="3394962.12"/>
    <n v="0.96998917714285715"/>
    <n v="63"/>
    <n v="1.5873015873015872E-2"/>
    <n v="60.93333333333333"/>
    <n v="1.5918859581119101E-2"/>
    <s v="High Burn Rate"/>
    <n v="62.81857031932558"/>
    <d v="2018-01-01T00:00:00"/>
    <s v="January"/>
    <n v="2018"/>
    <x v="1"/>
    <s v="No options"/>
    <x v="0"/>
    <x v="26"/>
    <m/>
    <x v="0"/>
    <n v="1"/>
    <n v="0"/>
    <n v="1"/>
    <x v="0"/>
  </r>
  <r>
    <x v="2"/>
    <s v="2018"/>
    <s v="P522607"/>
    <s v="KTREAT"/>
    <d v="2013-02-06T00:00:00"/>
    <d v="2018-02-05T00:00:00"/>
    <s v="O.E.M. Parts &amp; Service for Honda Vehicles "/>
    <s v="Tims automotive and towing"/>
    <n v="45000"/>
    <n v="7376.02"/>
    <n v="0.16391155555555556"/>
    <n v="59.966666666666669"/>
    <n v="1.6675931072818232E-2"/>
    <n v="57.766666666666666"/>
    <n v="2.8374764377764958E-3"/>
    <s v="Desired Burn Rate"/>
    <n v="352.42583398635031"/>
    <d v="2042-06-06T00:00:00"/>
    <s v="June"/>
    <n v="2042"/>
    <x v="1"/>
    <s v="No options"/>
    <x v="0"/>
    <x v="27"/>
    <m/>
    <x v="0"/>
    <n v="1"/>
    <n v="0"/>
    <n v="1"/>
    <x v="1"/>
  </r>
  <r>
    <x v="2"/>
    <s v="2018"/>
    <s v="P538508"/>
    <s v="SFELDMAN"/>
    <d v="2017-02-08T00:00:00"/>
    <d v="2018-02-07T00:00:00"/>
    <s v="Transit Van with Camera Inspection System"/>
    <s v="bayshore ford truck sales"/>
    <n v="529516"/>
    <n v="529516"/>
    <n v="1"/>
    <n v="11.966666666666667"/>
    <n v="8.3565459610027856E-2"/>
    <n v="9.6999999999999993"/>
    <n v="0.10309278350515465"/>
    <s v="High Burn Rate"/>
    <n v="9.6999999999999993"/>
    <d v="2017-11-08T00:00:00"/>
    <s v="November"/>
    <n v="2018"/>
    <x v="1"/>
    <s v="No options"/>
    <x v="0"/>
    <x v="12"/>
    <m/>
    <x v="0"/>
    <n v="1"/>
    <n v="0"/>
    <n v="1"/>
    <x v="0"/>
  </r>
  <r>
    <x v="2"/>
    <s v="2018"/>
    <s v="P538499"/>
    <s v="DFINNERTY"/>
    <d v="2017-02-09T00:00:00"/>
    <d v="2018-02-08T00:00:00"/>
    <s v=" Catering - DGS"/>
    <s v="Jay's Restaurant Group, Inc."/>
    <n v="3085.94"/>
    <n v="700.69"/>
    <n v="0.22705885402827017"/>
    <n v="11.966666666666667"/>
    <n v="8.3565459610027856E-2"/>
    <n v="9.6666666666666661"/>
    <n v="2.3488846968441741E-2"/>
    <s v="Desired Burn Rate"/>
    <n v="42.573396699443876"/>
    <d v="2020-08-09T00:00:00"/>
    <s v="August"/>
    <n v="2021"/>
    <x v="2"/>
    <s v="No options"/>
    <x v="0"/>
    <x v="10"/>
    <m/>
    <x v="0"/>
    <n v="1"/>
    <n v="0"/>
    <n v="1"/>
    <x v="1"/>
  </r>
  <r>
    <x v="2"/>
    <s v="2018"/>
    <s v="P522735"/>
    <s v="BCOLE"/>
    <d v="2013-02-20T00:00:00"/>
    <d v="2018-02-19T00:00:00"/>
    <s v="O.E.M. Parts and Service for Nissan Automotive"/>
    <s v="Criswell Chevrolet Inc"/>
    <n v="15000"/>
    <n v="237.14"/>
    <n v="1.5809333333333331E-2"/>
    <n v="59.966666666666669"/>
    <n v="1.6675931072818232E-2"/>
    <n v="57.3"/>
    <n v="2.7590459569517157E-4"/>
    <s v="Desired Burn Rate"/>
    <n v="3624.4412583284138"/>
    <d v="2315-02-20T00:00:00"/>
    <s v="February"/>
    <n v="2315"/>
    <x v="1"/>
    <s v="No options"/>
    <x v="0"/>
    <x v="28"/>
    <m/>
    <x v="0"/>
    <n v="1"/>
    <n v="0"/>
    <n v="1"/>
    <x v="1"/>
  </r>
  <r>
    <x v="2"/>
    <s v="2018"/>
    <s v="P526328"/>
    <s v="BREADY"/>
    <d v="2014-02-28T00:00:00"/>
    <d v="2018-02-27T00:00:00"/>
    <s v="Vehicle, Motorcycle, Generator and Lawn &amp; Garden Batteries "/>
    <s v="BEST BATTERY CO INC"/>
    <n v="1550000"/>
    <n v="994663.36"/>
    <n v="0.64171829677419356"/>
    <n v="47.9"/>
    <n v="2.0876826722338204E-2"/>
    <n v="44.966666666666669"/>
    <n v="1.4270977689566942E-2"/>
    <s v="Desired Burn Rate"/>
    <n v="70.072283886412933"/>
    <d v="2019-12-28T00:00:00"/>
    <s v="December"/>
    <n v="2020"/>
    <x v="1"/>
    <s v="1 one year options"/>
    <x v="1"/>
    <x v="29"/>
    <m/>
    <x v="0"/>
    <n v="1"/>
    <n v="0"/>
    <n v="0"/>
    <x v="1"/>
  </r>
  <r>
    <x v="2"/>
    <s v="2018"/>
    <s v="P522846"/>
    <s v="SFELDMAN"/>
    <d v="2013-03-01T00:00:00"/>
    <d v="2018-02-28T00:00:00"/>
    <s v="Qualified Dealers for Cars and Light Trucks"/>
    <s v="Baltimore City Fleet Vendors"/>
    <n v="52500000"/>
    <n v="36287410.329999998"/>
    <n v="0.69118876819047614"/>
    <n v="59.9"/>
    <n v="1.6694490818030049E-2"/>
    <n v="56.93333333333333"/>
    <n v="1.214031794245567E-2"/>
    <s v="Desired Burn Rate"/>
    <n v="82.370165652986685"/>
    <d v="2020-01-01T00:00:00"/>
    <s v="January"/>
    <n v="2020"/>
    <x v="1"/>
    <s v="No options"/>
    <x v="0"/>
    <x v="30"/>
    <m/>
    <x v="0"/>
    <n v="1"/>
    <n v="0"/>
    <n v="1"/>
    <x v="1"/>
  </r>
  <r>
    <x v="2"/>
    <s v="2018"/>
    <s v="P522966"/>
    <s v="BCOLE"/>
    <d v="2013-03-01T00:00:00"/>
    <d v="2018-02-28T00:00:00"/>
    <s v="Spray -In Bedliners As Required"/>
    <s v="acres automotive"/>
    <n v="30000"/>
    <n v="2662.5"/>
    <n v="8.8749999999999996E-2"/>
    <n v="59.9"/>
    <n v="1.6694490818030049E-2"/>
    <n v="56.93333333333333"/>
    <n v="1.5588407494145199E-3"/>
    <s v="Desired Burn Rate"/>
    <n v="641.50234741784038"/>
    <d v="2066-08-01T00:00:00"/>
    <s v="August"/>
    <n v="2067"/>
    <x v="1"/>
    <s v="No options"/>
    <x v="0"/>
    <x v="28"/>
    <m/>
    <x v="0"/>
    <n v="1"/>
    <n v="0"/>
    <n v="1"/>
    <x v="1"/>
  </r>
  <r>
    <x v="6"/>
    <s v="2018"/>
    <s v="P522700"/>
    <s v="BCOLE"/>
    <d v="2013-03-06T00:00:00"/>
    <d v="2018-03-05T00:00:00"/>
    <s v="OEM and Afermarket Parts and Service for Cushman Electric Products  "/>
    <s v="Werres Corporation"/>
    <n v="20000"/>
    <n v="6687.68"/>
    <n v="0.33438400000000001"/>
    <n v="59.966666666666669"/>
    <n v="1.6675931072818232E-2"/>
    <n v="56.766666666666666"/>
    <n v="5.8904991192014096E-3"/>
    <s v="Desired Burn Rate"/>
    <n v="169.76490103194729"/>
    <d v="2027-04-06T00:00:00"/>
    <s v="April"/>
    <n v="2027"/>
    <x v="1"/>
    <s v="No options"/>
    <x v="0"/>
    <x v="28"/>
    <m/>
    <x v="0"/>
    <n v="1"/>
    <n v="0"/>
    <n v="1"/>
    <x v="1"/>
  </r>
  <r>
    <x v="6"/>
    <s v="2018"/>
    <s v="P540758"/>
    <s v="SFELDMAN"/>
    <d v="2017-09-07T00:00:00"/>
    <d v="2018-03-07T00:00:00"/>
    <s v="Automotive Window Tinting "/>
    <s v="Eclipse tinting Service llc"/>
    <n v="4990"/>
    <n v="0"/>
    <n v="0"/>
    <n v="6"/>
    <n v="0.16666666666666666"/>
    <n v="2.7333333333333334"/>
    <n v="0"/>
    <s v="Desired Burn Rate"/>
    <e v="#DIV/0!"/>
    <e v="#DIV/0!"/>
    <e v="#DIV/0!"/>
    <e v="#DIV/0!"/>
    <x v="1"/>
    <s v="No options"/>
    <x v="0"/>
    <x v="31"/>
    <m/>
    <x v="0"/>
    <n v="1"/>
    <n v="0"/>
    <n v="1"/>
    <x v="1"/>
  </r>
  <r>
    <x v="6"/>
    <s v="2018"/>
    <s v="P529937"/>
    <s v="SFELDMAN"/>
    <d v="2015-03-08T00:00:00"/>
    <d v="2018-03-07T00:00:00"/>
    <s v="Automotive Window Tinting Service"/>
    <s v="Eclipse tinting Service llc"/>
    <n v="6000"/>
    <n v="2840"/>
    <n v="0.47333333333333333"/>
    <n v="35.966666666666669"/>
    <n v="2.780352177942539E-2"/>
    <n v="32.700000000000003"/>
    <n v="1.4475025484199796E-2"/>
    <s v="Desired Burn Rate"/>
    <n v="69.084507042253534"/>
    <d v="2020-12-08T00:00:00"/>
    <s v="December"/>
    <n v="2021"/>
    <x v="1"/>
    <s v="No options"/>
    <x v="0"/>
    <x v="32"/>
    <m/>
    <x v="0"/>
    <n v="1"/>
    <n v="0"/>
    <n v="1"/>
    <x v="1"/>
  </r>
  <r>
    <x v="6"/>
    <s v="2018"/>
    <s v="P530424"/>
    <s v="BOLUWASU"/>
    <d v="2015-03-11T00:00:00"/>
    <d v="2018-03-10T00:00:00"/>
    <s v="Major Repairs, Upgrades &amp; Replacement of Underground and Aboveground Fuel Tanks"/>
    <s v="Total Environmental Concepts, Inc."/>
    <n v="3000000"/>
    <n v="998401.07"/>
    <n v="0.33280035666666663"/>
    <n v="35.966666666666669"/>
    <n v="2.7803521779425393E-2"/>
    <n v="32.6"/>
    <n v="1.020859989775051E-2"/>
    <s v="Desired Burn Rate"/>
    <n v="97.956625787670689"/>
    <d v="2023-04-11T00:00:00"/>
    <s v="April"/>
    <n v="2023"/>
    <x v="1"/>
    <s v="1 two-yr option"/>
    <x v="1"/>
    <x v="14"/>
    <m/>
    <x v="0"/>
    <n v="1"/>
    <n v="0"/>
    <n v="0"/>
    <x v="1"/>
  </r>
  <r>
    <x v="6"/>
    <s v="2018"/>
    <s v="P526534"/>
    <s v="KADDAMS"/>
    <d v="2014-03-12T00:00:00"/>
    <d v="2018-03-11T00:00:00"/>
    <s v="Hydraulic &amp; Welding Repair Services"/>
    <s v="Greb Service, Inc."/>
    <n v="1000000"/>
    <n v="515409.62"/>
    <n v="0.51540962000000001"/>
    <n v="47.966666666666669"/>
    <n v="2.0847810979847115E-2"/>
    <n v="44.56666666666667"/>
    <n v="1.1564912939416604E-2"/>
    <s v="Desired Burn Rate"/>
    <n v="86.468441676867954"/>
    <d v="2021-05-12T00:00:00"/>
    <s v="May"/>
    <n v="2021"/>
    <x v="1"/>
    <s v="two one-year renewal options"/>
    <x v="1"/>
    <x v="33"/>
    <m/>
    <x v="0"/>
    <n v="1"/>
    <n v="0"/>
    <n v="0"/>
    <x v="1"/>
  </r>
  <r>
    <x v="6"/>
    <s v="2018"/>
    <s v="P526535"/>
    <s v="KADDAMS"/>
    <d v="2014-03-12T00:00:00"/>
    <d v="2018-03-11T00:00:00"/>
    <s v="Hydraulic &amp; Welding Repair Services"/>
    <s v="Holabird Enterprises of Maryland Inc."/>
    <n v="8750000"/>
    <n v="7061028.4900000002"/>
    <n v="0.80697468457142862"/>
    <n v="47.966666666666669"/>
    <n v="2.0847810979847115E-2"/>
    <n v="44.56666666666667"/>
    <n v="1.8107135779463615E-2"/>
    <s v="Desired Burn Rate"/>
    <n v="55.226846044538952"/>
    <d v="2018-10-12T00:00:00"/>
    <s v="October"/>
    <n v="2019"/>
    <x v="1"/>
    <s v="two one-year renewal options"/>
    <x v="1"/>
    <x v="33"/>
    <m/>
    <x v="0"/>
    <n v="1"/>
    <n v="0"/>
    <n v="0"/>
    <x v="0"/>
  </r>
  <r>
    <x v="6"/>
    <s v="2018"/>
    <s v="P538870"/>
    <s v="KTREAT"/>
    <d v="2017-03-14T00:00:00"/>
    <d v="2018-03-13T00:00:00"/>
    <s v="Parts and On- Site Service for Hunter Tire Equipment"/>
    <s v="Hunter Service Solutions"/>
    <n v="19000"/>
    <n v="4731.25"/>
    <n v="0.24901315789473685"/>
    <n v="11.966666666666667"/>
    <n v="8.3565459610027842E-2"/>
    <n v="8.5"/>
    <n v="2.9295665634674922E-2"/>
    <s v="Desired Burn Rate"/>
    <n v="34.134742404227211"/>
    <d v="2020-01-14T00:00:00"/>
    <s v="January"/>
    <n v="2020"/>
    <x v="1"/>
    <s v="One One Year Renewal Option"/>
    <x v="1"/>
    <x v="34"/>
    <m/>
    <x v="0"/>
    <n v="1"/>
    <n v="0"/>
    <n v="0"/>
    <x v="1"/>
  </r>
  <r>
    <x v="6"/>
    <s v="2018"/>
    <s v="P523033"/>
    <s v="BCOLE"/>
    <d v="2013-03-26T00:00:00"/>
    <d v="2018-03-25T00:00:00"/>
    <s v="OEM Parts and Service for Saf T Liner Bus "/>
    <s v="Columbia Fleet Service"/>
    <n v="24000"/>
    <n v="0"/>
    <n v="0"/>
    <n v="59.966666666666669"/>
    <n v="1.6675931072818232E-2"/>
    <n v="56.1"/>
    <n v="0"/>
    <s v="Desired Burn Rate"/>
    <e v="#DIV/0!"/>
    <e v="#DIV/0!"/>
    <e v="#DIV/0!"/>
    <e v="#DIV/0!"/>
    <x v="1"/>
    <s v="No options"/>
    <x v="0"/>
    <x v="28"/>
    <m/>
    <x v="0"/>
    <n v="1"/>
    <n v="0"/>
    <n v="1"/>
    <x v="1"/>
  </r>
  <r>
    <x v="6"/>
    <s v="2018"/>
    <s v="P523098"/>
    <s v="KTREAT"/>
    <d v="2013-04-01T00:00:00"/>
    <d v="2018-03-31T00:00:00"/>
    <s v="Automotive Transmission Repair Service"/>
    <s v="Holabird Enterprises of Maryland Inc."/>
    <n v="3250000"/>
    <n v="2047738.22"/>
    <n v="0.63007329846153848"/>
    <n v="60"/>
    <n v="1.6666666666666666E-2"/>
    <n v="55.93333333333333"/>
    <n v="1.1264719281195563E-2"/>
    <s v="Desired Burn Rate"/>
    <n v="88.772740361965475"/>
    <d v="2020-08-01T00:00:00"/>
    <s v="August"/>
    <n v="2021"/>
    <x v="1"/>
    <s v="No options"/>
    <x v="0"/>
    <x v="35"/>
    <m/>
    <x v="0"/>
    <n v="1"/>
    <n v="0"/>
    <n v="1"/>
    <x v="1"/>
  </r>
  <r>
    <x v="6"/>
    <s v="2018"/>
    <s v="P534614"/>
    <s v="BREADY"/>
    <d v="2016-04-01T00:00:00"/>
    <d v="2018-03-31T00:00:00"/>
    <s v="Hand and Power Tools and Related Hardware Items  "/>
    <s v="Hilti, Inc."/>
    <n v="94000"/>
    <n v="72491.839999999997"/>
    <n v="0.77118978723404252"/>
    <n v="24"/>
    <n v="4.1666666666666664E-2"/>
    <n v="19.933333333333334"/>
    <n v="3.868845086458407E-2"/>
    <s v="Desired Burn Rate"/>
    <n v="25.847506882613732"/>
    <d v="2018-05-01T00:00:00"/>
    <s v="May"/>
    <n v="2018"/>
    <x v="0"/>
    <s v="No options"/>
    <x v="0"/>
    <x v="36"/>
    <m/>
    <x v="0"/>
    <n v="1"/>
    <n v="0"/>
    <n v="1"/>
    <x v="0"/>
  </r>
  <r>
    <x v="6"/>
    <s v="2018"/>
    <s v="P523054"/>
    <s v="KTREAT"/>
    <d v="2013-04-01T00:00:00"/>
    <d v="2018-03-31T00:00:00"/>
    <s v="Used/ Salvage Foreign and Domestic Auto Parts"/>
    <s v="Millennium Auto Parts"/>
    <n v="60000"/>
    <n v="47872.75"/>
    <n v="0.79787916666666669"/>
    <n v="60"/>
    <n v="1.6666666666666666E-2"/>
    <n v="55.93333333333333"/>
    <n v="1.42648241954708E-2"/>
    <s v="Desired Burn Rate"/>
    <n v="70.102511345180702"/>
    <d v="2019-02-01T00:00:00"/>
    <s v="February"/>
    <n v="2019"/>
    <x v="1"/>
    <s v="1 one-yr renewal"/>
    <x v="1"/>
    <x v="29"/>
    <m/>
    <x v="0"/>
    <n v="1"/>
    <n v="0"/>
    <n v="0"/>
    <x v="0"/>
  </r>
  <r>
    <x v="6"/>
    <s v="2018"/>
    <s v="P523055"/>
    <s v="KTREAT"/>
    <d v="2013-04-01T00:00:00"/>
    <d v="2018-03-31T00:00:00"/>
    <s v="OEM and Aftermarket Parts and Service for Marine Equipment"/>
    <s v="Anchor Bay East Marina"/>
    <n v="15000"/>
    <n v="14150"/>
    <n v="0.94333333333333336"/>
    <n v="60"/>
    <n v="1.6666666666666666E-2"/>
    <n v="55.93333333333333"/>
    <n v="1.6865315852205007E-2"/>
    <s v="High Burn Rate"/>
    <n v="59.293286219081267"/>
    <d v="2018-03-01T00:00:00"/>
    <s v="March"/>
    <n v="2018"/>
    <x v="1"/>
    <s v="No options"/>
    <x v="0"/>
    <x v="37"/>
    <m/>
    <x v="0"/>
    <n v="1"/>
    <n v="0"/>
    <n v="1"/>
    <x v="0"/>
  </r>
  <r>
    <x v="6"/>
    <s v="2018"/>
    <s v="P526746"/>
    <s v="KTREAT"/>
    <d v="2014-04-01T00:00:00"/>
    <d v="2018-03-31T00:00:00"/>
    <s v="OEM Parts and Service for GM/Chevrolet Vehicles"/>
    <s v="AutoNation Chevrolet Timonium dba Valley Chevrolet"/>
    <n v="8800000"/>
    <n v="6848530.1299999999"/>
    <n v="0.77824206022727271"/>
    <n v="48"/>
    <n v="2.0833333333333336E-2"/>
    <n v="43.93333333333333"/>
    <n v="1.7714159185749759E-2"/>
    <s v="Desired Burn Rate"/>
    <n v="56.452016125295678"/>
    <d v="2018-12-01T00:00:00"/>
    <s v="December"/>
    <n v="2019"/>
    <x v="1"/>
    <s v="1 one-yr option"/>
    <x v="1"/>
    <x v="34"/>
    <m/>
    <x v="0"/>
    <n v="1"/>
    <n v="0"/>
    <n v="0"/>
    <x v="0"/>
  </r>
  <r>
    <x v="6"/>
    <s v="2018"/>
    <s v="P530380"/>
    <s v="KTREAT"/>
    <d v="2015-04-01T00:00:00"/>
    <d v="2018-03-31T00:00:00"/>
    <s v="Removal of waste paint and service and repair for a manual paint gun cleaning station"/>
    <s v="Safety-Kleen"/>
    <n v="19000"/>
    <n v="0"/>
    <n v="0"/>
    <n v="36"/>
    <n v="2.777777777777778E-2"/>
    <n v="31.933333333333334"/>
    <n v="0"/>
    <s v="Desired Burn Rate"/>
    <e v="#DIV/0!"/>
    <e v="#DIV/0!"/>
    <e v="#DIV/0!"/>
    <e v="#DIV/0!"/>
    <x v="1"/>
    <s v="two one-year renewal options"/>
    <x v="1"/>
    <x v="34"/>
    <m/>
    <x v="0"/>
    <n v="1"/>
    <n v="0"/>
    <n v="0"/>
    <x v="1"/>
  </r>
  <r>
    <x v="6"/>
    <s v="2018"/>
    <s v="P530460"/>
    <s v="KTREAT"/>
    <d v="2015-04-01T00:00:00"/>
    <d v="2018-03-31T00:00:00"/>
    <s v="Shop Towels / Rags"/>
    <s v="CCP Industries"/>
    <n v="49500"/>
    <n v="42106.559999999998"/>
    <n v="0.8506375757575757"/>
    <n v="36"/>
    <n v="2.7777777777777776E-2"/>
    <n v="31.933333333333334"/>
    <n v="2.6637919908901117E-2"/>
    <s v="Desired Burn Rate"/>
    <n v="37.540468753562394"/>
    <d v="2018-05-01T00:00:00"/>
    <s v="May"/>
    <n v="2018"/>
    <x v="1"/>
    <s v="No options"/>
    <x v="0"/>
    <x v="37"/>
    <m/>
    <x v="0"/>
    <n v="1"/>
    <n v="0"/>
    <n v="1"/>
    <x v="0"/>
  </r>
  <r>
    <x v="6"/>
    <s v="2018"/>
    <s v="P534987"/>
    <s v="SFELDMAN"/>
    <d v="2016-04-01T00:00:00"/>
    <d v="2018-03-31T00:00:00"/>
    <s v="Parts and Service for RTI Technologies Brand A/C Machines"/>
    <s v="ferguson corporation"/>
    <n v="20000"/>
    <n v="14691.2"/>
    <n v="0.73455999999999999"/>
    <n v="24"/>
    <n v="4.1666666666666671E-2"/>
    <n v="19.933333333333334"/>
    <n v="3.685083612040134E-2"/>
    <s v="Desired Burn Rate"/>
    <n v="27.136426341392578"/>
    <d v="2018-07-01T00:00:00"/>
    <s v="July"/>
    <n v="2019"/>
    <x v="1"/>
    <s v="1 one-yr option"/>
    <x v="1"/>
    <x v="38"/>
    <m/>
    <x v="0"/>
    <n v="1"/>
    <n v="0"/>
    <n v="0"/>
    <x v="1"/>
  </r>
  <r>
    <x v="6"/>
    <s v="2018"/>
    <s v="P538998"/>
    <s v="BCOLE"/>
    <d v="2017-03-01T00:00:00"/>
    <d v="2018-03-31T00:00:00"/>
    <s v="Annual and Five Year Certifications and Inspections for Ladder Trucks "/>
    <s v="American Test Center"/>
    <n v="38000"/>
    <n v="10150"/>
    <n v="0.26710526315789473"/>
    <n v="13"/>
    <n v="7.6923076923076913E-2"/>
    <n v="8.9333333333333336"/>
    <n v="2.9899842890809113E-2"/>
    <s v="Desired Burn Rate"/>
    <n v="33.444991789819376"/>
    <d v="2019-12-01T00:00:00"/>
    <s v="December"/>
    <n v="2020"/>
    <x v="1"/>
    <s v="one, one-year renewal option"/>
    <x v="1"/>
    <x v="39"/>
    <m/>
    <x v="0"/>
    <n v="1"/>
    <n v="0"/>
    <n v="0"/>
    <x v="1"/>
  </r>
  <r>
    <x v="6"/>
    <s v="2018"/>
    <s v="P535034"/>
    <s v="MVASAVAD"/>
    <d v="2016-04-07T00:00:00"/>
    <d v="2018-03-31T00:00:00"/>
    <s v=" Services for Electronic Security Systems- Protection 1"/>
    <s v="Protection 1"/>
    <n v="2000000"/>
    <n v="1998362.21"/>
    <n v="0.99918110500000001"/>
    <n v="23.8"/>
    <n v="4.2016806722689072E-2"/>
    <n v="19.733333333333334"/>
    <n v="5.0634177618243237E-2"/>
    <s v="High Burn Rate"/>
    <n v="19.7495061051353"/>
    <d v="2017-11-07T00:00:00"/>
    <s v="November"/>
    <n v="2018"/>
    <x v="0"/>
    <s v="one two-year renewals"/>
    <x v="1"/>
    <x v="40"/>
    <s v="was increased 600k"/>
    <x v="0"/>
    <n v="1"/>
    <n v="0"/>
    <n v="0"/>
    <x v="0"/>
  </r>
  <r>
    <x v="6"/>
    <s v="2018"/>
    <s v="P530583"/>
    <s v="MVASAVAD"/>
    <d v="2015-04-01T00:00:00"/>
    <d v="2018-03-31T00:00:00"/>
    <s v="Maintenance, Repair &amp; Installation Services for Electronic Security Systems"/>
    <s v="Stanley Convergent Security Solutions, Inc."/>
    <n v="400000"/>
    <n v="135879.70000000001"/>
    <n v="0.33969925000000001"/>
    <n v="36"/>
    <n v="2.777777777777778E-2"/>
    <n v="31.933333333333334"/>
    <n v="1.063776356993737E-2"/>
    <s v="Desired Burn Rate"/>
    <n v="94.004721333159651"/>
    <d v="2023-02-01T00:00:00"/>
    <s v="February"/>
    <n v="2023"/>
    <x v="0"/>
    <s v="one two-year renewals"/>
    <x v="1"/>
    <x v="40"/>
    <m/>
    <x v="0"/>
    <n v="1"/>
    <n v="0"/>
    <n v="0"/>
    <x v="1"/>
  </r>
  <r>
    <x v="6"/>
    <s v="2018"/>
    <s v="P534612"/>
    <s v="BREADY"/>
    <d v="2016-04-01T00:00:00"/>
    <d v="2018-03-31T00:00:00"/>
    <s v="Hand and Power Tools and Related Hardware Items  "/>
    <s v="Fastenal Company"/>
    <n v="100000"/>
    <n v="55061.82"/>
    <n v="0.55061819999999995"/>
    <n v="24"/>
    <n v="4.1666666666666671E-2"/>
    <n v="19.933333333333334"/>
    <n v="2.7622986622073575E-2"/>
    <s v="Desired Burn Rate"/>
    <n v="36.201733493977017"/>
    <d v="2019-04-01T00:00:00"/>
    <s v="April"/>
    <n v="2019"/>
    <x v="0"/>
    <s v="4 one-year renewal options "/>
    <x v="1"/>
    <x v="40"/>
    <m/>
    <x v="0"/>
    <n v="1"/>
    <n v="0"/>
    <n v="0"/>
    <x v="1"/>
  </r>
  <r>
    <x v="7"/>
    <s v="2018"/>
    <s v="P531132"/>
    <s v="ABBEY"/>
    <d v="2015-04-08T00:00:00"/>
    <d v="2018-04-07T00:00:00"/>
    <s v="City of Baltimore Automatic Vehicle Location (AVL) System"/>
    <s v="Navman Wireless North America, LP"/>
    <n v="1285532"/>
    <n v="969911.21"/>
    <n v="0.75448235438713307"/>
    <n v="35.966666666666669"/>
    <n v="2.780352177942539E-2"/>
    <n v="31.7"/>
    <n v="2.3800705185713977E-2"/>
    <s v="Desired Burn Rate"/>
    <n v="42.01556181622027"/>
    <d v="2018-10-08T00:00:00"/>
    <s v="October"/>
    <n v="2019"/>
    <x v="1"/>
    <s v="3 one year options"/>
    <x v="1"/>
    <x v="29"/>
    <m/>
    <x v="0"/>
    <n v="1"/>
    <n v="0"/>
    <n v="0"/>
    <x v="0"/>
  </r>
  <r>
    <x v="7"/>
    <s v="2018"/>
    <s v="P526887"/>
    <s v="KTREAT"/>
    <d v="2014-04-09T00:00:00"/>
    <d v="2018-04-08T00:00:00"/>
    <s v="O.E.M. Parts and Service for Toro Equipment"/>
    <s v="Security Equipment Co"/>
    <n v="18000"/>
    <n v="17130.48"/>
    <n v="0.95169333333333328"/>
    <n v="47.966666666666669"/>
    <n v="2.0847810979847115E-2"/>
    <n v="43.666666666666664"/>
    <n v="2.1794503816793893E-2"/>
    <s v="High Burn Rate"/>
    <n v="45.8831276181403"/>
    <d v="2018-01-09T00:00:00"/>
    <s v="January"/>
    <n v="2018"/>
    <x v="1"/>
    <s v="1 one-yr renewal"/>
    <x v="1"/>
    <x v="41"/>
    <m/>
    <x v="0"/>
    <n v="1"/>
    <n v="0"/>
    <n v="0"/>
    <x v="0"/>
  </r>
  <r>
    <x v="7"/>
    <s v="2018"/>
    <s v="P528564"/>
    <s v="KTREAT"/>
    <d v="2014-08-27T00:00:00"/>
    <d v="2018-04-08T00:00:00"/>
    <s v="O.E.M. Parts and Service for Toro Equipment"/>
    <s v="Turf Equipment &amp; Supply Co Inc."/>
    <n v="15000"/>
    <n v="0"/>
    <n v="0"/>
    <n v="43.366666666666667"/>
    <n v="2.3059185242121444E-2"/>
    <n v="39.06666666666667"/>
    <n v="0"/>
    <s v="Desired Burn Rate"/>
    <e v="#DIV/0!"/>
    <e v="#DIV/0!"/>
    <e v="#DIV/0!"/>
    <e v="#DIV/0!"/>
    <x v="1"/>
    <s v="1 one-yr renewal"/>
    <x v="1"/>
    <x v="41"/>
    <m/>
    <x v="0"/>
    <n v="1"/>
    <n v="0"/>
    <n v="0"/>
    <x v="1"/>
  </r>
  <r>
    <x v="7"/>
    <s v="2018"/>
    <s v="P530759"/>
    <s v="DMACER"/>
    <d v="2015-04-15T00:00:00"/>
    <d v="2018-04-14T00:00:00"/>
    <s v="Monthly Services and Hands Free Sanitary Disposal Units"/>
    <s v="Workplace Essentials"/>
    <n v="36000"/>
    <n v="24977.4"/>
    <n v="0.69381666666666675"/>
    <n v="35.966666666666669"/>
    <n v="2.7803521779425393E-2"/>
    <n v="31.466666666666665"/>
    <n v="2.2049258474576273E-2"/>
    <s v="Desired Burn Rate"/>
    <n v="45.352999111196517"/>
    <d v="2019-01-15T00:00:00"/>
    <s v="January"/>
    <n v="2019"/>
    <x v="0"/>
    <s v="1 one-yr option"/>
    <x v="1"/>
    <x v="42"/>
    <m/>
    <x v="0"/>
    <n v="1"/>
    <n v="0"/>
    <n v="0"/>
    <x v="1"/>
  </r>
  <r>
    <x v="7"/>
    <s v="2018"/>
    <s v="P531066"/>
    <s v="ABBEY"/>
    <d v="2015-04-22T00:00:00"/>
    <d v="2018-04-21T00:00:00"/>
    <s v="Welding Equipment and Supplies  "/>
    <s v="Airgas USA, LLC "/>
    <n v="5000"/>
    <n v="2448.35"/>
    <n v="0.48966999999999999"/>
    <n v="35.966666666666669"/>
    <n v="2.7803521779425393E-2"/>
    <n v="31.233333333333334"/>
    <n v="1.56778014941302E-2"/>
    <s v="Desired Burn Rate"/>
    <n v="63.784453475469881"/>
    <d v="2020-07-22T00:00:00"/>
    <s v="July"/>
    <n v="2021"/>
    <x v="1"/>
    <s v="2 one-yr options"/>
    <x v="1"/>
    <x v="29"/>
    <m/>
    <x v="0"/>
    <n v="1"/>
    <n v="0"/>
    <n v="0"/>
    <x v="1"/>
  </r>
  <r>
    <x v="7"/>
    <s v="2018"/>
    <s v="P526468"/>
    <s v="KTREAT"/>
    <d v="2014-05-01T00:00:00"/>
    <d v="2018-04-30T00:00:00"/>
    <s v="Steel Products"/>
    <s v="DS Pipe &amp; Stell Supply, LLC dba DS Steel Supply LLC"/>
    <n v="10000"/>
    <n v="768.02"/>
    <n v="7.6801999999999995E-2"/>
    <n v="47.966666666666669"/>
    <n v="2.0847810979847118E-2"/>
    <n v="42.93333333333333"/>
    <n v="1.7888664596273293E-3"/>
    <s v="Desired Burn Rate"/>
    <n v="559.01322014183654"/>
    <d v="2060-12-01T00:00:00"/>
    <s v="December"/>
    <n v="2061"/>
    <x v="1"/>
    <s v="1 one-yr renewal"/>
    <x v="1"/>
    <x v="34"/>
    <m/>
    <x v="0"/>
    <n v="1"/>
    <n v="0"/>
    <n v="0"/>
    <x v="1"/>
  </r>
  <r>
    <x v="7"/>
    <s v="2018"/>
    <s v="P526556"/>
    <s v="KTREAT"/>
    <d v="2014-05-01T00:00:00"/>
    <d v="2018-04-30T00:00:00"/>
    <s v="New Holland O.E.M Parts and Service"/>
    <s v="Security Equipment Co"/>
    <n v="225000"/>
    <n v="167400.25"/>
    <n v="0.74400111111111111"/>
    <n v="47.966666666666669"/>
    <n v="2.0847810979847115E-2"/>
    <n v="42.93333333333333"/>
    <n v="1.7329218426501036E-2"/>
    <s v="Desired Burn Rate"/>
    <n v="57.706007010144837"/>
    <d v="2019-02-01T00:00:00"/>
    <s v="February"/>
    <n v="2019"/>
    <x v="1"/>
    <s v="1 one-yr renewal"/>
    <x v="1"/>
    <x v="34"/>
    <m/>
    <x v="0"/>
    <n v="1"/>
    <n v="0"/>
    <n v="0"/>
    <x v="1"/>
  </r>
  <r>
    <x v="7"/>
    <s v="2018"/>
    <s v="P526856"/>
    <s v="KTREAT"/>
    <d v="2014-05-01T00:00:00"/>
    <d v="2018-04-30T00:00:00"/>
    <s v="Heavy Duty Transmission and Differentials Rebuild and Repair Service"/>
    <s v="Holabird Enterprises of Maryland Inc."/>
    <n v="1900000"/>
    <n v="888748.17"/>
    <n v="0.46776219473684211"/>
    <n v="47.966666666666669"/>
    <n v="2.0847810979847115E-2"/>
    <n v="42.93333333333333"/>
    <n v="1.0895082175547566E-2"/>
    <s v="Desired Burn Rate"/>
    <n v="91.784530294260207"/>
    <d v="2021-12-01T00:00:00"/>
    <s v="December"/>
    <n v="2022"/>
    <x v="1"/>
    <s v="1 one-year renewal options"/>
    <x v="1"/>
    <x v="34"/>
    <m/>
    <x v="0"/>
    <n v="1"/>
    <n v="0"/>
    <n v="0"/>
    <x v="1"/>
  </r>
  <r>
    <x v="7"/>
    <s v="2018"/>
    <s v="P530898"/>
    <s v="KTREAT"/>
    <d v="2015-05-01T00:00:00"/>
    <d v="2018-04-30T00:00:00"/>
    <s v="Hydraulic Hoses &amp; Fittings"/>
    <s v="Tipco Technologies, Inc."/>
    <n v="100000"/>
    <n v="23280.84"/>
    <n v="0.2328084"/>
    <n v="35.966666666666669"/>
    <n v="2.780352177942539E-2"/>
    <n v="30.933333333333334"/>
    <n v="7.5261336206896559E-3"/>
    <s v="Desired Burn Rate"/>
    <n v="132.87034889348206"/>
    <d v="2026-05-01T00:00:00"/>
    <s v="May"/>
    <n v="2026"/>
    <x v="1"/>
    <s v="2 one-yr options"/>
    <x v="1"/>
    <x v="34"/>
    <m/>
    <x v="0"/>
    <n v="1"/>
    <n v="0"/>
    <n v="0"/>
    <x v="1"/>
  </r>
  <r>
    <x v="8"/>
    <s v="2018"/>
    <s v="P535549"/>
    <s v="KPARRY"/>
    <d v="2016-05-18T00:00:00"/>
    <d v="2018-05-17T00:00:00"/>
    <s v="Pest Control"/>
    <s v="Solomon's Termite &amp; Pest Control"/>
    <n v="80000"/>
    <n v="35648.5"/>
    <n v="0.44560624999999998"/>
    <n v="23.966666666666665"/>
    <n v="4.1724617524339362E-2"/>
    <n v="18.366666666666667"/>
    <n v="2.4261683303085299E-2"/>
    <s v="Desired Burn Rate"/>
    <n v="41.217255517997486"/>
    <d v="2019-10-18T00:00:00"/>
    <s v="October"/>
    <n v="2020"/>
    <x v="0"/>
    <s v="5 one-year renewals"/>
    <x v="1"/>
    <x v="10"/>
    <m/>
    <x v="0"/>
    <n v="1"/>
    <n v="0"/>
    <n v="0"/>
    <x v="1"/>
  </r>
  <r>
    <x v="8"/>
    <s v="2018"/>
    <s v="P535552"/>
    <s v="KPARRY"/>
    <d v="2016-05-18T00:00:00"/>
    <d v="2018-05-17T00:00:00"/>
    <s v="Pest Control"/>
    <s v="AB&amp;B Termite &amp; Pest Control"/>
    <n v="110000"/>
    <n v="102645"/>
    <n v="0.93313636363636365"/>
    <n v="23.966666666666665"/>
    <n v="4.1724617524339362E-2"/>
    <n v="18.366666666666667"/>
    <n v="5.0805972611780228E-2"/>
    <s v="High Burn Rate"/>
    <n v="19.682725250458702"/>
    <d v="2017-12-18T00:00:00"/>
    <s v="December"/>
    <n v="2018"/>
    <x v="0"/>
    <s v="five additional one-year periods"/>
    <x v="1"/>
    <x v="43"/>
    <s v="not using"/>
    <x v="0"/>
    <n v="1"/>
    <n v="0"/>
    <n v="0"/>
    <x v="0"/>
  </r>
  <r>
    <x v="8"/>
    <s v="2018"/>
    <s v="P531368"/>
    <s v="KTREAT"/>
    <d v="2015-05-27T00:00:00"/>
    <d v="2018-05-26T00:00:00"/>
    <s v="O.E.M. Parts and Service for Case Construction Equipment"/>
    <s v="Folcomer Equipment Corp"/>
    <n v="23200"/>
    <n v="0"/>
    <n v="0"/>
    <n v="35.966666666666669"/>
    <n v="2.7803521779425393E-2"/>
    <n v="30.066666666666666"/>
    <n v="0"/>
    <s v="Desired Burn Rate"/>
    <e v="#DIV/0!"/>
    <e v="#DIV/0!"/>
    <e v="#DIV/0!"/>
    <e v="#DIV/0!"/>
    <x v="1"/>
    <s v="two one year options"/>
    <x v="1"/>
    <x v="10"/>
    <m/>
    <x v="0"/>
    <n v="1"/>
    <n v="0"/>
    <n v="0"/>
    <x v="1"/>
  </r>
  <r>
    <x v="8"/>
    <s v="2018"/>
    <s v="P524137"/>
    <s v="KTREAT"/>
    <d v="2013-06-01T00:00:00"/>
    <d v="2018-05-31T00:00:00"/>
    <s v="OEM Parts and Service for Elkin Cement Mixers"/>
    <s v="Volumetric Service Center and Elkin Spreaders "/>
    <n v="75000"/>
    <n v="3192.67"/>
    <n v="4.2568933333333336E-2"/>
    <n v="60"/>
    <n v="1.6666666666666666E-2"/>
    <n v="53.93333333333333"/>
    <n v="7.8928800988875157E-4"/>
    <s v="Desired Burn Rate"/>
    <n v="1266.964640880517"/>
    <d v="2118-12-01T00:00:00"/>
    <s v="December"/>
    <n v="2119"/>
    <x v="1"/>
    <s v="one-one yr renewal "/>
    <x v="1"/>
    <x v="10"/>
    <m/>
    <x v="1"/>
    <n v="0"/>
    <n v="0"/>
    <n v="0"/>
    <x v="1"/>
  </r>
  <r>
    <x v="8"/>
    <s v="2018"/>
    <s v="P526890"/>
    <s v="KTREAT"/>
    <d v="2014-06-01T00:00:00"/>
    <d v="2018-05-31T00:00:00"/>
    <s v="OEM Parts and Service for Bobcat Equipment "/>
    <s v="metro rentals, inc."/>
    <n v="250000"/>
    <n v="94043.91"/>
    <n v="0.37617564000000003"/>
    <n v="48"/>
    <n v="2.0833333333333332E-2"/>
    <n v="41.93333333333333"/>
    <n v="8.970802225755168E-3"/>
    <s v="Desired Burn Rate"/>
    <n v="111.47275068989936"/>
    <d v="2023-09-01T00:00:00"/>
    <s v="September"/>
    <n v="2024"/>
    <x v="1"/>
    <s v="two (2) one-year renewal options"/>
    <x v="1"/>
    <x v="10"/>
    <m/>
    <x v="1"/>
    <n v="0"/>
    <n v="0"/>
    <n v="0"/>
    <x v="1"/>
  </r>
  <r>
    <x v="8"/>
    <s v="2018"/>
    <s v="P526900"/>
    <s v="KTREAT"/>
    <d v="2014-06-01T00:00:00"/>
    <d v="2018-05-31T00:00:00"/>
    <s v="Automotive Radiators &amp; Heaters "/>
    <s v="CUMMINS RADIATOR CO"/>
    <n v="800000"/>
    <n v="225972.25"/>
    <n v="0.28246531250000001"/>
    <n v="48"/>
    <n v="2.0833333333333336E-2"/>
    <n v="41.93333333333333"/>
    <n v="6.7360567368839426E-3"/>
    <s v="Desired Burn Rate"/>
    <n v="148.45480658207663"/>
    <d v="2026-10-01T00:00:00"/>
    <s v="October"/>
    <n v="2027"/>
    <x v="1"/>
    <s v="two one-year renewal options"/>
    <x v="1"/>
    <x v="10"/>
    <m/>
    <x v="1"/>
    <n v="0"/>
    <n v="0"/>
    <n v="0"/>
    <x v="1"/>
  </r>
  <r>
    <x v="8"/>
    <s v="2018"/>
    <s v="P527231"/>
    <s v="KTREAT"/>
    <d v="2014-06-01T00:00:00"/>
    <d v="2018-05-31T00:00:00"/>
    <s v="Automotive Starters &amp; Alternators "/>
    <s v="BEST BATTERY CO INC"/>
    <n v="1600000"/>
    <n v="358527.61"/>
    <n v="0.22407975624999998"/>
    <n v="48"/>
    <n v="2.0833333333333336E-2"/>
    <n v="41.93333333333333"/>
    <n v="5.343714377980922E-3"/>
    <s v="Desired Burn Rate"/>
    <n v="187.13575039125533"/>
    <d v="2030-01-01T00:00:00"/>
    <s v="January"/>
    <n v="2030"/>
    <x v="1"/>
    <s v="two (2) one-year options"/>
    <x v="1"/>
    <x v="10"/>
    <m/>
    <x v="1"/>
    <n v="0"/>
    <n v="0"/>
    <n v="0"/>
    <x v="1"/>
  </r>
  <r>
    <x v="9"/>
    <s v="2018"/>
    <s v="P527375"/>
    <s v="KTREAT"/>
    <d v="2014-06-01T00:00:00"/>
    <d v="2018-06-04T00:00:00"/>
    <s v="Truck Mounted Generators &amp; Electrical Equipment, Parts and Service"/>
    <s v="Frank Quinn Co., Inc."/>
    <n v="100000"/>
    <n v="80541.509999999995"/>
    <n v="0.80541509999999994"/>
    <n v="48.1"/>
    <n v="2.0790020790020791E-2"/>
    <n v="41.93333333333333"/>
    <n v="1.92070373608903E-2"/>
    <s v="Desired Burn Rate"/>
    <n v="52.064250264656494"/>
    <d v="2018-10-01T00:00:00"/>
    <s v="October"/>
    <n v="2019"/>
    <x v="1"/>
    <s v="one-one yr renewal "/>
    <x v="1"/>
    <x v="10"/>
    <m/>
    <x v="1"/>
    <n v="0"/>
    <n v="0"/>
    <n v="0"/>
    <x v="0"/>
  </r>
  <r>
    <x v="9"/>
    <s v="2018"/>
    <s v="P523951"/>
    <s v="KTREAT"/>
    <d v="2013-06-05T00:00:00"/>
    <d v="2018-06-04T00:00:00"/>
    <s v="OEM Parts for PL Custom Fire Apparatus and Equipment"/>
    <s v="Delmarva Pump Center (DPC Emergency Equipment)"/>
    <n v="100000"/>
    <n v="10456.11"/>
    <n v="0.1045611"/>
    <n v="59.966666666666669"/>
    <n v="1.6675931072818232E-2"/>
    <n v="53.8"/>
    <n v="1.9435148698884761E-3"/>
    <s v="Desired Burn Rate"/>
    <n v="514.53169486549007"/>
    <d v="2056-04-05T00:00:00"/>
    <s v="April"/>
    <n v="2056"/>
    <x v="1"/>
    <s v="No options"/>
    <x v="0"/>
    <x v="10"/>
    <m/>
    <x v="1"/>
    <n v="0"/>
    <n v="0"/>
    <n v="0"/>
    <x v="1"/>
  </r>
  <r>
    <x v="9"/>
    <s v="2018"/>
    <s v="P527294"/>
    <s v="DFINNERTY"/>
    <d v="2014-06-10T00:00:00"/>
    <d v="2018-06-09T00:00:00"/>
    <s v="Plumbing Supplies and Parts"/>
    <s v="Fastenal Company"/>
    <n v="14000"/>
    <n v="8885.6200000000008"/>
    <n v="0.63468714285714289"/>
    <n v="47.966666666666669"/>
    <n v="2.0847810979847115E-2"/>
    <n v="41.633333333333333"/>
    <n v="1.524468717831408E-2"/>
    <s v="Desired Burn Rate"/>
    <n v="65.596623158166409"/>
    <d v="2019-11-10T00:00:00"/>
    <s v="November"/>
    <n v="2020"/>
    <x v="0"/>
    <s v="1 one-yr renewal"/>
    <x v="1"/>
    <x v="10"/>
    <m/>
    <x v="1"/>
    <n v="0"/>
    <n v="0"/>
    <n v="0"/>
    <x v="1"/>
  </r>
  <r>
    <x v="9"/>
    <s v="2018"/>
    <s v="P532264"/>
    <s v="KTREAT"/>
    <d v="2015-06-24T00:00:00"/>
    <d v="2018-06-23T00:00:00"/>
    <s v="Tire Repair and Maintenance Supplies "/>
    <s v="Myers Tire Supply"/>
    <n v="45000"/>
    <n v="22423.32"/>
    <n v="0.49829600000000002"/>
    <n v="35.966666666666669"/>
    <n v="2.7803521779425393E-2"/>
    <n v="29.166666666666668"/>
    <n v="1.7084434285714285E-2"/>
    <s v="Desired Burn Rate"/>
    <n v="58.53281316058461"/>
    <d v="2020-04-24T00:00:00"/>
    <s v="April"/>
    <n v="2020"/>
    <x v="1"/>
    <s v="(2) two (1) one year renewal options"/>
    <x v="1"/>
    <x v="10"/>
    <m/>
    <x v="1"/>
    <n v="0"/>
    <n v="0"/>
    <n v="0"/>
    <x v="1"/>
  </r>
  <r>
    <x v="9"/>
    <s v="2018"/>
    <s v="P527291"/>
    <s v="DFINNERTY"/>
    <d v="2014-06-10T00:00:00"/>
    <d v="2018-06-27T00:00:00"/>
    <s v="Plumbing Supplies and Parts"/>
    <s v="Best Plumbing Specialties"/>
    <n v="34900"/>
    <n v="27998.12"/>
    <n v="0.8022383954154727"/>
    <n v="48.56666666666667"/>
    <n v="2.0590253946465339E-2"/>
    <n v="41.633333333333333"/>
    <n v="1.9269136799410877E-2"/>
    <s v="Desired Burn Rate"/>
    <n v="51.896460667120984"/>
    <d v="2018-09-10T00:00:00"/>
    <s v="September"/>
    <n v="2019"/>
    <x v="0"/>
    <s v="1 one-yr renewal"/>
    <x v="1"/>
    <x v="10"/>
    <s v="no changes necessary"/>
    <x v="1"/>
    <n v="0"/>
    <n v="0"/>
    <n v="0"/>
    <x v="0"/>
  </r>
  <r>
    <x v="9"/>
    <s v="2018"/>
    <s v="P535976"/>
    <s v="DFINNERTY"/>
    <d v="2016-06-28T00:00:00"/>
    <d v="2018-06-27T00:00:00"/>
    <s v="Plumbing Supplies- AO Smith Water Heaters and Ridgid Drain Cleaners"/>
    <s v="B T Plumbing Supply, Inc."/>
    <n v="25000"/>
    <n v="14732.53"/>
    <n v="0.58930120000000008"/>
    <n v="23.966666666666665"/>
    <n v="4.1724617524339362E-2"/>
    <n v="17.033333333333335"/>
    <n v="3.4596939334637963E-2"/>
    <s v="Desired Burn Rate"/>
    <n v="28.90429093532023"/>
    <d v="2018-10-28T00:00:00"/>
    <s v="October"/>
    <n v="2019"/>
    <x v="0"/>
    <s v="3 one year options"/>
    <x v="1"/>
    <x v="10"/>
    <m/>
    <x v="1"/>
    <n v="0"/>
    <n v="0"/>
    <n v="0"/>
    <x v="1"/>
  </r>
  <r>
    <x v="9"/>
    <s v="2018"/>
    <s v="P523988"/>
    <s v="BOLUWASU"/>
    <d v="2013-07-01T00:00:00"/>
    <d v="2018-06-30T00:00:00"/>
    <s v="Fleet Fuel Credit Card Services"/>
    <s v="Wright Express"/>
    <n v="1500000"/>
    <n v="410000"/>
    <n v="0.27333333333333332"/>
    <n v="59.966666666666669"/>
    <n v="1.6675931072818232E-2"/>
    <n v="52.93333333333333"/>
    <n v="5.1637279596977335E-3"/>
    <s v="Desired Burn Rate"/>
    <n v="193.65853658536585"/>
    <d v="2029-08-01T00:00:00"/>
    <s v="August"/>
    <n v="2030"/>
    <x v="1"/>
    <s v="No options"/>
    <x v="0"/>
    <x v="10"/>
    <m/>
    <x v="1"/>
    <n v="0"/>
    <n v="0"/>
    <n v="0"/>
    <x v="1"/>
  </r>
  <r>
    <x v="9"/>
    <s v="2018"/>
    <s v="P527249"/>
    <s v="KTREAT"/>
    <d v="2014-07-01T00:00:00"/>
    <d v="2018-06-30T00:00:00"/>
    <s v="OEM Parts and Service for Ford Vehicles"/>
    <s v="AL PACKER'S WHITE MARSH FORD"/>
    <n v="5000000"/>
    <n v="3544031.72"/>
    <n v="0.70880634400000009"/>
    <n v="47.966666666666669"/>
    <n v="2.0847810979847115E-2"/>
    <n v="40.93333333333333"/>
    <n v="1.7316115895765476E-2"/>
    <s v="Desired Burn Rate"/>
    <n v="57.749671232250321"/>
    <d v="2019-04-01T00:00:00"/>
    <s v="April"/>
    <n v="2019"/>
    <x v="1"/>
    <s v="1 one-year renewal options"/>
    <x v="1"/>
    <x v="10"/>
    <m/>
    <x v="1"/>
    <n v="0"/>
    <n v="0"/>
    <n v="0"/>
    <x v="1"/>
  </r>
  <r>
    <x v="9"/>
    <s v="2018"/>
    <s v="P527371"/>
    <s v="KTREAT"/>
    <d v="2014-07-01T00:00:00"/>
    <d v="2018-06-30T00:00:00"/>
    <s v="OEM Parts and Service for Chrysler Group Vehicles"/>
    <s v="HERITAGE DODGE"/>
    <n v="4000000"/>
    <n v="147074.57"/>
    <n v="3.6768642500000004E-2"/>
    <n v="47.966666666666669"/>
    <n v="2.0847810979847115E-2"/>
    <n v="40.93333333333333"/>
    <n v="8.9825673859934862E-4"/>
    <s v="Desired Burn Rate"/>
    <n v="1113.2674624398583"/>
    <d v="2107-04-01T00:00:00"/>
    <s v="April"/>
    <n v="2107"/>
    <x v="1"/>
    <s v="1 one yr option"/>
    <x v="1"/>
    <x v="10"/>
    <m/>
    <x v="1"/>
    <n v="0"/>
    <n v="0"/>
    <n v="0"/>
    <x v="1"/>
  </r>
  <r>
    <x v="9"/>
    <s v="2018"/>
    <s v="P527447"/>
    <s v="KTREAT"/>
    <d v="2014-07-01T00:00:00"/>
    <d v="2018-06-30T00:00:00"/>
    <s v="O.E.M Parts and Service for Sefac Mobile Lifts"/>
    <s v="SLEC, Inc."/>
    <n v="237000"/>
    <n v="180214.04"/>
    <n v="0.76039679324894516"/>
    <n v="47.966666666666669"/>
    <n v="2.0847810979847115E-2"/>
    <n v="40.93333333333333"/>
    <n v="1.8576468890446545E-2"/>
    <s v="Desired Burn Rate"/>
    <n v="53.831543868613117"/>
    <d v="2018-12-01T00:00:00"/>
    <s v="December"/>
    <n v="2019"/>
    <x v="1"/>
    <s v="1 one year renewal options"/>
    <x v="1"/>
    <x v="10"/>
    <m/>
    <x v="1"/>
    <n v="0"/>
    <n v="0"/>
    <n v="0"/>
    <x v="0"/>
  </r>
  <r>
    <x v="9"/>
    <s v="2018"/>
    <s v="P527667"/>
    <s v="KTREAT"/>
    <d v="2014-07-01T00:00:00"/>
    <d v="2018-06-30T00:00:00"/>
    <s v="Automotive Paint and Supplies"/>
    <s v="marty's auto paint supply inc"/>
    <n v="200000"/>
    <n v="28961.78"/>
    <n v="0.14480889999999999"/>
    <n v="47.966666666666669"/>
    <n v="2.0847810979847115E-2"/>
    <n v="40.93333333333333"/>
    <n v="3.5376767100977202E-3"/>
    <s v="Desired Burn Rate"/>
    <n v="282.6713919747566"/>
    <d v="2038-01-01T00:00:00"/>
    <s v="January"/>
    <n v="2038"/>
    <x v="1"/>
    <s v="1one-year renewal options"/>
    <x v="1"/>
    <x v="10"/>
    <m/>
    <x v="1"/>
    <n v="0"/>
    <n v="0"/>
    <n v="0"/>
    <x v="1"/>
  </r>
  <r>
    <x v="9"/>
    <s v="2018"/>
    <s v="P531873"/>
    <s v="MDEAN1"/>
    <d v="2015-07-01T00:00:00"/>
    <d v="2018-06-30T00:00:00"/>
    <s v="Custodial Services for CitiWatch "/>
    <s v="Southern Management Company"/>
    <n v="16296"/>
    <n v="4895"/>
    <n v="0.30038046146293568"/>
    <n v="35.966666666666669"/>
    <n v="2.7803521779425393E-2"/>
    <n v="28.933333333333334"/>
    <n v="1.0381813184202848E-2"/>
    <s v="Desired Burn Rate"/>
    <n v="96.322288049029623"/>
    <d v="2023-07-01T00:00:00"/>
    <s v="July"/>
    <n v="2024"/>
    <x v="0"/>
    <s v="2, one-year renewal options"/>
    <x v="1"/>
    <x v="10"/>
    <m/>
    <x v="1"/>
    <n v="0"/>
    <n v="0"/>
    <n v="0"/>
    <x v="1"/>
  </r>
  <r>
    <x v="9"/>
    <s v="2018"/>
    <s v="P531583"/>
    <s v="BREADY"/>
    <d v="2015-07-01T00:00:00"/>
    <d v="2018-06-30T00:00:00"/>
    <s v="Lamps and Ballasts, Large, and Specialty"/>
    <s v="C.N.R. LIGHTING SUPPLY CO."/>
    <n v="450000"/>
    <n v="253864.85"/>
    <n v="0.56414411111111118"/>
    <n v="35.966666666666669"/>
    <n v="2.780352177942539E-2"/>
    <n v="28.933333333333334"/>
    <n v="1.9498068356374808E-2"/>
    <s v="Desired Burn Rate"/>
    <n v="51.287131715950437"/>
    <d v="2019-10-01T00:00:00"/>
    <s v="October"/>
    <n v="2020"/>
    <x v="0"/>
    <s v="No options"/>
    <x v="0"/>
    <x v="11"/>
    <m/>
    <x v="1"/>
    <n v="0"/>
    <n v="0"/>
    <n v="0"/>
    <x v="1"/>
  </r>
  <r>
    <x v="9"/>
    <s v="2018"/>
    <s v="P520115"/>
    <s v="BREADY"/>
    <d v="2012-07-01T00:00:00"/>
    <d v="2018-06-30T00:00:00"/>
    <s v="Cements, Mortars, &amp; Concrete Mixes"/>
    <s v="Belair Road Supply Co., Inc"/>
    <n v="172500"/>
    <n v="80381.320000000007"/>
    <n v="0.46597866666666671"/>
    <n v="71.966666666666669"/>
    <n v="1.3895321908290875E-2"/>
    <n v="64.933333333333337"/>
    <n v="7.1762628336755644E-3"/>
    <s v="Desired Burn Rate"/>
    <n v="139.34829634546932"/>
    <d v="2024-02-01T00:00:00"/>
    <s v="February"/>
    <n v="2024"/>
    <x v="0"/>
    <s v="No options"/>
    <x v="0"/>
    <x v="10"/>
    <m/>
    <x v="1"/>
    <n v="0"/>
    <n v="0"/>
    <n v="0"/>
    <x v="1"/>
  </r>
  <r>
    <x v="9"/>
    <s v="2018"/>
    <s v="P535335"/>
    <s v="BCOLE"/>
    <d v="2016-07-01T00:00:00"/>
    <d v="2018-06-30T00:00:00"/>
    <s v="Parts and Service for Power Pressure Washer "/>
    <s v="McHenry Equipment Inc. "/>
    <n v="20000"/>
    <n v="682.1"/>
    <n v="3.4105000000000003E-2"/>
    <n v="23.966666666666665"/>
    <n v="4.1724617524339362E-2"/>
    <n v="16.933333333333334"/>
    <n v="2.0140748031496061E-3"/>
    <s v="Desired Burn Rate"/>
    <n v="496.50588867712457"/>
    <d v="2057-11-01T00:00:00"/>
    <s v="November"/>
    <n v="2058"/>
    <x v="1"/>
    <s v="2 one-yr options"/>
    <x v="1"/>
    <x v="10"/>
    <m/>
    <x v="1"/>
    <n v="0"/>
    <n v="0"/>
    <n v="0"/>
    <x v="1"/>
  </r>
  <r>
    <x v="9"/>
    <s v="2018"/>
    <s v="P535957"/>
    <s v="BCOLE"/>
    <d v="2016-07-01T00:00:00"/>
    <d v="2018-06-30T00:00:00"/>
    <s v="Car Wash Soap and Supplies for Fallsway Sub Station "/>
    <s v="B &amp; L Sales Inc"/>
    <n v="5000"/>
    <n v="1812.32"/>
    <n v="0.36246400000000001"/>
    <n v="23.966666666666665"/>
    <n v="4.1724617524339362E-2"/>
    <n v="16.933333333333334"/>
    <n v="2.140535433070866E-2"/>
    <s v="Desired Burn Rate"/>
    <n v="46.717283187663696"/>
    <d v="2020-05-01T00:00:00"/>
    <s v="May"/>
    <n v="2020"/>
    <x v="1"/>
    <s v="one (1) year renewal option"/>
    <x v="1"/>
    <x v="10"/>
    <m/>
    <x v="1"/>
    <n v="0"/>
    <n v="0"/>
    <n v="0"/>
    <x v="1"/>
  </r>
  <r>
    <x v="10"/>
    <s v="2018"/>
    <s v="P527694"/>
    <s v="KTREAT"/>
    <d v="2014-07-01T00:00:00"/>
    <d v="2018-07-01T00:00:00"/>
    <s v="Marine Skimmer Maintenance, Repair, Parts and Service"/>
    <s v="Marcon Engineering"/>
    <n v="2500000"/>
    <n v="1693073.84"/>
    <n v="0.67722953600000002"/>
    <n v="48"/>
    <n v="2.0833333333333336E-2"/>
    <n v="40.93333333333333"/>
    <n v="1.6544695504885996E-2"/>
    <s v="Desired Burn Rate"/>
    <n v="60.442333296776539"/>
    <d v="2019-07-01T00:00:00"/>
    <s v="July"/>
    <n v="2020"/>
    <x v="1"/>
    <s v="1 one yr option"/>
    <x v="1"/>
    <x v="10"/>
    <m/>
    <x v="1"/>
    <n v="0"/>
    <n v="0"/>
    <n v="0"/>
    <x v="1"/>
  </r>
  <r>
    <x v="10"/>
    <s v="2018"/>
    <s v="P532057"/>
    <s v="BBROOKS1"/>
    <d v="2015-07-15T00:00:00"/>
    <d v="2018-07-14T00:00:00"/>
    <s v="Windows and Trusses Cleaning Services "/>
    <s v="AAA National USA, Inc."/>
    <n v="10000"/>
    <n v="0"/>
    <n v="0"/>
    <n v="35.966666666666669"/>
    <n v="2.7803521779425393E-2"/>
    <n v="28.466666666666665"/>
    <n v="0"/>
    <s v="Desired Burn Rate"/>
    <e v="#DIV/0!"/>
    <e v="#DIV/0!"/>
    <e v="#DIV/0!"/>
    <e v="#DIV/0!"/>
    <x v="0"/>
    <s v="1 one-year renewal options"/>
    <x v="1"/>
    <x v="10"/>
    <m/>
    <x v="1"/>
    <n v="0"/>
    <n v="0"/>
    <n v="0"/>
    <x v="1"/>
  </r>
  <r>
    <x v="10"/>
    <s v="2018"/>
    <s v="P537003"/>
    <s v="DFINNERTY"/>
    <d v="2016-07-15T00:00:00"/>
    <d v="2018-07-14T00:00:00"/>
    <s v="VFA Reporting Software"/>
    <s v="VFA Inc"/>
    <n v="266759.84000000003"/>
    <n v="266759.84000000003"/>
    <n v="1"/>
    <n v="23.966666666666665"/>
    <n v="4.1724617524339362E-2"/>
    <n v="16.466666666666665"/>
    <n v="6.0728744939271266E-2"/>
    <s v="High Burn Rate"/>
    <n v="16.466666666666665"/>
    <d v="2017-11-15T00:00:00"/>
    <s v="November"/>
    <n v="2018"/>
    <x v="0"/>
    <s v="No options"/>
    <x v="0"/>
    <x v="7"/>
    <m/>
    <x v="1"/>
    <n v="0"/>
    <n v="0"/>
    <n v="0"/>
    <x v="0"/>
  </r>
  <r>
    <x v="10"/>
    <s v="2018"/>
    <s v="P536188"/>
    <s v="DFINNERTY"/>
    <d v="2016-07-18T00:00:00"/>
    <d v="2018-07-17T00:00:00"/>
    <s v="Carpet, Floor, Drapery and Upholstered Furniture Cleaning Services"/>
    <s v="A.S.B."/>
    <n v="376999"/>
    <n v="255529.97"/>
    <n v="0.67780012679078727"/>
    <n v="23.966666666666665"/>
    <n v="4.1724617524339362E-2"/>
    <n v="16.366666666666667"/>
    <n v="4.1413449702084756E-2"/>
    <s v="Desired Burn Rate"/>
    <n v="24.146744769964428"/>
    <d v="2018-07-18T00:00:00"/>
    <s v="July"/>
    <n v="2019"/>
    <x v="0"/>
    <s v="3 renewal options"/>
    <x v="1"/>
    <x v="10"/>
    <m/>
    <x v="1"/>
    <n v="0"/>
    <n v="0"/>
    <n v="0"/>
    <x v="1"/>
  </r>
  <r>
    <x v="10"/>
    <s v="2018"/>
    <s v="P540326"/>
    <s v="DFINNERTY"/>
    <d v="2017-07-31T00:00:00"/>
    <d v="2018-07-30T00:00:00"/>
    <s v="HVAC and Plumbing Materials - Parts Pilot"/>
    <s v="R. E. Michel Company, Inc."/>
    <n v="24999"/>
    <n v="4025.5"/>
    <n v="0.1610264410576423"/>
    <n v="12"/>
    <n v="8.3333333333333329E-2"/>
    <n v="3.9666666666666668"/>
    <n v="4.0594901106968645E-2"/>
    <s v="Desired Burn Rate"/>
    <n v="24.633635573220719"/>
    <d v="2019-07-31T00:00:00"/>
    <s v="July"/>
    <n v="2020"/>
    <x v="0"/>
    <s v="No options"/>
    <x v="0"/>
    <x v="10"/>
    <m/>
    <x v="1"/>
    <n v="0"/>
    <n v="0"/>
    <n v="0"/>
    <x v="1"/>
  </r>
  <r>
    <x v="10"/>
    <s v="2018"/>
    <s v="P528196"/>
    <s v="KTREAT"/>
    <d v="2014-08-01T00:00:00"/>
    <d v="2018-07-31T00:00:00"/>
    <s v="O.E.M Parts and Service for New Way Trucks - 1st CALL"/>
    <s v="Waste Equipment Sales &amp; Service, LLC"/>
    <n v="3025000"/>
    <n v="1831453.24"/>
    <n v="0.60543908760330578"/>
    <n v="48"/>
    <n v="2.0833333333333336E-2"/>
    <n v="39.93333333333333"/>
    <n v="1.5161245933304821E-2"/>
    <s v="Desired Burn Rate"/>
    <n v="65.957639919506391"/>
    <d v="2020-01-01T00:00:00"/>
    <s v="January"/>
    <n v="2020"/>
    <x v="1"/>
    <s v="1 one year renewal options"/>
    <x v="1"/>
    <x v="10"/>
    <m/>
    <x v="1"/>
    <n v="0"/>
    <n v="0"/>
    <n v="0"/>
    <x v="1"/>
  </r>
  <r>
    <x v="10"/>
    <s v="2018"/>
    <s v="P528197"/>
    <s v="KTREAT"/>
    <d v="2014-08-01T00:00:00"/>
    <d v="2018-07-31T00:00:00"/>
    <s v="O.E.M Parts and Service for New Way Trucks - 2ND CALL (1ST CALL FOR WARRANTY ONLY)"/>
    <s v="Maryland Industrial Trucks"/>
    <n v="1975000"/>
    <n v="1010550.77"/>
    <n v="0.51167127594936712"/>
    <n v="48"/>
    <n v="2.0833333333333336E-2"/>
    <n v="39.93333333333333"/>
    <n v="1.2813137127279644E-2"/>
    <s v="Desired Burn Rate"/>
    <n v="78.044899548523745"/>
    <d v="2021-02-01T00:00:00"/>
    <s v="February"/>
    <n v="2021"/>
    <x v="1"/>
    <s v="1 one yr option"/>
    <x v="1"/>
    <x v="10"/>
    <m/>
    <x v="1"/>
    <n v="0"/>
    <n v="0"/>
    <n v="0"/>
    <x v="1"/>
  </r>
  <r>
    <x v="10"/>
    <s v="2018"/>
    <s v="P527839"/>
    <s v="KTREAT"/>
    <d v="2014-08-01T00:00:00"/>
    <d v="2018-07-31T00:00:00"/>
    <s v="OEM Parts and Service for Mack Trucks"/>
    <s v="Columbia Fleet Service"/>
    <n v="166375"/>
    <n v="88347.18"/>
    <n v="0.53101235161532678"/>
    <n v="48"/>
    <n v="2.0833333333333336E-2"/>
    <n v="39.93333333333333"/>
    <n v="1.3297471242453927E-2"/>
    <s v="Desired Burn Rate"/>
    <n v="75.202268293490903"/>
    <d v="2020-11-01T00:00:00"/>
    <s v="November"/>
    <n v="2021"/>
    <x v="1"/>
    <s v="1 one-year renewal options"/>
    <x v="1"/>
    <x v="10"/>
    <m/>
    <x v="1"/>
    <n v="0"/>
    <n v="0"/>
    <n v="0"/>
    <x v="1"/>
  </r>
  <r>
    <x v="10"/>
    <s v="2018"/>
    <s v="P528103"/>
    <s v="KTREAT"/>
    <d v="2014-08-01T00:00:00"/>
    <d v="2018-07-31T00:00:00"/>
    <s v="OEM Parts and Service for General Motors Heavy Duty Trucks"/>
    <s v="BOB BELL CHEVROLET"/>
    <n v="366375"/>
    <n v="256253.37"/>
    <n v="0.69942919140225179"/>
    <n v="48"/>
    <n v="2.0833333333333332E-2"/>
    <n v="39.93333333333333"/>
    <n v="1.7514921320590612E-2"/>
    <s v="Desired Burn Rate"/>
    <n v="57.094175971227223"/>
    <d v="2019-05-01T00:00:00"/>
    <s v="May"/>
    <n v="2019"/>
    <x v="1"/>
    <s v="1 one-year renewal options"/>
    <x v="1"/>
    <x v="10"/>
    <m/>
    <x v="1"/>
    <n v="0"/>
    <n v="0"/>
    <n v="0"/>
    <x v="1"/>
  </r>
  <r>
    <x v="10"/>
    <s v="2018"/>
    <s v="P528190"/>
    <s v="KTREAT"/>
    <d v="2014-08-01T00:00:00"/>
    <d v="2018-07-31T00:00:00"/>
    <s v="O.E.M Parts and Service for Allison Transmissions  - 2ND CALL (1ST CALL FOR OVERHAUL ONLY)"/>
    <s v="Johnson &amp; Towers, Inc."/>
    <n v="575000"/>
    <n v="292666.23999999999"/>
    <n v="0.50898476521739133"/>
    <n v="48"/>
    <n v="2.0833333333333332E-2"/>
    <n v="39.93333333333333"/>
    <n v="1.274586223415838E-2"/>
    <s v="Desired Burn Rate"/>
    <n v="78.456834196751444"/>
    <d v="2021-02-01T00:00:00"/>
    <s v="February"/>
    <n v="2021"/>
    <x v="1"/>
    <s v="1 one-year renewal options"/>
    <x v="1"/>
    <x v="10"/>
    <m/>
    <x v="1"/>
    <n v="0"/>
    <n v="0"/>
    <n v="0"/>
    <x v="1"/>
  </r>
  <r>
    <x v="10"/>
    <s v="2018"/>
    <s v="P528191"/>
    <s v="KTREAT"/>
    <d v="2014-08-01T00:00:00"/>
    <d v="2018-07-31T00:00:00"/>
    <s v="O.E.M Parts and Service for Allison Transmissions - 1ST CALL "/>
    <s v="BALTIMORE FREIGHTLINER"/>
    <n v="175000"/>
    <n v="106696.75"/>
    <n v="0.60969571428571434"/>
    <n v="48"/>
    <n v="2.0833333333333336E-2"/>
    <n v="39.93333333333333"/>
    <n v="1.5267839255902697E-2"/>
    <s v="Desired Burn Rate"/>
    <n v="65.497152756136742"/>
    <d v="2020-01-01T00:00:00"/>
    <s v="January"/>
    <n v="2020"/>
    <x v="1"/>
    <s v="1 one-year renewal options"/>
    <x v="1"/>
    <x v="10"/>
    <m/>
    <x v="1"/>
    <n v="0"/>
    <n v="0"/>
    <n v="0"/>
    <x v="1"/>
  </r>
  <r>
    <x v="10"/>
    <s v="2018"/>
    <s v="P528193"/>
    <s v="KTREAT"/>
    <d v="2014-08-01T00:00:00"/>
    <d v="2018-07-31T00:00:00"/>
    <s v="O.E.M. Parts &amp; Service for Cummins Engines "/>
    <s v="BALTIMORE FREIGHTLINER"/>
    <n v="500000"/>
    <n v="364249.79"/>
    <n v="0.72849957999999992"/>
    <n v="48"/>
    <n v="2.0833333333333332E-2"/>
    <n v="39.93333333333333"/>
    <n v="1.8242894323873122E-2"/>
    <s v="Desired Burn Rate"/>
    <n v="54.815863220310071"/>
    <d v="2019-02-01T00:00:00"/>
    <s v="February"/>
    <n v="2019"/>
    <x v="1"/>
    <s v="1 one-year renewal options"/>
    <x v="1"/>
    <x v="10"/>
    <m/>
    <x v="1"/>
    <n v="0"/>
    <n v="0"/>
    <n v="0"/>
    <x v="1"/>
  </r>
  <r>
    <x v="10"/>
    <s v="2018"/>
    <s v="P528194"/>
    <s v="SFELDMAN"/>
    <d v="2014-08-01T00:00:00"/>
    <d v="2018-07-31T00:00:00"/>
    <s v="O.E.M Parts and Service for Detroit Engines"/>
    <s v="BALTIMORE FREIGHTLINER"/>
    <n v="500000"/>
    <n v="268884.77"/>
    <n v="0.53776953999999999"/>
    <n v="48"/>
    <n v="2.0833333333333332E-2"/>
    <n v="39.93333333333333"/>
    <n v="1.3466682971619367E-2"/>
    <s v="Desired Burn Rate"/>
    <n v="74.257335834479065"/>
    <d v="2020-10-01T00:00:00"/>
    <s v="October"/>
    <n v="2021"/>
    <x v="1"/>
    <s v="1 one-year renewal options"/>
    <x v="1"/>
    <x v="10"/>
    <m/>
    <x v="1"/>
    <n v="0"/>
    <n v="0"/>
    <n v="0"/>
    <x v="1"/>
  </r>
  <r>
    <x v="10"/>
    <s v="2018"/>
    <s v="P528195"/>
    <s v="SFELDMAN"/>
    <d v="2014-08-01T00:00:00"/>
    <d v="2018-07-31T00:00:00"/>
    <s v="O.E.M Parts and Service for Doosan Heavy Equipment"/>
    <s v="H&amp;E Equipment Services"/>
    <n v="250000"/>
    <n v="88533.77"/>
    <n v="0.35413507999999999"/>
    <n v="48"/>
    <n v="2.0833333333333332E-2"/>
    <n v="39.93333333333333"/>
    <n v="8.8681572621035071E-3"/>
    <s v="Desired Burn Rate"/>
    <n v="112.76299804394789"/>
    <d v="2023-12-01T00:00:00"/>
    <s v="December"/>
    <n v="2024"/>
    <x v="1"/>
    <s v="1 one-year renewal options"/>
    <x v="1"/>
    <x v="10"/>
    <m/>
    <x v="1"/>
    <n v="0"/>
    <n v="0"/>
    <n v="0"/>
    <x v="1"/>
  </r>
  <r>
    <x v="10"/>
    <s v="2018"/>
    <s v="P524356"/>
    <s v="DFINNERTY"/>
    <d v="2013-08-01T00:00:00"/>
    <d v="2018-07-31T00:00:00"/>
    <s v="Tow Chains, Tow Cables,  Assemblies, Tie Downs and Related Items  "/>
    <s v="Indusco Wire Rope &amp; Supplies"/>
    <n v="31877.5"/>
    <n v="14108.2"/>
    <n v="0.44257548427574311"/>
    <n v="60"/>
    <n v="1.6666666666666666E-2"/>
    <n v="51.93333333333333"/>
    <n v="8.5219926368885063E-3"/>
    <s v="Desired Burn Rate"/>
    <n v="117.34344801841009"/>
    <d v="2023-05-01T00:00:00"/>
    <s v="May"/>
    <n v="2023"/>
    <x v="1"/>
    <s v="two one-year renewal"/>
    <x v="1"/>
    <x v="44"/>
    <m/>
    <x v="1"/>
    <n v="0"/>
    <n v="0"/>
    <n v="0"/>
    <x v="1"/>
  </r>
  <r>
    <x v="11"/>
    <s v="2018"/>
    <s v="P540536"/>
    <s v="DFINNERTY"/>
    <d v="2017-08-16T00:00:00"/>
    <d v="2018-08-15T00:00:00"/>
    <s v="Vistor Pass Plus Scanning System for Various Locations"/>
    <s v="Morrison Consulting Inc"/>
    <n v="36700.980000000003"/>
    <n v="36700.980000000003"/>
    <n v="1"/>
    <n v="11.966666666666667"/>
    <n v="8.3565459610027856E-2"/>
    <n v="3.4333333333333331"/>
    <n v="0.29126213592233008"/>
    <s v="Really High Burn Rate"/>
    <n v="3.4333333333333336"/>
    <d v="2017-11-16T00:00:00"/>
    <s v="November"/>
    <n v="2018"/>
    <x v="0"/>
    <s v="No options"/>
    <x v="0"/>
    <x v="45"/>
    <m/>
    <x v="1"/>
    <n v="0"/>
    <n v="0"/>
    <n v="0"/>
    <x v="0"/>
  </r>
  <r>
    <x v="11"/>
    <s v="2018"/>
    <s v="P532540"/>
    <s v="ABBEY"/>
    <d v="2015-08-19T00:00:00"/>
    <d v="2018-08-18T00:00:00"/>
    <s v="Miscellaneous Electrical Work"/>
    <s v="Calmi Electrical Company"/>
    <n v="2310800"/>
    <n v="1063593.94"/>
    <n v="0.46027087588713861"/>
    <n v="35.966666666666669"/>
    <n v="2.7803521779425393E-2"/>
    <n v="27.333333333333332"/>
    <n v="1.6839178386114827E-2"/>
    <s v="Desired Burn Rate"/>
    <n v="59.38532017836306"/>
    <d v="2020-07-19T00:00:00"/>
    <s v="July"/>
    <n v="2021"/>
    <x v="0"/>
    <s v="3 one year options"/>
    <x v="1"/>
    <x v="11"/>
    <m/>
    <x v="1"/>
    <n v="0"/>
    <n v="0"/>
    <n v="0"/>
    <x v="1"/>
  </r>
  <r>
    <x v="11"/>
    <s v="2018"/>
    <s v="P532541"/>
    <s v="ABBEY"/>
    <d v="2015-08-19T00:00:00"/>
    <d v="2018-08-19T00:00:00"/>
    <s v="Miscellaneous Electrical Work"/>
    <s v="Hawkeye Construction, LLC"/>
    <n v="2570500"/>
    <n v="1317811.3500000001"/>
    <n v="0.51266732153277572"/>
    <n v="36"/>
    <n v="2.777777777777778E-2"/>
    <n v="27.333333333333332"/>
    <n v="1.8756121519491797E-2"/>
    <s v="Desired Burn Rate"/>
    <n v="53.315926694160986"/>
    <d v="2020-01-19T00:00:00"/>
    <s v="January"/>
    <n v="2020"/>
    <x v="0"/>
    <s v="three one-year renewal options"/>
    <x v="1"/>
    <x v="11"/>
    <m/>
    <x v="1"/>
    <n v="0"/>
    <n v="0"/>
    <n v="0"/>
    <x v="1"/>
  </r>
  <r>
    <x v="11"/>
    <s v="2018"/>
    <s v="P534308"/>
    <s v="SFELDMAN"/>
    <d v="2015-12-01T00:00:00"/>
    <d v="2018-08-31T00:00:00"/>
    <s v="OEM Parts &amp; Service for Seagrave Fire Apparatus  "/>
    <s v="Middleton &amp; Meads"/>
    <n v="416974.74"/>
    <n v="307903.81"/>
    <n v="0.73842317162905358"/>
    <n v="33"/>
    <n v="3.03030303030303E-2"/>
    <n v="23.933333333333334"/>
    <n v="3.0853335861938173E-2"/>
    <s v="High Burn Rate"/>
    <n v="32.411406159605491"/>
    <d v="2018-08-01T00:00:00"/>
    <s v="August"/>
    <n v="2019"/>
    <x v="1"/>
    <s v="one-one yr renewal "/>
    <x v="1"/>
    <x v="46"/>
    <m/>
    <x v="1"/>
    <n v="0"/>
    <n v="0"/>
    <n v="0"/>
    <x v="1"/>
  </r>
  <r>
    <x v="11"/>
    <s v="2018"/>
    <s v="P524796"/>
    <s v="MVASAVAD"/>
    <d v="2013-09-01T00:00:00"/>
    <d v="2018-08-31T00:00:00"/>
    <s v="Elevator  Maintenance Service"/>
    <s v="Kone Inc."/>
    <n v="4412590"/>
    <n v="3355050.65"/>
    <n v="0.7603359138283865"/>
    <n v="60"/>
    <n v="1.6666666666666666E-2"/>
    <n v="50.93333333333333"/>
    <n v="1.4928061135374081E-2"/>
    <s v="Desired Burn Rate"/>
    <n v="66.987935736032284"/>
    <d v="2019-03-01T00:00:00"/>
    <s v="March"/>
    <n v="2019"/>
    <x v="0"/>
    <s v="No options"/>
    <x v="0"/>
    <x v="10"/>
    <s v="No changes necessary.  Awaiting update from Karl on  contract performance _x000a_status recommendation.  "/>
    <x v="1"/>
    <n v="0"/>
    <n v="0"/>
    <n v="0"/>
    <x v="0"/>
  </r>
  <r>
    <x v="11"/>
    <s v="2018"/>
    <s v="P532330"/>
    <s v="BOLUWASU"/>
    <d v="2015-09-01T00:00:00"/>
    <d v="2018-08-31T00:00:00"/>
    <s v="Gasoline And Diesel Fuel"/>
    <s v="PAPCO, Inc."/>
    <n v="4000000"/>
    <n v="652915.04"/>
    <n v="0.16322876"/>
    <n v="36"/>
    <n v="2.7777777777777776E-2"/>
    <n v="26.933333333333334"/>
    <n v="6.0604737623762379E-3"/>
    <s v="Desired Burn Rate"/>
    <n v="165.00360189793352"/>
    <d v="2029-06-01T00:00:00"/>
    <s v="June"/>
    <n v="2029"/>
    <x v="1"/>
    <s v="two one-year renewals"/>
    <x v="1"/>
    <x v="10"/>
    <m/>
    <x v="1"/>
    <n v="0"/>
    <n v="0"/>
    <n v="0"/>
    <x v="1"/>
  </r>
  <r>
    <x v="0"/>
    <s v="2018"/>
    <s v="P525152"/>
    <s v="KTREAT"/>
    <d v="2013-09-03T00:00:00"/>
    <d v="2018-09-02T00:00:00"/>
    <s v="OEM Parts and Service for Horton Medics"/>
    <s v="FESCO Emergency Sales"/>
    <n v="800000"/>
    <n v="649885.42000000004"/>
    <n v="0.81235677500000003"/>
    <n v="59.966666666666669"/>
    <n v="1.6675931072818232E-2"/>
    <n v="50.866666666666667"/>
    <n v="1.5970316677588466E-2"/>
    <s v="Desired Burn Rate"/>
    <n v="62.616165990203832"/>
    <d v="2018-11-03T00:00:00"/>
    <s v="November"/>
    <n v="2019"/>
    <x v="1"/>
    <s v="No options"/>
    <x v="0"/>
    <x v="10"/>
    <m/>
    <x v="1"/>
    <n v="0"/>
    <n v="0"/>
    <n v="0"/>
    <x v="0"/>
  </r>
  <r>
    <x v="0"/>
    <s v="2018"/>
    <s v="P536726"/>
    <s v="DFINNERTY"/>
    <d v="2016-09-08T00:00:00"/>
    <d v="2018-09-07T00:00:00"/>
    <s v=" Calcium Chloride Pellets- Furnish and Deliver"/>
    <s v="CommoditiesUSA, Inc."/>
    <n v="96080"/>
    <n v="31080"/>
    <n v="0.32348043297252288"/>
    <n v="23.966666666666665"/>
    <n v="4.1724617524339362E-2"/>
    <n v="14.7"/>
    <n v="2.2005471630783868E-2"/>
    <s v="Desired Burn Rate"/>
    <n v="45.443243243243245"/>
    <d v="2020-06-08T00:00:00"/>
    <s v="June"/>
    <n v="2020"/>
    <x v="0"/>
    <s v="No options"/>
    <x v="0"/>
    <x v="47"/>
    <m/>
    <x v="1"/>
    <n v="0"/>
    <n v="0"/>
    <n v="0"/>
    <x v="1"/>
  </r>
  <r>
    <x v="0"/>
    <s v="2018"/>
    <s v="P528788"/>
    <s v="BCOLE"/>
    <d v="2014-09-11T00:00:00"/>
    <d v="2018-09-10T00:00:00"/>
    <s v="OEM Parts and Service for Hustler Lawn Equipment "/>
    <s v="GAMBRILLS EQUIPMENT CO.,INC."/>
    <n v="20000"/>
    <n v="155.69999999999999"/>
    <n v="7.7849999999999994E-3"/>
    <n v="47.966666666666669"/>
    <n v="2.0847810979847118E-2"/>
    <n v="38.6"/>
    <n v="2.0168393782383416E-4"/>
    <s v="Desired Burn Rate"/>
    <n v="4958.2530507386009"/>
    <d v="2427-11-11T00:00:00"/>
    <s v="November"/>
    <n v="2428"/>
    <x v="1"/>
    <s v="one-one yr renewal "/>
    <x v="1"/>
    <x v="48"/>
    <m/>
    <x v="1"/>
    <n v="0"/>
    <n v="0"/>
    <n v="0"/>
    <x v="1"/>
  </r>
  <r>
    <x v="0"/>
    <s v="2018"/>
    <s v="P540427"/>
    <s v="SFELDMAN"/>
    <d v="2017-09-12T00:00:00"/>
    <d v="2018-09-11T00:00:00"/>
    <s v="Snow Emergency Food For Fleet Management Division"/>
    <s v="Prima Foods"/>
    <n v="4990"/>
    <n v="0"/>
    <n v="0"/>
    <n v="11.966666666666667"/>
    <n v="8.3565459610027856E-2"/>
    <n v="2.5666666666666669"/>
    <n v="0"/>
    <s v="Desired Burn Rate"/>
    <e v="#DIV/0!"/>
    <e v="#DIV/0!"/>
    <e v="#DIV/0!"/>
    <e v="#DIV/0!"/>
    <x v="1"/>
    <s v="one one-year renewal option"/>
    <x v="1"/>
    <x v="10"/>
    <m/>
    <x v="1"/>
    <n v="0"/>
    <n v="0"/>
    <n v="0"/>
    <x v="1"/>
  </r>
  <r>
    <x v="0"/>
    <s v="2018"/>
    <s v="P540978"/>
    <s v="SFELDMAN"/>
    <d v="2017-09-13T00:00:00"/>
    <d v="2018-09-12T00:00:00"/>
    <s v="MLFY17T6-Cutaway Vans w/Dry Freight Bodies"/>
    <s v="Century Ford of Mt. Airy Inc."/>
    <n v="955310"/>
    <n v="0"/>
    <n v="0"/>
    <n v="11.966666666666667"/>
    <n v="8.3565459610027856E-2"/>
    <n v="2.5333333333333332"/>
    <n v="0"/>
    <s v="Desired Burn Rate"/>
    <e v="#DIV/0!"/>
    <e v="#DIV/0!"/>
    <e v="#DIV/0!"/>
    <e v="#DIV/0!"/>
    <x v="1"/>
    <s v="No options"/>
    <x v="0"/>
    <x v="12"/>
    <m/>
    <x v="1"/>
    <n v="0"/>
    <n v="0"/>
    <n v="0"/>
    <x v="1"/>
  </r>
  <r>
    <x v="0"/>
    <s v="2018"/>
    <s v="P540979"/>
    <s v="SFELDMAN"/>
    <d v="2017-09-13T00:00:00"/>
    <d v="2018-09-12T00:00:00"/>
    <s v="MLFY17T10-Load Packers-Solid Waste"/>
    <s v="Baltimore Mack Trucks, Inc."/>
    <n v="834824"/>
    <n v="834824"/>
    <n v="1"/>
    <n v="11.966666666666667"/>
    <n v="8.3565459610027856E-2"/>
    <n v="2.5333333333333332"/>
    <n v="0.39473684210526316"/>
    <s v="Really High Burn Rate"/>
    <n v="2.5333333333333332"/>
    <d v="2017-11-13T00:00:00"/>
    <s v="November"/>
    <n v="2018"/>
    <x v="1"/>
    <s v="No options"/>
    <x v="0"/>
    <x v="12"/>
    <m/>
    <x v="1"/>
    <n v="0"/>
    <n v="0"/>
    <n v="0"/>
    <x v="0"/>
  </r>
  <r>
    <x v="0"/>
    <s v="2018"/>
    <s v="P540980"/>
    <s v="SFELDMAN"/>
    <d v="2017-09-13T00:00:00"/>
    <d v="2018-09-12T00:00:00"/>
    <s v="MLFY17T10-Load Packers-Solid Waste"/>
    <s v="Maryland Industrial Trucks"/>
    <n v="846125"/>
    <n v="846125"/>
    <n v="1"/>
    <n v="11.966666666666667"/>
    <n v="8.3565459610027856E-2"/>
    <n v="2.5333333333333332"/>
    <n v="0.39473684210526316"/>
    <s v="Really High Burn Rate"/>
    <n v="2.5333333333333332"/>
    <d v="2017-11-13T00:00:00"/>
    <s v="November"/>
    <n v="2018"/>
    <x v="1"/>
    <s v="No options"/>
    <x v="0"/>
    <x v="12"/>
    <m/>
    <x v="1"/>
    <n v="0"/>
    <n v="0"/>
    <n v="0"/>
    <x v="0"/>
  </r>
  <r>
    <x v="0"/>
    <s v="2018"/>
    <s v="P540931"/>
    <s v="DFINNERTY"/>
    <d v="2017-09-20T00:00:00"/>
    <d v="2018-09-19T00:00:00"/>
    <s v=" Courthouse East Annual Elevator PM Services  August 1, 2017 thru July 31, 2018 "/>
    <s v="Stratos Elevator, Inc."/>
    <n v="24984"/>
    <n v="0"/>
    <n v="0"/>
    <n v="11.966666666666667"/>
    <n v="8.3565459610027856E-2"/>
    <n v="2.2999999999999998"/>
    <n v="0"/>
    <s v="Desired Burn Rate"/>
    <e v="#DIV/0!"/>
    <e v="#DIV/0!"/>
    <e v="#DIV/0!"/>
    <e v="#DIV/0!"/>
    <x v="0"/>
    <s v="No options"/>
    <x v="0"/>
    <x v="10"/>
    <m/>
    <x v="1"/>
    <n v="0"/>
    <n v="0"/>
    <n v="0"/>
    <x v="1"/>
  </r>
  <r>
    <x v="0"/>
    <s v="2018"/>
    <s v="P532945"/>
    <s v="DFINNERTY"/>
    <d v="2015-09-23T00:00:00"/>
    <d v="2018-09-22T00:00:00"/>
    <s v="Repair and Installation Services for Building Glass"/>
    <s v="aspen building products, inc"/>
    <n v="620036"/>
    <n v="431741.12"/>
    <n v="0.69631621389725762"/>
    <n v="35.966666666666669"/>
    <n v="2.7803521779425393E-2"/>
    <n v="26.2"/>
    <n v="2.6576954728902962E-2"/>
    <s v="Desired Burn Rate"/>
    <n v="37.626583263600189"/>
    <d v="2018-10-23T00:00:00"/>
    <s v="October"/>
    <n v="2019"/>
    <x v="0"/>
    <s v="No options"/>
    <x v="0"/>
    <x v="10"/>
    <m/>
    <x v="1"/>
    <n v="0"/>
    <n v="0"/>
    <n v="0"/>
    <x v="1"/>
  </r>
  <r>
    <x v="0"/>
    <s v="2018"/>
    <s v="P525025"/>
    <s v="SZIEGLER"/>
    <d v="2013-10-01T00:00:00"/>
    <d v="2018-09-30T00:00:00"/>
    <s v="Tires for Cars, Trucks &amp; Heavy Equipment"/>
    <s v="Donald B. Rice Tire Co."/>
    <n v="3425000"/>
    <n v="2614879.64"/>
    <n v="0.76346850802919708"/>
    <n v="59.966666666666669"/>
    <n v="1.6675931072818232E-2"/>
    <n v="49.93333333333333"/>
    <n v="1.5289756502587393E-2"/>
    <s v="Desired Burn Rate"/>
    <n v="65.403265240409553"/>
    <d v="2019-03-01T00:00:00"/>
    <s v="March"/>
    <n v="2019"/>
    <x v="1"/>
    <s v="No options"/>
    <x v="0"/>
    <x v="49"/>
    <m/>
    <x v="1"/>
    <n v="0"/>
    <n v="0"/>
    <n v="0"/>
    <x v="0"/>
  </r>
  <r>
    <x v="0"/>
    <s v="2018"/>
    <s v="P525024"/>
    <s v="SZIEGLER"/>
    <d v="2013-10-01T00:00:00"/>
    <d v="2018-09-30T00:00:00"/>
    <s v="Tires for Cars, Trucks &amp; Heavy Equipment"/>
    <s v="Admiral Tire"/>
    <n v="4826000"/>
    <n v="2811665.39"/>
    <n v="0.58260783050145049"/>
    <n v="59.966666666666669"/>
    <n v="1.6675931072818232E-2"/>
    <n v="49.93333333333333"/>
    <n v="1.1667713561444271E-2"/>
    <s v="Desired Burn Rate"/>
    <n v="85.706594932573623"/>
    <d v="2020-11-01T00:00:00"/>
    <s v="November"/>
    <n v="2021"/>
    <x v="1"/>
    <s v="No options"/>
    <x v="0"/>
    <x v="49"/>
    <m/>
    <x v="1"/>
    <n v="0"/>
    <n v="0"/>
    <n v="0"/>
    <x v="1"/>
  </r>
  <r>
    <x v="0"/>
    <s v="2018"/>
    <s v="P524844"/>
    <s v="KTREAT"/>
    <d v="2013-10-01T00:00:00"/>
    <d v="2018-09-30T00:00:00"/>
    <s v="BG Chemicals"/>
    <s v="CROVATO PRODUCTS AND SERVICES, LLC"/>
    <n v="560000"/>
    <n v="387058.69"/>
    <n v="0.69117623214285717"/>
    <n v="59.966666666666669"/>
    <n v="1.6675931072818232E-2"/>
    <n v="49.93333333333333"/>
    <n v="1.3841980617013161E-2"/>
    <s v="Desired Burn Rate"/>
    <n v="72.243996554286539"/>
    <d v="2019-10-01T00:00:00"/>
    <s v="October"/>
    <n v="2020"/>
    <x v="1"/>
    <s v="No options"/>
    <x v="0"/>
    <x v="10"/>
    <m/>
    <x v="1"/>
    <n v="0"/>
    <n v="0"/>
    <n v="0"/>
    <x v="1"/>
  </r>
  <r>
    <x v="0"/>
    <s v="2018"/>
    <s v="P526537"/>
    <s v="KTREAT"/>
    <d v="2013-10-01T00:00:00"/>
    <d v="2018-09-30T00:00:00"/>
    <s v="OEM Parts - EJ Ward Canceivers"/>
    <s v="E.J. Ward, Inc."/>
    <n v="500000"/>
    <n v="288400.46999999997"/>
    <n v="0.57680093999999993"/>
    <n v="59.966666666666669"/>
    <n v="1.6675931072818232E-2"/>
    <n v="49.93333333333333"/>
    <n v="1.1551420694259011E-2"/>
    <s v="Desired Burn Rate"/>
    <n v="86.569438207457381"/>
    <d v="2020-12-01T00:00:00"/>
    <s v="December"/>
    <n v="2021"/>
    <x v="1"/>
    <s v="one one-yr renewal"/>
    <x v="1"/>
    <x v="50"/>
    <m/>
    <x v="1"/>
    <n v="0"/>
    <n v="0"/>
    <n v="0"/>
    <x v="1"/>
  </r>
  <r>
    <x v="0"/>
    <s v="2018"/>
    <s v="P532867"/>
    <s v="KTREAT"/>
    <d v="2015-10-01T00:00:00"/>
    <d v="2018-09-30T00:00:00"/>
    <s v="OEM Parts and Service for Onan and Cummins Generators"/>
    <s v="Cummins Power Systems LLC"/>
    <n v="24000"/>
    <n v="12260.75"/>
    <n v="0.51086458333333329"/>
    <n v="35.966666666666669"/>
    <n v="2.780352177942539E-2"/>
    <n v="25.933333333333334"/>
    <n v="1.9699148457583547E-2"/>
    <s v="Desired Burn Rate"/>
    <n v="50.763615602634424"/>
    <d v="2019-12-01T00:00:00"/>
    <s v="December"/>
    <n v="2020"/>
    <x v="1"/>
    <s v="No options"/>
    <x v="0"/>
    <x v="48"/>
    <m/>
    <x v="1"/>
    <n v="0"/>
    <n v="0"/>
    <n v="0"/>
    <x v="1"/>
  </r>
  <r>
    <x v="0"/>
    <s v="2018"/>
    <s v="P539270"/>
    <s v="SFELDMAN"/>
    <d v="2017-03-22T00:00:00"/>
    <d v="2018-09-30T00:00:00"/>
    <s v="MLFY17T6 - MEDICS"/>
    <s v="FESCO Emergency Sales"/>
    <n v="1782624"/>
    <n v="1782624"/>
    <n v="1"/>
    <n v="18.266666666666666"/>
    <n v="5.4744525547445258E-2"/>
    <n v="8.2333333333333325"/>
    <n v="0.12145748987854252"/>
    <s v="Really High Burn Rate"/>
    <n v="8.2333333333333325"/>
    <d v="2017-11-22T00:00:00"/>
    <s v="November"/>
    <n v="2018"/>
    <x v="1"/>
    <s v="No options"/>
    <x v="0"/>
    <x v="12"/>
    <m/>
    <x v="1"/>
    <n v="0"/>
    <n v="0"/>
    <n v="0"/>
    <x v="0"/>
  </r>
  <r>
    <x v="1"/>
    <s v="2018"/>
    <s v="P529066"/>
    <s v="KTREAT"/>
    <d v="2014-10-08T00:00:00"/>
    <d v="2018-10-07T00:00:00"/>
    <s v="OEM Parts and Service for UD Cab &amp; Chassis Trucks"/>
    <s v="Norris Chesapeake Truck Sales LLC"/>
    <n v="910000"/>
    <n v="594267.99"/>
    <n v="0.65304174725274722"/>
    <n v="47.966666666666669"/>
    <n v="2.0847810979847115E-2"/>
    <n v="37.700000000000003"/>
    <n v="1.7322062261346079E-2"/>
    <s v="Desired Burn Rate"/>
    <n v="57.729846764925028"/>
    <d v="2019-07-08T00:00:00"/>
    <s v="July"/>
    <n v="2020"/>
    <x v="1"/>
    <s v="1, one-year renewal options"/>
    <x v="1"/>
    <x v="51"/>
    <m/>
    <x v="1"/>
    <n v="0"/>
    <n v="0"/>
    <n v="0"/>
    <x v="1"/>
  </r>
  <r>
    <x v="1"/>
    <s v="2018"/>
    <s v="P529221"/>
    <s v="BOLUWASU"/>
    <d v="2014-10-08T00:00:00"/>
    <d v="2018-10-07T00:00:00"/>
    <s v="On-call Roofing Services"/>
    <s v="Simpson of Maryland, Inc."/>
    <n v="50000"/>
    <n v="35915.53"/>
    <n v="0.71831060000000002"/>
    <n v="47.966666666666669"/>
    <n v="2.0847810979847115E-2"/>
    <n v="37.700000000000003"/>
    <n v="1.9053331564986734E-2"/>
    <s v="Desired Burn Rate"/>
    <n v="52.484259594665602"/>
    <d v="2019-02-08T00:00:00"/>
    <s v="February"/>
    <n v="2019"/>
    <x v="0"/>
    <s v="1 one year options"/>
    <x v="1"/>
    <x v="14"/>
    <m/>
    <x v="1"/>
    <n v="0"/>
    <n v="0"/>
    <n v="0"/>
    <x v="1"/>
  </r>
  <r>
    <x v="1"/>
    <s v="2018"/>
    <s v="P529222"/>
    <s v="BOLUWASU"/>
    <d v="2014-10-08T00:00:00"/>
    <d v="2018-10-07T00:00:00"/>
    <s v="On-call Roofing Services"/>
    <s v="CitiRoof Corp."/>
    <n v="50000"/>
    <n v="35956.800000000003"/>
    <n v="0.71913600000000011"/>
    <n v="47.966666666666669"/>
    <n v="2.0847810979847115E-2"/>
    <n v="37.700000000000003"/>
    <n v="1.9075225464190982E-2"/>
    <s v="Desired Burn Rate"/>
    <n v="52.424019935033151"/>
    <d v="2019-02-08T00:00:00"/>
    <s v="February"/>
    <n v="2019"/>
    <x v="0"/>
    <s v="1 one year options"/>
    <x v="1"/>
    <x v="14"/>
    <m/>
    <x v="1"/>
    <n v="0"/>
    <n v="0"/>
    <n v="0"/>
    <x v="1"/>
  </r>
  <r>
    <x v="1"/>
    <s v="2018"/>
    <s v="P529224"/>
    <s v="BOLUWASU"/>
    <d v="2014-10-08T00:00:00"/>
    <d v="2018-10-07T00:00:00"/>
    <s v="On-call Roofing Services"/>
    <s v="Autumn Contracting, Inc. "/>
    <n v="50000"/>
    <n v="21700.61"/>
    <n v="0.43401220000000001"/>
    <n v="47.966666666666669"/>
    <n v="2.0847810979847115E-2"/>
    <n v="37.700000000000003"/>
    <n v="1.1512259946949602E-2"/>
    <s v="Desired Burn Rate"/>
    <n v="86.863917650241163"/>
    <d v="2021-12-08T00:00:00"/>
    <s v="December"/>
    <n v="2022"/>
    <x v="0"/>
    <s v="1 one year options"/>
    <x v="1"/>
    <x v="14"/>
    <m/>
    <x v="1"/>
    <n v="0"/>
    <n v="0"/>
    <n v="0"/>
    <x v="1"/>
  </r>
  <r>
    <x v="1"/>
    <s v="2018"/>
    <s v="P529191"/>
    <s v="KTREAT"/>
    <d v="2014-11-01T00:00:00"/>
    <d v="2018-10-31T00:00:00"/>
    <s v="OEM Parts and Service for Sterling Heavy Trucks"/>
    <s v="Norris Chesapeake Truck Sales LLC"/>
    <n v="140100"/>
    <n v="67656.72"/>
    <n v="0.48291734475374731"/>
    <n v="48"/>
    <n v="2.0833333333333332E-2"/>
    <n v="36.93333333333333"/>
    <n v="1.3075379370588827E-2"/>
    <s v="Desired Burn Rate"/>
    <n v="76.479616511116703"/>
    <d v="2021-03-01T00:00:00"/>
    <s v="March"/>
    <n v="2021"/>
    <x v="1"/>
    <s v="1 one-yr option"/>
    <x v="1"/>
    <x v="10"/>
    <m/>
    <x v="1"/>
    <n v="0"/>
    <n v="0"/>
    <n v="0"/>
    <x v="1"/>
  </r>
  <r>
    <x v="1"/>
    <s v="2018"/>
    <s v="P529190"/>
    <s v="KTREAT"/>
    <d v="2014-11-01T00:00:00"/>
    <d v="2018-10-31T00:00:00"/>
    <s v="OEM Parts and Service for Sterling Heavy Trucks"/>
    <s v="Waste Equipment Sales &amp; Service, LLC"/>
    <n v="159900"/>
    <n v="80914.58"/>
    <n v="0.50603239524702937"/>
    <n v="48"/>
    <n v="2.0833333333333332E-2"/>
    <n v="36.93333333333333"/>
    <n v="1.3701238138457476E-2"/>
    <s v="Desired Burn Rate"/>
    <n v="72.986104605622359"/>
    <d v="2020-11-01T00:00:00"/>
    <s v="November"/>
    <n v="2021"/>
    <x v="1"/>
    <s v="No options"/>
    <x v="0"/>
    <x v="10"/>
    <m/>
    <x v="1"/>
    <n v="0"/>
    <n v="0"/>
    <n v="0"/>
    <x v="1"/>
  </r>
  <r>
    <x v="1"/>
    <s v="2018"/>
    <s v="P518465"/>
    <s v="SFELDMAN"/>
    <d v="2011-11-01T00:00:00"/>
    <d v="2018-10-31T00:00:00"/>
    <s v="Maintenance, Parts and Repair Service for The Fire Boats"/>
    <s v="The General Ship Repair Corp."/>
    <n v="350000"/>
    <n v="0"/>
    <n v="0"/>
    <n v="84"/>
    <n v="1.1904761904761906E-2"/>
    <n v="72.933333333333337"/>
    <n v="0"/>
    <s v="Desired Burn Rate"/>
    <e v="#DIV/0!"/>
    <e v="#DIV/0!"/>
    <e v="#DIV/0!"/>
    <e v="#DIV/0!"/>
    <x v="1"/>
    <s v="2 two-yr options"/>
    <x v="1"/>
    <x v="52"/>
    <m/>
    <x v="1"/>
    <n v="0"/>
    <n v="0"/>
    <n v="0"/>
    <x v="1"/>
  </r>
  <r>
    <x v="1"/>
    <s v="2018"/>
    <s v="P518466"/>
    <s v="SFELDMAN"/>
    <d v="2011-11-01T00:00:00"/>
    <d v="2018-10-31T00:00:00"/>
    <s v="Maintenance, Parts and Repair Service for The Fire Boats"/>
    <s v="Marcon Engineering"/>
    <n v="3650000"/>
    <n v="2798277.87"/>
    <n v="0.76665147123287669"/>
    <n v="84"/>
    <n v="1.1904761904761906E-2"/>
    <n v="72.933333333333337"/>
    <n v="1.0511674651273447E-2"/>
    <s v="Desired Burn Rate"/>
    <n v="95.132320317662604"/>
    <d v="2019-10-01T00:00:00"/>
    <s v="October"/>
    <n v="2020"/>
    <x v="1"/>
    <s v="2 two-yr options"/>
    <x v="1"/>
    <x v="52"/>
    <m/>
    <x v="1"/>
    <n v="0"/>
    <n v="0"/>
    <n v="0"/>
    <x v="0"/>
  </r>
  <r>
    <x v="1"/>
    <s v="2018"/>
    <s v="P533048"/>
    <s v="KHAMMER2"/>
    <d v="2015-11-01T00:00:00"/>
    <d v="2018-10-31T00:00:00"/>
    <s v="Diesel Fuel for Generators "/>
    <s v="C.Hoffberger co "/>
    <n v="300000"/>
    <n v="101059.43"/>
    <n v="0.33686476666666665"/>
    <n v="36"/>
    <n v="2.777777777777778E-2"/>
    <n v="24.933333333333334"/>
    <n v="1.3510618983957218E-2"/>
    <s v="Desired Burn Rate"/>
    <n v="74.015853839666434"/>
    <d v="2022-01-01T00:00:00"/>
    <s v="January"/>
    <n v="2022"/>
    <x v="1"/>
    <s v="two one-year renewal options"/>
    <x v="1"/>
    <x v="10"/>
    <m/>
    <x v="1"/>
    <n v="0"/>
    <n v="0"/>
    <n v="0"/>
    <x v="1"/>
  </r>
  <r>
    <x v="3"/>
    <s v="2018"/>
    <s v="P537224"/>
    <s v="DFINNERTY"/>
    <d v="2016-11-02T00:00:00"/>
    <d v="2018-11-01T00:00:00"/>
    <s v="Landscaping Services"/>
    <s v="The Garrison Company"/>
    <n v="80000"/>
    <n v="37088"/>
    <n v="0.46360000000000001"/>
    <n v="23.966666666666665"/>
    <n v="4.1724617524339362E-2"/>
    <n v="12.9"/>
    <n v="3.593798449612403E-2"/>
    <s v="Desired Burn Rate"/>
    <n v="27.825711820534945"/>
    <d v="2019-02-02T00:00:00"/>
    <s v="February"/>
    <n v="2019"/>
    <x v="0"/>
    <s v="3 one year options"/>
    <x v="1"/>
    <x v="53"/>
    <m/>
    <x v="1"/>
    <n v="0"/>
    <n v="0"/>
    <n v="0"/>
    <x v="1"/>
  </r>
  <r>
    <x v="3"/>
    <s v="2018"/>
    <s v="P514297"/>
    <s v="KHAMMER2"/>
    <d v="2010-08-01T00:00:00"/>
    <d v="2018-11-30T00:00:00"/>
    <s v="Aftermarket Parts and Supplies for Cars and Light Trucks "/>
    <s v="The Baltimore Auto Supply Company"/>
    <n v="3782000"/>
    <n v="3538730.66"/>
    <n v="0.93567706504494985"/>
    <n v="99.966666666666669"/>
    <n v="1.0003334444814937E-2"/>
    <n v="87.933333333333337"/>
    <n v="1.0640755099070694E-2"/>
    <s v="High Burn Rate"/>
    <n v="93.978292958488865"/>
    <d v="2018-05-01T00:00:00"/>
    <s v="May"/>
    <n v="2018"/>
    <x v="1"/>
    <s v="No options"/>
    <x v="0"/>
    <x v="54"/>
    <m/>
    <x v="1"/>
    <n v="0"/>
    <n v="0"/>
    <n v="0"/>
    <x v="0"/>
  </r>
  <r>
    <x v="3"/>
    <s v="2018"/>
    <s v="P514298"/>
    <s v="KTREAT"/>
    <d v="2010-08-01T00:00:00"/>
    <d v="2018-11-30T00:00:00"/>
    <s v="Aftermarket Parts and Supplies for Cars and Light Trucks "/>
    <s v="IEH Auto Parts LLC"/>
    <n v="666000"/>
    <n v="610132.51"/>
    <n v="0.91611487987987994"/>
    <n v="99.966666666666669"/>
    <n v="1.0003334444814937E-2"/>
    <n v="87.933333333333337"/>
    <n v="1.0418289005457314E-2"/>
    <s v="High Burn Rate"/>
    <n v="95.985050853953027"/>
    <d v="2018-07-01T00:00:00"/>
    <s v="July"/>
    <n v="2019"/>
    <x v="1"/>
    <s v="No options"/>
    <x v="0"/>
    <x v="54"/>
    <m/>
    <x v="1"/>
    <n v="0"/>
    <n v="0"/>
    <n v="0"/>
    <x v="0"/>
  </r>
  <r>
    <x v="3"/>
    <s v="2018"/>
    <s v="P514299"/>
    <s v="KTREAT"/>
    <d v="2010-08-01T00:00:00"/>
    <d v="2018-11-30T00:00:00"/>
    <s v="Aftermarket Parts and Supplies for Cars and Light Trucks "/>
    <s v="Quality Automotive Whse"/>
    <n v="1899000"/>
    <n v="1505733.64"/>
    <n v="0.79290870984728801"/>
    <n v="99.966666666666669"/>
    <n v="1.0003334444814937E-2"/>
    <n v="87.933333333333337"/>
    <n v="9.0171574281344338E-3"/>
    <s v="Desired Burn Rate"/>
    <n v="110.89969405212999"/>
    <d v="2019-10-01T00:00:00"/>
    <s v="October"/>
    <n v="2020"/>
    <x v="1"/>
    <s v="No options"/>
    <x v="0"/>
    <x v="54"/>
    <m/>
    <x v="1"/>
    <n v="0"/>
    <n v="0"/>
    <n v="0"/>
    <x v="0"/>
  </r>
  <r>
    <x v="3"/>
    <s v="2018"/>
    <s v="P514300"/>
    <s v="KTREAT"/>
    <d v="2010-08-01T00:00:00"/>
    <d v="2018-11-30T00:00:00"/>
    <s v="Aftermarket Parts and Supplies for Cars and Light Trucks "/>
    <s v="PA Southern LLC."/>
    <n v="35000"/>
    <n v="14717.26"/>
    <n v="0.42049314285714284"/>
    <n v="99.966666666666669"/>
    <n v="1.0003334444814937E-2"/>
    <n v="87.933333333333337"/>
    <n v="4.7819538611502217E-3"/>
    <s v="Desired Burn Rate"/>
    <n v="209.11954172629055"/>
    <d v="2028-01-01T00:00:00"/>
    <s v="January"/>
    <n v="2028"/>
    <x v="1"/>
    <s v="No options"/>
    <x v="0"/>
    <x v="54"/>
    <m/>
    <x v="1"/>
    <n v="0"/>
    <n v="0"/>
    <n v="0"/>
    <x v="1"/>
  </r>
  <r>
    <x v="3"/>
    <s v="2018"/>
    <s v="P514301"/>
    <s v="KTREAT"/>
    <d v="2010-08-01T00:00:00"/>
    <d v="2018-11-30T00:00:00"/>
    <s v="Aftermarket Parts and Supplies for Cars and Light Trucks "/>
    <s v="FLEETPRIDE INC"/>
    <n v="353000"/>
    <n v="249519.72"/>
    <n v="0.70685473087818695"/>
    <n v="99.966666666666669"/>
    <n v="1.0003334444814939E-2"/>
    <n v="87.933333333333337"/>
    <n v="8.0385299190089497E-3"/>
    <s v="Desired Burn Rate"/>
    <n v="124.40085563845081"/>
    <d v="2020-12-01T00:00:00"/>
    <s v="December"/>
    <n v="2021"/>
    <x v="1"/>
    <s v="No options"/>
    <x v="0"/>
    <x v="54"/>
    <m/>
    <x v="1"/>
    <n v="0"/>
    <n v="0"/>
    <n v="0"/>
    <x v="1"/>
  </r>
  <r>
    <x v="3"/>
    <s v="2018"/>
    <s v="P514302"/>
    <s v="KTREAT"/>
    <d v="2010-08-01T00:00:00"/>
    <d v="2018-11-30T00:00:00"/>
    <s v="Aftermarket Parts and Supplies for Cars and Light Trucks "/>
    <s v="Salvo Limited Partnership, LLLP"/>
    <n v="211000"/>
    <n v="126725.54"/>
    <n v="0.60059497630331748"/>
    <n v="99.966666666666669"/>
    <n v="1.0003334444814937E-2"/>
    <n v="87.933333333333337"/>
    <n v="6.8301172437829887E-3"/>
    <s v="Desired Burn Rate"/>
    <n v="146.41037105332779"/>
    <d v="2022-10-01T00:00:00"/>
    <s v="October"/>
    <n v="2023"/>
    <x v="1"/>
    <s v="No options"/>
    <x v="0"/>
    <x v="54"/>
    <m/>
    <x v="1"/>
    <n v="0"/>
    <n v="0"/>
    <n v="0"/>
    <x v="1"/>
  </r>
  <r>
    <x v="3"/>
    <s v="2018"/>
    <s v="P514303"/>
    <s v="KTREAT"/>
    <d v="2010-08-01T00:00:00"/>
    <d v="2018-11-30T00:00:00"/>
    <s v="Aftermarket Parts and Supplies for Cars and Light Trucks "/>
    <s v="ROK Brothers Inc."/>
    <n v="700000"/>
    <n v="553321.32999999996"/>
    <n v="0.79045904285714275"/>
    <n v="99.966666666666669"/>
    <n v="1.0003334444814937E-2"/>
    <n v="87.933333333333337"/>
    <n v="8.9892991985270204E-3"/>
    <s v="Desired Burn Rate"/>
    <n v="111.24337703253433"/>
    <d v="2019-11-01T00:00:00"/>
    <s v="November"/>
    <n v="2020"/>
    <x v="1"/>
    <s v="No options"/>
    <x v="0"/>
    <x v="54"/>
    <m/>
    <x v="1"/>
    <n v="0"/>
    <n v="0"/>
    <n v="0"/>
    <x v="0"/>
  </r>
  <r>
    <x v="3"/>
    <s v="2018"/>
    <s v="P514304"/>
    <s v="KTREAT"/>
    <d v="2010-08-01T00:00:00"/>
    <d v="2018-11-30T00:00:00"/>
    <s v="Aftermarket Parts and Supplies for Cars and Light Trucks "/>
    <s v="Service Parts Company DBA Papa Auto Parts"/>
    <n v="166000"/>
    <n v="136051.85"/>
    <n v="0.81958945783132531"/>
    <n v="99.966666666666669"/>
    <n v="1.0003334444814937E-2"/>
    <n v="87.933333333333337"/>
    <n v="9.3205776099089307E-3"/>
    <s v="Desired Burn Rate"/>
    <n v="107.28948803954768"/>
    <d v="2019-07-01T00:00:00"/>
    <s v="July"/>
    <n v="2020"/>
    <x v="1"/>
    <s v="No options"/>
    <x v="0"/>
    <x v="54"/>
    <m/>
    <x v="1"/>
    <n v="0"/>
    <n v="0"/>
    <n v="0"/>
    <x v="0"/>
  </r>
  <r>
    <x v="3"/>
    <s v="2018"/>
    <s v="P514305"/>
    <s v="KTREAT"/>
    <d v="2010-08-01T00:00:00"/>
    <d v="2018-11-30T00:00:00"/>
    <s v="Aftermarket Parts and Supplies for Cars and Light Trucks "/>
    <s v="CRW Parts"/>
    <n v="4000"/>
    <n v="895.37"/>
    <n v="0.2238425"/>
    <n v="99.966666666666669"/>
    <n v="1.0003334444814937E-2"/>
    <n v="87.933333333333337"/>
    <n v="2.5455932524639877E-3"/>
    <s v="Desired Burn Rate"/>
    <n v="392.83573643670587"/>
    <d v="2043-04-01T00:00:00"/>
    <s v="April"/>
    <n v="2043"/>
    <x v="1"/>
    <s v="No options"/>
    <x v="0"/>
    <x v="54"/>
    <m/>
    <x v="1"/>
    <n v="0"/>
    <n v="0"/>
    <n v="0"/>
    <x v="1"/>
  </r>
  <r>
    <x v="3"/>
    <s v="2018"/>
    <s v="P533605"/>
    <s v="PGOUGH"/>
    <d v="2015-12-01T00:00:00"/>
    <d v="2018-11-30T00:00:00"/>
    <s v="Supply and Deliver Lumber to Various City Agencies"/>
    <s v="Pikesville Lumber Company"/>
    <n v="860000"/>
    <n v="578110.1"/>
    <n v="0.67222104651162784"/>
    <n v="35.966666666666669"/>
    <n v="2.780352177942539E-2"/>
    <n v="23.933333333333334"/>
    <n v="2.8087230355639047E-2"/>
    <s v="High Burn Rate"/>
    <n v="35.603368055093085"/>
    <d v="2018-11-01T00:00:00"/>
    <s v="November"/>
    <n v="2019"/>
    <x v="0"/>
    <s v="No options"/>
    <x v="0"/>
    <x v="11"/>
    <m/>
    <x v="1"/>
    <n v="0"/>
    <n v="0"/>
    <n v="0"/>
    <x v="1"/>
  </r>
  <r>
    <x v="3"/>
    <s v="2018"/>
    <s v="P526180"/>
    <s v="KTREAT"/>
    <d v="2013-12-01T00:00:00"/>
    <d v="2018-11-30T00:00:00"/>
    <s v="OEM Parts &amp; Service for Altec Bucket Trucks"/>
    <s v="Altec Industries Inc"/>
    <n v="300000"/>
    <n v="38846.639999999999"/>
    <n v="0.12948879999999999"/>
    <n v="59.966666666666669"/>
    <n v="1.6675931072818232E-2"/>
    <n v="47.93333333333333"/>
    <n v="2.7014353268428374E-3"/>
    <s v="Desired Burn Rate"/>
    <n v="370.17358515434023"/>
    <d v="2044-10-01T00:00:00"/>
    <s v="October"/>
    <n v="2045"/>
    <x v="1"/>
    <s v="1 one-yr option"/>
    <x v="1"/>
    <x v="55"/>
    <m/>
    <x v="1"/>
    <n v="0"/>
    <n v="0"/>
    <n v="0"/>
    <x v="1"/>
  </r>
  <r>
    <x v="3"/>
    <s v="2018"/>
    <s v="P528895"/>
    <s v="KTREAT"/>
    <d v="2014-12-01T00:00:00"/>
    <d v="2018-11-30T00:00:00"/>
    <s v="O.E.M Parts and Service For Peterbilt Heavy Truck"/>
    <s v="Peterbilt of Baltimore"/>
    <n v="20000"/>
    <n v="1074.5999999999999"/>
    <n v="5.3729999999999993E-2"/>
    <n v="47.966666666666669"/>
    <n v="2.0847810979847118E-2"/>
    <n v="35.93333333333333"/>
    <n v="1.495269016697588E-3"/>
    <s v="Desired Burn Rate"/>
    <n v="668.77597865872576"/>
    <d v="2070-08-01T00:00:00"/>
    <s v="August"/>
    <n v="2071"/>
    <x v="1"/>
    <s v="1 one-yr option"/>
    <x v="1"/>
    <x v="56"/>
    <m/>
    <x v="1"/>
    <n v="0"/>
    <n v="0"/>
    <n v="0"/>
    <x v="1"/>
  </r>
  <r>
    <x v="3"/>
    <s v="2018"/>
    <s v="P528896"/>
    <s v="KTREAT"/>
    <d v="2014-12-01T00:00:00"/>
    <d v="2018-11-30T00:00:00"/>
    <s v="O.E.M Parts and Service For Peterbilt Heavy Truck"/>
    <s v="Columbia Fleet Service"/>
    <n v="80000"/>
    <n v="23239.38"/>
    <n v="0.29049225000000001"/>
    <n v="47.966666666666669"/>
    <n v="2.0847810979847118E-2"/>
    <n v="35.93333333333333"/>
    <n v="8.0841999072356237E-3"/>
    <s v="Desired Burn Rate"/>
    <n v="123.69807915127969"/>
    <d v="2025-03-01T00:00:00"/>
    <s v="March"/>
    <n v="2025"/>
    <x v="1"/>
    <s v="1 one-yr option"/>
    <x v="1"/>
    <x v="56"/>
    <m/>
    <x v="1"/>
    <n v="0"/>
    <n v="0"/>
    <n v="0"/>
    <x v="1"/>
  </r>
  <r>
    <x v="3"/>
    <s v="2018"/>
    <s v="P529415"/>
    <s v="BCOLE"/>
    <d v="2014-12-01T00:00:00"/>
    <d v="2018-11-30T00:00:00"/>
    <s v="OEM Parts and Service for Freightliner Trucks"/>
    <s v="BALTIMORE FREIGHTLINER"/>
    <n v="2750000"/>
    <n v="1115614.22"/>
    <n v="0.40567789818181815"/>
    <n v="47.966666666666669"/>
    <n v="2.0847810979847118E-2"/>
    <n v="35.93333333333333"/>
    <n v="1.1289737426210153E-2"/>
    <s v="Desired Burn Rate"/>
    <n v="88.576019286188966"/>
    <d v="2022-04-01T00:00:00"/>
    <s v="April"/>
    <n v="2022"/>
    <x v="1"/>
    <s v="1 one-yr option"/>
    <x v="1"/>
    <x v="10"/>
    <m/>
    <x v="1"/>
    <n v="0"/>
    <n v="0"/>
    <n v="0"/>
    <x v="1"/>
  </r>
  <r>
    <x v="3"/>
    <s v="2018"/>
    <s v="P529416"/>
    <s v="BCOLE"/>
    <d v="2014-12-01T00:00:00"/>
    <d v="2018-11-30T00:00:00"/>
    <s v="OEM Parts and Service for Freightliner Trucks"/>
    <s v="Norris Chesapeake Truck Sales LLC"/>
    <n v="250000"/>
    <n v="81122.649999999994"/>
    <n v="0.32449059999999996"/>
    <n v="47.966666666666669"/>
    <n v="2.0847810979847115E-2"/>
    <n v="35.93333333333333"/>
    <n v="9.0303506493506509E-3"/>
    <s v="Desired Burn Rate"/>
    <n v="110.73767108610645"/>
    <d v="2024-02-01T00:00:00"/>
    <s v="February"/>
    <n v="2024"/>
    <x v="1"/>
    <s v="1 one-yr option"/>
    <x v="1"/>
    <x v="10"/>
    <m/>
    <x v="1"/>
    <n v="0"/>
    <n v="0"/>
    <n v="0"/>
    <x v="1"/>
  </r>
  <r>
    <x v="3"/>
    <s v="2018"/>
    <s v="P529439"/>
    <s v="KTREAT"/>
    <d v="2014-12-01T00:00:00"/>
    <d v="2018-11-30T00:00:00"/>
    <s v="O.E.M Parts &amp; Service for JCB &amp; LeeBoy Equipment "/>
    <s v="Valley Supply and Equipment Co., Inc."/>
    <n v="425000"/>
    <n v="202756.93"/>
    <n v="0.47707512941176466"/>
    <n v="47.966666666666669"/>
    <n v="2.0847810979847115E-2"/>
    <n v="35.93333333333333"/>
    <n v="1.3276673360253195E-2"/>
    <s v="Desired Burn Rate"/>
    <n v="75.320072496001316"/>
    <d v="2021-03-01T00:00:00"/>
    <s v="March"/>
    <n v="2021"/>
    <x v="1"/>
    <s v="1 one-yr option"/>
    <x v="1"/>
    <x v="57"/>
    <m/>
    <x v="1"/>
    <n v="0"/>
    <n v="0"/>
    <n v="0"/>
    <x v="1"/>
  </r>
  <r>
    <x v="3"/>
    <s v="2018"/>
    <s v="P533675"/>
    <s v="BCOLE"/>
    <d v="2015-12-01T00:00:00"/>
    <d v="2018-11-30T00:00:00"/>
    <s v="Vehicle Glass Repair and Installation Services "/>
    <s v="Millenium 2, Inc."/>
    <n v="25000"/>
    <n v="1949.99"/>
    <n v="7.7999600000000002E-2"/>
    <n v="35.966666666666669"/>
    <n v="2.780352177942539E-2"/>
    <n v="23.933333333333334"/>
    <n v="3.2590362116991646E-3"/>
    <s v="Desired Burn Rate"/>
    <n v="306.83918037186515"/>
    <d v="2041-06-01T00:00:00"/>
    <s v="June"/>
    <n v="2041"/>
    <x v="1"/>
    <s v="2 one-year renewal options"/>
    <x v="1"/>
    <x v="10"/>
    <m/>
    <x v="1"/>
    <n v="0"/>
    <n v="0"/>
    <n v="0"/>
    <x v="1"/>
  </r>
  <r>
    <x v="3"/>
    <s v="2018"/>
    <s v="P533676"/>
    <s v="BCOLE"/>
    <d v="2015-12-01T00:00:00"/>
    <d v="2018-11-30T00:00:00"/>
    <s v="Vehicle Glass Repair and Installation Services "/>
    <s v="Smith Auto Glass"/>
    <n v="10000"/>
    <n v="0"/>
    <n v="0"/>
    <n v="35.966666666666669"/>
    <n v="2.7803521779425393E-2"/>
    <n v="23.933333333333334"/>
    <n v="0"/>
    <s v="Desired Burn Rate"/>
    <e v="#DIV/0!"/>
    <e v="#DIV/0!"/>
    <e v="#DIV/0!"/>
    <e v="#DIV/0!"/>
    <x v="1"/>
    <s v="2 one-year renewal options"/>
    <x v="1"/>
    <x v="10"/>
    <m/>
    <x v="1"/>
    <n v="0"/>
    <n v="0"/>
    <n v="0"/>
    <x v="1"/>
  </r>
  <r>
    <x v="4"/>
    <s v="2018"/>
    <s v="P534049"/>
    <s v="DFINNERTY"/>
    <d v="2015-12-16T00:00:00"/>
    <d v="2018-12-15T00:00:00"/>
    <s v="Furnish and Install Carpet and Various Floor Coverings "/>
    <s v="J.D. Carpets Inc. "/>
    <n v="1800000"/>
    <n v="1032857.6"/>
    <n v="0.57380977777777775"/>
    <n v="35.966666666666669"/>
    <n v="2.780352177942539E-2"/>
    <n v="23.433333333333334"/>
    <n v="2.4486903745851114E-2"/>
    <s v="Desired Burn Rate"/>
    <n v="40.838156198879688"/>
    <d v="2019-04-16T00:00:00"/>
    <s v="April"/>
    <n v="2019"/>
    <x v="0"/>
    <s v="two one-year renewals"/>
    <x v="1"/>
    <x v="10"/>
    <m/>
    <x v="1"/>
    <n v="0"/>
    <n v="0"/>
    <n v="0"/>
    <x v="1"/>
  </r>
  <r>
    <x v="4"/>
    <s v="2018"/>
    <s v="P534098"/>
    <s v="DFINNERTY"/>
    <d v="2015-12-23T00:00:00"/>
    <d v="2018-12-22T00:00:00"/>
    <s v="Repairs &amp; Maintenance Services for Automatic Sprinkler Systems"/>
    <s v="National Fire Protection, LLC"/>
    <n v="75000"/>
    <n v="17933"/>
    <n v="0.23910666666666666"/>
    <n v="35.966666666666669"/>
    <n v="2.780352177942539E-2"/>
    <n v="23.2"/>
    <n v="1.030632183908046E-2"/>
    <s v="Desired Burn Rate"/>
    <n v="97.027825796018504"/>
    <d v="2024-01-23T00:00:00"/>
    <s v="January"/>
    <n v="2024"/>
    <x v="0"/>
    <s v="No options"/>
    <x v="0"/>
    <x v="10"/>
    <m/>
    <x v="1"/>
    <n v="0"/>
    <n v="0"/>
    <n v="0"/>
    <x v="1"/>
  </r>
  <r>
    <x v="4"/>
    <s v="2018"/>
    <s v="P534097"/>
    <s v="DFINNERTY"/>
    <d v="2015-12-23T00:00:00"/>
    <d v="2018-12-22T00:00:00"/>
    <s v="Repairs &amp; Maintenance Services for Automatic Sprinkler Systems"/>
    <s v="Fireline Corporation"/>
    <n v="625000"/>
    <n v="249804.02"/>
    <n v="0.39968643199999998"/>
    <n v="35.966666666666669"/>
    <n v="2.780352177942539E-2"/>
    <n v="23.2"/>
    <n v="1.722786344827586E-2"/>
    <s v="Desired Burn Rate"/>
    <n v="58.045503030735858"/>
    <d v="2020-10-23T00:00:00"/>
    <s v="October"/>
    <n v="2021"/>
    <x v="0"/>
    <s v="two one-year renewal options"/>
    <x v="1"/>
    <x v="10"/>
    <m/>
    <x v="1"/>
    <n v="0"/>
    <n v="0"/>
    <n v="0"/>
    <x v="1"/>
  </r>
  <r>
    <x v="4"/>
    <s v="2018"/>
    <s v="P529506"/>
    <s v="KTREAT"/>
    <d v="2015-01-01T00:00:00"/>
    <d v="2018-12-31T00:00:00"/>
    <s v="Parts and Maintenance for Fuel Dispensing Equipment"/>
    <s v="Total Environmental Concepts, Inc."/>
    <n v="300000"/>
    <n v="188747.29"/>
    <n v="0.62915763333333341"/>
    <n v="48"/>
    <n v="2.0833333333333332E-2"/>
    <n v="34.93333333333333"/>
    <n v="1.8010237595419847E-2"/>
    <s v="Desired Burn Rate"/>
    <n v="55.523975999867332"/>
    <d v="2019-08-01T00:00:00"/>
    <s v="August"/>
    <n v="2020"/>
    <x v="1"/>
    <s v="two one-year renewal options"/>
    <x v="1"/>
    <x v="10"/>
    <m/>
    <x v="1"/>
    <n v="0"/>
    <n v="0"/>
    <n v="0"/>
    <x v="1"/>
  </r>
  <r>
    <x v="5"/>
    <s v="2019"/>
    <s v="P534281"/>
    <s v="BCOLE"/>
    <d v="2016-01-20T00:00:00"/>
    <d v="2019-01-19T00:00:00"/>
    <s v="Decals and Striping"/>
    <s v="Shannon-Baum Signs, Inc."/>
    <n v="20000"/>
    <n v="0"/>
    <n v="0"/>
    <n v="35.966666666666669"/>
    <n v="2.7803521779425393E-2"/>
    <n v="22.3"/>
    <n v="0"/>
    <s v="Desired Burn Rate"/>
    <e v="#DIV/0!"/>
    <e v="#DIV/0!"/>
    <e v="#DIV/0!"/>
    <e v="#DIV/0!"/>
    <x v="1"/>
    <s v="two one-year options"/>
    <x v="1"/>
    <x v="10"/>
    <m/>
    <x v="1"/>
    <n v="0"/>
    <n v="0"/>
    <n v="0"/>
    <x v="1"/>
  </r>
  <r>
    <x v="5"/>
    <s v="2019"/>
    <s v="P534307"/>
    <s v="KTREAT"/>
    <d v="2016-01-20T00:00:00"/>
    <d v="2019-01-19T00:00:00"/>
    <s v="OEM Parts and Service for Pierce Fire Apparatus "/>
    <s v="Atlantic Emergency Solutions, Inc."/>
    <n v="2500000"/>
    <n v="1411391.18"/>
    <n v="0.56455647199999992"/>
    <n v="35.966666666666669"/>
    <n v="2.780352177942539E-2"/>
    <n v="22.3"/>
    <n v="2.5316433721973092E-2"/>
    <s v="Desired Burn Rate"/>
    <n v="39.500034285321242"/>
    <d v="2019-04-20T00:00:00"/>
    <s v="April"/>
    <n v="2019"/>
    <x v="1"/>
    <s v="two-one year renewal options"/>
    <x v="1"/>
    <x v="10"/>
    <m/>
    <x v="1"/>
    <n v="0"/>
    <n v="0"/>
    <n v="0"/>
    <x v="1"/>
  </r>
  <r>
    <x v="5"/>
    <s v="2019"/>
    <s v="P526022"/>
    <s v="MVASAVAD"/>
    <d v="2014-01-25T00:00:00"/>
    <d v="2019-01-24T00:00:00"/>
    <s v="Maintenance &amp;Repair Services for H.V.A.C.R"/>
    <s v="J.F. Fischer, Inc."/>
    <n v="9000000"/>
    <n v="5795484.4400000004"/>
    <n v="0.6439427155555556"/>
    <n v="59.966666666666669"/>
    <n v="1.6675931072818232E-2"/>
    <n v="46.133333333333333"/>
    <n v="1.3958295857418113E-2"/>
    <s v="Desired Burn Rate"/>
    <n v="71.641983392159702"/>
    <d v="2019-12-25T00:00:00"/>
    <s v="December"/>
    <n v="2020"/>
    <x v="0"/>
    <s v="No options"/>
    <x v="0"/>
    <x v="58"/>
    <m/>
    <x v="1"/>
    <n v="0"/>
    <n v="0"/>
    <n v="0"/>
    <x v="1"/>
  </r>
  <r>
    <x v="5"/>
    <s v="2019"/>
    <s v="P526021"/>
    <s v="MVASAVAD"/>
    <d v="2014-01-25T00:00:00"/>
    <d v="2019-01-24T00:00:00"/>
    <s v="Maintenance &amp;Repair Services for H.V.A.C.R-Denver-Elek "/>
    <s v="Denver-Elek"/>
    <n v="1000000"/>
    <n v="257885.35"/>
    <n v="0.25788535000000001"/>
    <n v="59.966666666666669"/>
    <n v="1.6675931072818232E-2"/>
    <n v="46.133333333333333"/>
    <n v="5.5900003612716761E-3"/>
    <s v="Desired Burn Rate"/>
    <n v="178.89086500389934"/>
    <d v="2028-11-25T00:00:00"/>
    <s v="November"/>
    <n v="2029"/>
    <x v="0"/>
    <s v="No options"/>
    <x v="0"/>
    <x v="59"/>
    <m/>
    <x v="1"/>
    <n v="0"/>
    <n v="0"/>
    <n v="0"/>
    <x v="1"/>
  </r>
  <r>
    <x v="5"/>
    <s v="2019"/>
    <s v="P526023"/>
    <s v="MVASAVAD"/>
    <d v="2014-01-25T00:00:00"/>
    <d v="2019-01-24T00:00:00"/>
    <s v="Maintenance &amp;Repair Services for H.V.A.C.R-Fresh Air company"/>
    <s v="fresh air company inc."/>
    <n v="2000000"/>
    <n v="991656.79"/>
    <n v="0.49582839500000003"/>
    <n v="59.966666666666669"/>
    <n v="1.6675931072818232E-2"/>
    <n v="46.133333333333333"/>
    <n v="1.0747725325144508E-2"/>
    <s v="Desired Burn Rate"/>
    <n v="93.042943483164834"/>
    <d v="2021-10-25T00:00:00"/>
    <s v="October"/>
    <n v="2022"/>
    <x v="0"/>
    <s v="No options"/>
    <x v="0"/>
    <x v="60"/>
    <m/>
    <x v="1"/>
    <n v="0"/>
    <n v="0"/>
    <n v="0"/>
    <x v="1"/>
  </r>
  <r>
    <x v="5"/>
    <s v="2019"/>
    <s v="P526184"/>
    <s v="MVASAVAD"/>
    <d v="2014-01-29T00:00:00"/>
    <d v="2019-01-28T00:00:00"/>
    <s v="Maitenance and Repair Services- Plumbing and Heating-J.F. Fischer, Inc. "/>
    <s v="J.F. Fischer, Inc."/>
    <n v="6500000"/>
    <n v="5655960.0700000003"/>
    <n v="0.87014770307692313"/>
    <n v="59.966666666666669"/>
    <n v="1.6675931072818232E-2"/>
    <n v="46"/>
    <n v="1.891625441471572E-2"/>
    <s v="High Burn Rate"/>
    <n v="52.864588204209156"/>
    <d v="2018-05-29T00:00:00"/>
    <s v="May"/>
    <n v="2018"/>
    <x v="0"/>
    <s v="1 one-year renewal option"/>
    <x v="1"/>
    <x v="10"/>
    <s v="Requested $2.3 million.  Awaiting update on increase."/>
    <x v="1"/>
    <n v="0"/>
    <n v="0"/>
    <n v="0"/>
    <x v="0"/>
  </r>
  <r>
    <x v="5"/>
    <s v="2019"/>
    <s v="P526182"/>
    <s v="MVASAVAD"/>
    <d v="2014-01-29T00:00:00"/>
    <d v="2019-01-28T00:00:00"/>
    <s v="Maitenance and Repair Services- Plumbing and Heating-Denver-Elek "/>
    <s v="Denver-Elek"/>
    <n v="500000"/>
    <n v="365842.61"/>
    <n v="0.73168522000000003"/>
    <n v="59.966666666666669"/>
    <n v="1.6675931072818232E-2"/>
    <n v="46"/>
    <n v="1.5906200434782608E-2"/>
    <s v="Desired Burn Rate"/>
    <n v="62.868565255425004"/>
    <d v="2019-03-29T00:00:00"/>
    <s v="March"/>
    <n v="2019"/>
    <x v="0"/>
    <s v="1 two-yr option"/>
    <x v="1"/>
    <x v="61"/>
    <m/>
    <x v="1"/>
    <n v="0"/>
    <n v="0"/>
    <n v="0"/>
    <x v="1"/>
  </r>
  <r>
    <x v="5"/>
    <s v="2019"/>
    <s v="P526183"/>
    <s v="MVASAVAD"/>
    <d v="2014-01-29T00:00:00"/>
    <d v="2019-01-28T00:00:00"/>
    <s v="Maitenance and Repair Services- Plumbing and Heating-R.F.Warder,inc"/>
    <s v="R.F.Warder,inc"/>
    <n v="2000000"/>
    <n v="1722849.85"/>
    <n v="0.86142492500000001"/>
    <n v="59.966666666666669"/>
    <n v="1.6675931072818232E-2"/>
    <n v="46"/>
    <n v="1.8726628804347827E-2"/>
    <s v="High Burn Rate"/>
    <n v="53.399894366882869"/>
    <d v="2018-06-29T00:00:00"/>
    <s v="June"/>
    <n v="2018"/>
    <x v="0"/>
    <s v="1 one-year renewal option"/>
    <x v="1"/>
    <x v="10"/>
    <s v="Requested $600k.  Awaiting update on increase."/>
    <x v="1"/>
    <n v="0"/>
    <n v="0"/>
    <n v="0"/>
    <x v="0"/>
  </r>
  <r>
    <x v="5"/>
    <s v="2019"/>
    <s v="P533925"/>
    <s v="KTREAT"/>
    <d v="2016-02-01T00:00:00"/>
    <d v="2019-01-31T00:00:00"/>
    <s v="Truck Accessories "/>
    <s v="Admiral Tire"/>
    <n v="200000"/>
    <n v="47306.86"/>
    <n v="0.2365343"/>
    <n v="36"/>
    <n v="2.777777777777778E-2"/>
    <n v="21.933333333333334"/>
    <n v="1.0784238601823709E-2"/>
    <s v="Desired Burn Rate"/>
    <n v="92.727918671132826"/>
    <d v="2023-10-01T00:00:00"/>
    <s v="October"/>
    <n v="2024"/>
    <x v="1"/>
    <s v="two one-year options"/>
    <x v="1"/>
    <x v="10"/>
    <m/>
    <x v="1"/>
    <n v="0"/>
    <n v="0"/>
    <n v="0"/>
    <x v="1"/>
  </r>
  <r>
    <x v="5"/>
    <s v="2019"/>
    <s v="P533956"/>
    <s v="KTREAT"/>
    <d v="2016-02-01T00:00:00"/>
    <d v="2019-01-31T00:00:00"/>
    <s v="OEM Parts and Service for FUSO Mitsubishi Trucks"/>
    <s v="Waste Equipment Sales &amp; Service, LLC"/>
    <n v="4000000"/>
    <n v="1709896.61"/>
    <n v="0.42747415250000004"/>
    <n v="36"/>
    <n v="2.7777777777777776E-2"/>
    <n v="21.933333333333334"/>
    <n v="1.9489703001519757E-2"/>
    <s v="Desired Burn Rate"/>
    <n v="51.30914513792348"/>
    <d v="2020-05-01T00:00:00"/>
    <s v="May"/>
    <n v="2020"/>
    <x v="1"/>
    <s v="two-one year renewal options"/>
    <x v="1"/>
    <x v="10"/>
    <m/>
    <x v="1"/>
    <n v="0"/>
    <n v="0"/>
    <n v="0"/>
    <x v="1"/>
  </r>
  <r>
    <x v="5"/>
    <s v="2019"/>
    <s v="P534247"/>
    <s v="MVASAVAD"/>
    <d v="2016-02-01T00:00:00"/>
    <d v="2019-01-31T00:00:00"/>
    <s v="Hazardous Material Abatement Services"/>
    <s v="C&amp;W CONSTRUCTION COMPANY"/>
    <n v="2203333"/>
    <n v="1403062.59"/>
    <n v="0.63679098438592807"/>
    <n v="36"/>
    <n v="2.777777777777778E-2"/>
    <n v="21.933333333333334"/>
    <n v="2.9033023604221646E-2"/>
    <s v="High Burn Rate"/>
    <n v="34.443536216964723"/>
    <d v="2018-12-01T00:00:00"/>
    <s v="December"/>
    <n v="2019"/>
    <x v="0"/>
    <s v="No options"/>
    <x v="0"/>
    <x v="10"/>
    <m/>
    <x v="1"/>
    <n v="0"/>
    <n v="0"/>
    <n v="0"/>
    <x v="1"/>
  </r>
  <r>
    <x v="5"/>
    <s v="2019"/>
    <s v="P534246"/>
    <s v="MVASAVAD"/>
    <d v="2016-02-01T00:00:00"/>
    <d v="2019-01-31T00:00:00"/>
    <s v="Hazardous Material Abatement Services"/>
    <s v="Retro Environmental, Inc."/>
    <n v="433333"/>
    <n v="243551"/>
    <n v="0.56204120157015502"/>
    <n v="36"/>
    <n v="2.7777777777777776E-2"/>
    <n v="21.933333333333334"/>
    <n v="2.5624978794991874E-2"/>
    <s v="Desired Burn Rate"/>
    <n v="39.024422537100371"/>
    <d v="2019-05-01T00:00:00"/>
    <s v="May"/>
    <n v="2019"/>
    <x v="0"/>
    <s v="2 one-year renewal options"/>
    <x v="1"/>
    <x v="10"/>
    <m/>
    <x v="1"/>
    <n v="0"/>
    <n v="0"/>
    <n v="0"/>
    <x v="1"/>
  </r>
  <r>
    <x v="5"/>
    <s v="2019"/>
    <s v="P534248"/>
    <s v="MVASAVAD"/>
    <d v="2016-01-01T00:00:00"/>
    <d v="2019-01-31T00:00:00"/>
    <s v="Hazardous Material Abatement Services"/>
    <s v="Allec LLC"/>
    <n v="463333"/>
    <n v="330028.05"/>
    <n v="0.7122912678354445"/>
    <n v="37"/>
    <n v="2.7027027027027025E-2"/>
    <n v="22.933333333333334"/>
    <n v="3.1059212260266474E-2"/>
    <s v="High Burn Rate"/>
    <n v="32.19656672617171"/>
    <d v="2018-09-01T00:00:00"/>
    <s v="September"/>
    <n v="2019"/>
    <x v="0"/>
    <s v="two, one-year renewal options"/>
    <x v="1"/>
    <x v="10"/>
    <m/>
    <x v="1"/>
    <n v="0"/>
    <n v="0"/>
    <n v="0"/>
    <x v="1"/>
  </r>
  <r>
    <x v="2"/>
    <s v="2019"/>
    <s v="P534359"/>
    <s v="KTREAT"/>
    <d v="2016-03-01T00:00:00"/>
    <d v="2019-02-28T00:00:00"/>
    <s v="OEM Parts and Service for regenerated filters for Ward Diesel Filter Systems in Vehicles "/>
    <s v="Beecher Emission Solution Technologies, LLC"/>
    <n v="120000"/>
    <n v="24612.94"/>
    <n v="0.20510783333333332"/>
    <n v="35.9"/>
    <n v="2.7855153203342621E-2"/>
    <n v="20.933333333333334"/>
    <n v="9.7981449044585982E-3"/>
    <s v="Desired Burn Rate"/>
    <n v="102.06013584724133"/>
    <d v="2024-09-01T00:00:00"/>
    <s v="September"/>
    <n v="2025"/>
    <x v="1"/>
    <s v="2 one-yr options"/>
    <x v="1"/>
    <x v="10"/>
    <m/>
    <x v="1"/>
    <n v="0"/>
    <n v="0"/>
    <n v="0"/>
    <x v="1"/>
  </r>
  <r>
    <x v="7"/>
    <s v="2019"/>
    <s v="P534739"/>
    <s v="BCOLE"/>
    <d v="2016-05-01T00:00:00"/>
    <d v="2019-04-30T00:00:00"/>
    <s v="OEM Parts and Service for LTI Ladder Trucks"/>
    <s v="Fire Line Equipment LLC"/>
    <n v="150000"/>
    <n v="0"/>
    <n v="0"/>
    <n v="35.966666666666669"/>
    <n v="2.780352177942539E-2"/>
    <n v="18.933333333333334"/>
    <n v="0"/>
    <s v="Desired Burn Rate"/>
    <e v="#DIV/0!"/>
    <e v="#DIV/0!"/>
    <e v="#DIV/0!"/>
    <e v="#DIV/0!"/>
    <x v="1"/>
    <s v="2 one-yr options"/>
    <x v="1"/>
    <x v="10"/>
    <m/>
    <x v="1"/>
    <n v="0"/>
    <n v="0"/>
    <n v="0"/>
    <x v="1"/>
  </r>
  <r>
    <x v="7"/>
    <s v="2019"/>
    <s v="P538145"/>
    <s v="BOLUWASU"/>
    <d v="2017-01-11T00:00:00"/>
    <d v="2019-04-30T00:00:00"/>
    <s v="Snow Removal Services for Police Districts"/>
    <s v="C&amp;W CONSTRUCTION COMPANY"/>
    <n v="221700"/>
    <n v="47965.5"/>
    <n v="0.2163531799729364"/>
    <n v="27.633333333333333"/>
    <n v="3.6188178528347409E-2"/>
    <n v="10.6"/>
    <n v="2.0410677355937396E-2"/>
    <s v="Desired Burn Rate"/>
    <n v="48.99396441192107"/>
    <d v="2021-01-11T00:00:00"/>
    <s v="January"/>
    <n v="2021"/>
    <x v="0"/>
    <s v="two one-year renewals"/>
    <x v="1"/>
    <x v="10"/>
    <m/>
    <x v="1"/>
    <n v="0"/>
    <n v="0"/>
    <n v="0"/>
    <x v="1"/>
  </r>
  <r>
    <x v="8"/>
    <s v="2019"/>
    <s v="P536503"/>
    <s v="BOLUWASU"/>
    <d v="2016-08-10T00:00:00"/>
    <d v="2019-05-31T00:00:00"/>
    <s v="Paint and Paint Products"/>
    <s v="McCormick Paint Works"/>
    <n v="300000"/>
    <n v="109590.64"/>
    <n v="0.36530213333333333"/>
    <n v="33.700000000000003"/>
    <n v="2.9673590504451033E-2"/>
    <n v="15.633333333333333"/>
    <n v="2.3366874200426439E-2"/>
    <s v="Desired Burn Rate"/>
    <n v="42.795625611822324"/>
    <d v="2020-02-10T00:00:00"/>
    <s v="February"/>
    <n v="2020"/>
    <x v="0"/>
    <s v="No options"/>
    <x v="0"/>
    <x v="10"/>
    <m/>
    <x v="1"/>
    <n v="0"/>
    <n v="0"/>
    <n v="0"/>
    <x v="1"/>
  </r>
  <r>
    <x v="9"/>
    <s v="2019"/>
    <s v="P535658"/>
    <s v="KTREAT"/>
    <d v="2016-06-08T00:00:00"/>
    <d v="2019-06-07T00:00:00"/>
    <s v="Vermeer Equipment O.E.M. Parts and Service"/>
    <s v="Vermeer Mid Atlantic, Inc."/>
    <n v="18499.5"/>
    <n v="1176.94"/>
    <n v="6.3620097840482184E-2"/>
    <n v="35.966666666666669"/>
    <n v="2.7803521779425393E-2"/>
    <n v="17.7"/>
    <n v="3.5943558101967331E-3"/>
    <s v="Desired Burn Rate"/>
    <n v="278.21397012591973"/>
    <d v="2039-08-08T00:00:00"/>
    <s v="August"/>
    <n v="2040"/>
    <x v="1"/>
    <s v="2 one-yr options"/>
    <x v="1"/>
    <x v="10"/>
    <m/>
    <x v="1"/>
    <n v="0"/>
    <n v="0"/>
    <n v="0"/>
    <x v="1"/>
  </r>
  <r>
    <x v="9"/>
    <s v="2019"/>
    <s v="P535834"/>
    <s v="KTREAT"/>
    <d v="2016-06-08T00:00:00"/>
    <d v="2019-06-07T00:00:00"/>
    <s v="Automotive Air Conditioning System Repairs"/>
    <s v="ABC Radiator &amp; Welding Corporation"/>
    <n v="200000"/>
    <n v="8460.2099999999991"/>
    <n v="4.2301049999999993E-2"/>
    <n v="35.966666666666669"/>
    <n v="2.780352177942539E-2"/>
    <n v="17.7"/>
    <n v="2.3898898305084746E-3"/>
    <s v="Desired Burn Rate"/>
    <n v="418.42932976841001"/>
    <d v="2051-04-08T00:00:00"/>
    <s v="April"/>
    <n v="2051"/>
    <x v="1"/>
    <s v="two one-year renewal options"/>
    <x v="1"/>
    <x v="10"/>
    <m/>
    <x v="1"/>
    <n v="0"/>
    <n v="0"/>
    <n v="0"/>
    <x v="1"/>
  </r>
  <r>
    <x v="9"/>
    <s v="2019"/>
    <s v="P527796"/>
    <s v="MVASAVAD"/>
    <d v="2014-06-25T00:00:00"/>
    <d v="2019-06-24T00:00:00"/>
    <s v="Central Chilled Water Systems Service - Denver-Elek "/>
    <s v="Denver-Elek"/>
    <n v="1000000"/>
    <n v="21337.759999999998"/>
    <n v="2.1337759999999997E-2"/>
    <n v="59.966666666666669"/>
    <n v="1.6675931072818232E-2"/>
    <n v="41.133333333333333"/>
    <n v="5.18746191247974E-4"/>
    <s v="Desired Burn Rate"/>
    <n v="1927.7249970631096"/>
    <d v="2175-01-25T00:00:00"/>
    <s v="January"/>
    <n v="2175"/>
    <x v="0"/>
    <s v="1 two-yr option"/>
    <x v="1"/>
    <x v="10"/>
    <m/>
    <x v="1"/>
    <n v="0"/>
    <n v="0"/>
    <n v="0"/>
    <x v="1"/>
  </r>
  <r>
    <x v="9"/>
    <s v="2019"/>
    <s v="P527797"/>
    <s v="MVASAVAD"/>
    <d v="2014-06-25T00:00:00"/>
    <d v="2019-06-24T00:00:00"/>
    <s v="Central Chilled Water Systems Service -R.F.Warder,Inc "/>
    <s v="R.F.Warder,inc"/>
    <n v="1000000"/>
    <n v="175410.41"/>
    <n v="0.17541041000000002"/>
    <n v="59.966666666666669"/>
    <n v="1.6675931072818232E-2"/>
    <n v="41.133333333333333"/>
    <n v="4.264434602917342E-3"/>
    <s v="Desired Burn Rate"/>
    <n v="234.49767509997457"/>
    <d v="2033-12-25T00:00:00"/>
    <s v="December"/>
    <n v="2034"/>
    <x v="0"/>
    <s v="1 two-yr option"/>
    <x v="1"/>
    <x v="10"/>
    <m/>
    <x v="1"/>
    <n v="0"/>
    <n v="0"/>
    <n v="0"/>
    <x v="1"/>
  </r>
  <r>
    <x v="9"/>
    <s v="2019"/>
    <s v="P527798"/>
    <s v="MVASAVAD"/>
    <d v="2014-06-25T00:00:00"/>
    <d v="2019-06-24T00:00:00"/>
    <s v="Central Chilled Water Systems Service -J F Fischer, Inc."/>
    <s v="J.F. Fischer, Inc."/>
    <n v="1000000"/>
    <n v="883217.99"/>
    <n v="0.88321799000000001"/>
    <n v="59.966666666666669"/>
    <n v="1.6675931072818232E-2"/>
    <n v="41.133333333333333"/>
    <n v="2.1472074311183142E-2"/>
    <s v="High Burn Rate"/>
    <n v="46.572119000127401"/>
    <d v="2018-04-25T00:00:00"/>
    <s v="April"/>
    <n v="2018"/>
    <x v="0"/>
    <s v="1 two-yr option"/>
    <x v="1"/>
    <x v="10"/>
    <m/>
    <x v="1"/>
    <n v="0"/>
    <n v="0"/>
    <n v="0"/>
    <x v="0"/>
  </r>
  <r>
    <x v="9"/>
    <s v="2019"/>
    <s v="P535053"/>
    <s v="DMACER"/>
    <d v="2016-04-11T00:00:00"/>
    <d v="2019-06-30T00:00:00"/>
    <s v="Installation of Alarm &amp; Fire Systems"/>
    <s v="Protection 1"/>
    <n v="306504.58"/>
    <n v="227287.87"/>
    <n v="0.74154803820549753"/>
    <n v="38.633333333333333"/>
    <n v="2.5884383088869714E-2"/>
    <n v="19.600000000000001"/>
    <n v="3.783408358191314E-2"/>
    <s v="High Burn Rate"/>
    <n v="26.431193921611392"/>
    <d v="2018-06-11T00:00:00"/>
    <s v="June"/>
    <n v="2018"/>
    <x v="0"/>
    <s v="No options"/>
    <x v="0"/>
    <x v="10"/>
    <m/>
    <x v="1"/>
    <n v="0"/>
    <n v="0"/>
    <n v="0"/>
    <x v="1"/>
  </r>
  <r>
    <x v="10"/>
    <s v="2019"/>
    <s v="P536184"/>
    <s v="KTREAT"/>
    <d v="2016-08-01T00:00:00"/>
    <d v="2019-07-31T00:00:00"/>
    <s v="Aftermarket Body and Fender Parts"/>
    <s v="CUMMINS RADIATOR CO"/>
    <n v="100000"/>
    <n v="11163.99"/>
    <n v="0.1116399"/>
    <n v="36"/>
    <n v="2.777777777777778E-2"/>
    <n v="15.933333333333334"/>
    <n v="7.0066882845188283E-3"/>
    <s v="Desired Burn Rate"/>
    <n v="142.72077754757333"/>
    <d v="2028-06-01T00:00:00"/>
    <s v="June"/>
    <n v="2028"/>
    <x v="1"/>
    <s v="two one-year renewal options"/>
    <x v="1"/>
    <x v="10"/>
    <m/>
    <x v="1"/>
    <n v="0"/>
    <n v="0"/>
    <n v="0"/>
    <x v="1"/>
  </r>
  <r>
    <x v="11"/>
    <s v="2019"/>
    <s v="P537474"/>
    <s v="DFINNERTY"/>
    <d v="2016-08-10T00:00:00"/>
    <d v="2019-08-09T00:00:00"/>
    <s v="Masonry and Concrete Repair Services"/>
    <s v="Colossal Contractors"/>
    <n v="186930"/>
    <n v="120566.33"/>
    <n v="0.64498116942170869"/>
    <n v="35.966666666666669"/>
    <n v="2.7803521779425393E-2"/>
    <n v="15.633333333333333"/>
    <n v="4.125679122100482E-2"/>
    <s v="High Burn Rate"/>
    <n v="24.238433731871908"/>
    <d v="2018-08-10T00:00:00"/>
    <s v="August"/>
    <n v="2019"/>
    <x v="1"/>
    <s v="two (2) one-year renewal options"/>
    <x v="1"/>
    <x v="10"/>
    <m/>
    <x v="1"/>
    <n v="0"/>
    <n v="0"/>
    <n v="0"/>
    <x v="1"/>
  </r>
  <r>
    <x v="0"/>
    <s v="2019"/>
    <s v="P536860"/>
    <s v="MVASAVAD"/>
    <d v="2016-09-14T00:00:00"/>
    <d v="2019-09-13T00:00:00"/>
    <s v="PVC Pipes &amp; Fittings"/>
    <s v="FERGUSON WATERWORKS DBA Wolsely Industrial Group"/>
    <n v="300000"/>
    <n v="39142.120000000003"/>
    <n v="0.13047373333333334"/>
    <n v="35.966666666666669"/>
    <n v="2.780352177942539E-2"/>
    <n v="14.5"/>
    <n v="8.9981885057471272E-3"/>
    <s v="Desired Burn Rate"/>
    <n v="111.13347973998341"/>
    <d v="2025-12-14T00:00:00"/>
    <s v="December"/>
    <n v="2026"/>
    <x v="0"/>
    <s v="two-one year renewal options"/>
    <x v="1"/>
    <x v="10"/>
    <m/>
    <x v="1"/>
    <n v="0"/>
    <n v="0"/>
    <n v="0"/>
    <x v="1"/>
  </r>
  <r>
    <x v="0"/>
    <s v="2019"/>
    <s v="P537056"/>
    <s v="SFELDMAN"/>
    <d v="2016-10-01T00:00:00"/>
    <d v="2019-09-30T00:00:00"/>
    <s v="Emergency Vehicle Lighting and Accessories"/>
    <s v="EAST COAST EMERGENCY LIGHTING, INC"/>
    <n v="3000000"/>
    <n v="680700.11"/>
    <n v="0.22690003666666667"/>
    <n v="35.966666666666669"/>
    <n v="2.7803521779425393E-2"/>
    <n v="13.933333333333334"/>
    <n v="1.6284691626794259E-2"/>
    <s v="Desired Burn Rate"/>
    <n v="61.407364837946041"/>
    <d v="2021-11-01T00:00:00"/>
    <s v="November"/>
    <n v="2022"/>
    <x v="1"/>
    <s v="two one-year renewal options"/>
    <x v="1"/>
    <x v="10"/>
    <m/>
    <x v="1"/>
    <n v="0"/>
    <n v="0"/>
    <n v="0"/>
    <x v="1"/>
  </r>
  <r>
    <x v="0"/>
    <s v="2019"/>
    <s v="P536960"/>
    <s v="DMACER"/>
    <d v="2016-10-01T00:00:00"/>
    <d v="2019-09-30T00:00:00"/>
    <s v="Locksmith Services First Call"/>
    <s v="Homeland Security Group dba Easter's Lock and Access"/>
    <n v="200000"/>
    <n v="179510.83"/>
    <n v="0.89755414999999994"/>
    <n v="35.966666666666669"/>
    <n v="2.780352177942539E-2"/>
    <n v="13.933333333333334"/>
    <n v="6.4417761961722483E-2"/>
    <s v="Really High Burn Rate"/>
    <n v="15.523668776232983"/>
    <d v="2018-01-01T00:00:00"/>
    <s v="January"/>
    <n v="2018"/>
    <x v="0"/>
    <s v="No options"/>
    <x v="0"/>
    <x v="10"/>
    <s v="requesting 300k"/>
    <x v="1"/>
    <n v="0"/>
    <n v="0"/>
    <n v="0"/>
    <x v="0"/>
  </r>
  <r>
    <x v="0"/>
    <s v="2019"/>
    <s v="P536961"/>
    <s v="DMACER"/>
    <d v="2016-10-01T00:00:00"/>
    <d v="2019-09-30T00:00:00"/>
    <s v="Locksmith Services  Second Call"/>
    <s v="BALTIMORE LOCK &amp; HARDWARE, INC."/>
    <n v="149000"/>
    <n v="93587.34"/>
    <n v="0.62810295302013419"/>
    <n v="35.966666666666669"/>
    <n v="2.7803521779425393E-2"/>
    <n v="13.933333333333334"/>
    <n v="4.507915930766513E-2"/>
    <s v="High Burn Rate"/>
    <n v="22.183199850179168"/>
    <d v="2018-08-01T00:00:00"/>
    <s v="August"/>
    <n v="2019"/>
    <x v="0"/>
    <s v="3 one year options"/>
    <x v="1"/>
    <x v="10"/>
    <m/>
    <x v="1"/>
    <n v="0"/>
    <n v="0"/>
    <n v="0"/>
    <x v="1"/>
  </r>
  <r>
    <x v="3"/>
    <s v="2019"/>
    <s v="p537826"/>
    <s v="SZIEGLER"/>
    <d v="2016-12-01T00:00:00"/>
    <d v="2019-11-30T00:00:00"/>
    <s v="Janitorial Services for New Area D"/>
    <s v="No Opportunity Wasted "/>
    <n v="811980"/>
    <n v="428800"/>
    <n v="0.52809182492179607"/>
    <n v="35.966666666666669"/>
    <n v="2.7803521779425393E-2"/>
    <n v="11.933333333333334"/>
    <n v="4.4253504881714756E-2"/>
    <s v="High Burn Rate"/>
    <n v="22.597080223880599"/>
    <d v="2018-10-01T00:00:00"/>
    <s v="October"/>
    <n v="2019"/>
    <x v="0"/>
    <s v="No options"/>
    <x v="0"/>
    <x v="10"/>
    <m/>
    <x v="1"/>
    <n v="0"/>
    <n v="0"/>
    <n v="0"/>
    <x v="1"/>
  </r>
  <r>
    <x v="4"/>
    <s v="2019"/>
    <s v="P538037"/>
    <s v="KTREAT"/>
    <d v="2016-12-21T00:00:00"/>
    <d v="2019-12-20T00:00:00"/>
    <s v="OEM  and Aftermarket Parts and Repair for Lawn Mowers and Landscape Equipment"/>
    <s v="GAMBRILLS EQUIPMENT CO.,INC."/>
    <n v="99500"/>
    <n v="0"/>
    <n v="0"/>
    <n v="35.966666666666669"/>
    <n v="2.7803521779425393E-2"/>
    <n v="11.266666666666667"/>
    <n v="0"/>
    <s v="Desired Burn Rate"/>
    <e v="#DIV/0!"/>
    <e v="#DIV/0!"/>
    <e v="#DIV/0!"/>
    <e v="#DIV/0!"/>
    <x v="1"/>
    <s v="two (2) one-year renewal options"/>
    <x v="1"/>
    <x v="10"/>
    <m/>
    <x v="1"/>
    <n v="0"/>
    <n v="0"/>
    <n v="0"/>
    <x v="1"/>
  </r>
  <r>
    <x v="4"/>
    <s v="2019"/>
    <s v="P538038"/>
    <s v="KTREAT"/>
    <d v="2016-12-21T00:00:00"/>
    <d v="2019-12-20T00:00:00"/>
    <s v="OEM  and Aftermarket Parts and Repair for Lawn Mowers and Landscape Equipment"/>
    <s v="Port City Equipment Co"/>
    <n v="20000"/>
    <n v="19691.84"/>
    <n v="0.98459200000000002"/>
    <n v="35.966666666666669"/>
    <n v="2.7803521779425393E-2"/>
    <n v="11.266666666666667"/>
    <n v="8.7389822485207089E-2"/>
    <s v="Really High Burn Rate"/>
    <n v="11.442980104110807"/>
    <d v="2017-11-21T00:00:00"/>
    <s v="November"/>
    <n v="2018"/>
    <x v="1"/>
    <s v="two (2) one-year renewal options"/>
    <x v="1"/>
    <x v="10"/>
    <m/>
    <x v="1"/>
    <n v="0"/>
    <n v="0"/>
    <n v="0"/>
    <x v="0"/>
  </r>
  <r>
    <x v="4"/>
    <s v="2019"/>
    <s v="P538039"/>
    <s v="KTREAT"/>
    <d v="2017-01-01T00:00:00"/>
    <d v="2019-12-31T00:00:00"/>
    <s v="OEM Parts and Service for Stellar Truck Bodies"/>
    <s v="Waste Equipment Sales &amp; Service, LLC"/>
    <n v="262500"/>
    <n v="15370.69"/>
    <n v="5.8555009523809529E-2"/>
    <n v="36"/>
    <n v="2.777777777777778E-2"/>
    <n v="10.933333333333334"/>
    <n v="5.3556411149825785E-3"/>
    <s v="Desired Burn Rate"/>
    <n v="186.7190087107345"/>
    <d v="2032-07-01T00:00:00"/>
    <s v="July"/>
    <n v="2033"/>
    <x v="1"/>
    <s v="two (2) one-year renewal options"/>
    <x v="1"/>
    <x v="10"/>
    <m/>
    <x v="1"/>
    <n v="0"/>
    <n v="0"/>
    <n v="0"/>
    <x v="1"/>
  </r>
  <r>
    <x v="4"/>
    <s v="2019"/>
    <s v="P537436"/>
    <s v="MVASAVAD"/>
    <d v="2017-01-01T00:00:00"/>
    <d v="2019-12-31T00:00:00"/>
    <s v="Drain Cleaning Service "/>
    <s v="Joseph Heil Company, Inc"/>
    <n v="500000"/>
    <n v="332079.71999999997"/>
    <n v="0.66415943999999993"/>
    <n v="36"/>
    <n v="2.7777777777777776E-2"/>
    <n v="10.933333333333334"/>
    <n v="6.0746290243902434E-2"/>
    <s v="Really High Burn Rate"/>
    <n v="16.46191061190568"/>
    <d v="2018-05-01T00:00:00"/>
    <s v="May"/>
    <n v="2018"/>
    <x v="0"/>
    <s v="two one-yr renewals "/>
    <x v="1"/>
    <x v="10"/>
    <m/>
    <x v="1"/>
    <n v="0"/>
    <n v="0"/>
    <n v="0"/>
    <x v="1"/>
  </r>
  <r>
    <x v="5"/>
    <s v="2020"/>
    <s v="P537814"/>
    <s v="KTREAT"/>
    <d v="2017-02-01T00:00:00"/>
    <d v="2020-01-31T00:00:00"/>
    <s v=" Vehicle Exhaust  Repairs "/>
    <s v="Meineke Car Care Center"/>
    <n v="100000"/>
    <n v="5405.05"/>
    <n v="5.4050500000000001E-2"/>
    <n v="36"/>
    <n v="2.777777777777778E-2"/>
    <n v="9.9333333333333336"/>
    <n v="5.4413255033557047E-3"/>
    <s v="Desired Burn Rate"/>
    <n v="183.778750119487"/>
    <d v="2032-05-01T00:00:00"/>
    <s v="May"/>
    <n v="2032"/>
    <x v="1"/>
    <s v="two (2) one-year renewal options"/>
    <x v="1"/>
    <x v="10"/>
    <m/>
    <x v="1"/>
    <n v="0"/>
    <n v="0"/>
    <n v="0"/>
    <x v="1"/>
  </r>
  <r>
    <x v="5"/>
    <s v="2020"/>
    <s v="P537815"/>
    <s v="KTREAT"/>
    <d v="2017-02-01T00:00:00"/>
    <d v="2020-01-31T00:00:00"/>
    <s v=" Vehicle Exhaust  Repairs "/>
    <s v="Beltway Kenwood, LLC"/>
    <n v="199500"/>
    <n v="0"/>
    <n v="0"/>
    <n v="36"/>
    <n v="2.777777777777778E-2"/>
    <n v="9.9333333333333336"/>
    <n v="0"/>
    <s v="Desired Burn Rate"/>
    <e v="#DIV/0!"/>
    <e v="#DIV/0!"/>
    <e v="#DIV/0!"/>
    <e v="#DIV/0!"/>
    <x v="1"/>
    <s v="two (2) one-year renewal options"/>
    <x v="1"/>
    <x v="10"/>
    <m/>
    <x v="1"/>
    <n v="0"/>
    <n v="0"/>
    <n v="0"/>
    <x v="1"/>
  </r>
  <r>
    <x v="2"/>
    <s v="2020"/>
    <s v="P538420"/>
    <s v="DFINNERTY"/>
    <d v="2017-02-06T00:00:00"/>
    <d v="2020-02-05T00:00:00"/>
    <s v="Interior Renovations, Carpentry and Associated Trades"/>
    <s v="First Potomac Environmental Corp."/>
    <n v="250000"/>
    <n v="188312.4"/>
    <n v="0.75324959999999996"/>
    <n v="35.966666666666669"/>
    <n v="2.780352177942539E-2"/>
    <n v="9.7666666666666675"/>
    <n v="7.7124532423208172E-2"/>
    <s v="Really High Burn Rate"/>
    <n v="12.966042951322734"/>
    <d v="2018-02-06T00:00:00"/>
    <s v="February"/>
    <n v="2018"/>
    <x v="0"/>
    <s v="two one-yr renewals "/>
    <x v="1"/>
    <x v="10"/>
    <s v="waiting on a response from purchases. _x000a_We wanted to add $4M. Emailed mukesh 11/28"/>
    <x v="1"/>
    <n v="0"/>
    <n v="0"/>
    <n v="0"/>
    <x v="0"/>
  </r>
  <r>
    <x v="2"/>
    <s v="2020"/>
    <s v="P538421"/>
    <s v="DFINNERTY"/>
    <d v="2017-02-06T00:00:00"/>
    <d v="2020-02-05T00:00:00"/>
    <s v="Interior Renovations, Carpentry and Associated Trades"/>
    <s v="C&amp;W CONSTRUCTION COMPANY"/>
    <n v="1650000"/>
    <n v="1287062"/>
    <n v="0.78003757575757571"/>
    <n v="35.966666666666669"/>
    <n v="2.7803521779425393E-2"/>
    <n v="9.7666666666666675"/>
    <n v="7.9867328575860999E-2"/>
    <s v="Really High Burn Rate"/>
    <n v="12.520764345462768"/>
    <d v="2018-02-06T00:00:00"/>
    <s v="February"/>
    <n v="2018"/>
    <x v="0"/>
    <s v="two one-yr renewals "/>
    <x v="1"/>
    <x v="10"/>
    <s v="waiting on a response from purchases. _x000a_We wanted to add $4M. Emailed mukesh 11/28"/>
    <x v="1"/>
    <n v="0"/>
    <n v="0"/>
    <n v="0"/>
    <x v="0"/>
  </r>
  <r>
    <x v="2"/>
    <s v="2020"/>
    <s v="P538386"/>
    <s v="KTREAT"/>
    <d v="2017-02-22T00:00:00"/>
    <d v="2020-02-21T00:00:00"/>
    <s v="Volvo Asphalt Compactor/Paver - OEM Parts and Service"/>
    <s v="McClung-Logan Equipment Company, Inc."/>
    <n v="49500"/>
    <n v="0"/>
    <n v="0"/>
    <n v="35.966666666666669"/>
    <n v="2.780352177942539E-2"/>
    <n v="9.2333333333333325"/>
    <n v="0"/>
    <s v="Desired Burn Rate"/>
    <e v="#DIV/0!"/>
    <e v="#DIV/0!"/>
    <e v="#DIV/0!"/>
    <e v="#DIV/0!"/>
    <x v="1"/>
    <s v="two one-year renewals"/>
    <x v="1"/>
    <x v="10"/>
    <m/>
    <x v="1"/>
    <n v="0"/>
    <n v="0"/>
    <n v="0"/>
    <x v="1"/>
  </r>
  <r>
    <x v="6"/>
    <s v="2020"/>
    <s v="P538397"/>
    <s v="BCOLE"/>
    <d v="2017-04-01T00:00:00"/>
    <d v="2020-03-20T00:00:00"/>
    <s v="Parts and Service for SmartWash Storm Touchless Gantry Washer"/>
    <s v="Myco Incorporated"/>
    <n v="24000"/>
    <n v="8780"/>
    <n v="0.36583333333333334"/>
    <n v="35.633333333333333"/>
    <n v="2.8063610851262862E-2"/>
    <n v="7.9333333333333336"/>
    <n v="4.6113445378151256E-2"/>
    <s v="High Burn Rate"/>
    <n v="21.685649202733487"/>
    <d v="2019-01-01T00:00:00"/>
    <s v="January"/>
    <n v="2019"/>
    <x v="1"/>
    <s v="two one-year renewal options"/>
    <x v="1"/>
    <x v="10"/>
    <m/>
    <x v="1"/>
    <n v="0"/>
    <n v="0"/>
    <n v="0"/>
    <x v="1"/>
  </r>
  <r>
    <x v="6"/>
    <s v="2020"/>
    <s v="P539028"/>
    <s v="KTREAT"/>
    <d v="2017-03-31T00:00:00"/>
    <d v="2020-03-30T00:00:00"/>
    <s v="O.E.M. Parts and Service for Wirtgen Cold Milling Machine"/>
    <s v="elliott &amp; Frantz"/>
    <n v="24500"/>
    <n v="11741.59"/>
    <n v="0.47924857142857141"/>
    <n v="36"/>
    <n v="2.7777777777777776E-2"/>
    <n v="7.9666666666666668"/>
    <n v="6.0156724447101018E-2"/>
    <s v="Really High Burn Rate"/>
    <n v="16.623245517287977"/>
    <d v="2018-07-31T00:00:00"/>
    <s v="July"/>
    <n v="2019"/>
    <x v="1"/>
    <s v="(3) three years with (2) two (1) one year renewal options"/>
    <x v="1"/>
    <x v="10"/>
    <m/>
    <x v="1"/>
    <n v="0"/>
    <n v="0"/>
    <n v="0"/>
    <x v="1"/>
  </r>
  <r>
    <x v="6"/>
    <s v="2020"/>
    <s v="P538778"/>
    <s v="BCOLE"/>
    <d v="2017-04-01T00:00:00"/>
    <d v="2020-03-31T00:00:00"/>
    <s v="OEM Parts and Service for Car Wash (The Tandem Rite Touch) at Fallsway Substation"/>
    <s v="WashTech"/>
    <n v="45000"/>
    <n v="1147.58"/>
    <n v="2.5501777777777776E-2"/>
    <n v="36"/>
    <n v="2.7777777777777776E-2"/>
    <n v="7.9333333333333336"/>
    <n v="3.2145098039215681E-3"/>
    <s v="Desired Burn Rate"/>
    <n v="311.08942295961941"/>
    <d v="2043-03-01T00:00:00"/>
    <s v="March"/>
    <n v="2043"/>
    <x v="1"/>
    <s v="two one-year renewal"/>
    <x v="1"/>
    <x v="10"/>
    <m/>
    <x v="1"/>
    <n v="0"/>
    <n v="0"/>
    <n v="0"/>
    <x v="1"/>
  </r>
  <r>
    <x v="7"/>
    <s v="2020"/>
    <s v="P526450"/>
    <s v="BREADY"/>
    <d v="2014-04-10T00:00:00"/>
    <d v="2020-04-09T00:00:00"/>
    <s v="O.E.M. Parts and Service for Exmark Mowers"/>
    <s v="Hickory International dba Baltimore Turf Equipment"/>
    <n v="200000"/>
    <n v="83010.789999999994"/>
    <n v="0.41505394999999995"/>
    <n v="71.966666666666669"/>
    <n v="1.3895321908290875E-2"/>
    <n v="43.633333333333333"/>
    <n v="9.5123135981665385E-3"/>
    <s v="Desired Burn Rate"/>
    <n v="105.12689575254817"/>
    <d v="2023-01-10T00:00:00"/>
    <s v="January"/>
    <n v="2023"/>
    <x v="1"/>
    <s v="one three-year renewals"/>
    <x v="1"/>
    <x v="62"/>
    <m/>
    <x v="1"/>
    <n v="0"/>
    <n v="0"/>
    <n v="0"/>
    <x v="1"/>
  </r>
  <r>
    <x v="7"/>
    <s v="2020"/>
    <s v="P526449"/>
    <s v="BREADY"/>
    <d v="2014-04-10T00:00:00"/>
    <d v="2020-04-09T00:00:00"/>
    <s v="O.E.M. Parts and Service for Exmark Mowers"/>
    <s v="BMR INC"/>
    <n v="100000"/>
    <n v="17321.189999999999"/>
    <n v="0.17321189999999997"/>
    <n v="71.966666666666669"/>
    <n v="1.3895321908290875E-2"/>
    <n v="43.633333333333333"/>
    <n v="3.9697150496562266E-3"/>
    <s v="Desired Burn Rate"/>
    <n v="251.90724963662043"/>
    <d v="2035-03-10T00:00:00"/>
    <s v="March"/>
    <n v="2035"/>
    <x v="1"/>
    <s v="No options"/>
    <x v="0"/>
    <x v="63"/>
    <m/>
    <x v="1"/>
    <n v="0"/>
    <n v="0"/>
    <n v="0"/>
    <x v="1"/>
  </r>
  <r>
    <x v="9"/>
    <s v="2020"/>
    <s v="P539554"/>
    <s v="SFELDMAN"/>
    <d v="2017-07-01T00:00:00"/>
    <d v="2020-06-30T00:00:00"/>
    <s v="O.E.M. Parts &amp; Svc. for Scag Lawn Mowers "/>
    <s v="Port City Equipment Co"/>
    <n v="24000"/>
    <n v="0"/>
    <n v="0"/>
    <n v="35.966666666666669"/>
    <n v="2.780352177942539E-2"/>
    <n v="4.9333333333333336"/>
    <n v="0"/>
    <s v="Desired Burn Rate"/>
    <e v="#DIV/0!"/>
    <e v="#DIV/0!"/>
    <e v="#DIV/0!"/>
    <e v="#DIV/0!"/>
    <x v="1"/>
    <s v="one (1) one-year renewal option"/>
    <x v="1"/>
    <x v="10"/>
    <m/>
    <x v="1"/>
    <n v="0"/>
    <n v="0"/>
    <n v="0"/>
    <x v="1"/>
  </r>
  <r>
    <x v="9"/>
    <s v="2020"/>
    <s v="P539953"/>
    <s v="BCOLE"/>
    <d v="2017-07-01T00:00:00"/>
    <d v="2020-06-30T00:00:00"/>
    <s v="OEM Parts and Service for Gravely Equipment and Ariens"/>
    <s v="Port City Equipment Co"/>
    <n v="24500"/>
    <n v="0"/>
    <n v="0"/>
    <n v="35.966666666666669"/>
    <n v="2.780352177942539E-2"/>
    <n v="4.9333333333333336"/>
    <n v="0"/>
    <s v="Desired Burn Rate"/>
    <e v="#DIV/0!"/>
    <e v="#DIV/0!"/>
    <e v="#DIV/0!"/>
    <e v="#DIV/0!"/>
    <x v="1"/>
    <s v="2 one-yr renewals"/>
    <x v="1"/>
    <x v="10"/>
    <m/>
    <x v="1"/>
    <n v="0"/>
    <n v="0"/>
    <n v="0"/>
    <x v="1"/>
  </r>
  <r>
    <x v="10"/>
    <s v="2020"/>
    <s v="P539960"/>
    <s v="BCOLE"/>
    <d v="2017-08-01T00:00:00"/>
    <d v="2020-07-31T00:00:00"/>
    <s v="Parts and Service for Tennant Scrubbers - Sweepers and Litter Vacs"/>
    <s v="Tennant Sales and Service Company"/>
    <n v="24500"/>
    <n v="0"/>
    <n v="0"/>
    <n v="36"/>
    <n v="2.7777777777777776E-2"/>
    <n v="3.9333333333333331"/>
    <n v="0"/>
    <s v="Desired Burn Rate"/>
    <e v="#DIV/0!"/>
    <e v="#DIV/0!"/>
    <e v="#DIV/0!"/>
    <e v="#DIV/0!"/>
    <x v="1"/>
    <s v="2 one-yr renewals"/>
    <x v="1"/>
    <x v="10"/>
    <m/>
    <x v="1"/>
    <n v="0"/>
    <n v="0"/>
    <n v="0"/>
    <x v="1"/>
  </r>
  <r>
    <x v="0"/>
    <s v="2020"/>
    <s v="P541343"/>
    <s v="KTREAT"/>
    <d v="2017-10-01T00:00:00"/>
    <d v="2020-09-30T00:00:00"/>
    <s v="On Site Preventative Maintenance Service for Heavy Trucks and Equipment in the City's Fleet"/>
    <s v="Fleetpro, Inc."/>
    <n v="500000"/>
    <n v="0"/>
    <n v="0"/>
    <n v="35.966666666666669"/>
    <n v="2.780352177942539E-2"/>
    <n v="1.9333333333333333"/>
    <n v="0"/>
    <s v="Desired Burn Rate"/>
    <e v="#DIV/0!"/>
    <e v="#DIV/0!"/>
    <e v="#DIV/0!"/>
    <e v="#DIV/0!"/>
    <x v="1"/>
    <s v="(3) three years with (2) two (1) one year renewal "/>
    <x v="1"/>
    <x v="10"/>
    <m/>
    <x v="1"/>
    <n v="0"/>
    <n v="0"/>
    <n v="0"/>
    <x v="1"/>
  </r>
  <r>
    <x v="0"/>
    <s v="2020"/>
    <s v="P541344"/>
    <s v="KTREAT"/>
    <d v="2017-10-01T00:00:00"/>
    <d v="2020-09-30T00:00:00"/>
    <s v="On Site Preventative Maintenance Service for Heavy Trucks and Equipment in the City's Fleet"/>
    <s v="Columbia Fleet Service"/>
    <n v="500000"/>
    <n v="0"/>
    <n v="0"/>
    <n v="35.966666666666669"/>
    <n v="2.780352177942539E-2"/>
    <n v="1.9333333333333333"/>
    <n v="0"/>
    <s v="Desired Burn Rate"/>
    <e v="#DIV/0!"/>
    <e v="#DIV/0!"/>
    <e v="#DIV/0!"/>
    <e v="#DIV/0!"/>
    <x v="1"/>
    <s v="(3) three years with (2) two (1) one year renewal "/>
    <x v="1"/>
    <x v="10"/>
    <m/>
    <x v="1"/>
    <n v="0"/>
    <n v="0"/>
    <n v="0"/>
    <x v="1"/>
  </r>
  <r>
    <x v="7"/>
    <s v="2021"/>
    <s v="P536071"/>
    <s v="ABBEY"/>
    <d v="2016-07-07T00:00:00"/>
    <d v="2021-04-11T00:00:00"/>
    <s v="Archibus Mobile Application Licenses (GSA Schedule Contract)"/>
    <s v="DLT Solutions, LLC"/>
    <n v="12616.47"/>
    <n v="12616.47"/>
    <n v="1"/>
    <n v="57.133333333333333"/>
    <n v="1.7502917152858809E-2"/>
    <n v="16.733333333333334"/>
    <n v="5.97609561752988E-2"/>
    <s v="Really High Burn Rate"/>
    <n v="16.733333333333334"/>
    <d v="2017-11-07T00:00:00"/>
    <s v="November"/>
    <n v="2018"/>
    <x v="0"/>
    <s v="No options"/>
    <x v="0"/>
    <x v="7"/>
    <m/>
    <x v="1"/>
    <n v="0"/>
    <n v="0"/>
    <n v="0"/>
    <x v="0"/>
  </r>
  <r>
    <x v="7"/>
    <s v="2021"/>
    <s v="P536303"/>
    <s v="ABBEY"/>
    <d v="2016-04-11T00:00:00"/>
    <d v="2021-04-11T00:00:00"/>
    <s v="Archibus Web Central Licenses Renewal 9GSA Schedule Contract #GS-35F-267DA)"/>
    <s v="DLT Solutions, LLC"/>
    <n v="43516.41"/>
    <n v="43516.41"/>
    <n v="1"/>
    <n v="60"/>
    <n v="1.6666666666666666E-2"/>
    <n v="19.600000000000001"/>
    <n v="5.10204081632653E-2"/>
    <s v="Really High Burn Rate"/>
    <n v="19.600000000000001"/>
    <d v="2017-11-11T00:00:00"/>
    <s v="November"/>
    <n v="2018"/>
    <x v="0"/>
    <s v="No options"/>
    <x v="0"/>
    <x v="7"/>
    <m/>
    <x v="1"/>
    <n v="0"/>
    <n v="0"/>
    <n v="0"/>
    <x v="0"/>
  </r>
  <r>
    <x v="8"/>
    <s v="2021"/>
    <s v="P526837"/>
    <s v="MVASAVAD"/>
    <d v="2014-04-15T00:00:00"/>
    <d v="2021-05-14T00:00:00"/>
    <s v="PEPCO -Baltimore City Government Buildings-Monthly Invoice#BGB3-55"/>
    <s v="Pepco Government Services"/>
    <n v="1073466.3400000001"/>
    <n v="483438.47"/>
    <n v="0.45035270505081693"/>
    <n v="84.966666666666669"/>
    <n v="1.1769321302471557E-2"/>
    <n v="43.466666666666669"/>
    <n v="1.0360875116199774E-2"/>
    <s v="Desired Burn Rate"/>
    <n v="96.516943673652364"/>
    <d v="2022-04-15T00:00:00"/>
    <s v="April"/>
    <n v="2022"/>
    <x v="0"/>
    <s v="No options"/>
    <x v="0"/>
    <x v="10"/>
    <m/>
    <x v="1"/>
    <n v="0"/>
    <n v="0"/>
    <n v="0"/>
    <x v="1"/>
  </r>
  <r>
    <x v="11"/>
    <s v="2021"/>
    <s v="P525136"/>
    <s v="ABBEY"/>
    <d v="2013-08-30T00:00:00"/>
    <d v="2021-08-29T00:00:00"/>
    <s v="Energy Performance Contract - Phase II"/>
    <s v="Johnson Controls Inc."/>
    <n v="7560711.5599999996"/>
    <n v="6926441.2300000004"/>
    <n v="0.91610970409774506"/>
    <n v="95.966666666666669"/>
    <n v="1.0420284821118444E-2"/>
    <n v="50.966666666666669"/>
    <n v="1.7974683533637899E-2"/>
    <s v="High Burn Rate"/>
    <n v="55.633802849913643"/>
    <d v="2018-03-30T00:00:00"/>
    <s v="March"/>
    <n v="2018"/>
    <x v="0"/>
    <s v="No options"/>
    <x v="0"/>
    <x v="64"/>
    <m/>
    <x v="1"/>
    <n v="0"/>
    <n v="0"/>
    <n v="0"/>
    <x v="0"/>
  </r>
  <r>
    <x v="1"/>
    <s v="2020"/>
    <s v="P541500"/>
    <s v="KTREAT"/>
    <d v="2017-10-18T00:00:00"/>
    <d v="2020-10-17T00:00:00"/>
    <s v="OEM Parts and Service for John Deere Equipment"/>
    <s v="Finch Services, Inc. "/>
    <n v="4000000"/>
    <n v="0"/>
    <n v="0"/>
    <n v="35.966666666666669"/>
    <n v="2.780352177942539E-2"/>
    <n v="1.3666666666666667"/>
    <n v="0"/>
    <s v="Desired Burn Rate"/>
    <e v="#DIV/0!"/>
    <e v="#DIV/0!"/>
    <e v="#DIV/0!"/>
    <e v="#DIV/0!"/>
    <x v="1"/>
    <s v="two one-year renewal options."/>
    <x v="1"/>
    <x v="10"/>
    <m/>
    <x v="1"/>
    <n v="0"/>
    <n v="0"/>
    <n v="0"/>
    <x v="1"/>
  </r>
  <r>
    <x v="1"/>
    <s v="2020"/>
    <s v="P541501"/>
    <s v="KTREAT"/>
    <d v="2017-10-18T00:00:00"/>
    <d v="2020-10-17T00:00:00"/>
    <s v="OEM Parts and Service for John Deere Equipment"/>
    <s v="T.E.K. Equipment Repair "/>
    <n v="1000000"/>
    <n v="0"/>
    <n v="0"/>
    <n v="35.966666666666669"/>
    <n v="2.780352177942539E-2"/>
    <n v="1.3666666666666667"/>
    <n v="0"/>
    <s v="Desired Burn Rate"/>
    <e v="#DIV/0!"/>
    <e v="#DIV/0!"/>
    <e v="#DIV/0!"/>
    <e v="#DIV/0!"/>
    <x v="1"/>
    <s v="two one-year renewal options."/>
    <x v="1"/>
    <x v="10"/>
    <m/>
    <x v="1"/>
    <n v="0"/>
    <n v="0"/>
    <n v="0"/>
    <x v="1"/>
  </r>
  <r>
    <x v="1"/>
    <s v="2020"/>
    <s v="P541503"/>
    <s v="KTREAT"/>
    <d v="2017-10-18T00:00:00"/>
    <d v="2020-10-17T00:00:00"/>
    <s v="Raybestos Brakes for Cars and Light Trucks"/>
    <s v="ROK Brothers Inc. "/>
    <n v="300000"/>
    <n v="0"/>
    <n v="0"/>
    <n v="35.966666666666669"/>
    <n v="2.780352177942539E-2"/>
    <n v="1.3666666666666667"/>
    <n v="0"/>
    <s v="Desired Burn Rate"/>
    <e v="#DIV/0!"/>
    <e v="#DIV/0!"/>
    <e v="#DIV/0!"/>
    <e v="#DIV/0!"/>
    <x v="1"/>
    <s v="two one-year renewal options"/>
    <x v="1"/>
    <x v="10"/>
    <m/>
    <x v="1"/>
    <n v="0"/>
    <n v="0"/>
    <n v="0"/>
    <x v="1"/>
  </r>
  <r>
    <x v="2"/>
    <s v="2018"/>
    <s v="P541720"/>
    <s v="KADDAMS"/>
    <d v="2017-11-22T00:00:00"/>
    <d v="2018-02-21T00:00:00"/>
    <s v="Parts and Repair Service for Muncie Pumps, Power Take Offs and Valves"/>
    <s v="R&amp;M Equipment "/>
    <n v="4995"/>
    <n v="0"/>
    <n v="0"/>
    <n v="2.9666666666666668"/>
    <n v="0.33707865168539325"/>
    <n v="0.23333333333333334"/>
    <n v="0"/>
    <s v="Desired Burn Rate"/>
    <e v="#DIV/0!"/>
    <e v="#DIV/0!"/>
    <e v="#DIV/0!"/>
    <e v="#DIV/0!"/>
    <x v="1"/>
    <s v="No options"/>
    <x v="0"/>
    <x v="65"/>
    <m/>
    <x v="0"/>
    <n v="1"/>
    <n v="0"/>
    <n v="1"/>
    <x v="1"/>
  </r>
  <r>
    <x v="3"/>
    <s v="2022"/>
    <s v="P541625"/>
    <s v="KADDAMS"/>
    <d v="2017-11-08T00:00:00"/>
    <d v="2022-11-07T00:00:00"/>
    <s v="O.E.M. Parts, Warranty and Service for John Deere Forestry and Heavy Construction"/>
    <s v="JESCO, INC. "/>
    <n v="2500000"/>
    <n v="0"/>
    <n v="0"/>
    <n v="59.966666666666669"/>
    <n v="1.6675931072818232E-2"/>
    <n v="0.7"/>
    <n v="0"/>
    <s v="Desired Burn Rate"/>
    <e v="#DIV/0!"/>
    <e v="#DIV/0!"/>
    <e v="#DIV/0!"/>
    <e v="#DIV/0!"/>
    <x v="1"/>
    <s v="No options"/>
    <x v="0"/>
    <x v="10"/>
    <m/>
    <x v="1"/>
    <n v="0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62:B65" firstHeaderRow="1" firstDataRow="1" firstDataCol="1" rowPageCount="1" colPageCount="1"/>
  <pivotFields count="30"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44" showAll="0"/>
    <pivotField numFmtId="44" showAll="0" defaultSubtota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3">
        <item m="1" x="82"/>
        <item m="1" x="80"/>
        <item h="1" x="7"/>
        <item x="30"/>
        <item m="1" x="90"/>
        <item m="1" x="76"/>
        <item x="14"/>
        <item m="1" x="72"/>
        <item x="47"/>
        <item m="1" x="81"/>
        <item h="1" x="11"/>
        <item m="1" x="75"/>
        <item x="48"/>
        <item x="50"/>
        <item x="51"/>
        <item h="1" m="1" x="89"/>
        <item h="1" x="12"/>
        <item m="1" x="83"/>
        <item m="1" x="79"/>
        <item m="1" x="88"/>
        <item m="1" x="84"/>
        <item x="63"/>
        <item x="49"/>
        <item x="62"/>
        <item x="60"/>
        <item m="1" x="73"/>
        <item x="53"/>
        <item m="1" x="71"/>
        <item m="1" x="66"/>
        <item m="1" x="85"/>
        <item x="52"/>
        <item x="44"/>
        <item m="1" x="74"/>
        <item m="1" x="87"/>
        <item x="59"/>
        <item x="61"/>
        <item x="57"/>
        <item x="55"/>
        <item x="56"/>
        <item m="1" x="67"/>
        <item x="46"/>
        <item x="4"/>
        <item x="54"/>
        <item m="1" x="70"/>
        <item m="1" x="77"/>
        <item m="1" x="68"/>
        <item x="43"/>
        <item m="1" x="91"/>
        <item x="58"/>
        <item m="1" x="69"/>
        <item x="10"/>
        <item m="1" x="86"/>
        <item x="1"/>
        <item x="2"/>
        <item x="3"/>
        <item x="5"/>
        <item x="6"/>
        <item x="8"/>
        <item x="9"/>
        <item m="1" x="78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h="1" x="45"/>
        <item x="64"/>
        <item x="65"/>
        <item h="1" x="0"/>
        <item h="1" x="36"/>
        <item h="1" x="42"/>
        <item t="default"/>
      </items>
    </pivotField>
    <pivotField showAll="0" defaultSubtotal="0"/>
    <pivotField showAll="0"/>
    <pivotField showAll="0"/>
    <pivotField showAll="0"/>
    <pivotField showAll="0"/>
    <pivotField axis="axisRow" showAll="0">
      <items count="5">
        <item x="0"/>
        <item x="1"/>
        <item h="1" m="1" x="3"/>
        <item h="1" m="1" x="2"/>
        <item t="default"/>
      </items>
    </pivotField>
  </pivotFields>
  <rowFields count="1">
    <field x="29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PO" fld="2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1:E49" firstHeaderRow="1" firstDataRow="2" firstDataCol="1" rowPageCount="3" colPageCount="1"/>
  <pivotFields count="30">
    <pivotField axis="axisRow" showAll="0">
      <items count="13">
        <item x="11"/>
        <item x="0"/>
        <item x="1"/>
        <item x="3"/>
        <item x="7"/>
        <item x="8"/>
        <item x="9"/>
        <item x="10"/>
        <item x="4"/>
        <item x="5"/>
        <item x="2"/>
        <item x="6"/>
        <item t="default"/>
      </items>
    </pivotField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44" showAll="0"/>
    <pivotField numFmtId="44" showAll="0" defaultSubtota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m="1" x="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93">
        <item m="1" x="82"/>
        <item m="1" x="80"/>
        <item h="1" x="7"/>
        <item x="30"/>
        <item m="1" x="90"/>
        <item m="1" x="76"/>
        <item x="14"/>
        <item m="1" x="72"/>
        <item x="47"/>
        <item m="1" x="81"/>
        <item h="1" x="11"/>
        <item m="1" x="75"/>
        <item x="48"/>
        <item x="50"/>
        <item x="51"/>
        <item h="1" m="1" x="89"/>
        <item h="1" x="12"/>
        <item m="1" x="83"/>
        <item m="1" x="79"/>
        <item m="1" x="88"/>
        <item m="1" x="84"/>
        <item x="63"/>
        <item x="49"/>
        <item x="62"/>
        <item x="60"/>
        <item m="1" x="73"/>
        <item x="53"/>
        <item m="1" x="71"/>
        <item m="1" x="66"/>
        <item m="1" x="85"/>
        <item x="52"/>
        <item x="44"/>
        <item m="1" x="74"/>
        <item m="1" x="87"/>
        <item x="59"/>
        <item x="61"/>
        <item x="57"/>
        <item x="55"/>
        <item x="56"/>
        <item m="1" x="67"/>
        <item x="46"/>
        <item x="4"/>
        <item x="54"/>
        <item m="1" x="70"/>
        <item m="1" x="77"/>
        <item m="1" x="68"/>
        <item x="43"/>
        <item m="1" x="91"/>
        <item x="58"/>
        <item m="1" x="69"/>
        <item x="10"/>
        <item m="1" x="86"/>
        <item x="1"/>
        <item x="2"/>
        <item x="3"/>
        <item x="5"/>
        <item x="6"/>
        <item x="8"/>
        <item x="9"/>
        <item m="1" x="78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h="1" x="45"/>
        <item x="64"/>
        <item x="65"/>
        <item h="1" x="0"/>
        <item h="1" x="36"/>
        <item h="1" x="42"/>
        <item t="default"/>
      </items>
    </pivotField>
    <pivotField showAll="0" defaultSubtota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7">
    <i>
      <x v="2"/>
    </i>
    <i>
      <x v="3"/>
    </i>
    <i>
      <x v="8"/>
    </i>
    <i>
      <x v="9"/>
    </i>
    <i>
      <x v="10"/>
    </i>
    <i>
      <x v="11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3">
    <pageField fld="23" hier="-1"/>
    <pageField fld="25" item="0" hier="-1"/>
    <pageField fld="22" item="0" hier="-1"/>
  </pageFields>
  <dataFields count="1">
    <dataField name="Count of PO" fld="2" subtotal="count" baseField="0" baseItem="0"/>
  </dataFields>
  <chartFormats count="3"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27:B31" firstHeaderRow="1" firstDataRow="1" firstDataCol="1" rowPageCount="3" colPageCount="1"/>
  <pivotFields count="30"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44" showAll="0"/>
    <pivotField numFmtId="44" showAll="0" defaultSubtota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m="1" x="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93">
        <item m="1" x="82"/>
        <item m="1" x="80"/>
        <item h="1" x="7"/>
        <item x="30"/>
        <item m="1" x="90"/>
        <item m="1" x="76"/>
        <item x="14"/>
        <item m="1" x="72"/>
        <item x="47"/>
        <item m="1" x="81"/>
        <item h="1" x="11"/>
        <item m="1" x="75"/>
        <item x="48"/>
        <item x="50"/>
        <item x="51"/>
        <item h="1" m="1" x="89"/>
        <item h="1" x="12"/>
        <item m="1" x="83"/>
        <item m="1" x="79"/>
        <item m="1" x="88"/>
        <item m="1" x="84"/>
        <item x="63"/>
        <item x="49"/>
        <item x="62"/>
        <item x="60"/>
        <item m="1" x="73"/>
        <item x="53"/>
        <item m="1" x="71"/>
        <item m="1" x="66"/>
        <item m="1" x="85"/>
        <item x="52"/>
        <item x="44"/>
        <item m="1" x="74"/>
        <item m="1" x="87"/>
        <item x="59"/>
        <item x="61"/>
        <item x="57"/>
        <item x="55"/>
        <item x="56"/>
        <item m="1" x="67"/>
        <item x="46"/>
        <item x="4"/>
        <item x="54"/>
        <item m="1" x="70"/>
        <item m="1" x="77"/>
        <item m="1" x="68"/>
        <item x="43"/>
        <item m="1" x="91"/>
        <item x="58"/>
        <item m="1" x="69"/>
        <item x="10"/>
        <item m="1" x="86"/>
        <item x="1"/>
        <item x="2"/>
        <item x="3"/>
        <item x="5"/>
        <item x="6"/>
        <item x="8"/>
        <item x="9"/>
        <item m="1" x="78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h="1" x="45"/>
        <item x="64"/>
        <item x="65"/>
        <item h="1" x="0"/>
        <item h="1" x="36"/>
        <item h="1" x="42"/>
        <item t="default"/>
      </items>
    </pivotField>
    <pivotField showAll="0" defaultSubtota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23" hier="-1"/>
    <pageField fld="25" item="0" hier="-1"/>
    <pageField fld="22" item="0" hier="-1"/>
  </pageFields>
  <dataFields count="1">
    <dataField name="Count of PO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4:B17" firstHeaderRow="1" firstDataRow="1" firstDataCol="1" rowPageCount="2" colPageCount="1"/>
  <pivotFields count="30"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44" showAll="0"/>
    <pivotField numFmtId="44" showAll="0" defaultSubtota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93">
        <item m="1" x="82"/>
        <item m="1" x="80"/>
        <item h="1" x="7"/>
        <item x="30"/>
        <item m="1" x="90"/>
        <item m="1" x="76"/>
        <item x="14"/>
        <item m="1" x="72"/>
        <item x="47"/>
        <item m="1" x="81"/>
        <item h="1" x="11"/>
        <item m="1" x="75"/>
        <item x="48"/>
        <item x="50"/>
        <item x="51"/>
        <item h="1" m="1" x="89"/>
        <item h="1" x="12"/>
        <item m="1" x="83"/>
        <item m="1" x="79"/>
        <item m="1" x="88"/>
        <item m="1" x="84"/>
        <item x="63"/>
        <item x="49"/>
        <item x="62"/>
        <item x="60"/>
        <item m="1" x="73"/>
        <item x="53"/>
        <item m="1" x="71"/>
        <item m="1" x="66"/>
        <item m="1" x="85"/>
        <item x="52"/>
        <item x="44"/>
        <item m="1" x="74"/>
        <item m="1" x="87"/>
        <item x="59"/>
        <item x="61"/>
        <item x="57"/>
        <item x="55"/>
        <item x="56"/>
        <item m="1" x="67"/>
        <item x="46"/>
        <item x="4"/>
        <item x="54"/>
        <item m="1" x="70"/>
        <item m="1" x="77"/>
        <item m="1" x="68"/>
        <item x="43"/>
        <item m="1" x="91"/>
        <item x="58"/>
        <item m="1" x="69"/>
        <item x="10"/>
        <item m="1" x="86"/>
        <item x="1"/>
        <item x="2"/>
        <item x="3"/>
        <item x="5"/>
        <item x="6"/>
        <item x="8"/>
        <item x="9"/>
        <item m="1" x="78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h="1" x="45"/>
        <item x="64"/>
        <item x="65"/>
        <item h="1" x="0"/>
        <item h="1" x="36"/>
        <item h="1" x="42"/>
        <item t="default"/>
      </items>
    </pivotField>
    <pivotField showAll="0" defaultSubtota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pageFields count="2">
    <pageField fld="23" hier="-1"/>
    <pageField fld="25" item="0" hier="-1"/>
  </pageFields>
  <dataFields count="1">
    <dataField name="Count of PO" fld="2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6" firstHeaderRow="1" firstDataRow="1" firstDataCol="1" rowPageCount="1" colPageCount="1"/>
  <pivotFields count="30"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44" showAll="0"/>
    <pivotField numFmtId="44" showAll="0" defaultSubtota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3">
        <item m="1" x="82"/>
        <item m="1" x="80"/>
        <item h="1" x="7"/>
        <item x="30"/>
        <item m="1" x="90"/>
        <item m="1" x="76"/>
        <item x="14"/>
        <item m="1" x="72"/>
        <item x="47"/>
        <item m="1" x="81"/>
        <item h="1" x="11"/>
        <item m="1" x="75"/>
        <item x="48"/>
        <item x="50"/>
        <item x="51"/>
        <item h="1" m="1" x="89"/>
        <item h="1" x="12"/>
        <item m="1" x="83"/>
        <item m="1" x="79"/>
        <item m="1" x="88"/>
        <item m="1" x="84"/>
        <item x="63"/>
        <item x="49"/>
        <item x="62"/>
        <item x="60"/>
        <item m="1" x="73"/>
        <item x="53"/>
        <item m="1" x="71"/>
        <item m="1" x="66"/>
        <item m="1" x="85"/>
        <item x="52"/>
        <item x="44"/>
        <item m="1" x="74"/>
        <item m="1" x="87"/>
        <item x="59"/>
        <item x="61"/>
        <item x="57"/>
        <item x="55"/>
        <item x="56"/>
        <item m="1" x="67"/>
        <item x="46"/>
        <item x="4"/>
        <item x="54"/>
        <item m="1" x="70"/>
        <item m="1" x="77"/>
        <item m="1" x="68"/>
        <item x="43"/>
        <item m="1" x="91"/>
        <item x="58"/>
        <item m="1" x="69"/>
        <item x="10"/>
        <item m="1" x="86"/>
        <item x="1"/>
        <item x="2"/>
        <item x="3"/>
        <item x="5"/>
        <item x="6"/>
        <item x="8"/>
        <item x="9"/>
        <item m="1" x="78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h="1" x="45"/>
        <item x="64"/>
        <item x="65"/>
        <item h="1" x="0"/>
        <item h="1" x="36"/>
        <item h="1" x="42"/>
        <item t="default"/>
      </items>
    </pivotField>
    <pivotField showAll="0" defaultSubtota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PO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74:C78" firstHeaderRow="1" firstDataRow="2" firstDataCol="1" rowPageCount="1" colPageCount="1"/>
  <pivotFields count="30"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44" showAll="0"/>
    <pivotField numFmtId="44" showAll="0" defaultSubtotal="0"/>
    <pivotField showAll="0"/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m="1" x="3"/>
        <item t="default"/>
      </items>
    </pivotField>
    <pivotField showAll="0"/>
    <pivotField showAll="0"/>
    <pivotField axis="axisPage" multipleItemSelectionAllowed="1" showAll="0">
      <items count="93">
        <item m="1" x="82"/>
        <item m="1" x="80"/>
        <item h="1" x="7"/>
        <item x="30"/>
        <item m="1" x="90"/>
        <item m="1" x="76"/>
        <item x="14"/>
        <item m="1" x="72"/>
        <item x="47"/>
        <item m="1" x="81"/>
        <item h="1" x="11"/>
        <item m="1" x="75"/>
        <item x="48"/>
        <item x="50"/>
        <item x="51"/>
        <item h="1" m="1" x="89"/>
        <item h="1" x="12"/>
        <item m="1" x="83"/>
        <item m="1" x="79"/>
        <item m="1" x="88"/>
        <item m="1" x="84"/>
        <item x="63"/>
        <item x="49"/>
        <item x="62"/>
        <item x="60"/>
        <item m="1" x="73"/>
        <item x="53"/>
        <item m="1" x="71"/>
        <item m="1" x="66"/>
        <item m="1" x="85"/>
        <item x="52"/>
        <item x="44"/>
        <item m="1" x="74"/>
        <item m="1" x="87"/>
        <item x="59"/>
        <item x="61"/>
        <item x="57"/>
        <item x="55"/>
        <item x="56"/>
        <item m="1" x="67"/>
        <item x="46"/>
        <item x="4"/>
        <item x="54"/>
        <item m="1" x="70"/>
        <item m="1" x="77"/>
        <item m="1" x="68"/>
        <item x="43"/>
        <item m="1" x="91"/>
        <item x="58"/>
        <item m="1" x="69"/>
        <item x="10"/>
        <item m="1" x="86"/>
        <item x="1"/>
        <item x="2"/>
        <item x="3"/>
        <item x="5"/>
        <item x="6"/>
        <item x="8"/>
        <item x="9"/>
        <item m="1" x="78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h="1" x="45"/>
        <item x="64"/>
        <item x="65"/>
        <item h="1" x="0"/>
        <item h="1" x="36"/>
        <item h="1" x="42"/>
        <item t="default"/>
      </items>
    </pivotField>
    <pivotField showAll="0" defaultSubtotal="0"/>
    <pivotField showAll="0"/>
    <pivotField showAll="0"/>
    <pivotField showAll="0"/>
    <pivotField showAll="0"/>
    <pivotField axis="axisCol" showAll="0">
      <items count="5">
        <item x="0"/>
        <item h="1" x="1"/>
        <item h="1" m="1" x="3"/>
        <item h="1" m="1" x="2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29"/>
  </colFields>
  <colItems count="2">
    <i>
      <x/>
    </i>
    <i t="grand">
      <x/>
    </i>
  </colItems>
  <pageFields count="1">
    <pageField fld="23" hier="-1"/>
  </pageFields>
  <dataFields count="1">
    <dataField name="Count of PO" fld="2" subtotal="count" baseField="0" baseItem="0"/>
  </dataField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8" name="Table8" displayName="Table8" ref="A1:S45" totalsRowShown="0">
  <autoFilter ref="A1:S45"/>
  <tableColumns count="19">
    <tableColumn id="1" name="Expiring Month"/>
    <tableColumn id="2" name="Expiring Yr"/>
    <tableColumn id="3" name="PO"/>
    <tableColumn id="4" name="BUYER"/>
    <tableColumn id="5" name="MB START" dataDxfId="84"/>
    <tableColumn id="6" name="MB END" dataDxfId="83"/>
    <tableColumn id="7" name="DESCRIPTION"/>
    <tableColumn id="8" name="VENDOR"/>
    <tableColumn id="9" name="MB $ LIMIT" dataCellStyle="Currency"/>
    <tableColumn id="10" name="MB $ SPENT" dataCellStyle="Currency"/>
    <tableColumn id="11" name="% SPEND" dataCellStyle="Percent"/>
    <tableColumn id="16" name="Burn Rate Status"/>
    <tableColumn id="18" name="Projected Limit Date" dataDxfId="82"/>
    <tableColumn id="21" name="Division"/>
    <tableColumn id="22" name="Options Remaining"/>
    <tableColumn id="24" name="Comments"/>
    <tableColumn id="25" name="Spending Comments"/>
    <tableColumn id="26" name="Less than 6  Mos?"/>
    <tableColumn id="30" name="Over 75% Spending Li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S40" totalsRowShown="0">
  <autoFilter ref="A1:S40"/>
  <tableColumns count="19">
    <tableColumn id="1" name="Expiring Month"/>
    <tableColumn id="2" name="Expiring Yr"/>
    <tableColumn id="3" name="PO"/>
    <tableColumn id="4" name="BUYER"/>
    <tableColumn id="5" name="MB START" dataDxfId="81"/>
    <tableColumn id="6" name="MB END" dataDxfId="80"/>
    <tableColumn id="7" name="DESCRIPTION"/>
    <tableColumn id="8" name="VENDOR"/>
    <tableColumn id="9" name="MB $ LIMIT" dataCellStyle="Currency"/>
    <tableColumn id="10" name="MB $ SPENT" dataCellStyle="Currency"/>
    <tableColumn id="11" name="% SPEND" dataCellStyle="Percent"/>
    <tableColumn id="16" name="Burn Rate Status"/>
    <tableColumn id="18" name="Projected Limit Date" dataDxfId="79"/>
    <tableColumn id="21" name="Division"/>
    <tableColumn id="22" name="Options Remaining"/>
    <tableColumn id="24" name="Comments"/>
    <tableColumn id="25" name="Spending Comments"/>
    <tableColumn id="26" name="Less than 6  Mos?"/>
    <tableColumn id="30" name="Over 75% Spending Lim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V51" totalsRowShown="0">
  <autoFilter ref="A1:V51">
    <filterColumn colId="13">
      <filters>
        <filter val="Facilities"/>
      </filters>
    </filterColumn>
  </autoFilter>
  <tableColumns count="22">
    <tableColumn id="1" name="Expiring Month"/>
    <tableColumn id="2" name="Expiring Yr"/>
    <tableColumn id="3" name="PO"/>
    <tableColumn id="4" name="BUYER"/>
    <tableColumn id="5" name="MB START" dataDxfId="78"/>
    <tableColumn id="6" name="MB END" dataDxfId="77"/>
    <tableColumn id="7" name="DESCRIPTION"/>
    <tableColumn id="8" name="VENDOR"/>
    <tableColumn id="9" name="MB $ LIMIT" dataCellStyle="Currency"/>
    <tableColumn id="10" name="MB $ SPENT" dataCellStyle="Currency"/>
    <tableColumn id="11" name="% SPEND" dataCellStyle="Percent"/>
    <tableColumn id="16" name="Burn Rate Status"/>
    <tableColumn id="18" name="Projected Limit Date" dataDxfId="76"/>
    <tableColumn id="21" name="Division"/>
    <tableColumn id="22" name="Options Remaining"/>
    <tableColumn id="24" name="Comments"/>
    <tableColumn id="25" name="Spending Comments"/>
    <tableColumn id="26" name="Less than 6  Mos?"/>
    <tableColumn id="27" name="Expiring"/>
    <tableColumn id="28" name="Safe"/>
    <tableColumn id="29" name="Less than 6  mos No Options"/>
    <tableColumn id="30" name="Over 75% Spending Lim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AD247" totalsRowCount="1" headerRowDxfId="71">
  <autoFilter ref="A1:AD246">
    <filterColumn colId="20">
      <filters>
        <filter val="Facilities"/>
      </filters>
    </filterColumn>
    <filterColumn colId="29">
      <filters>
        <filter val="Reaching Spending Limit"/>
      </filters>
    </filterColumn>
  </autoFilter>
  <tableColumns count="30">
    <tableColumn id="28" name="Expiring Month" dataDxfId="70" totalsRowDxfId="69">
      <calculatedColumnFormula>TEXT(Table2[[#This Row],[MB END]],"mmmm")</calculatedColumnFormula>
    </tableColumn>
    <tableColumn id="29" name="Expiring Yr" dataDxfId="68" totalsRowDxfId="67">
      <calculatedColumnFormula>TEXT(Table2[[#This Row],[MB END]],"yyyy")</calculatedColumnFormula>
    </tableColumn>
    <tableColumn id="1" name="PO" dataDxfId="66" totalsRowDxfId="65"/>
    <tableColumn id="2" name="BUYER" dataDxfId="64" totalsRowDxfId="63"/>
    <tableColumn id="3" name="MB START" dataDxfId="62" totalsRowDxfId="61"/>
    <tableColumn id="4" name="MB END" dataDxfId="60" totalsRowDxfId="59"/>
    <tableColumn id="5" name="DESCRIPTION" dataDxfId="58" totalsRowDxfId="57"/>
    <tableColumn id="6" name="VENDOR" dataDxfId="56" totalsRowDxfId="55"/>
    <tableColumn id="7" name="MB $ LIMIT" totalsRowFunction="sum" dataDxfId="54" totalsRowDxfId="53" dataCellStyle="Currency"/>
    <tableColumn id="8" name="MB $ SPENT" totalsRowFunction="sum" dataDxfId="52" totalsRowDxfId="51" dataCellStyle="Currency"/>
    <tableColumn id="9" name="% SPEND" totalsRowFunction="custom" totalsRowDxfId="50" dataCellStyle="Percent">
      <calculatedColumnFormula>J2/I2</calculatedColumnFormula>
      <totalsRowFormula>Table2[[#Totals],[MB $ SPENT]]/Table2[[#Totals],[MB $ LIMIT]]</totalsRowFormula>
    </tableColumn>
    <tableColumn id="10" name="Contract Length by # Months" dataDxfId="49" totalsRowDxfId="48">
      <calculatedColumnFormula>DAYS360(E2,F2,FALSE)/30</calculatedColumnFormula>
    </tableColumn>
    <tableColumn id="11" name="Desired Burn Rate" totalsRowDxfId="47" dataCellStyle="Percent">
      <calculatedColumnFormula>(I2/L2)/I2</calculatedColumnFormula>
    </tableColumn>
    <tableColumn id="12" name="# Months Passed" dataDxfId="46" totalsRowDxfId="45">
      <calculatedColumnFormula>DAYS360(E2,$AE$1,)/30</calculatedColumnFormula>
    </tableColumn>
    <tableColumn id="13" name="Current Burn Rate" totalsRowDxfId="44" dataCellStyle="Percent">
      <calculatedColumnFormula>(J2/N2)/I2</calculatedColumnFormula>
    </tableColumn>
    <tableColumn id="14" name="Burn Rate Status" dataDxfId="43" totalsRowDxfId="42">
      <calculatedColumnFormula>IF(AND(O2&gt;M2,O2&lt;(2*M2)),"High Burn Rate",IF(O2&gt;=(2*M2),"Really High Burn Rate","Desired Burn Rate"))</calculatedColumnFormula>
    </tableColumn>
    <tableColumn id="15" name="Projected Limit Mo." dataDxfId="41" totalsRowDxfId="40">
      <calculatedColumnFormula>I2/(J2/N2)</calculatedColumnFormula>
    </tableColumn>
    <tableColumn id="16" name="Projected Limit Date" dataDxfId="39" totalsRowDxfId="38">
      <calculatedColumnFormula>EDATE(E2,Q2)</calculatedColumnFormula>
    </tableColumn>
    <tableColumn id="17" name="Limit Month" dataDxfId="37" totalsRowDxfId="36">
      <calculatedColumnFormula>TEXT(Table2[[#This Row],[Projected Limit Date]],"mmmm")</calculatedColumnFormula>
    </tableColumn>
    <tableColumn id="18" name="Limit FY" dataDxfId="35" totalsRowDxfId="34">
      <calculatedColumnFormula>YEAR(DATE(YEAR(R2),MONTH(R2)+($AF$1-1),1))</calculatedColumnFormula>
    </tableColumn>
    <tableColumn id="19" name="Division" dataDxfId="33" totalsRowDxfId="32"/>
    <tableColumn id="20" name="Options Remaining" dataDxfId="31" totalsRowDxfId="30"/>
    <tableColumn id="21" name="Option (Y/N)" dataDxfId="29" totalsRowDxfId="28">
      <calculatedColumnFormula>IF(V2="No options","No options","Options")</calculatedColumnFormula>
    </tableColumn>
    <tableColumn id="22" name="Comments" dataDxfId="27" totalsRowDxfId="26"/>
    <tableColumn id="30" name="Spending Comments" dataDxfId="25" totalsRowDxfId="24"/>
    <tableColumn id="23" name="Less than 6  Mos?" dataDxfId="23" totalsRowDxfId="22">
      <calculatedColumnFormula>IF((DAYS360($AE$1,F2,)/30)&lt;=6,"Expiring &lt; 6 Months","Expiring &gt; 6 Months")</calculatedColumnFormula>
    </tableColumn>
    <tableColumn id="24" name="Expiring" dataDxfId="21" totalsRowDxfId="20">
      <calculatedColumnFormula>IF(Z2="Expiring &lt; 6 Months",1,0)</calculatedColumnFormula>
    </tableColumn>
    <tableColumn id="25" name="Safe" dataDxfId="19" totalsRowDxfId="18">
      <calculatedColumnFormula>IF(Z2="Expiring &gt; 12 Months",1,0)</calculatedColumnFormula>
    </tableColumn>
    <tableColumn id="26" name="Less than 6  mos No Options" dataDxfId="17" totalsRowDxfId="16">
      <calculatedColumnFormula>IF(AND(W2="No Options",AA2=1),1,0)</calculatedColumnFormula>
    </tableColumn>
    <tableColumn id="27" name="Over 75% Spending Limit" dataDxfId="15" totalsRowDxfId="14">
      <calculatedColumnFormula>IF(K2&gt;=0.75,"Reaching Spending Limit","Safe")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H124" totalsRowShown="0">
  <autoFilter ref="A1:H124"/>
  <tableColumns count="8">
    <tableColumn id="1" name="PO"/>
    <tableColumn id="2" name="BUYER"/>
    <tableColumn id="3" name="Division"/>
    <tableColumn id="4" name="DESCRIPTION"/>
    <tableColumn id="5" name="VENDOR"/>
    <tableColumn id="6" name="MB END" dataDxfId="13"/>
    <tableColumn id="7" name="Options Remaining"/>
    <tableColumn id="8" name="Comme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K80" totalsRowShown="0" headerRowDxfId="12" headerRowBorderDxfId="11">
  <autoFilter ref="A1:K80">
    <filterColumn colId="2">
      <filters>
        <filter val="Fleet"/>
      </filters>
    </filterColumn>
  </autoFilter>
  <sortState ref="A27:K80">
    <sortCondition ref="D1:D80"/>
  </sortState>
  <tableColumns count="11">
    <tableColumn id="1" name="PO" dataDxfId="10"/>
    <tableColumn id="2" name="BUYER" dataDxfId="9"/>
    <tableColumn id="3" name="Division"/>
    <tableColumn id="4" name="DESCRIPTION" dataDxfId="8"/>
    <tableColumn id="5" name="VENDOR"/>
    <tableColumn id="6" name="MB END" dataDxfId="7"/>
    <tableColumn id="7" name="Projected Limit Date" dataDxfId="6"/>
    <tableColumn id="8" name="Comments"/>
    <tableColumn id="9" name="Sum of MB $ LIMIT" dataDxfId="5"/>
    <tableColumn id="10" name="Sum of MB $ SPEND" dataDxfId="4"/>
    <tableColumn id="11" name="Sum of % SPEND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L49" totalsRowShown="0">
  <autoFilter ref="A1:L49">
    <filterColumn colId="5">
      <filters>
        <filter val="Fleet"/>
      </filters>
    </filterColumn>
  </autoFilter>
  <sortState ref="A2:L67">
    <sortCondition descending="1" ref="G1:G67"/>
  </sortState>
  <tableColumns count="12">
    <tableColumn id="1" name="PO"/>
    <tableColumn id="2" name="BUYER"/>
    <tableColumn id="3" name="DESCRIPTION"/>
    <tableColumn id="4" name="VENDOR"/>
    <tableColumn id="5" name="MB END" dataDxfId="2"/>
    <tableColumn id="6" name="Division"/>
    <tableColumn id="7" name="Burn Rate Status"/>
    <tableColumn id="8" name="Projected Limit Date" dataDxfId="1"/>
    <tableColumn id="10" name="Sum of MB $ LIMIT" dataCellStyle="Currency"/>
    <tableColumn id="11" name="Sum of MB $ SPEND" dataCellStyle="Currency"/>
    <tableColumn id="12" name="Sum of % SPEND" dataCellStyle="Percent"/>
    <tableColumn id="13" name="Comments" dataDxfId="0">
      <calculatedColumnFormula>VLOOKUP(Table6[[#This Row],[PO]],'spending limit'!$A$14:$H$80,8,)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28" zoomScale="160" zoomScaleNormal="160" workbookViewId="0">
      <selection activeCell="S28" sqref="S28"/>
    </sheetView>
  </sheetViews>
  <sheetFormatPr defaultRowHeight="15"/>
  <cols>
    <col min="1" max="2" width="9.140625" style="103"/>
    <col min="3" max="4" width="10.7109375" style="103" bestFit="1" customWidth="1"/>
    <col min="5" max="5" width="16.85546875" style="103" customWidth="1"/>
    <col min="6" max="6" width="9.7109375" style="103" customWidth="1"/>
    <col min="7" max="7" width="10" style="103" customWidth="1"/>
    <col min="8" max="8" width="9.85546875" style="103" customWidth="1"/>
    <col min="9" max="11" width="9.140625" style="103"/>
    <col min="12" max="12" width="9.140625" style="103" customWidth="1"/>
    <col min="13" max="16384" width="9.140625" style="103"/>
  </cols>
  <sheetData>
    <row r="1" spans="1:1" ht="26.25">
      <c r="A1" s="104" t="s">
        <v>929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5"/>
  <cols>
    <col min="3" max="3" width="56.5703125" customWidth="1"/>
    <col min="4" max="4" width="10.7109375" customWidth="1"/>
    <col min="5" max="5" width="13.42578125" style="14" customWidth="1"/>
    <col min="6" max="6" width="17.5703125" customWidth="1"/>
    <col min="7" max="7" width="21.140625" style="14" customWidth="1"/>
    <col min="8" max="8" width="21.140625" style="78" customWidth="1"/>
    <col min="9" max="10" width="20.42578125" style="6" customWidth="1"/>
    <col min="11" max="11" width="17.5703125" style="19" customWidth="1"/>
    <col min="12" max="12" width="12.42578125" customWidth="1"/>
  </cols>
  <sheetData>
    <row r="1" spans="1:12">
      <c r="A1" t="s">
        <v>536</v>
      </c>
      <c r="B1" t="s">
        <v>537</v>
      </c>
      <c r="C1" t="s">
        <v>540</v>
      </c>
      <c r="D1" t="s">
        <v>541</v>
      </c>
      <c r="E1" s="14" t="s">
        <v>539</v>
      </c>
      <c r="F1" t="s">
        <v>553</v>
      </c>
      <c r="G1" t="s">
        <v>548</v>
      </c>
      <c r="H1" s="14" t="s">
        <v>550</v>
      </c>
      <c r="I1" s="6" t="s">
        <v>798</v>
      </c>
      <c r="J1" s="6" t="s">
        <v>799</v>
      </c>
      <c r="K1" s="19" t="s">
        <v>800</v>
      </c>
      <c r="L1" t="s">
        <v>556</v>
      </c>
    </row>
    <row r="2" spans="1:12" hidden="1">
      <c r="A2" t="s">
        <v>406</v>
      </c>
      <c r="B2" t="s">
        <v>0</v>
      </c>
      <c r="C2" t="s">
        <v>407</v>
      </c>
      <c r="D2" t="s">
        <v>408</v>
      </c>
      <c r="E2" s="14">
        <v>44297</v>
      </c>
      <c r="F2" t="s">
        <v>563</v>
      </c>
      <c r="G2" t="s">
        <v>802</v>
      </c>
      <c r="H2" s="14">
        <v>42862</v>
      </c>
      <c r="I2" s="6">
        <v>12616.47</v>
      </c>
      <c r="J2" s="6">
        <v>12616.47</v>
      </c>
      <c r="K2" s="19">
        <v>1</v>
      </c>
      <c r="L2" t="str">
        <f>VLOOKUP(Table6[[#This Row],[PO]],'spending limit'!$A$14:$H$80,8,)</f>
        <v>annual purchase</v>
      </c>
    </row>
    <row r="3" spans="1:12" hidden="1">
      <c r="A3" t="s">
        <v>417</v>
      </c>
      <c r="B3" t="s">
        <v>0</v>
      </c>
      <c r="C3" t="s">
        <v>418</v>
      </c>
      <c r="D3" t="s">
        <v>408</v>
      </c>
      <c r="E3" s="14">
        <v>44297</v>
      </c>
      <c r="F3" t="s">
        <v>563</v>
      </c>
      <c r="G3" t="s">
        <v>802</v>
      </c>
      <c r="H3" s="14">
        <v>42836</v>
      </c>
      <c r="I3" s="6">
        <v>13374.52</v>
      </c>
      <c r="J3" s="6">
        <v>13374.52</v>
      </c>
      <c r="K3" s="19">
        <v>1</v>
      </c>
      <c r="L3" t="str">
        <f>VLOOKUP(Table6[[#This Row],[PO]],'spending limit'!$A$14:$H$80,8,)</f>
        <v>annual purchase</v>
      </c>
    </row>
    <row r="4" spans="1:12" hidden="1">
      <c r="A4" t="s">
        <v>737</v>
      </c>
      <c r="B4" t="s">
        <v>315</v>
      </c>
      <c r="C4" t="s">
        <v>738</v>
      </c>
      <c r="D4" t="s">
        <v>739</v>
      </c>
      <c r="E4" s="14">
        <v>43738</v>
      </c>
      <c r="F4" t="s">
        <v>563</v>
      </c>
      <c r="G4" t="s">
        <v>802</v>
      </c>
      <c r="H4" s="14">
        <v>43040</v>
      </c>
      <c r="I4" s="6">
        <v>200000</v>
      </c>
      <c r="J4" s="6">
        <v>105333</v>
      </c>
      <c r="K4" s="19">
        <v>0.52666500000000005</v>
      </c>
      <c r="L4" t="e">
        <f>VLOOKUP(Table6[[#This Row],[PO]],'spending limit'!$A$14:$H$80,8,)</f>
        <v>#N/A</v>
      </c>
    </row>
    <row r="5" spans="1:12">
      <c r="A5" t="s">
        <v>471</v>
      </c>
      <c r="B5" t="s">
        <v>7</v>
      </c>
      <c r="C5" t="s">
        <v>472</v>
      </c>
      <c r="D5" t="s">
        <v>473</v>
      </c>
      <c r="E5" s="14">
        <v>43119</v>
      </c>
      <c r="F5" t="s">
        <v>562</v>
      </c>
      <c r="G5" t="s">
        <v>802</v>
      </c>
      <c r="H5" s="14">
        <v>42906</v>
      </c>
      <c r="I5" s="6">
        <v>38000</v>
      </c>
      <c r="J5" s="6">
        <v>27853.67</v>
      </c>
      <c r="K5" s="19">
        <v>0.73299131578947363</v>
      </c>
      <c r="L5" t="e">
        <f>VLOOKUP(Table6[[#This Row],[PO]],Table3[PO],1,)</f>
        <v>#N/A</v>
      </c>
    </row>
    <row r="6" spans="1:12">
      <c r="A6" t="s">
        <v>23</v>
      </c>
      <c r="B6" t="s">
        <v>24</v>
      </c>
      <c r="C6" t="s">
        <v>25</v>
      </c>
      <c r="D6" t="s">
        <v>26</v>
      </c>
      <c r="E6" s="14">
        <v>43039</v>
      </c>
      <c r="F6" t="s">
        <v>562</v>
      </c>
      <c r="G6" t="s">
        <v>801</v>
      </c>
      <c r="H6" s="14">
        <v>42887</v>
      </c>
      <c r="I6" s="6">
        <v>880000</v>
      </c>
      <c r="J6" s="6">
        <v>865133.46</v>
      </c>
      <c r="K6" s="19">
        <v>0.9831062045454545</v>
      </c>
      <c r="L6" t="str">
        <f>VLOOKUP(Table6[[#This Row],[PO]],Table3[PO],1,)</f>
        <v>P515180</v>
      </c>
    </row>
    <row r="7" spans="1:12">
      <c r="A7" t="s">
        <v>39</v>
      </c>
      <c r="B7" t="s">
        <v>24</v>
      </c>
      <c r="C7" t="s">
        <v>25</v>
      </c>
      <c r="D7" t="s">
        <v>40</v>
      </c>
      <c r="E7" s="14">
        <v>43039</v>
      </c>
      <c r="F7" t="s">
        <v>562</v>
      </c>
      <c r="G7" t="s">
        <v>801</v>
      </c>
      <c r="H7" s="14">
        <v>42917</v>
      </c>
      <c r="I7" s="6">
        <v>865000</v>
      </c>
      <c r="J7" s="6">
        <v>839621.45</v>
      </c>
      <c r="K7" s="19">
        <v>0.97066063583815021</v>
      </c>
      <c r="L7" t="str">
        <f>VLOOKUP(Table6[[#This Row],[PO]],Table3[PO],1,)</f>
        <v>P515187</v>
      </c>
    </row>
    <row r="8" spans="1:12">
      <c r="A8" t="s">
        <v>89</v>
      </c>
      <c r="B8" t="s">
        <v>24</v>
      </c>
      <c r="C8" t="s">
        <v>90</v>
      </c>
      <c r="D8" t="s">
        <v>66</v>
      </c>
      <c r="E8" s="14">
        <v>43131</v>
      </c>
      <c r="F8" t="s">
        <v>562</v>
      </c>
      <c r="G8" t="s">
        <v>801</v>
      </c>
      <c r="H8" s="14">
        <v>42917</v>
      </c>
      <c r="I8" s="6">
        <v>4346450</v>
      </c>
      <c r="J8" s="6">
        <v>4152565.96</v>
      </c>
      <c r="K8" s="19">
        <v>0.9553925525428798</v>
      </c>
      <c r="L8" t="str">
        <f>VLOOKUP(Table6[[#This Row],[PO]],Table3[PO],1,)</f>
        <v>P522357</v>
      </c>
    </row>
    <row r="9" spans="1:12">
      <c r="A9" t="s">
        <v>142</v>
      </c>
      <c r="B9" t="s">
        <v>7</v>
      </c>
      <c r="C9" t="s">
        <v>143</v>
      </c>
      <c r="D9" t="s">
        <v>144</v>
      </c>
      <c r="E9" s="14">
        <v>43008</v>
      </c>
      <c r="F9" t="s">
        <v>562</v>
      </c>
      <c r="G9" t="s">
        <v>801</v>
      </c>
      <c r="H9" s="14">
        <v>42917</v>
      </c>
      <c r="I9" s="6">
        <v>360000</v>
      </c>
      <c r="J9" s="6">
        <v>344113.69</v>
      </c>
      <c r="K9" s="19">
        <v>0.95587136111111115</v>
      </c>
      <c r="L9" t="str">
        <f>VLOOKUP(Table6[[#This Row],[PO]],Table3[PO],1,)</f>
        <v>P524844</v>
      </c>
    </row>
    <row r="10" spans="1:12">
      <c r="A10" t="s">
        <v>630</v>
      </c>
      <c r="B10" t="s">
        <v>48</v>
      </c>
      <c r="C10" t="s">
        <v>628</v>
      </c>
      <c r="D10" t="s">
        <v>364</v>
      </c>
      <c r="E10" s="14">
        <v>43008</v>
      </c>
      <c r="F10" t="s">
        <v>562</v>
      </c>
      <c r="G10" t="s">
        <v>801</v>
      </c>
      <c r="H10" s="14">
        <v>42887</v>
      </c>
      <c r="I10" s="6">
        <v>2851000</v>
      </c>
      <c r="J10" s="6">
        <v>2747267.31</v>
      </c>
      <c r="K10" s="19">
        <v>0.96361533146264466</v>
      </c>
      <c r="L10" t="str">
        <f>VLOOKUP(Table6[[#This Row],[PO]],Table3[PO],1,)</f>
        <v>P525024</v>
      </c>
    </row>
    <row r="11" spans="1:12" hidden="1">
      <c r="A11" t="s">
        <v>754</v>
      </c>
      <c r="B11" t="s">
        <v>0</v>
      </c>
      <c r="C11" t="s">
        <v>755</v>
      </c>
      <c r="D11" t="s">
        <v>756</v>
      </c>
      <c r="E11" s="14">
        <v>44437</v>
      </c>
      <c r="F11" t="s">
        <v>563</v>
      </c>
      <c r="G11" t="s">
        <v>801</v>
      </c>
      <c r="H11" s="14">
        <v>43342</v>
      </c>
      <c r="I11" s="6">
        <v>7560711.5599999996</v>
      </c>
      <c r="J11" s="6">
        <v>5544626.4100000001</v>
      </c>
      <c r="K11" s="19">
        <v>0.73334716792185106</v>
      </c>
      <c r="L11" t="e">
        <f>VLOOKUP(Table6[[#This Row],[PO]],'spending limit'!$A$14:$H$80,8,)</f>
        <v>#N/A</v>
      </c>
    </row>
    <row r="12" spans="1:12">
      <c r="A12" t="s">
        <v>145</v>
      </c>
      <c r="B12" t="s">
        <v>7</v>
      </c>
      <c r="C12" t="s">
        <v>146</v>
      </c>
      <c r="D12" t="s">
        <v>147</v>
      </c>
      <c r="E12" s="14">
        <v>42980</v>
      </c>
      <c r="F12" t="s">
        <v>562</v>
      </c>
      <c r="G12" t="s">
        <v>801</v>
      </c>
      <c r="H12" s="14">
        <v>42950</v>
      </c>
      <c r="I12" s="6">
        <v>550000</v>
      </c>
      <c r="J12" s="6">
        <v>508959.52</v>
      </c>
      <c r="K12" s="19">
        <v>0.92538094545454552</v>
      </c>
      <c r="L12" t="str">
        <f>VLOOKUP(Table6[[#This Row],[PO]],Table3[PO],1,)</f>
        <v>P525152</v>
      </c>
    </row>
    <row r="13" spans="1:12" hidden="1">
      <c r="A13" t="s">
        <v>715</v>
      </c>
      <c r="B13" t="s">
        <v>52</v>
      </c>
      <c r="C13" t="s">
        <v>716</v>
      </c>
      <c r="D13" t="s">
        <v>116</v>
      </c>
      <c r="E13" s="14">
        <v>43493</v>
      </c>
      <c r="F13" t="s">
        <v>563</v>
      </c>
      <c r="G13" t="s">
        <v>801</v>
      </c>
      <c r="H13" s="14">
        <v>43463</v>
      </c>
      <c r="I13" s="6">
        <v>500000</v>
      </c>
      <c r="J13" s="6">
        <v>331714.59000000003</v>
      </c>
      <c r="K13" s="19">
        <v>0.66342918000000006</v>
      </c>
      <c r="L13" t="e">
        <f>VLOOKUP(Table6[[#This Row],[PO]],'spending limit'!$A$14:$H$80,8,)</f>
        <v>#N/A</v>
      </c>
    </row>
    <row r="14" spans="1:12" hidden="1">
      <c r="A14" t="s">
        <v>713</v>
      </c>
      <c r="B14" t="s">
        <v>52</v>
      </c>
      <c r="C14" t="s">
        <v>714</v>
      </c>
      <c r="D14" t="s">
        <v>600</v>
      </c>
      <c r="E14" s="14">
        <v>43493</v>
      </c>
      <c r="F14" t="s">
        <v>563</v>
      </c>
      <c r="G14" t="s">
        <v>801</v>
      </c>
      <c r="H14" s="14">
        <v>43372</v>
      </c>
      <c r="I14" s="6">
        <v>6500000</v>
      </c>
      <c r="J14" s="6">
        <v>4550779.4800000004</v>
      </c>
      <c r="K14" s="19">
        <v>0.70011992000000012</v>
      </c>
      <c r="L14" t="e">
        <f>VLOOKUP(Table6[[#This Row],[PO]],'spending limit'!$A$14:$H$80,8,)</f>
        <v>#N/A</v>
      </c>
    </row>
    <row r="15" spans="1:12">
      <c r="A15" t="s">
        <v>655</v>
      </c>
      <c r="B15" t="s">
        <v>64</v>
      </c>
      <c r="C15" t="s">
        <v>656</v>
      </c>
      <c r="D15" t="s">
        <v>190</v>
      </c>
      <c r="E15" s="14">
        <v>43158</v>
      </c>
      <c r="F15" t="s">
        <v>562</v>
      </c>
      <c r="G15" t="s">
        <v>801</v>
      </c>
      <c r="H15" s="14">
        <v>43067</v>
      </c>
      <c r="I15" s="6">
        <v>1050000</v>
      </c>
      <c r="J15" s="6">
        <v>881378.7</v>
      </c>
      <c r="K15" s="19">
        <v>0.83940828571428572</v>
      </c>
      <c r="L15" t="str">
        <f>VLOOKUP(Table6[[#This Row],[PO]],Table3[PO],1,)</f>
        <v>P526328</v>
      </c>
    </row>
    <row r="16" spans="1:12">
      <c r="A16" t="s">
        <v>578</v>
      </c>
      <c r="B16" t="s">
        <v>64</v>
      </c>
      <c r="C16" t="s">
        <v>576</v>
      </c>
      <c r="D16" t="s">
        <v>579</v>
      </c>
      <c r="E16" s="14">
        <v>43930</v>
      </c>
      <c r="F16" t="s">
        <v>562</v>
      </c>
      <c r="G16" t="s">
        <v>801</v>
      </c>
      <c r="H16" s="14">
        <v>43110</v>
      </c>
      <c r="I16" s="6">
        <v>100000</v>
      </c>
      <c r="J16" s="6">
        <v>81518.62</v>
      </c>
      <c r="K16" s="19">
        <v>0.81518619999999997</v>
      </c>
      <c r="L16" t="str">
        <f>VLOOKUP(Table6[[#This Row],[PO]],Table3[PO],1,)</f>
        <v>P526450</v>
      </c>
    </row>
    <row r="17" spans="1:12">
      <c r="A17" t="s">
        <v>196</v>
      </c>
      <c r="B17" t="s">
        <v>7</v>
      </c>
      <c r="C17" t="s">
        <v>197</v>
      </c>
      <c r="D17" t="s">
        <v>198</v>
      </c>
      <c r="E17" s="14">
        <v>42886</v>
      </c>
      <c r="F17" t="s">
        <v>562</v>
      </c>
      <c r="G17" t="s">
        <v>801</v>
      </c>
      <c r="H17" s="14">
        <v>42856</v>
      </c>
      <c r="I17" s="6">
        <v>72000</v>
      </c>
      <c r="J17" s="6">
        <v>71473.41</v>
      </c>
      <c r="K17" s="19">
        <v>0.9926862500000001</v>
      </c>
      <c r="L17" t="str">
        <f>VLOOKUP(Table6[[#This Row],[PO]],Table3[PO],1,)</f>
        <v>P527375</v>
      </c>
    </row>
    <row r="18" spans="1:12" hidden="1">
      <c r="A18" t="s">
        <v>207</v>
      </c>
      <c r="B18" t="s">
        <v>0</v>
      </c>
      <c r="C18" t="s">
        <v>208</v>
      </c>
      <c r="D18" t="s">
        <v>209</v>
      </c>
      <c r="E18" s="14">
        <v>43039</v>
      </c>
      <c r="F18" t="s">
        <v>563</v>
      </c>
      <c r="G18" t="s">
        <v>801</v>
      </c>
      <c r="H18" s="14">
        <v>43012</v>
      </c>
      <c r="I18" s="6">
        <v>188816</v>
      </c>
      <c r="J18" s="6">
        <v>164516</v>
      </c>
      <c r="K18" s="19">
        <v>0.87130327938310315</v>
      </c>
      <c r="L18" t="str">
        <f>VLOOKUP(Table6[[#This Row],[PO]],'spending limit'!$A$14:$H$80,8,)</f>
        <v>annual purchase</v>
      </c>
    </row>
    <row r="19" spans="1:12">
      <c r="A19" t="s">
        <v>256</v>
      </c>
      <c r="B19" t="s">
        <v>7</v>
      </c>
      <c r="C19" t="s">
        <v>257</v>
      </c>
      <c r="D19" t="s">
        <v>258</v>
      </c>
      <c r="E19" s="14">
        <v>43015</v>
      </c>
      <c r="F19" t="s">
        <v>562</v>
      </c>
      <c r="G19" t="s">
        <v>801</v>
      </c>
      <c r="H19" s="14">
        <v>42863</v>
      </c>
      <c r="I19" s="6">
        <v>500000</v>
      </c>
      <c r="J19" s="6">
        <v>496591.77</v>
      </c>
      <c r="K19" s="19">
        <v>0.99318354000000009</v>
      </c>
      <c r="L19" t="str">
        <f>VLOOKUP(Table6[[#This Row],[PO]],Table3[PO],1,)</f>
        <v>P529066</v>
      </c>
    </row>
    <row r="20" spans="1:12" hidden="1">
      <c r="A20" t="s">
        <v>259</v>
      </c>
      <c r="B20" t="s">
        <v>260</v>
      </c>
      <c r="C20" t="s">
        <v>261</v>
      </c>
      <c r="D20" t="s">
        <v>262</v>
      </c>
      <c r="E20" s="14">
        <v>43023</v>
      </c>
      <c r="F20" t="s">
        <v>563</v>
      </c>
      <c r="G20" t="s">
        <v>801</v>
      </c>
      <c r="H20" s="14">
        <v>42841</v>
      </c>
      <c r="I20" s="6">
        <v>4770.9799999999996</v>
      </c>
      <c r="J20" s="6">
        <v>4770.9799999999996</v>
      </c>
      <c r="K20" s="19">
        <v>1</v>
      </c>
      <c r="L20" t="e">
        <f>VLOOKUP(Table6[[#This Row],[PO]],'spending limit'!$A$14:$H$80,8,)</f>
        <v>#N/A</v>
      </c>
    </row>
    <row r="21" spans="1:12">
      <c r="A21" t="s">
        <v>266</v>
      </c>
      <c r="B21" t="s">
        <v>7</v>
      </c>
      <c r="C21" t="s">
        <v>267</v>
      </c>
      <c r="D21" t="s">
        <v>268</v>
      </c>
      <c r="E21" s="14">
        <v>43030</v>
      </c>
      <c r="F21" t="s">
        <v>562</v>
      </c>
      <c r="G21" t="s">
        <v>801</v>
      </c>
      <c r="H21" s="14">
        <v>42878</v>
      </c>
      <c r="I21" s="6">
        <v>135000</v>
      </c>
      <c r="J21" s="6">
        <v>129788.44</v>
      </c>
      <c r="K21" s="19">
        <v>0.96139585185185183</v>
      </c>
      <c r="L21" t="str">
        <f>VLOOKUP(Table6[[#This Row],[PO]],Table3[PO],1,)</f>
        <v>P529186</v>
      </c>
    </row>
    <row r="22" spans="1:12">
      <c r="A22" t="s">
        <v>282</v>
      </c>
      <c r="B22" t="s">
        <v>24</v>
      </c>
      <c r="C22" t="s">
        <v>283</v>
      </c>
      <c r="D22" t="s">
        <v>36</v>
      </c>
      <c r="E22" s="14">
        <v>43069</v>
      </c>
      <c r="F22" t="s">
        <v>562</v>
      </c>
      <c r="G22" t="s">
        <v>801</v>
      </c>
      <c r="H22" s="14">
        <v>42917</v>
      </c>
      <c r="I22" s="6">
        <v>1000000</v>
      </c>
      <c r="J22" s="6">
        <v>923554.57</v>
      </c>
      <c r="K22" s="19">
        <v>0.92355456999999996</v>
      </c>
      <c r="L22" t="str">
        <f>VLOOKUP(Table6[[#This Row],[PO]],Table3[PO],1,)</f>
        <v>P529415</v>
      </c>
    </row>
    <row r="23" spans="1:12" hidden="1">
      <c r="A23" t="s">
        <v>639</v>
      </c>
      <c r="B23" t="s">
        <v>48</v>
      </c>
      <c r="C23" t="s">
        <v>640</v>
      </c>
      <c r="D23" t="s">
        <v>641</v>
      </c>
      <c r="E23" s="14">
        <v>43059</v>
      </c>
      <c r="F23" t="s">
        <v>563</v>
      </c>
      <c r="G23" t="s">
        <v>801</v>
      </c>
      <c r="H23" s="14">
        <v>42905</v>
      </c>
      <c r="I23" s="6">
        <v>1434600</v>
      </c>
      <c r="J23" s="6">
        <v>1361083.72</v>
      </c>
      <c r="K23" s="19">
        <v>0.94875485849714203</v>
      </c>
      <c r="L23">
        <f>VLOOKUP(Table6[[#This Row],[PO]],'spending limit'!$A$14:$H$80,8,)</f>
        <v>0</v>
      </c>
    </row>
    <row r="24" spans="1:12">
      <c r="A24" t="s">
        <v>652</v>
      </c>
      <c r="B24" t="s">
        <v>7</v>
      </c>
      <c r="C24" t="s">
        <v>653</v>
      </c>
      <c r="D24" t="s">
        <v>629</v>
      </c>
      <c r="E24" s="14">
        <v>43099</v>
      </c>
      <c r="F24" t="s">
        <v>562</v>
      </c>
      <c r="G24" t="s">
        <v>801</v>
      </c>
      <c r="H24" s="14">
        <v>42886</v>
      </c>
      <c r="I24" s="6">
        <v>1000000</v>
      </c>
      <c r="J24" s="6">
        <v>946724.79</v>
      </c>
      <c r="K24" s="19">
        <v>0.94672478999999998</v>
      </c>
      <c r="L24" t="str">
        <f>VLOOKUP(Table6[[#This Row],[PO]],Table3[PO],1,)</f>
        <v>P529833</v>
      </c>
    </row>
    <row r="25" spans="1:12" hidden="1">
      <c r="A25" t="s">
        <v>312</v>
      </c>
      <c r="B25" t="s">
        <v>0</v>
      </c>
      <c r="C25" t="s">
        <v>1</v>
      </c>
      <c r="D25" t="s">
        <v>313</v>
      </c>
      <c r="E25" s="14">
        <v>42992</v>
      </c>
      <c r="F25" t="s">
        <v>563</v>
      </c>
      <c r="G25" t="s">
        <v>801</v>
      </c>
      <c r="H25" s="14">
        <v>42843</v>
      </c>
      <c r="I25" s="6">
        <v>110000</v>
      </c>
      <c r="J25" s="6">
        <v>110000</v>
      </c>
      <c r="K25" s="19">
        <v>1</v>
      </c>
      <c r="L25" t="e">
        <f>VLOOKUP(Table6[[#This Row],[PO]],'spending limit'!$A$14:$H$80,8,)</f>
        <v>#N/A</v>
      </c>
    </row>
    <row r="26" spans="1:12" hidden="1">
      <c r="A26" t="s">
        <v>683</v>
      </c>
      <c r="B26" t="s">
        <v>0</v>
      </c>
      <c r="C26" t="s">
        <v>684</v>
      </c>
      <c r="D26" t="s">
        <v>685</v>
      </c>
      <c r="E26" s="14">
        <v>43330</v>
      </c>
      <c r="F26" t="s">
        <v>634</v>
      </c>
      <c r="G26" t="s">
        <v>801</v>
      </c>
      <c r="H26" s="14">
        <v>43027</v>
      </c>
      <c r="I26" s="6">
        <v>1210800</v>
      </c>
      <c r="J26" s="6">
        <v>937298.1</v>
      </c>
      <c r="K26" s="19">
        <v>0.77411471754212091</v>
      </c>
      <c r="L26">
        <f>VLOOKUP(Table6[[#This Row],[PO]],'spending limit'!$A$14:$H$80,8,)</f>
        <v>0</v>
      </c>
    </row>
    <row r="27" spans="1:12" hidden="1">
      <c r="A27" t="s">
        <v>686</v>
      </c>
      <c r="B27" t="s">
        <v>0</v>
      </c>
      <c r="C27" t="s">
        <v>684</v>
      </c>
      <c r="D27" t="s">
        <v>687</v>
      </c>
      <c r="E27" s="14">
        <v>43331</v>
      </c>
      <c r="F27" t="s">
        <v>634</v>
      </c>
      <c r="G27" t="s">
        <v>801</v>
      </c>
      <c r="H27" s="14">
        <v>42966</v>
      </c>
      <c r="I27" s="6">
        <v>1120500</v>
      </c>
      <c r="J27" s="6">
        <v>953564.31</v>
      </c>
      <c r="K27" s="19">
        <v>0.85101678714859441</v>
      </c>
      <c r="L27">
        <f>VLOOKUP(Table6[[#This Row],[PO]],'spending limit'!$A$14:$H$80,8,)</f>
        <v>0</v>
      </c>
    </row>
    <row r="28" spans="1:12" hidden="1">
      <c r="A28" t="s">
        <v>689</v>
      </c>
      <c r="B28" t="s">
        <v>349</v>
      </c>
      <c r="C28" t="s">
        <v>690</v>
      </c>
      <c r="D28" t="s">
        <v>691</v>
      </c>
      <c r="E28" s="14">
        <v>43365</v>
      </c>
      <c r="F28" t="s">
        <v>563</v>
      </c>
      <c r="G28" t="s">
        <v>801</v>
      </c>
      <c r="H28" s="14">
        <v>42909</v>
      </c>
      <c r="I28" s="6">
        <v>370036</v>
      </c>
      <c r="J28" s="6">
        <v>341486.95</v>
      </c>
      <c r="K28" s="19">
        <v>0.92284791209503947</v>
      </c>
      <c r="L28">
        <f>VLOOKUP(Table6[[#This Row],[PO]],'spending limit'!$A$14:$H$80,8,)</f>
        <v>0</v>
      </c>
    </row>
    <row r="29" spans="1:12">
      <c r="A29" t="s">
        <v>358</v>
      </c>
      <c r="B29" t="s">
        <v>24</v>
      </c>
      <c r="C29" t="s">
        <v>359</v>
      </c>
      <c r="D29" t="s">
        <v>360</v>
      </c>
      <c r="E29" s="14">
        <v>43434</v>
      </c>
      <c r="F29" t="s">
        <v>562</v>
      </c>
      <c r="G29" t="s">
        <v>801</v>
      </c>
      <c r="H29" s="14">
        <v>43009</v>
      </c>
      <c r="I29" s="6">
        <v>125000</v>
      </c>
      <c r="J29" s="6">
        <v>94776.56</v>
      </c>
      <c r="K29" s="19">
        <v>0.75821247999999997</v>
      </c>
      <c r="L29" t="str">
        <f>VLOOKUP(Table6[[#This Row],[PO]],Table3[PO],1,)</f>
        <v>P533675</v>
      </c>
    </row>
    <row r="30" spans="1:12" hidden="1">
      <c r="A30" t="s">
        <v>695</v>
      </c>
      <c r="B30" t="s">
        <v>349</v>
      </c>
      <c r="C30" t="s">
        <v>696</v>
      </c>
      <c r="D30" t="s">
        <v>697</v>
      </c>
      <c r="E30" s="14">
        <v>43449</v>
      </c>
      <c r="F30" t="s">
        <v>563</v>
      </c>
      <c r="G30" t="s">
        <v>801</v>
      </c>
      <c r="H30" s="14">
        <v>43055</v>
      </c>
      <c r="I30" s="6">
        <v>900000</v>
      </c>
      <c r="J30" s="6">
        <v>650529.87</v>
      </c>
      <c r="K30" s="19">
        <v>0.72281096666666667</v>
      </c>
      <c r="L30" t="e">
        <f>VLOOKUP(Table6[[#This Row],[PO]],'spending limit'!$A$14:$H$80,8,)</f>
        <v>#N/A</v>
      </c>
    </row>
    <row r="31" spans="1:12" hidden="1">
      <c r="A31" t="s">
        <v>699</v>
      </c>
      <c r="B31" t="s">
        <v>349</v>
      </c>
      <c r="C31" t="s">
        <v>700</v>
      </c>
      <c r="D31" t="s">
        <v>633</v>
      </c>
      <c r="E31" s="14">
        <v>43456</v>
      </c>
      <c r="F31" t="s">
        <v>634</v>
      </c>
      <c r="G31" t="s">
        <v>801</v>
      </c>
      <c r="H31" s="14">
        <v>42970</v>
      </c>
      <c r="I31" s="6">
        <v>225000</v>
      </c>
      <c r="J31" s="6">
        <v>183997.35</v>
      </c>
      <c r="K31" s="19">
        <v>0.81776599999999999</v>
      </c>
      <c r="L31">
        <f>VLOOKUP(Table6[[#This Row],[PO]],'spending limit'!$A$14:$H$80,8,)</f>
        <v>0</v>
      </c>
    </row>
    <row r="32" spans="1:12" hidden="1">
      <c r="A32" t="s">
        <v>722</v>
      </c>
      <c r="B32" t="s">
        <v>52</v>
      </c>
      <c r="C32" t="s">
        <v>721</v>
      </c>
      <c r="D32" t="s">
        <v>723</v>
      </c>
      <c r="E32" s="14">
        <v>43496</v>
      </c>
      <c r="F32" t="s">
        <v>563</v>
      </c>
      <c r="G32" t="s">
        <v>801</v>
      </c>
      <c r="H32" s="14">
        <v>43344</v>
      </c>
      <c r="I32" s="6">
        <v>433333</v>
      </c>
      <c r="J32" s="6">
        <v>211526</v>
      </c>
      <c r="K32" s="19">
        <v>0.48813729856715277</v>
      </c>
      <c r="L32" t="e">
        <f>VLOOKUP(Table6[[#This Row],[PO]],'spending limit'!$A$14:$H$80,8,)</f>
        <v>#N/A</v>
      </c>
    </row>
    <row r="33" spans="1:12" hidden="1">
      <c r="A33" t="s">
        <v>720</v>
      </c>
      <c r="B33" t="s">
        <v>52</v>
      </c>
      <c r="C33" t="s">
        <v>721</v>
      </c>
      <c r="D33" t="s">
        <v>487</v>
      </c>
      <c r="E33" s="14">
        <v>43496</v>
      </c>
      <c r="F33" t="s">
        <v>563</v>
      </c>
      <c r="G33" t="s">
        <v>801</v>
      </c>
      <c r="H33" s="14">
        <v>43344</v>
      </c>
      <c r="I33" s="6">
        <v>2203333</v>
      </c>
      <c r="J33" s="6">
        <v>1074780.6000000001</v>
      </c>
      <c r="K33" s="19">
        <v>0.48779762296484469</v>
      </c>
      <c r="L33" t="e">
        <f>VLOOKUP(Table6[[#This Row],[PO]],'spending limit'!$A$14:$H$80,8,)</f>
        <v>#N/A</v>
      </c>
    </row>
    <row r="34" spans="1:12">
      <c r="A34" t="s">
        <v>367</v>
      </c>
      <c r="B34" t="s">
        <v>24</v>
      </c>
      <c r="C34" t="s">
        <v>368</v>
      </c>
      <c r="D34" t="s">
        <v>369</v>
      </c>
      <c r="E34" s="14">
        <v>43484</v>
      </c>
      <c r="F34" t="s">
        <v>562</v>
      </c>
      <c r="G34" t="s">
        <v>801</v>
      </c>
      <c r="H34" s="14">
        <v>42936</v>
      </c>
      <c r="I34" s="6">
        <v>100000</v>
      </c>
      <c r="J34" s="6">
        <v>83685.350000000006</v>
      </c>
      <c r="K34" s="19">
        <v>0.83685350000000003</v>
      </c>
      <c r="L34" t="str">
        <f>VLOOKUP(Table6[[#This Row],[PO]],Table3[PO],1,)</f>
        <v>P534281</v>
      </c>
    </row>
    <row r="35" spans="1:12" hidden="1">
      <c r="A35" t="s">
        <v>667</v>
      </c>
      <c r="B35" t="s">
        <v>64</v>
      </c>
      <c r="C35" t="s">
        <v>665</v>
      </c>
      <c r="D35" t="s">
        <v>668</v>
      </c>
      <c r="E35" s="14">
        <v>43190</v>
      </c>
      <c r="F35" t="s">
        <v>563</v>
      </c>
      <c r="G35" t="s">
        <v>801</v>
      </c>
      <c r="H35" s="14">
        <v>42979</v>
      </c>
      <c r="I35" s="6">
        <v>60000</v>
      </c>
      <c r="J35" s="6">
        <v>46888.69</v>
      </c>
      <c r="K35" s="19">
        <v>0.7814781666666667</v>
      </c>
      <c r="L35">
        <f>VLOOKUP(Table6[[#This Row],[PO]],'spending limit'!$A$14:$H$80,8,)</f>
        <v>0</v>
      </c>
    </row>
    <row r="36" spans="1:12" hidden="1">
      <c r="A36" t="s">
        <v>658</v>
      </c>
      <c r="B36" t="s">
        <v>52</v>
      </c>
      <c r="C36" t="s">
        <v>659</v>
      </c>
      <c r="D36" t="s">
        <v>638</v>
      </c>
      <c r="E36" s="14">
        <v>43190</v>
      </c>
      <c r="F36" t="s">
        <v>634</v>
      </c>
      <c r="G36" t="s">
        <v>801</v>
      </c>
      <c r="H36" s="14">
        <v>43046</v>
      </c>
      <c r="I36" s="6">
        <v>1943624.04</v>
      </c>
      <c r="J36" s="6">
        <v>1290234.1299999999</v>
      </c>
      <c r="K36" s="19">
        <v>0.66382906541946241</v>
      </c>
      <c r="L36" t="e">
        <f>VLOOKUP(Table6[[#This Row],[PO]],'spending limit'!$A$14:$H$80,8,)</f>
        <v>#N/A</v>
      </c>
    </row>
    <row r="37" spans="1:12" hidden="1">
      <c r="A37" t="s">
        <v>731</v>
      </c>
      <c r="B37" t="s">
        <v>315</v>
      </c>
      <c r="C37" t="s">
        <v>732</v>
      </c>
      <c r="D37" t="s">
        <v>638</v>
      </c>
      <c r="E37" s="14">
        <v>43646</v>
      </c>
      <c r="F37" t="s">
        <v>634</v>
      </c>
      <c r="G37" t="s">
        <v>801</v>
      </c>
      <c r="H37" s="14">
        <v>43262</v>
      </c>
      <c r="I37" s="6">
        <v>306504.58</v>
      </c>
      <c r="J37" s="6">
        <v>148355.12</v>
      </c>
      <c r="K37" s="19">
        <v>0.48402252259982537</v>
      </c>
      <c r="L37" t="e">
        <f>VLOOKUP(Table6[[#This Row],[PO]],'spending limit'!$A$14:$H$80,8,)</f>
        <v>#N/A</v>
      </c>
    </row>
    <row r="38" spans="1:12" hidden="1">
      <c r="A38" t="s">
        <v>677</v>
      </c>
      <c r="B38" t="s">
        <v>328</v>
      </c>
      <c r="C38" t="s">
        <v>674</v>
      </c>
      <c r="D38" t="s">
        <v>678</v>
      </c>
      <c r="E38" s="14">
        <v>43237</v>
      </c>
      <c r="F38" t="s">
        <v>563</v>
      </c>
      <c r="G38" t="s">
        <v>801</v>
      </c>
      <c r="H38" s="14">
        <v>42904</v>
      </c>
      <c r="I38" s="6">
        <v>80000</v>
      </c>
      <c r="J38" s="6">
        <v>69295</v>
      </c>
      <c r="K38" s="19">
        <v>0.8661875</v>
      </c>
      <c r="L38">
        <f>VLOOKUP(Table6[[#This Row],[PO]],'spending limit'!$A$14:$H$80,8,)</f>
        <v>0</v>
      </c>
    </row>
    <row r="39" spans="1:12" hidden="1">
      <c r="A39" t="s">
        <v>601</v>
      </c>
      <c r="B39" t="s">
        <v>349</v>
      </c>
      <c r="C39" t="s">
        <v>602</v>
      </c>
      <c r="D39" t="s">
        <v>603</v>
      </c>
      <c r="E39" s="14">
        <v>42913</v>
      </c>
      <c r="F39" t="s">
        <v>563</v>
      </c>
      <c r="G39" t="s">
        <v>801</v>
      </c>
      <c r="H39" s="14">
        <v>42883</v>
      </c>
      <c r="I39" s="6">
        <v>15000</v>
      </c>
      <c r="J39" s="6">
        <v>13341.67</v>
      </c>
      <c r="K39" s="19">
        <v>0.88944466666666666</v>
      </c>
      <c r="L39">
        <f>VLOOKUP(Table6[[#This Row],[PO]],'spending limit'!$A$14:$H$80,8,)</f>
        <v>0</v>
      </c>
    </row>
    <row r="40" spans="1:12" hidden="1">
      <c r="A40" t="s">
        <v>419</v>
      </c>
      <c r="B40" t="s">
        <v>0</v>
      </c>
      <c r="C40" t="s">
        <v>420</v>
      </c>
      <c r="D40" t="s">
        <v>421</v>
      </c>
      <c r="E40" s="14">
        <v>42949</v>
      </c>
      <c r="F40" t="s">
        <v>563</v>
      </c>
      <c r="G40" t="s">
        <v>801</v>
      </c>
      <c r="H40" s="14">
        <v>42858</v>
      </c>
      <c r="I40" s="6">
        <v>4161.97</v>
      </c>
      <c r="J40" s="6">
        <v>4161.97</v>
      </c>
      <c r="K40" s="19">
        <v>1</v>
      </c>
      <c r="L40" t="e">
        <f>VLOOKUP(Table6[[#This Row],[PO]],'spending limit'!$A$14:$H$80,8,)</f>
        <v>#N/A</v>
      </c>
    </row>
    <row r="41" spans="1:12" hidden="1">
      <c r="A41" t="s">
        <v>428</v>
      </c>
      <c r="B41" t="s">
        <v>349</v>
      </c>
      <c r="C41" t="s">
        <v>429</v>
      </c>
      <c r="D41" t="s">
        <v>351</v>
      </c>
      <c r="E41" s="14">
        <v>42979</v>
      </c>
      <c r="F41" t="s">
        <v>563</v>
      </c>
      <c r="G41" t="s">
        <v>801</v>
      </c>
      <c r="H41" s="14">
        <v>42857</v>
      </c>
      <c r="I41" s="6">
        <v>24999</v>
      </c>
      <c r="J41" s="6">
        <v>24984</v>
      </c>
      <c r="K41" s="19">
        <v>0.99939997599903996</v>
      </c>
      <c r="L41">
        <f>VLOOKUP(Table6[[#This Row],[PO]],'spending limit'!$A$14:$H$80,8,)</f>
        <v>0</v>
      </c>
    </row>
    <row r="42" spans="1:12" hidden="1">
      <c r="A42" t="s">
        <v>430</v>
      </c>
      <c r="B42" t="s">
        <v>349</v>
      </c>
      <c r="C42" t="s">
        <v>431</v>
      </c>
      <c r="D42" t="s">
        <v>432</v>
      </c>
      <c r="E42" s="14">
        <v>42916</v>
      </c>
      <c r="F42" t="s">
        <v>563</v>
      </c>
      <c r="G42" t="s">
        <v>801</v>
      </c>
      <c r="H42" s="14">
        <v>42887</v>
      </c>
      <c r="I42" s="6">
        <v>1051.68</v>
      </c>
      <c r="J42" s="6">
        <v>964.04</v>
      </c>
      <c r="K42" s="19">
        <v>0.91666666666666663</v>
      </c>
      <c r="L42">
        <f>VLOOKUP(Table6[[#This Row],[PO]],'spending limit'!$A$14:$H$80,8,)</f>
        <v>0</v>
      </c>
    </row>
    <row r="43" spans="1:12" hidden="1">
      <c r="A43" t="s">
        <v>740</v>
      </c>
      <c r="B43" t="s">
        <v>315</v>
      </c>
      <c r="C43" t="s">
        <v>741</v>
      </c>
      <c r="D43" t="s">
        <v>742</v>
      </c>
      <c r="E43" s="14">
        <v>43738</v>
      </c>
      <c r="F43" t="s">
        <v>563</v>
      </c>
      <c r="G43" t="s">
        <v>801</v>
      </c>
      <c r="H43" s="14">
        <v>43252</v>
      </c>
      <c r="I43" s="6">
        <v>149000</v>
      </c>
      <c r="J43" s="6">
        <v>54109.04</v>
      </c>
      <c r="K43" s="19">
        <v>0.36314791946308728</v>
      </c>
      <c r="L43" t="e">
        <f>VLOOKUP(Table6[[#This Row],[PO]],'spending limit'!$A$14:$H$80,8,)</f>
        <v>#N/A</v>
      </c>
    </row>
    <row r="44" spans="1:12" hidden="1">
      <c r="A44" t="s">
        <v>435</v>
      </c>
      <c r="B44" t="s">
        <v>349</v>
      </c>
      <c r="C44" t="s">
        <v>436</v>
      </c>
      <c r="D44" t="s">
        <v>437</v>
      </c>
      <c r="E44" s="14">
        <v>42930</v>
      </c>
      <c r="F44" t="s">
        <v>563</v>
      </c>
      <c r="G44" t="s">
        <v>801</v>
      </c>
      <c r="H44" s="14">
        <v>42840</v>
      </c>
      <c r="I44" s="6">
        <v>33213.85</v>
      </c>
      <c r="J44" s="6">
        <v>33213.85</v>
      </c>
      <c r="K44" s="19">
        <v>1</v>
      </c>
      <c r="L44" t="e">
        <f>VLOOKUP(Table6[[#This Row],[PO]],'spending limit'!$A$14:$H$80,8,)</f>
        <v>#N/A</v>
      </c>
    </row>
    <row r="45" spans="1:12" hidden="1">
      <c r="A45" t="s">
        <v>746</v>
      </c>
      <c r="B45" t="s">
        <v>52</v>
      </c>
      <c r="C45" t="s">
        <v>747</v>
      </c>
      <c r="D45" t="s">
        <v>748</v>
      </c>
      <c r="E45" s="14">
        <v>43830</v>
      </c>
      <c r="F45" t="s">
        <v>563</v>
      </c>
      <c r="G45" t="s">
        <v>801</v>
      </c>
      <c r="H45" s="14">
        <v>43435</v>
      </c>
      <c r="I45" s="6">
        <v>500000</v>
      </c>
      <c r="J45" s="6">
        <v>92591.360000000001</v>
      </c>
      <c r="K45" s="19">
        <v>0.18518272</v>
      </c>
      <c r="L45" t="e">
        <f>VLOOKUP(Table6[[#This Row],[PO]],'spending limit'!$A$14:$H$80,8,)</f>
        <v>#N/A</v>
      </c>
    </row>
    <row r="46" spans="1:12" hidden="1">
      <c r="A46" t="s">
        <v>451</v>
      </c>
      <c r="B46" t="s">
        <v>349</v>
      </c>
      <c r="C46" t="s">
        <v>452</v>
      </c>
      <c r="D46" t="s">
        <v>453</v>
      </c>
      <c r="E46" s="14">
        <v>43040</v>
      </c>
      <c r="F46" t="s">
        <v>563</v>
      </c>
      <c r="G46" t="s">
        <v>801</v>
      </c>
      <c r="H46" s="14">
        <v>42888</v>
      </c>
      <c r="I46" s="6">
        <v>77978</v>
      </c>
      <c r="J46" s="6">
        <v>66335</v>
      </c>
      <c r="K46" s="19">
        <v>0.85068865577470565</v>
      </c>
      <c r="L46">
        <f>VLOOKUP(Table6[[#This Row],[PO]],'spending limit'!$A$14:$H$80,8,)</f>
        <v>0</v>
      </c>
    </row>
    <row r="47" spans="1:12" hidden="1">
      <c r="A47" t="s">
        <v>743</v>
      </c>
      <c r="B47" t="s">
        <v>48</v>
      </c>
      <c r="C47" t="s">
        <v>744</v>
      </c>
      <c r="D47" t="s">
        <v>745</v>
      </c>
      <c r="E47" s="14">
        <v>43799</v>
      </c>
      <c r="F47" t="s">
        <v>563</v>
      </c>
      <c r="G47" t="s">
        <v>801</v>
      </c>
      <c r="H47" s="14">
        <v>43405</v>
      </c>
      <c r="I47" s="6">
        <v>811980</v>
      </c>
      <c r="J47" s="6">
        <v>185420</v>
      </c>
      <c r="K47" s="19">
        <v>0.22835537821128599</v>
      </c>
      <c r="L47" t="e">
        <f>VLOOKUP(Table6[[#This Row],[PO]],'spending limit'!$A$14:$H$80,8,)</f>
        <v>#N/A</v>
      </c>
    </row>
    <row r="48" spans="1:12">
      <c r="A48" t="s">
        <v>465</v>
      </c>
      <c r="B48" t="s">
        <v>58</v>
      </c>
      <c r="C48" t="s">
        <v>466</v>
      </c>
      <c r="D48" t="s">
        <v>467</v>
      </c>
      <c r="E48" s="14">
        <v>43045</v>
      </c>
      <c r="F48" t="s">
        <v>562</v>
      </c>
      <c r="G48" t="s">
        <v>801</v>
      </c>
      <c r="H48" s="14">
        <v>43015</v>
      </c>
      <c r="I48" s="6">
        <v>15966.37</v>
      </c>
      <c r="J48" s="6">
        <v>8843.33</v>
      </c>
      <c r="K48" s="19">
        <v>0.55387229533074833</v>
      </c>
      <c r="L48" t="e">
        <f>VLOOKUP(Table6[[#This Row],[PO]],Table3[PO],1,)</f>
        <v>#N/A</v>
      </c>
    </row>
    <row r="49" spans="1:12">
      <c r="A49" t="s">
        <v>519</v>
      </c>
      <c r="B49" t="s">
        <v>7</v>
      </c>
      <c r="C49" t="s">
        <v>520</v>
      </c>
      <c r="D49" t="s">
        <v>521</v>
      </c>
      <c r="E49" s="14">
        <v>43172</v>
      </c>
      <c r="F49" t="s">
        <v>562</v>
      </c>
      <c r="G49" t="s">
        <v>801</v>
      </c>
      <c r="H49" s="14">
        <v>43114</v>
      </c>
      <c r="I49" s="6">
        <v>19000</v>
      </c>
      <c r="J49" s="6">
        <v>3391.65</v>
      </c>
      <c r="K49" s="19">
        <v>0.17850789473684212</v>
      </c>
      <c r="L49" t="e">
        <f>VLOOKUP(Table6[[#This Row],[PO]],Table3[PO],1,)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F13" zoomScale="140" zoomScaleNormal="140" workbookViewId="0">
      <selection activeCell="F18" sqref="F18"/>
    </sheetView>
  </sheetViews>
  <sheetFormatPr defaultRowHeight="15"/>
  <cols>
    <col min="1" max="1" width="16.7109375" customWidth="1"/>
    <col min="2" max="2" width="12.5703125" customWidth="1"/>
    <col min="5" max="5" width="12" customWidth="1"/>
    <col min="6" max="6" width="11.5703125" bestFit="1" customWidth="1"/>
    <col min="7" max="7" width="66.28515625" bestFit="1" customWidth="1"/>
    <col min="8" max="8" width="10.7109375" customWidth="1"/>
    <col min="9" max="10" width="16.140625" style="6" bestFit="1" customWidth="1"/>
    <col min="11" max="11" width="11" style="19" customWidth="1"/>
    <col min="12" max="12" width="17.5703125" hidden="1" customWidth="1"/>
    <col min="13" max="13" width="21.140625" hidden="1" customWidth="1"/>
    <col min="14" max="14" width="10.28515625" customWidth="1"/>
    <col min="15" max="15" width="20" hidden="1" customWidth="1"/>
    <col min="16" max="16" width="135.5703125" bestFit="1" customWidth="1"/>
    <col min="17" max="17" width="21.85546875" bestFit="1" customWidth="1"/>
    <col min="18" max="18" width="18.42578125" customWidth="1"/>
    <col min="19" max="19" width="25" customWidth="1"/>
  </cols>
  <sheetData>
    <row r="1" spans="1:19">
      <c r="A1" t="s">
        <v>784</v>
      </c>
      <c r="B1" t="s">
        <v>785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s="6" t="s">
        <v>542</v>
      </c>
      <c r="J1" s="6" t="s">
        <v>930</v>
      </c>
      <c r="K1" s="19" t="s">
        <v>543</v>
      </c>
      <c r="L1" t="s">
        <v>548</v>
      </c>
      <c r="M1" t="s">
        <v>550</v>
      </c>
      <c r="N1" t="s">
        <v>553</v>
      </c>
      <c r="O1" t="s">
        <v>554</v>
      </c>
      <c r="P1" t="s">
        <v>556</v>
      </c>
      <c r="Q1" t="s">
        <v>888</v>
      </c>
      <c r="R1" t="s">
        <v>557</v>
      </c>
      <c r="S1" t="s">
        <v>561</v>
      </c>
    </row>
    <row r="2" spans="1:19">
      <c r="A2" t="s">
        <v>804</v>
      </c>
      <c r="B2" t="s">
        <v>936</v>
      </c>
      <c r="C2" t="s">
        <v>78</v>
      </c>
      <c r="D2" t="s">
        <v>889</v>
      </c>
      <c r="E2" s="14">
        <v>41183</v>
      </c>
      <c r="F2" s="14">
        <v>43026</v>
      </c>
      <c r="G2" t="s">
        <v>79</v>
      </c>
      <c r="H2" t="s">
        <v>80</v>
      </c>
      <c r="I2" s="6">
        <v>4200000</v>
      </c>
      <c r="J2" s="6">
        <v>3963126.45</v>
      </c>
      <c r="K2" s="19">
        <v>0.94360153571428573</v>
      </c>
      <c r="L2" t="s">
        <v>545</v>
      </c>
      <c r="M2" s="14">
        <v>43160</v>
      </c>
      <c r="N2" t="s">
        <v>562</v>
      </c>
      <c r="O2" t="s">
        <v>565</v>
      </c>
      <c r="P2" t="s">
        <v>892</v>
      </c>
      <c r="R2" t="s">
        <v>860</v>
      </c>
      <c r="S2" t="s">
        <v>572</v>
      </c>
    </row>
    <row r="3" spans="1:19">
      <c r="A3" t="s">
        <v>804</v>
      </c>
      <c r="B3" t="s">
        <v>936</v>
      </c>
      <c r="C3" t="s">
        <v>266</v>
      </c>
      <c r="D3" t="s">
        <v>7</v>
      </c>
      <c r="E3" s="14">
        <v>41935</v>
      </c>
      <c r="F3" s="14">
        <v>43030</v>
      </c>
      <c r="G3" t="s">
        <v>267</v>
      </c>
      <c r="H3" t="s">
        <v>268</v>
      </c>
      <c r="I3" s="6">
        <v>200000</v>
      </c>
      <c r="J3" s="6">
        <v>147031.32</v>
      </c>
      <c r="K3" s="19">
        <v>0.73515660000000005</v>
      </c>
      <c r="L3" t="s">
        <v>545</v>
      </c>
      <c r="M3" s="14">
        <v>43457</v>
      </c>
      <c r="N3" t="s">
        <v>562</v>
      </c>
      <c r="O3" t="s">
        <v>565</v>
      </c>
      <c r="P3" t="s">
        <v>893</v>
      </c>
      <c r="R3" t="s">
        <v>860</v>
      </c>
      <c r="S3" t="s">
        <v>559</v>
      </c>
    </row>
    <row r="4" spans="1:19">
      <c r="A4" t="s">
        <v>804</v>
      </c>
      <c r="B4" t="s">
        <v>936</v>
      </c>
      <c r="C4" t="s">
        <v>27</v>
      </c>
      <c r="D4" t="s">
        <v>24</v>
      </c>
      <c r="E4" s="14">
        <v>40483</v>
      </c>
      <c r="F4" s="14">
        <v>43039</v>
      </c>
      <c r="G4" t="s">
        <v>25</v>
      </c>
      <c r="H4" t="s">
        <v>28</v>
      </c>
      <c r="I4" s="6">
        <v>1420000</v>
      </c>
      <c r="J4" s="6">
        <v>1397186.92</v>
      </c>
      <c r="K4" s="19">
        <v>0.98393445070422525</v>
      </c>
      <c r="L4" t="s">
        <v>545</v>
      </c>
      <c r="M4" s="14">
        <v>43101</v>
      </c>
      <c r="N4" t="s">
        <v>562</v>
      </c>
      <c r="O4" t="s">
        <v>565</v>
      </c>
      <c r="P4" t="s">
        <v>858</v>
      </c>
      <c r="R4" t="s">
        <v>860</v>
      </c>
      <c r="S4" t="s">
        <v>572</v>
      </c>
    </row>
    <row r="5" spans="1:19">
      <c r="A5" t="s">
        <v>804</v>
      </c>
      <c r="B5" t="s">
        <v>936</v>
      </c>
      <c r="C5" t="s">
        <v>31</v>
      </c>
      <c r="D5" t="s">
        <v>24</v>
      </c>
      <c r="E5" s="14">
        <v>40483</v>
      </c>
      <c r="F5" s="14">
        <v>43039</v>
      </c>
      <c r="G5" t="s">
        <v>25</v>
      </c>
      <c r="H5" t="s">
        <v>32</v>
      </c>
      <c r="I5" s="6">
        <v>1793000</v>
      </c>
      <c r="J5" s="6">
        <v>1705819.73</v>
      </c>
      <c r="K5" s="19">
        <v>0.95137742889012822</v>
      </c>
      <c r="L5" t="s">
        <v>545</v>
      </c>
      <c r="M5" s="14">
        <v>43191</v>
      </c>
      <c r="N5" t="s">
        <v>562</v>
      </c>
      <c r="O5" t="s">
        <v>565</v>
      </c>
      <c r="P5" t="s">
        <v>858</v>
      </c>
      <c r="R5" t="s">
        <v>860</v>
      </c>
      <c r="S5" t="s">
        <v>572</v>
      </c>
    </row>
    <row r="6" spans="1:19">
      <c r="A6" t="s">
        <v>804</v>
      </c>
      <c r="B6" t="s">
        <v>936</v>
      </c>
      <c r="C6" t="s">
        <v>33</v>
      </c>
      <c r="D6" t="s">
        <v>24</v>
      </c>
      <c r="E6" s="14">
        <v>40483</v>
      </c>
      <c r="F6" s="14">
        <v>43039</v>
      </c>
      <c r="G6" t="s">
        <v>25</v>
      </c>
      <c r="H6" t="s">
        <v>34</v>
      </c>
      <c r="I6" s="6">
        <v>500000</v>
      </c>
      <c r="J6" s="6">
        <v>444508.86</v>
      </c>
      <c r="K6" s="19">
        <v>0.88901772000000001</v>
      </c>
      <c r="L6" t="s">
        <v>545</v>
      </c>
      <c r="M6" s="14">
        <v>43374</v>
      </c>
      <c r="N6" t="s">
        <v>562</v>
      </c>
      <c r="O6" t="s">
        <v>565</v>
      </c>
      <c r="P6" t="s">
        <v>858</v>
      </c>
      <c r="R6" t="s">
        <v>860</v>
      </c>
      <c r="S6" t="s">
        <v>572</v>
      </c>
    </row>
    <row r="7" spans="1:19">
      <c r="A7" t="s">
        <v>804</v>
      </c>
      <c r="B7" t="s">
        <v>936</v>
      </c>
      <c r="C7" t="s">
        <v>35</v>
      </c>
      <c r="D7" t="s">
        <v>24</v>
      </c>
      <c r="E7" s="14">
        <v>40483</v>
      </c>
      <c r="F7" s="14">
        <v>43039</v>
      </c>
      <c r="G7" t="s">
        <v>25</v>
      </c>
      <c r="H7" t="s">
        <v>36</v>
      </c>
      <c r="I7" s="6">
        <v>580000</v>
      </c>
      <c r="J7" s="6">
        <v>457757.89</v>
      </c>
      <c r="K7" s="19">
        <v>0.78923774137931035</v>
      </c>
      <c r="L7" t="s">
        <v>545</v>
      </c>
      <c r="M7" s="14">
        <v>43739</v>
      </c>
      <c r="N7" t="s">
        <v>562</v>
      </c>
      <c r="O7" t="s">
        <v>565</v>
      </c>
      <c r="P7" t="s">
        <v>858</v>
      </c>
      <c r="R7" t="s">
        <v>860</v>
      </c>
      <c r="S7" t="s">
        <v>572</v>
      </c>
    </row>
    <row r="8" spans="1:19">
      <c r="A8" t="s">
        <v>804</v>
      </c>
      <c r="B8" t="s">
        <v>936</v>
      </c>
      <c r="C8" t="s">
        <v>37</v>
      </c>
      <c r="D8" t="s">
        <v>24</v>
      </c>
      <c r="E8" s="14">
        <v>40483</v>
      </c>
      <c r="F8" s="14">
        <v>43039</v>
      </c>
      <c r="G8" t="s">
        <v>25</v>
      </c>
      <c r="H8" t="s">
        <v>38</v>
      </c>
      <c r="I8" s="6">
        <v>806000</v>
      </c>
      <c r="J8" s="6">
        <v>742961.88</v>
      </c>
      <c r="K8" s="19">
        <v>0.92178893300248144</v>
      </c>
      <c r="L8" t="s">
        <v>545</v>
      </c>
      <c r="M8" s="14">
        <v>43282</v>
      </c>
      <c r="N8" t="s">
        <v>562</v>
      </c>
      <c r="O8" t="s">
        <v>565</v>
      </c>
      <c r="P8" t="s">
        <v>858</v>
      </c>
      <c r="R8" t="s">
        <v>860</v>
      </c>
      <c r="S8" t="s">
        <v>572</v>
      </c>
    </row>
    <row r="9" spans="1:19">
      <c r="A9" t="s">
        <v>804</v>
      </c>
      <c r="B9" t="s">
        <v>936</v>
      </c>
      <c r="C9" t="s">
        <v>39</v>
      </c>
      <c r="D9" t="s">
        <v>24</v>
      </c>
      <c r="E9" s="14">
        <v>40483</v>
      </c>
      <c r="F9" s="14">
        <v>43039</v>
      </c>
      <c r="G9" t="s">
        <v>25</v>
      </c>
      <c r="H9" t="s">
        <v>40</v>
      </c>
      <c r="I9" s="6">
        <v>932000</v>
      </c>
      <c r="J9" s="6">
        <v>924229.29</v>
      </c>
      <c r="K9" s="19">
        <v>0.99166232832618029</v>
      </c>
      <c r="L9" t="s">
        <v>545</v>
      </c>
      <c r="M9" s="14">
        <v>43070</v>
      </c>
      <c r="N9" t="s">
        <v>562</v>
      </c>
      <c r="O9" t="s">
        <v>565</v>
      </c>
      <c r="P9" t="s">
        <v>858</v>
      </c>
      <c r="R9" t="s">
        <v>860</v>
      </c>
      <c r="S9" t="s">
        <v>572</v>
      </c>
    </row>
    <row r="10" spans="1:19">
      <c r="A10" t="s">
        <v>804</v>
      </c>
      <c r="B10" t="s">
        <v>936</v>
      </c>
      <c r="C10" t="s">
        <v>41</v>
      </c>
      <c r="D10" t="s">
        <v>24</v>
      </c>
      <c r="E10" s="14">
        <v>40483</v>
      </c>
      <c r="F10" s="14">
        <v>43039</v>
      </c>
      <c r="G10" t="s">
        <v>25</v>
      </c>
      <c r="H10" t="s">
        <v>42</v>
      </c>
      <c r="I10" s="6">
        <v>702000</v>
      </c>
      <c r="J10" s="6">
        <v>600623.18000000005</v>
      </c>
      <c r="K10" s="19">
        <v>0.85558857549857559</v>
      </c>
      <c r="L10" t="s">
        <v>545</v>
      </c>
      <c r="M10" s="14">
        <v>43497</v>
      </c>
      <c r="N10" t="s">
        <v>562</v>
      </c>
      <c r="O10" t="s">
        <v>565</v>
      </c>
      <c r="P10" t="s">
        <v>858</v>
      </c>
      <c r="R10" t="s">
        <v>860</v>
      </c>
      <c r="S10" t="s">
        <v>572</v>
      </c>
    </row>
    <row r="11" spans="1:19">
      <c r="A11" t="s">
        <v>804</v>
      </c>
      <c r="B11" t="s">
        <v>936</v>
      </c>
      <c r="C11" t="s">
        <v>43</v>
      </c>
      <c r="D11" t="s">
        <v>24</v>
      </c>
      <c r="E11" s="14">
        <v>40483</v>
      </c>
      <c r="F11" s="14">
        <v>43039</v>
      </c>
      <c r="G11" t="s">
        <v>25</v>
      </c>
      <c r="H11" t="s">
        <v>44</v>
      </c>
      <c r="I11" s="6">
        <v>980000</v>
      </c>
      <c r="J11" s="6">
        <v>907859.57</v>
      </c>
      <c r="K11" s="19">
        <v>0.9263873163265306</v>
      </c>
      <c r="L11" t="s">
        <v>545</v>
      </c>
      <c r="M11" s="14">
        <v>43252</v>
      </c>
      <c r="N11" t="s">
        <v>562</v>
      </c>
      <c r="O11" t="s">
        <v>565</v>
      </c>
      <c r="P11" t="s">
        <v>858</v>
      </c>
      <c r="R11" t="s">
        <v>860</v>
      </c>
      <c r="S11" t="s">
        <v>572</v>
      </c>
    </row>
    <row r="12" spans="1:19">
      <c r="A12" t="s">
        <v>804</v>
      </c>
      <c r="B12" t="s">
        <v>936</v>
      </c>
      <c r="C12" t="s">
        <v>45</v>
      </c>
      <c r="D12" t="s">
        <v>24</v>
      </c>
      <c r="E12" s="14">
        <v>40483</v>
      </c>
      <c r="F12" s="14">
        <v>43039</v>
      </c>
      <c r="G12" t="s">
        <v>25</v>
      </c>
      <c r="H12" t="s">
        <v>46</v>
      </c>
      <c r="I12" s="6">
        <v>725000</v>
      </c>
      <c r="J12" s="6">
        <v>687854.89</v>
      </c>
      <c r="K12" s="19">
        <v>0.94876536551724144</v>
      </c>
      <c r="L12" t="s">
        <v>545</v>
      </c>
      <c r="M12" s="14">
        <v>43191</v>
      </c>
      <c r="N12" t="s">
        <v>562</v>
      </c>
      <c r="O12" t="s">
        <v>565</v>
      </c>
      <c r="P12" t="s">
        <v>858</v>
      </c>
      <c r="R12" t="s">
        <v>860</v>
      </c>
      <c r="S12" t="s">
        <v>572</v>
      </c>
    </row>
    <row r="13" spans="1:19">
      <c r="A13" t="s">
        <v>804</v>
      </c>
      <c r="B13" t="s">
        <v>936</v>
      </c>
      <c r="C13" t="s">
        <v>23</v>
      </c>
      <c r="D13" t="s">
        <v>24</v>
      </c>
      <c r="E13" s="14">
        <v>40483</v>
      </c>
      <c r="F13" s="14">
        <v>43039</v>
      </c>
      <c r="G13" t="s">
        <v>25</v>
      </c>
      <c r="H13" t="s">
        <v>26</v>
      </c>
      <c r="I13" s="6">
        <v>1002000</v>
      </c>
      <c r="J13" s="6">
        <v>996995.18</v>
      </c>
      <c r="K13" s="19">
        <v>0.99500516966067865</v>
      </c>
      <c r="L13" t="s">
        <v>545</v>
      </c>
      <c r="M13" s="14">
        <v>43070</v>
      </c>
      <c r="N13" t="s">
        <v>562</v>
      </c>
      <c r="O13" t="s">
        <v>565</v>
      </c>
      <c r="P13" t="s">
        <v>858</v>
      </c>
      <c r="R13" t="s">
        <v>860</v>
      </c>
      <c r="S13" t="s">
        <v>572</v>
      </c>
    </row>
    <row r="14" spans="1:19">
      <c r="A14" t="s">
        <v>804</v>
      </c>
      <c r="B14" t="s">
        <v>936</v>
      </c>
      <c r="C14" t="s">
        <v>63</v>
      </c>
      <c r="D14" t="s">
        <v>64</v>
      </c>
      <c r="E14" s="14">
        <v>41000</v>
      </c>
      <c r="F14" s="14">
        <v>43039</v>
      </c>
      <c r="G14" t="s">
        <v>65</v>
      </c>
      <c r="H14" t="s">
        <v>66</v>
      </c>
      <c r="I14" s="6">
        <v>100000</v>
      </c>
      <c r="J14" s="6">
        <v>0</v>
      </c>
      <c r="K14" s="19">
        <v>0</v>
      </c>
      <c r="L14" t="s">
        <v>545</v>
      </c>
      <c r="M14" t="e">
        <v>#DIV/0!</v>
      </c>
      <c r="N14" t="s">
        <v>562</v>
      </c>
      <c r="O14" t="s">
        <v>565</v>
      </c>
      <c r="P14" t="s">
        <v>928</v>
      </c>
      <c r="R14" t="s">
        <v>860</v>
      </c>
      <c r="S14" t="s">
        <v>559</v>
      </c>
    </row>
    <row r="15" spans="1:19">
      <c r="A15" t="s">
        <v>804</v>
      </c>
      <c r="B15" t="s">
        <v>936</v>
      </c>
      <c r="C15" t="s">
        <v>67</v>
      </c>
      <c r="D15" t="s">
        <v>64</v>
      </c>
      <c r="E15" s="14">
        <v>41000</v>
      </c>
      <c r="F15" s="14">
        <v>43039</v>
      </c>
      <c r="G15" t="s">
        <v>65</v>
      </c>
      <c r="H15" t="s">
        <v>68</v>
      </c>
      <c r="I15" s="6">
        <v>105000</v>
      </c>
      <c r="J15" s="6">
        <v>41139.839999999997</v>
      </c>
      <c r="K15" s="19">
        <v>0.39180799999999999</v>
      </c>
      <c r="L15" t="s">
        <v>545</v>
      </c>
      <c r="M15" s="14">
        <v>46266</v>
      </c>
      <c r="N15" t="s">
        <v>562</v>
      </c>
      <c r="O15" t="s">
        <v>565</v>
      </c>
      <c r="P15" t="s">
        <v>928</v>
      </c>
      <c r="R15" t="s">
        <v>860</v>
      </c>
      <c r="S15" t="s">
        <v>559</v>
      </c>
    </row>
    <row r="16" spans="1:19">
      <c r="A16" t="s">
        <v>805</v>
      </c>
      <c r="B16" t="s">
        <v>936</v>
      </c>
      <c r="C16" t="s">
        <v>451</v>
      </c>
      <c r="D16" t="s">
        <v>349</v>
      </c>
      <c r="E16" s="14">
        <v>42676</v>
      </c>
      <c r="F16" s="14">
        <v>43040</v>
      </c>
      <c r="G16" t="s">
        <v>452</v>
      </c>
      <c r="H16" t="s">
        <v>453</v>
      </c>
      <c r="I16" s="6">
        <v>157978</v>
      </c>
      <c r="J16" s="6">
        <v>96782</v>
      </c>
      <c r="K16" s="19">
        <v>0.61262960665409105</v>
      </c>
      <c r="L16" t="s">
        <v>545</v>
      </c>
      <c r="M16" s="14">
        <v>43314</v>
      </c>
      <c r="N16" t="s">
        <v>563</v>
      </c>
      <c r="O16" t="s">
        <v>565</v>
      </c>
      <c r="P16" t="s">
        <v>874</v>
      </c>
      <c r="R16" t="s">
        <v>860</v>
      </c>
      <c r="S16" t="s">
        <v>559</v>
      </c>
    </row>
    <row r="17" spans="1:19">
      <c r="A17" t="s">
        <v>805</v>
      </c>
      <c r="B17" t="s">
        <v>936</v>
      </c>
      <c r="C17" t="s">
        <v>465</v>
      </c>
      <c r="D17" t="s">
        <v>58</v>
      </c>
      <c r="E17" s="14">
        <v>42681</v>
      </c>
      <c r="F17" s="14">
        <v>43045</v>
      </c>
      <c r="G17" t="s">
        <v>466</v>
      </c>
      <c r="H17" t="s">
        <v>467</v>
      </c>
      <c r="I17" s="6">
        <v>15966.37</v>
      </c>
      <c r="J17" s="6">
        <v>15022.29</v>
      </c>
      <c r="K17" s="19">
        <v>0.94087071763963881</v>
      </c>
      <c r="L17" t="s">
        <v>545</v>
      </c>
      <c r="M17" s="14">
        <v>43076</v>
      </c>
      <c r="N17" t="s">
        <v>562</v>
      </c>
      <c r="O17" t="s">
        <v>565</v>
      </c>
      <c r="P17" t="s">
        <v>910</v>
      </c>
      <c r="R17" t="s">
        <v>860</v>
      </c>
      <c r="S17" t="s">
        <v>572</v>
      </c>
    </row>
    <row r="18" spans="1:19">
      <c r="A18" t="s">
        <v>806</v>
      </c>
      <c r="B18" t="s">
        <v>936</v>
      </c>
      <c r="C18" t="s">
        <v>490</v>
      </c>
      <c r="D18" t="s">
        <v>48</v>
      </c>
      <c r="E18" s="14">
        <v>42767</v>
      </c>
      <c r="F18" s="14">
        <v>43100</v>
      </c>
      <c r="G18" t="s">
        <v>491</v>
      </c>
      <c r="H18" t="s">
        <v>492</v>
      </c>
      <c r="I18" s="6">
        <v>734100</v>
      </c>
      <c r="J18" s="6">
        <v>533888.72</v>
      </c>
      <c r="K18" s="19">
        <v>0.7272697452663125</v>
      </c>
      <c r="L18" t="s">
        <v>545</v>
      </c>
      <c r="M18" s="14">
        <v>43160</v>
      </c>
      <c r="N18" t="s">
        <v>563</v>
      </c>
      <c r="O18" t="s">
        <v>565</v>
      </c>
      <c r="P18" t="s">
        <v>875</v>
      </c>
      <c r="R18" t="s">
        <v>860</v>
      </c>
      <c r="S18" t="s">
        <v>559</v>
      </c>
    </row>
    <row r="19" spans="1:19">
      <c r="A19" t="s">
        <v>806</v>
      </c>
      <c r="B19" t="s">
        <v>936</v>
      </c>
      <c r="C19" t="s">
        <v>493</v>
      </c>
      <c r="D19" t="s">
        <v>48</v>
      </c>
      <c r="E19" s="14">
        <v>42767</v>
      </c>
      <c r="F19" s="14">
        <v>43100</v>
      </c>
      <c r="G19" t="s">
        <v>494</v>
      </c>
      <c r="H19" t="s">
        <v>492</v>
      </c>
      <c r="I19" s="6">
        <v>950000</v>
      </c>
      <c r="J19" s="6">
        <v>633669.84</v>
      </c>
      <c r="K19" s="19">
        <v>0.6670208842105263</v>
      </c>
      <c r="L19" t="s">
        <v>545</v>
      </c>
      <c r="M19" s="14">
        <v>43191</v>
      </c>
      <c r="N19" t="s">
        <v>563</v>
      </c>
      <c r="O19" t="s">
        <v>565</v>
      </c>
      <c r="P19" t="s">
        <v>875</v>
      </c>
      <c r="R19" t="s">
        <v>860</v>
      </c>
      <c r="S19" t="s">
        <v>559</v>
      </c>
    </row>
    <row r="20" spans="1:19">
      <c r="A20" t="s">
        <v>806</v>
      </c>
      <c r="B20" t="s">
        <v>936</v>
      </c>
      <c r="C20" t="s">
        <v>498</v>
      </c>
      <c r="D20" t="s">
        <v>48</v>
      </c>
      <c r="E20" s="14">
        <v>42767</v>
      </c>
      <c r="F20" s="14">
        <v>43100</v>
      </c>
      <c r="G20" t="s">
        <v>499</v>
      </c>
      <c r="H20" t="s">
        <v>492</v>
      </c>
      <c r="I20" s="6">
        <v>555428</v>
      </c>
      <c r="J20" s="6">
        <v>370519.2</v>
      </c>
      <c r="K20" s="19">
        <v>0.66708772334127919</v>
      </c>
      <c r="L20" t="s">
        <v>545</v>
      </c>
      <c r="M20" s="14">
        <v>43191</v>
      </c>
      <c r="N20" t="s">
        <v>563</v>
      </c>
      <c r="O20" t="s">
        <v>565</v>
      </c>
      <c r="P20" t="s">
        <v>875</v>
      </c>
      <c r="R20" t="s">
        <v>860</v>
      </c>
      <c r="S20" t="s">
        <v>559</v>
      </c>
    </row>
    <row r="21" spans="1:19">
      <c r="A21" t="s">
        <v>806</v>
      </c>
      <c r="B21" t="s">
        <v>936</v>
      </c>
      <c r="C21" t="s">
        <v>836</v>
      </c>
      <c r="D21" t="s">
        <v>58</v>
      </c>
      <c r="E21" s="14">
        <v>42991</v>
      </c>
      <c r="F21" s="14">
        <v>43100</v>
      </c>
      <c r="G21" t="s">
        <v>837</v>
      </c>
      <c r="H21" t="s">
        <v>838</v>
      </c>
      <c r="I21" s="6">
        <v>4990</v>
      </c>
      <c r="J21" s="6">
        <v>0</v>
      </c>
      <c r="K21" s="19">
        <v>0</v>
      </c>
      <c r="L21" t="s">
        <v>545</v>
      </c>
      <c r="M21" t="e">
        <v>#DIV/0!</v>
      </c>
      <c r="N21" t="s">
        <v>562</v>
      </c>
      <c r="O21" t="s">
        <v>565</v>
      </c>
      <c r="P21" t="s">
        <v>887</v>
      </c>
      <c r="R21" t="s">
        <v>860</v>
      </c>
      <c r="S21" t="s">
        <v>559</v>
      </c>
    </row>
    <row r="22" spans="1:19">
      <c r="A22" t="s">
        <v>806</v>
      </c>
      <c r="B22" t="s">
        <v>936</v>
      </c>
      <c r="C22" t="s">
        <v>86</v>
      </c>
      <c r="D22" t="s">
        <v>24</v>
      </c>
      <c r="E22" s="14">
        <v>41275</v>
      </c>
      <c r="F22" s="14">
        <v>43100</v>
      </c>
      <c r="G22" t="s">
        <v>87</v>
      </c>
      <c r="H22" t="s">
        <v>88</v>
      </c>
      <c r="I22" s="6">
        <v>575000</v>
      </c>
      <c r="J22" s="6">
        <v>506531.86</v>
      </c>
      <c r="K22" s="19">
        <v>0.88092497391304347</v>
      </c>
      <c r="L22" t="s">
        <v>545</v>
      </c>
      <c r="M22" s="14">
        <v>43282</v>
      </c>
      <c r="N22" t="s">
        <v>562</v>
      </c>
      <c r="O22" t="s">
        <v>565</v>
      </c>
      <c r="P22" t="s">
        <v>917</v>
      </c>
      <c r="R22" t="s">
        <v>860</v>
      </c>
      <c r="S22" t="s">
        <v>572</v>
      </c>
    </row>
    <row r="23" spans="1:19">
      <c r="A23" t="s">
        <v>864</v>
      </c>
      <c r="B23" t="s">
        <v>940</v>
      </c>
      <c r="C23" t="s">
        <v>102</v>
      </c>
      <c r="D23" t="s">
        <v>889</v>
      </c>
      <c r="E23" s="14">
        <v>41306</v>
      </c>
      <c r="F23" s="14">
        <v>43131</v>
      </c>
      <c r="G23" t="s">
        <v>103</v>
      </c>
      <c r="H23" t="s">
        <v>104</v>
      </c>
      <c r="I23" s="6">
        <v>240000</v>
      </c>
      <c r="J23" s="6">
        <v>118352.09</v>
      </c>
      <c r="K23" s="19">
        <v>0.49313370833333331</v>
      </c>
      <c r="L23" t="s">
        <v>545</v>
      </c>
      <c r="M23" s="14">
        <v>44866</v>
      </c>
      <c r="N23" t="s">
        <v>562</v>
      </c>
      <c r="O23" t="s">
        <v>565</v>
      </c>
      <c r="P23" t="s">
        <v>896</v>
      </c>
      <c r="R23" t="s">
        <v>860</v>
      </c>
      <c r="S23" t="s">
        <v>559</v>
      </c>
    </row>
    <row r="24" spans="1:19">
      <c r="A24" t="s">
        <v>864</v>
      </c>
      <c r="B24" t="s">
        <v>940</v>
      </c>
      <c r="C24" t="s">
        <v>95</v>
      </c>
      <c r="D24" t="s">
        <v>889</v>
      </c>
      <c r="E24" s="14">
        <v>41306</v>
      </c>
      <c r="F24" s="14">
        <v>43131</v>
      </c>
      <c r="G24" t="s">
        <v>90</v>
      </c>
      <c r="H24" t="s">
        <v>14</v>
      </c>
      <c r="I24" s="6">
        <v>2350000</v>
      </c>
      <c r="J24" s="6">
        <v>2006009.05</v>
      </c>
      <c r="K24" s="19">
        <v>0.85362087234042561</v>
      </c>
      <c r="L24" t="s">
        <v>545</v>
      </c>
      <c r="M24" s="14">
        <v>43344</v>
      </c>
      <c r="N24" t="s">
        <v>562</v>
      </c>
      <c r="O24" t="s">
        <v>565</v>
      </c>
      <c r="P24" t="s">
        <v>895</v>
      </c>
      <c r="R24" t="s">
        <v>860</v>
      </c>
      <c r="S24" t="s">
        <v>572</v>
      </c>
    </row>
    <row r="25" spans="1:19">
      <c r="A25" t="s">
        <v>864</v>
      </c>
      <c r="B25" t="s">
        <v>940</v>
      </c>
      <c r="C25" t="s">
        <v>93</v>
      </c>
      <c r="D25" t="s">
        <v>889</v>
      </c>
      <c r="E25" s="14">
        <v>41306</v>
      </c>
      <c r="F25" s="14">
        <v>43131</v>
      </c>
      <c r="G25" t="s">
        <v>90</v>
      </c>
      <c r="H25" t="s">
        <v>94</v>
      </c>
      <c r="I25" s="6">
        <v>244000</v>
      </c>
      <c r="J25" s="6">
        <v>13599.86</v>
      </c>
      <c r="K25" s="19">
        <v>5.5737131147540989E-2</v>
      </c>
      <c r="L25" t="s">
        <v>545</v>
      </c>
      <c r="M25" s="14">
        <v>72929</v>
      </c>
      <c r="N25" t="s">
        <v>562</v>
      </c>
      <c r="O25" t="s">
        <v>565</v>
      </c>
      <c r="P25" t="s">
        <v>895</v>
      </c>
      <c r="R25" t="s">
        <v>860</v>
      </c>
      <c r="S25" t="s">
        <v>559</v>
      </c>
    </row>
    <row r="26" spans="1:19">
      <c r="A26" t="s">
        <v>864</v>
      </c>
      <c r="B26" t="s">
        <v>940</v>
      </c>
      <c r="C26" t="s">
        <v>91</v>
      </c>
      <c r="D26" t="s">
        <v>889</v>
      </c>
      <c r="E26" s="14">
        <v>41306</v>
      </c>
      <c r="F26" s="14">
        <v>43131</v>
      </c>
      <c r="G26" t="s">
        <v>90</v>
      </c>
      <c r="H26" t="s">
        <v>92</v>
      </c>
      <c r="I26" s="6">
        <v>1396000</v>
      </c>
      <c r="J26" s="6">
        <v>1151740.77</v>
      </c>
      <c r="K26" s="19">
        <v>0.82502920487106024</v>
      </c>
      <c r="L26" t="s">
        <v>545</v>
      </c>
      <c r="M26" s="14">
        <v>43435</v>
      </c>
      <c r="N26" t="s">
        <v>562</v>
      </c>
      <c r="O26" t="s">
        <v>565</v>
      </c>
      <c r="P26" t="s">
        <v>895</v>
      </c>
      <c r="R26" t="s">
        <v>860</v>
      </c>
      <c r="S26" t="s">
        <v>572</v>
      </c>
    </row>
    <row r="27" spans="1:19">
      <c r="A27" t="s">
        <v>864</v>
      </c>
      <c r="B27" t="s">
        <v>940</v>
      </c>
      <c r="C27" t="s">
        <v>89</v>
      </c>
      <c r="D27" t="s">
        <v>889</v>
      </c>
      <c r="E27" s="14">
        <v>41306</v>
      </c>
      <c r="F27" s="14">
        <v>43131</v>
      </c>
      <c r="G27" t="s">
        <v>90</v>
      </c>
      <c r="H27" t="s">
        <v>66</v>
      </c>
      <c r="I27" s="6">
        <v>3550</v>
      </c>
      <c r="J27" s="6">
        <v>3550</v>
      </c>
      <c r="K27" s="19">
        <v>1</v>
      </c>
      <c r="L27" t="s">
        <v>801</v>
      </c>
      <c r="M27" s="14">
        <v>43040</v>
      </c>
      <c r="N27" t="s">
        <v>562</v>
      </c>
      <c r="O27" t="s">
        <v>565</v>
      </c>
      <c r="P27" t="s">
        <v>895</v>
      </c>
      <c r="R27" t="s">
        <v>860</v>
      </c>
      <c r="S27" t="s">
        <v>572</v>
      </c>
    </row>
    <row r="28" spans="1:19">
      <c r="A28" t="s">
        <v>864</v>
      </c>
      <c r="B28" t="s">
        <v>940</v>
      </c>
      <c r="C28" t="s">
        <v>474</v>
      </c>
      <c r="D28" t="s">
        <v>7</v>
      </c>
      <c r="E28" s="14">
        <v>42755</v>
      </c>
      <c r="F28" s="14">
        <v>43119</v>
      </c>
      <c r="G28" t="s">
        <v>472</v>
      </c>
      <c r="H28" t="s">
        <v>475</v>
      </c>
      <c r="I28" s="6">
        <v>10000</v>
      </c>
      <c r="J28" s="6">
        <v>0</v>
      </c>
      <c r="K28" s="19">
        <v>0</v>
      </c>
      <c r="L28" t="s">
        <v>545</v>
      </c>
      <c r="M28" t="e">
        <v>#DIV/0!</v>
      </c>
      <c r="N28" t="s">
        <v>562</v>
      </c>
      <c r="O28" t="s">
        <v>565</v>
      </c>
      <c r="P28" t="s">
        <v>894</v>
      </c>
      <c r="R28" t="s">
        <v>860</v>
      </c>
      <c r="S28" t="s">
        <v>559</v>
      </c>
    </row>
    <row r="29" spans="1:19">
      <c r="A29" t="s">
        <v>864</v>
      </c>
      <c r="B29" t="s">
        <v>940</v>
      </c>
      <c r="C29" t="s">
        <v>471</v>
      </c>
      <c r="D29" t="s">
        <v>7</v>
      </c>
      <c r="E29" s="14">
        <v>42755</v>
      </c>
      <c r="F29" s="14">
        <v>43119</v>
      </c>
      <c r="G29" t="s">
        <v>472</v>
      </c>
      <c r="H29" t="s">
        <v>473</v>
      </c>
      <c r="I29" s="6">
        <v>86000</v>
      </c>
      <c r="J29" s="6">
        <v>43377.3</v>
      </c>
      <c r="K29" s="19">
        <v>0.50438720930232561</v>
      </c>
      <c r="L29" t="s">
        <v>545</v>
      </c>
      <c r="M29" s="14">
        <v>43363</v>
      </c>
      <c r="N29" t="s">
        <v>562</v>
      </c>
      <c r="O29" t="s">
        <v>565</v>
      </c>
      <c r="P29" t="s">
        <v>894</v>
      </c>
      <c r="R29" t="s">
        <v>860</v>
      </c>
      <c r="S29" t="s">
        <v>559</v>
      </c>
    </row>
    <row r="30" spans="1:19">
      <c r="A30" t="s">
        <v>865</v>
      </c>
      <c r="B30" t="s">
        <v>940</v>
      </c>
      <c r="C30" t="s">
        <v>509</v>
      </c>
      <c r="D30" t="s">
        <v>349</v>
      </c>
      <c r="E30" s="14">
        <v>42775</v>
      </c>
      <c r="F30" s="14">
        <v>43139</v>
      </c>
      <c r="G30" t="s">
        <v>510</v>
      </c>
      <c r="H30" t="s">
        <v>511</v>
      </c>
      <c r="I30" s="6">
        <v>3085.94</v>
      </c>
      <c r="J30" s="6">
        <v>700.69</v>
      </c>
      <c r="K30" s="19">
        <v>0.22705885402827017</v>
      </c>
      <c r="L30" t="s">
        <v>545</v>
      </c>
      <c r="M30" s="14">
        <v>44052</v>
      </c>
      <c r="N30" t="s">
        <v>564</v>
      </c>
      <c r="O30" t="s">
        <v>565</v>
      </c>
      <c r="R30" t="s">
        <v>860</v>
      </c>
      <c r="S30" t="s">
        <v>559</v>
      </c>
    </row>
    <row r="31" spans="1:19">
      <c r="A31" t="s">
        <v>865</v>
      </c>
      <c r="B31" t="s">
        <v>940</v>
      </c>
      <c r="C31" t="s">
        <v>921</v>
      </c>
      <c r="D31" t="s">
        <v>889</v>
      </c>
      <c r="E31" s="14">
        <v>43061</v>
      </c>
      <c r="F31" s="14">
        <v>43152</v>
      </c>
      <c r="G31" t="s">
        <v>922</v>
      </c>
      <c r="H31" t="s">
        <v>923</v>
      </c>
      <c r="I31" s="6">
        <v>4995</v>
      </c>
      <c r="J31" s="6">
        <v>0</v>
      </c>
      <c r="K31" s="19">
        <v>0</v>
      </c>
      <c r="L31" t="s">
        <v>545</v>
      </c>
      <c r="M31" t="e">
        <v>#DIV/0!</v>
      </c>
      <c r="N31" t="s">
        <v>562</v>
      </c>
      <c r="O31" t="s">
        <v>565</v>
      </c>
      <c r="P31" t="s">
        <v>927</v>
      </c>
      <c r="R31" t="s">
        <v>860</v>
      </c>
      <c r="S31" t="s">
        <v>559</v>
      </c>
    </row>
    <row r="32" spans="1:19">
      <c r="A32" t="s">
        <v>865</v>
      </c>
      <c r="B32" t="s">
        <v>940</v>
      </c>
      <c r="C32" t="s">
        <v>29</v>
      </c>
      <c r="D32" t="s">
        <v>24</v>
      </c>
      <c r="E32" s="14">
        <v>40483</v>
      </c>
      <c r="F32" s="14">
        <v>43159</v>
      </c>
      <c r="G32" t="s">
        <v>25</v>
      </c>
      <c r="H32" t="s">
        <v>30</v>
      </c>
      <c r="I32" s="6">
        <v>785000</v>
      </c>
      <c r="J32" s="6">
        <v>699905.81</v>
      </c>
      <c r="K32" s="19">
        <v>0.89159975796178348</v>
      </c>
      <c r="L32" t="s">
        <v>545</v>
      </c>
      <c r="M32" s="14">
        <v>43374</v>
      </c>
      <c r="N32" t="s">
        <v>562</v>
      </c>
      <c r="O32" t="s">
        <v>565</v>
      </c>
      <c r="P32" t="s">
        <v>858</v>
      </c>
      <c r="R32" t="s">
        <v>860</v>
      </c>
      <c r="S32" t="s">
        <v>572</v>
      </c>
    </row>
    <row r="33" spans="1:19">
      <c r="A33" t="s">
        <v>865</v>
      </c>
      <c r="B33" t="s">
        <v>940</v>
      </c>
      <c r="C33" t="s">
        <v>117</v>
      </c>
      <c r="D33" t="s">
        <v>24</v>
      </c>
      <c r="E33" s="14">
        <v>41334</v>
      </c>
      <c r="F33" s="14">
        <v>43159</v>
      </c>
      <c r="G33" t="s">
        <v>118</v>
      </c>
      <c r="H33" t="s">
        <v>119</v>
      </c>
      <c r="I33" s="6">
        <v>30000</v>
      </c>
      <c r="J33" s="6">
        <v>2662.5</v>
      </c>
      <c r="K33" s="19">
        <v>8.8749999999999996E-2</v>
      </c>
      <c r="L33" t="s">
        <v>545</v>
      </c>
      <c r="M33" s="14">
        <v>60845</v>
      </c>
      <c r="N33" t="s">
        <v>562</v>
      </c>
      <c r="O33" t="s">
        <v>565</v>
      </c>
      <c r="P33" t="s">
        <v>891</v>
      </c>
      <c r="R33" t="s">
        <v>860</v>
      </c>
      <c r="S33" t="s">
        <v>559</v>
      </c>
    </row>
    <row r="34" spans="1:19">
      <c r="A34" t="s">
        <v>865</v>
      </c>
      <c r="B34" t="s">
        <v>940</v>
      </c>
      <c r="C34" t="s">
        <v>111</v>
      </c>
      <c r="D34" t="s">
        <v>58</v>
      </c>
      <c r="E34" s="14">
        <v>41334</v>
      </c>
      <c r="F34" s="14">
        <v>43159</v>
      </c>
      <c r="G34" t="s">
        <v>112</v>
      </c>
      <c r="H34" t="s">
        <v>113</v>
      </c>
      <c r="I34" s="6">
        <v>52500000</v>
      </c>
      <c r="J34" s="6">
        <v>36287410.329999998</v>
      </c>
      <c r="K34" s="19">
        <v>0.69118876819047614</v>
      </c>
      <c r="L34" t="s">
        <v>545</v>
      </c>
      <c r="M34" s="14">
        <v>43831</v>
      </c>
      <c r="N34" t="s">
        <v>562</v>
      </c>
      <c r="O34" t="s">
        <v>565</v>
      </c>
      <c r="P34" t="s">
        <v>852</v>
      </c>
      <c r="R34" t="s">
        <v>860</v>
      </c>
      <c r="S34" t="s">
        <v>559</v>
      </c>
    </row>
    <row r="35" spans="1:19">
      <c r="A35" t="s">
        <v>865</v>
      </c>
      <c r="B35" t="s">
        <v>940</v>
      </c>
      <c r="C35" t="s">
        <v>108</v>
      </c>
      <c r="D35" t="s">
        <v>24</v>
      </c>
      <c r="E35" s="14">
        <v>41325</v>
      </c>
      <c r="F35" s="14">
        <v>43150</v>
      </c>
      <c r="G35" t="s">
        <v>109</v>
      </c>
      <c r="H35" t="s">
        <v>110</v>
      </c>
      <c r="I35" s="6">
        <v>15000</v>
      </c>
      <c r="J35" s="6">
        <v>237.14</v>
      </c>
      <c r="K35" s="19">
        <v>1.5809333333333331E-2</v>
      </c>
      <c r="L35" t="s">
        <v>545</v>
      </c>
      <c r="M35" s="14">
        <v>151627</v>
      </c>
      <c r="N35" t="s">
        <v>562</v>
      </c>
      <c r="O35" t="s">
        <v>565</v>
      </c>
      <c r="P35" t="s">
        <v>891</v>
      </c>
      <c r="R35" t="s">
        <v>860</v>
      </c>
      <c r="S35" t="s">
        <v>559</v>
      </c>
    </row>
    <row r="36" spans="1:19">
      <c r="A36" t="s">
        <v>865</v>
      </c>
      <c r="B36" t="s">
        <v>940</v>
      </c>
      <c r="C36" t="s">
        <v>99</v>
      </c>
      <c r="D36" t="s">
        <v>7</v>
      </c>
      <c r="E36" s="14">
        <v>41311</v>
      </c>
      <c r="F36" s="14">
        <v>43136</v>
      </c>
      <c r="G36" t="s">
        <v>100</v>
      </c>
      <c r="H36" t="s">
        <v>101</v>
      </c>
      <c r="I36" s="6">
        <v>45000</v>
      </c>
      <c r="J36" s="6">
        <v>7376.02</v>
      </c>
      <c r="K36" s="19">
        <v>0.16391155555555556</v>
      </c>
      <c r="L36" t="s">
        <v>545</v>
      </c>
      <c r="M36" s="14">
        <v>52023</v>
      </c>
      <c r="N36" t="s">
        <v>562</v>
      </c>
      <c r="O36" t="s">
        <v>565</v>
      </c>
      <c r="P36" t="s">
        <v>906</v>
      </c>
      <c r="R36" t="s">
        <v>860</v>
      </c>
      <c r="S36" t="s">
        <v>559</v>
      </c>
    </row>
    <row r="37" spans="1:19">
      <c r="A37" t="s">
        <v>865</v>
      </c>
      <c r="B37" t="s">
        <v>940</v>
      </c>
      <c r="C37" t="s">
        <v>84</v>
      </c>
      <c r="D37" t="s">
        <v>889</v>
      </c>
      <c r="E37" s="14">
        <v>41214</v>
      </c>
      <c r="F37" s="14">
        <v>43132</v>
      </c>
      <c r="G37" t="s">
        <v>82</v>
      </c>
      <c r="H37" t="s">
        <v>85</v>
      </c>
      <c r="I37" s="6">
        <v>3500000</v>
      </c>
      <c r="J37" s="6">
        <v>3394962.12</v>
      </c>
      <c r="K37" s="19">
        <v>0.96998917714285715</v>
      </c>
      <c r="L37" t="s">
        <v>801</v>
      </c>
      <c r="M37" s="14">
        <v>43101</v>
      </c>
      <c r="N37" t="s">
        <v>562</v>
      </c>
      <c r="O37" t="s">
        <v>565</v>
      </c>
      <c r="P37" t="s">
        <v>897</v>
      </c>
      <c r="R37" t="s">
        <v>860</v>
      </c>
      <c r="S37" t="s">
        <v>572</v>
      </c>
    </row>
    <row r="38" spans="1:19">
      <c r="A38" t="s">
        <v>865</v>
      </c>
      <c r="B38" t="s">
        <v>940</v>
      </c>
      <c r="C38" t="s">
        <v>81</v>
      </c>
      <c r="D38" t="s">
        <v>889</v>
      </c>
      <c r="E38" s="14">
        <v>41214</v>
      </c>
      <c r="F38" s="14">
        <v>43132</v>
      </c>
      <c r="G38" t="s">
        <v>82</v>
      </c>
      <c r="H38" t="s">
        <v>83</v>
      </c>
      <c r="I38" s="6">
        <v>50000</v>
      </c>
      <c r="J38" s="6">
        <v>429.82</v>
      </c>
      <c r="K38" s="19">
        <v>8.5964000000000006E-3</v>
      </c>
      <c r="L38" t="s">
        <v>545</v>
      </c>
      <c r="M38" s="14">
        <v>256948</v>
      </c>
      <c r="N38" t="s">
        <v>562</v>
      </c>
      <c r="O38" t="s">
        <v>565</v>
      </c>
      <c r="P38" t="s">
        <v>897</v>
      </c>
      <c r="R38" t="s">
        <v>860</v>
      </c>
      <c r="S38" t="s">
        <v>559</v>
      </c>
    </row>
    <row r="39" spans="1:19">
      <c r="A39" t="s">
        <v>866</v>
      </c>
      <c r="B39" t="s">
        <v>940</v>
      </c>
      <c r="C39" t="s">
        <v>309</v>
      </c>
      <c r="D39" t="s">
        <v>7</v>
      </c>
      <c r="E39" s="14">
        <v>42095</v>
      </c>
      <c r="F39" s="14">
        <v>43190</v>
      </c>
      <c r="G39" t="s">
        <v>310</v>
      </c>
      <c r="H39" t="s">
        <v>311</v>
      </c>
      <c r="I39" s="6">
        <v>49500</v>
      </c>
      <c r="J39" s="6">
        <v>42106.559999999998</v>
      </c>
      <c r="K39" s="19">
        <v>0.8506375757575757</v>
      </c>
      <c r="L39" t="s">
        <v>545</v>
      </c>
      <c r="M39" s="14">
        <v>43221</v>
      </c>
      <c r="N39" t="s">
        <v>562</v>
      </c>
      <c r="O39" t="s">
        <v>565</v>
      </c>
      <c r="P39" t="s">
        <v>908</v>
      </c>
      <c r="R39" t="s">
        <v>860</v>
      </c>
      <c r="S39" t="s">
        <v>572</v>
      </c>
    </row>
    <row r="40" spans="1:19">
      <c r="A40" t="s">
        <v>866</v>
      </c>
      <c r="B40" t="s">
        <v>940</v>
      </c>
      <c r="C40" t="s">
        <v>126</v>
      </c>
      <c r="D40" t="s">
        <v>7</v>
      </c>
      <c r="E40" s="14">
        <v>41365</v>
      </c>
      <c r="F40" s="14">
        <v>43190</v>
      </c>
      <c r="G40" t="s">
        <v>127</v>
      </c>
      <c r="H40" t="s">
        <v>128</v>
      </c>
      <c r="I40" s="6">
        <v>15000</v>
      </c>
      <c r="J40" s="6">
        <v>14150</v>
      </c>
      <c r="K40" s="19">
        <v>0.94333333333333336</v>
      </c>
      <c r="L40" t="s">
        <v>801</v>
      </c>
      <c r="M40" s="14">
        <v>43160</v>
      </c>
      <c r="N40" t="s">
        <v>562</v>
      </c>
      <c r="O40" t="s">
        <v>565</v>
      </c>
      <c r="P40" t="s">
        <v>908</v>
      </c>
      <c r="R40" t="s">
        <v>860</v>
      </c>
      <c r="S40" t="s">
        <v>572</v>
      </c>
    </row>
    <row r="41" spans="1:19">
      <c r="A41" t="s">
        <v>866</v>
      </c>
      <c r="B41" t="s">
        <v>940</v>
      </c>
      <c r="C41" t="s">
        <v>129</v>
      </c>
      <c r="D41" t="s">
        <v>7</v>
      </c>
      <c r="E41" s="14">
        <v>41365</v>
      </c>
      <c r="F41" s="14">
        <v>43190</v>
      </c>
      <c r="G41" t="s">
        <v>130</v>
      </c>
      <c r="H41" t="s">
        <v>131</v>
      </c>
      <c r="I41" s="6">
        <v>3250000</v>
      </c>
      <c r="J41" s="6">
        <v>2047738.22</v>
      </c>
      <c r="K41" s="19">
        <v>0.63007329846153848</v>
      </c>
      <c r="L41" t="s">
        <v>545</v>
      </c>
      <c r="M41" s="14">
        <v>44044</v>
      </c>
      <c r="N41" t="s">
        <v>562</v>
      </c>
      <c r="O41" t="s">
        <v>565</v>
      </c>
      <c r="P41" t="s">
        <v>898</v>
      </c>
      <c r="R41" t="s">
        <v>860</v>
      </c>
      <c r="S41" t="s">
        <v>559</v>
      </c>
    </row>
    <row r="42" spans="1:19">
      <c r="A42" t="s">
        <v>866</v>
      </c>
      <c r="B42" t="s">
        <v>940</v>
      </c>
      <c r="C42" t="s">
        <v>120</v>
      </c>
      <c r="D42" t="s">
        <v>24</v>
      </c>
      <c r="E42" s="14">
        <v>41359</v>
      </c>
      <c r="F42" s="14">
        <v>43184</v>
      </c>
      <c r="G42" t="s">
        <v>121</v>
      </c>
      <c r="H42" t="s">
        <v>122</v>
      </c>
      <c r="I42" s="6">
        <v>24000</v>
      </c>
      <c r="J42" s="6">
        <v>0</v>
      </c>
      <c r="K42" s="19">
        <v>0</v>
      </c>
      <c r="L42" t="s">
        <v>545</v>
      </c>
      <c r="M42" t="e">
        <v>#DIV/0!</v>
      </c>
      <c r="N42" t="s">
        <v>562</v>
      </c>
      <c r="O42" t="s">
        <v>565</v>
      </c>
      <c r="P42" t="s">
        <v>891</v>
      </c>
      <c r="R42" t="s">
        <v>860</v>
      </c>
      <c r="S42" t="s">
        <v>559</v>
      </c>
    </row>
    <row r="43" spans="1:19">
      <c r="A43" t="s">
        <v>866</v>
      </c>
      <c r="B43" t="s">
        <v>940</v>
      </c>
      <c r="C43" t="s">
        <v>298</v>
      </c>
      <c r="D43" t="s">
        <v>58</v>
      </c>
      <c r="E43" s="14">
        <v>42071</v>
      </c>
      <c r="F43" s="14">
        <v>43166</v>
      </c>
      <c r="G43" t="s">
        <v>299</v>
      </c>
      <c r="H43" t="s">
        <v>300</v>
      </c>
      <c r="I43" s="6">
        <v>6000</v>
      </c>
      <c r="J43" s="6">
        <v>2840</v>
      </c>
      <c r="K43" s="19">
        <v>0.47333333333333333</v>
      </c>
      <c r="L43" t="s">
        <v>545</v>
      </c>
      <c r="M43" s="14">
        <v>44173</v>
      </c>
      <c r="N43" t="s">
        <v>562</v>
      </c>
      <c r="O43" t="s">
        <v>565</v>
      </c>
      <c r="P43" t="s">
        <v>916</v>
      </c>
      <c r="R43" t="s">
        <v>860</v>
      </c>
      <c r="S43" t="s">
        <v>559</v>
      </c>
    </row>
    <row r="44" spans="1:19">
      <c r="A44" t="s">
        <v>866</v>
      </c>
      <c r="B44" t="s">
        <v>940</v>
      </c>
      <c r="C44" t="s">
        <v>830</v>
      </c>
      <c r="D44" t="s">
        <v>58</v>
      </c>
      <c r="E44" s="14">
        <v>42985</v>
      </c>
      <c r="F44" s="14">
        <v>43166</v>
      </c>
      <c r="G44" t="s">
        <v>835</v>
      </c>
      <c r="H44" t="s">
        <v>300</v>
      </c>
      <c r="I44" s="6">
        <v>4990</v>
      </c>
      <c r="J44" s="6">
        <v>0</v>
      </c>
      <c r="K44" s="19">
        <v>0</v>
      </c>
      <c r="L44" t="s">
        <v>545</v>
      </c>
      <c r="M44" t="e">
        <v>#DIV/0!</v>
      </c>
      <c r="N44" t="s">
        <v>562</v>
      </c>
      <c r="O44" t="s">
        <v>565</v>
      </c>
      <c r="P44" t="s">
        <v>913</v>
      </c>
      <c r="R44" t="s">
        <v>860</v>
      </c>
      <c r="S44" t="s">
        <v>559</v>
      </c>
    </row>
    <row r="45" spans="1:19">
      <c r="A45" t="s">
        <v>866</v>
      </c>
      <c r="B45" t="s">
        <v>940</v>
      </c>
      <c r="C45" t="s">
        <v>105</v>
      </c>
      <c r="D45" t="s">
        <v>24</v>
      </c>
      <c r="E45" s="14">
        <v>41339</v>
      </c>
      <c r="F45" s="14">
        <v>43164</v>
      </c>
      <c r="G45" t="s">
        <v>106</v>
      </c>
      <c r="H45" t="s">
        <v>107</v>
      </c>
      <c r="I45" s="6">
        <v>20000</v>
      </c>
      <c r="J45" s="6">
        <v>6687.68</v>
      </c>
      <c r="K45" s="19">
        <v>0.33438400000000001</v>
      </c>
      <c r="L45" t="s">
        <v>545</v>
      </c>
      <c r="M45" s="14">
        <v>46483</v>
      </c>
      <c r="N45" t="s">
        <v>562</v>
      </c>
      <c r="O45" t="s">
        <v>565</v>
      </c>
      <c r="P45" t="s">
        <v>891</v>
      </c>
      <c r="R45" t="s">
        <v>860</v>
      </c>
      <c r="S45" t="s">
        <v>559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B1" workbookViewId="0">
      <selection activeCell="J11" sqref="J11"/>
    </sheetView>
  </sheetViews>
  <sheetFormatPr defaultRowHeight="15"/>
  <cols>
    <col min="1" max="1" width="16.7109375" customWidth="1"/>
    <col min="2" max="2" width="12.5703125" customWidth="1"/>
    <col min="5" max="5" width="12" customWidth="1"/>
    <col min="6" max="6" width="10.28515625" customWidth="1"/>
    <col min="7" max="7" width="14.85546875" customWidth="1"/>
    <col min="8" max="8" width="10.7109375" customWidth="1"/>
    <col min="9" max="9" width="14.42578125" style="6" bestFit="1" customWidth="1"/>
    <col min="10" max="10" width="15.140625" style="6" bestFit="1" customWidth="1"/>
    <col min="11" max="11" width="11" style="19" customWidth="1"/>
    <col min="12" max="12" width="17.5703125" customWidth="1"/>
    <col min="13" max="13" width="21.140625" customWidth="1"/>
    <col min="14" max="14" width="10.28515625" customWidth="1"/>
    <col min="15" max="15" width="20" customWidth="1"/>
    <col min="16" max="16" width="71.85546875" bestFit="1" customWidth="1"/>
    <col min="17" max="17" width="21.42578125" customWidth="1"/>
    <col min="18" max="18" width="18.42578125" customWidth="1"/>
    <col min="19" max="19" width="25" customWidth="1"/>
  </cols>
  <sheetData>
    <row r="1" spans="1:19">
      <c r="A1" t="s">
        <v>784</v>
      </c>
      <c r="B1" t="s">
        <v>785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s="6" t="s">
        <v>542</v>
      </c>
      <c r="J1" s="6" t="s">
        <v>930</v>
      </c>
      <c r="K1" s="19" t="s">
        <v>543</v>
      </c>
      <c r="L1" t="s">
        <v>548</v>
      </c>
      <c r="M1" t="s">
        <v>550</v>
      </c>
      <c r="N1" t="s">
        <v>553</v>
      </c>
      <c r="O1" t="s">
        <v>554</v>
      </c>
      <c r="P1" t="s">
        <v>556</v>
      </c>
      <c r="Q1" t="s">
        <v>888</v>
      </c>
      <c r="R1" t="s">
        <v>557</v>
      </c>
      <c r="S1" t="s">
        <v>561</v>
      </c>
    </row>
    <row r="2" spans="1:19">
      <c r="A2" t="s">
        <v>804</v>
      </c>
      <c r="B2" t="s">
        <v>936</v>
      </c>
      <c r="C2" t="s">
        <v>75</v>
      </c>
      <c r="D2" t="s">
        <v>889</v>
      </c>
      <c r="E2" s="14">
        <v>41153</v>
      </c>
      <c r="F2" s="14">
        <v>43039</v>
      </c>
      <c r="G2" t="s">
        <v>76</v>
      </c>
      <c r="H2" t="s">
        <v>77</v>
      </c>
      <c r="I2" s="6">
        <v>700000</v>
      </c>
      <c r="J2" s="6">
        <v>164671.57999999999</v>
      </c>
      <c r="K2" s="19">
        <v>0.23524511428571426</v>
      </c>
      <c r="L2" t="s">
        <v>545</v>
      </c>
      <c r="M2" s="14">
        <v>49279</v>
      </c>
      <c r="N2" t="s">
        <v>562</v>
      </c>
      <c r="O2" t="s">
        <v>761</v>
      </c>
      <c r="P2" t="s">
        <v>899</v>
      </c>
      <c r="R2" t="s">
        <v>860</v>
      </c>
      <c r="S2" t="s">
        <v>559</v>
      </c>
    </row>
    <row r="3" spans="1:19">
      <c r="A3" t="s">
        <v>805</v>
      </c>
      <c r="B3" t="s">
        <v>936</v>
      </c>
      <c r="C3" t="s">
        <v>148</v>
      </c>
      <c r="D3" t="s">
        <v>0</v>
      </c>
      <c r="E3" s="14">
        <v>41591</v>
      </c>
      <c r="F3" s="14">
        <v>43051</v>
      </c>
      <c r="G3" t="s">
        <v>149</v>
      </c>
      <c r="H3" t="s">
        <v>150</v>
      </c>
      <c r="I3" s="6">
        <v>243100</v>
      </c>
      <c r="J3" s="6">
        <v>3557.5</v>
      </c>
      <c r="K3" s="19">
        <v>1.4633895516248458E-2</v>
      </c>
      <c r="L3" t="s">
        <v>545</v>
      </c>
      <c r="M3" s="14">
        <v>142518</v>
      </c>
      <c r="N3" t="s">
        <v>562</v>
      </c>
      <c r="O3" t="s">
        <v>569</v>
      </c>
      <c r="P3" t="s">
        <v>920</v>
      </c>
      <c r="R3" t="s">
        <v>860</v>
      </c>
      <c r="S3" t="s">
        <v>559</v>
      </c>
    </row>
    <row r="4" spans="1:19">
      <c r="A4" t="s">
        <v>805</v>
      </c>
      <c r="B4" t="s">
        <v>936</v>
      </c>
      <c r="C4" t="s">
        <v>279</v>
      </c>
      <c r="D4" t="s">
        <v>7</v>
      </c>
      <c r="E4" s="14">
        <v>41969</v>
      </c>
      <c r="F4" s="14">
        <v>43064</v>
      </c>
      <c r="G4" t="s">
        <v>280</v>
      </c>
      <c r="H4" t="s">
        <v>281</v>
      </c>
      <c r="I4" s="6">
        <v>72800</v>
      </c>
      <c r="J4" s="6">
        <v>47141.25</v>
      </c>
      <c r="K4" s="19">
        <v>0.64754464285714286</v>
      </c>
      <c r="L4" t="s">
        <v>545</v>
      </c>
      <c r="M4" s="14">
        <v>43642</v>
      </c>
      <c r="N4" t="s">
        <v>562</v>
      </c>
      <c r="O4" t="s">
        <v>573</v>
      </c>
      <c r="P4" t="s">
        <v>900</v>
      </c>
      <c r="R4" t="s">
        <v>860</v>
      </c>
      <c r="S4" t="s">
        <v>559</v>
      </c>
    </row>
    <row r="5" spans="1:19">
      <c r="A5" t="s">
        <v>805</v>
      </c>
      <c r="B5" t="s">
        <v>936</v>
      </c>
      <c r="C5" t="s">
        <v>263</v>
      </c>
      <c r="D5" t="s">
        <v>136</v>
      </c>
      <c r="E5" s="14">
        <v>41974</v>
      </c>
      <c r="F5" s="14">
        <v>43069</v>
      </c>
      <c r="G5" t="s">
        <v>264</v>
      </c>
      <c r="H5" t="s">
        <v>265</v>
      </c>
      <c r="I5" s="6">
        <v>260000</v>
      </c>
      <c r="J5" s="6">
        <v>196390.25</v>
      </c>
      <c r="K5" s="19">
        <v>0.75534711538461541</v>
      </c>
      <c r="L5" t="s">
        <v>545</v>
      </c>
      <c r="M5" s="14">
        <v>43405</v>
      </c>
      <c r="N5" t="s">
        <v>562</v>
      </c>
      <c r="O5" t="s">
        <v>772</v>
      </c>
      <c r="P5" t="s">
        <v>811</v>
      </c>
      <c r="R5" t="s">
        <v>860</v>
      </c>
      <c r="S5" t="s">
        <v>572</v>
      </c>
    </row>
    <row r="6" spans="1:19">
      <c r="A6" t="s">
        <v>806</v>
      </c>
      <c r="B6" t="s">
        <v>936</v>
      </c>
      <c r="C6" t="s">
        <v>288</v>
      </c>
      <c r="D6" t="s">
        <v>7</v>
      </c>
      <c r="E6" s="14">
        <v>41990</v>
      </c>
      <c r="F6" s="14">
        <v>43085</v>
      </c>
      <c r="G6" t="s">
        <v>289</v>
      </c>
      <c r="H6" t="s">
        <v>66</v>
      </c>
      <c r="I6" s="6">
        <v>45000</v>
      </c>
      <c r="J6" s="6">
        <v>0</v>
      </c>
      <c r="K6" s="19">
        <v>0</v>
      </c>
      <c r="L6" t="s">
        <v>545</v>
      </c>
      <c r="M6" t="e">
        <v>#DIV/0!</v>
      </c>
      <c r="N6" t="s">
        <v>562</v>
      </c>
      <c r="O6" t="s">
        <v>654</v>
      </c>
      <c r="P6" t="s">
        <v>901</v>
      </c>
      <c r="R6" t="s">
        <v>860</v>
      </c>
      <c r="S6" t="s">
        <v>559</v>
      </c>
    </row>
    <row r="7" spans="1:19">
      <c r="A7" t="s">
        <v>806</v>
      </c>
      <c r="B7" t="s">
        <v>936</v>
      </c>
      <c r="C7" t="s">
        <v>652</v>
      </c>
      <c r="D7" t="s">
        <v>7</v>
      </c>
      <c r="E7" s="14">
        <v>42004</v>
      </c>
      <c r="F7" s="14">
        <v>43099</v>
      </c>
      <c r="G7" t="s">
        <v>653</v>
      </c>
      <c r="H7" t="s">
        <v>629</v>
      </c>
      <c r="I7" s="6">
        <v>2000000</v>
      </c>
      <c r="J7" s="6">
        <v>1154132.06</v>
      </c>
      <c r="K7" s="19">
        <v>0.57706603000000001</v>
      </c>
      <c r="L7" t="s">
        <v>545</v>
      </c>
      <c r="M7" s="14">
        <v>43830</v>
      </c>
      <c r="N7" t="s">
        <v>562</v>
      </c>
      <c r="O7" t="s">
        <v>654</v>
      </c>
      <c r="P7" t="s">
        <v>902</v>
      </c>
      <c r="R7" t="s">
        <v>860</v>
      </c>
      <c r="S7" t="s">
        <v>559</v>
      </c>
    </row>
    <row r="8" spans="1:19">
      <c r="A8" t="s">
        <v>806</v>
      </c>
      <c r="B8" t="s">
        <v>936</v>
      </c>
      <c r="C8" t="s">
        <v>293</v>
      </c>
      <c r="D8" t="s">
        <v>136</v>
      </c>
      <c r="E8" s="14">
        <v>42005</v>
      </c>
      <c r="F8" s="14">
        <v>43100</v>
      </c>
      <c r="G8" t="s">
        <v>294</v>
      </c>
      <c r="H8" t="s">
        <v>295</v>
      </c>
      <c r="I8" s="6">
        <v>200000</v>
      </c>
      <c r="J8" s="6">
        <v>518.75</v>
      </c>
      <c r="K8" s="19">
        <v>2.5937500000000001E-3</v>
      </c>
      <c r="L8" t="s">
        <v>545</v>
      </c>
      <c r="M8" s="14">
        <v>451927</v>
      </c>
      <c r="N8" t="s">
        <v>562</v>
      </c>
      <c r="O8" t="s">
        <v>749</v>
      </c>
      <c r="P8" t="s">
        <v>811</v>
      </c>
      <c r="R8" t="s">
        <v>860</v>
      </c>
      <c r="S8" t="s">
        <v>559</v>
      </c>
    </row>
    <row r="9" spans="1:19">
      <c r="A9" t="s">
        <v>806</v>
      </c>
      <c r="B9" t="s">
        <v>936</v>
      </c>
      <c r="C9" t="s">
        <v>296</v>
      </c>
      <c r="D9" t="s">
        <v>136</v>
      </c>
      <c r="E9" s="14">
        <v>42005</v>
      </c>
      <c r="F9" s="14">
        <v>43100</v>
      </c>
      <c r="G9" t="s">
        <v>294</v>
      </c>
      <c r="H9" t="s">
        <v>297</v>
      </c>
      <c r="I9" s="6">
        <v>800000</v>
      </c>
      <c r="J9" s="6">
        <v>572701.49</v>
      </c>
      <c r="K9" s="19">
        <v>0.71587686249999993</v>
      </c>
      <c r="L9" t="s">
        <v>545</v>
      </c>
      <c r="M9" s="14">
        <v>43466</v>
      </c>
      <c r="N9" t="s">
        <v>562</v>
      </c>
      <c r="O9" t="s">
        <v>773</v>
      </c>
      <c r="P9" t="s">
        <v>811</v>
      </c>
      <c r="R9" t="s">
        <v>860</v>
      </c>
      <c r="S9" t="s">
        <v>559</v>
      </c>
    </row>
    <row r="10" spans="1:19">
      <c r="A10" t="s">
        <v>864</v>
      </c>
      <c r="B10" t="s">
        <v>940</v>
      </c>
      <c r="C10" t="s">
        <v>476</v>
      </c>
      <c r="D10" t="s">
        <v>7</v>
      </c>
      <c r="E10" s="14">
        <v>42746</v>
      </c>
      <c r="F10" s="14">
        <v>43110</v>
      </c>
      <c r="G10" t="s">
        <v>477</v>
      </c>
      <c r="H10" t="s">
        <v>478</v>
      </c>
      <c r="I10" s="6">
        <v>15000</v>
      </c>
      <c r="J10" s="6">
        <v>1635</v>
      </c>
      <c r="K10" s="19">
        <v>0.109</v>
      </c>
      <c r="L10" t="s">
        <v>545</v>
      </c>
      <c r="M10" s="14">
        <v>45699</v>
      </c>
      <c r="N10" t="s">
        <v>562</v>
      </c>
      <c r="O10" t="s">
        <v>761</v>
      </c>
      <c r="P10" t="s">
        <v>903</v>
      </c>
      <c r="R10" t="s">
        <v>860</v>
      </c>
      <c r="S10" t="s">
        <v>559</v>
      </c>
    </row>
    <row r="11" spans="1:19">
      <c r="A11" t="s">
        <v>864</v>
      </c>
      <c r="B11" t="s">
        <v>940</v>
      </c>
      <c r="C11" t="s">
        <v>151</v>
      </c>
      <c r="D11" t="s">
        <v>7</v>
      </c>
      <c r="E11" s="14">
        <v>41744</v>
      </c>
      <c r="F11" s="14">
        <v>43114</v>
      </c>
      <c r="G11" t="s">
        <v>152</v>
      </c>
      <c r="H11" t="s">
        <v>153</v>
      </c>
      <c r="I11" s="6">
        <v>24000</v>
      </c>
      <c r="J11" s="6">
        <v>2694.12</v>
      </c>
      <c r="K11" s="19">
        <v>0.11225499999999999</v>
      </c>
      <c r="L11" t="s">
        <v>545</v>
      </c>
      <c r="M11" s="14">
        <v>53523</v>
      </c>
      <c r="N11" t="s">
        <v>562</v>
      </c>
      <c r="O11" t="s">
        <v>909</v>
      </c>
      <c r="P11" t="s">
        <v>904</v>
      </c>
      <c r="R11" t="s">
        <v>860</v>
      </c>
      <c r="S11" t="s">
        <v>559</v>
      </c>
    </row>
    <row r="12" spans="1:19">
      <c r="A12" t="s">
        <v>864</v>
      </c>
      <c r="B12" t="s">
        <v>940</v>
      </c>
      <c r="C12" t="s">
        <v>514</v>
      </c>
      <c r="D12" t="s">
        <v>7</v>
      </c>
      <c r="E12" s="14">
        <v>42767</v>
      </c>
      <c r="F12" s="14">
        <v>43131</v>
      </c>
      <c r="G12" t="s">
        <v>515</v>
      </c>
      <c r="H12" t="s">
        <v>169</v>
      </c>
      <c r="I12" s="6">
        <v>165514</v>
      </c>
      <c r="J12" s="6">
        <v>21341.29</v>
      </c>
      <c r="K12" s="19">
        <v>0.12893948548159068</v>
      </c>
      <c r="L12" t="s">
        <v>545</v>
      </c>
      <c r="M12" s="14">
        <v>45108</v>
      </c>
      <c r="N12" t="s">
        <v>562</v>
      </c>
      <c r="O12" t="s">
        <v>573</v>
      </c>
      <c r="P12" t="s">
        <v>903</v>
      </c>
      <c r="R12" t="s">
        <v>860</v>
      </c>
      <c r="S12" t="s">
        <v>559</v>
      </c>
    </row>
    <row r="13" spans="1:19">
      <c r="A13" t="s">
        <v>864</v>
      </c>
      <c r="B13" t="s">
        <v>940</v>
      </c>
      <c r="C13" t="s">
        <v>301</v>
      </c>
      <c r="D13" t="s">
        <v>7</v>
      </c>
      <c r="E13" s="14">
        <v>42036</v>
      </c>
      <c r="F13" s="14">
        <v>43131</v>
      </c>
      <c r="G13" t="s">
        <v>302</v>
      </c>
      <c r="H13" t="s">
        <v>303</v>
      </c>
      <c r="I13" s="6">
        <v>30000</v>
      </c>
      <c r="J13" s="6">
        <v>27742.92</v>
      </c>
      <c r="K13" s="19">
        <v>0.92476399999999992</v>
      </c>
      <c r="L13" t="s">
        <v>545</v>
      </c>
      <c r="M13" s="14">
        <v>43132</v>
      </c>
      <c r="N13" t="s">
        <v>562</v>
      </c>
      <c r="O13" t="s">
        <v>573</v>
      </c>
      <c r="P13" t="s">
        <v>903</v>
      </c>
      <c r="R13" t="s">
        <v>860</v>
      </c>
      <c r="S13" t="s">
        <v>572</v>
      </c>
    </row>
    <row r="14" spans="1:19">
      <c r="A14" t="s">
        <v>864</v>
      </c>
      <c r="B14" t="s">
        <v>940</v>
      </c>
      <c r="C14" t="s">
        <v>154</v>
      </c>
      <c r="D14" t="s">
        <v>58</v>
      </c>
      <c r="E14" s="14">
        <v>41671</v>
      </c>
      <c r="F14" s="14">
        <v>43131</v>
      </c>
      <c r="G14" t="s">
        <v>155</v>
      </c>
      <c r="H14" t="s">
        <v>156</v>
      </c>
      <c r="I14" s="6">
        <v>9000000</v>
      </c>
      <c r="J14" s="6">
        <v>7809150.4199999999</v>
      </c>
      <c r="K14" s="19">
        <v>0.86768338</v>
      </c>
      <c r="L14" t="s">
        <v>545</v>
      </c>
      <c r="M14" s="14">
        <v>43252</v>
      </c>
      <c r="N14" t="s">
        <v>562</v>
      </c>
      <c r="O14" t="s">
        <v>767</v>
      </c>
      <c r="P14" t="s">
        <v>943</v>
      </c>
      <c r="R14" t="s">
        <v>860</v>
      </c>
      <c r="S14" t="s">
        <v>572</v>
      </c>
    </row>
    <row r="15" spans="1:19">
      <c r="A15" t="s">
        <v>864</v>
      </c>
      <c r="B15" t="s">
        <v>940</v>
      </c>
      <c r="C15" t="s">
        <v>96</v>
      </c>
      <c r="D15" t="s">
        <v>58</v>
      </c>
      <c r="E15" s="14">
        <v>41306</v>
      </c>
      <c r="F15" s="14">
        <v>43131</v>
      </c>
      <c r="G15" t="s">
        <v>97</v>
      </c>
      <c r="H15" t="s">
        <v>98</v>
      </c>
      <c r="I15" s="6">
        <v>24000</v>
      </c>
      <c r="J15" s="6">
        <v>14255.14</v>
      </c>
      <c r="K15" s="19">
        <v>0.59396416666666663</v>
      </c>
      <c r="L15" t="s">
        <v>545</v>
      </c>
      <c r="M15" s="14">
        <v>44256</v>
      </c>
      <c r="N15" t="s">
        <v>562</v>
      </c>
      <c r="O15" t="s">
        <v>569</v>
      </c>
      <c r="P15" t="s">
        <v>943</v>
      </c>
      <c r="R15" t="s">
        <v>860</v>
      </c>
      <c r="S15" t="s">
        <v>559</v>
      </c>
    </row>
    <row r="16" spans="1:19">
      <c r="A16" t="s">
        <v>865</v>
      </c>
      <c r="B16" t="s">
        <v>940</v>
      </c>
      <c r="C16" t="s">
        <v>655</v>
      </c>
      <c r="D16" t="s">
        <v>64</v>
      </c>
      <c r="E16" s="14">
        <v>41698</v>
      </c>
      <c r="F16" s="14">
        <v>43158</v>
      </c>
      <c r="G16" t="s">
        <v>656</v>
      </c>
      <c r="H16" t="s">
        <v>190</v>
      </c>
      <c r="I16" s="6">
        <v>1550000</v>
      </c>
      <c r="J16" s="6">
        <v>994663.36</v>
      </c>
      <c r="K16" s="19">
        <v>0.64171829677419356</v>
      </c>
      <c r="L16" t="s">
        <v>545</v>
      </c>
      <c r="M16" s="14">
        <v>43827</v>
      </c>
      <c r="N16" t="s">
        <v>562</v>
      </c>
      <c r="O16" t="s">
        <v>657</v>
      </c>
      <c r="P16" t="s">
        <v>905</v>
      </c>
      <c r="R16" t="s">
        <v>860</v>
      </c>
      <c r="S16" t="s">
        <v>559</v>
      </c>
    </row>
    <row r="17" spans="1:19">
      <c r="A17" t="s">
        <v>866</v>
      </c>
      <c r="B17" t="s">
        <v>940</v>
      </c>
      <c r="C17" t="s">
        <v>307</v>
      </c>
      <c r="D17" t="s">
        <v>136</v>
      </c>
      <c r="E17" s="14">
        <v>42074</v>
      </c>
      <c r="F17" s="14">
        <v>43169</v>
      </c>
      <c r="G17" t="s">
        <v>308</v>
      </c>
      <c r="H17" t="s">
        <v>292</v>
      </c>
      <c r="I17" s="6">
        <v>3000000</v>
      </c>
      <c r="J17" s="6">
        <v>998401.07</v>
      </c>
      <c r="K17" s="19">
        <v>0.33280035666666663</v>
      </c>
      <c r="L17" t="s">
        <v>545</v>
      </c>
      <c r="M17" s="14">
        <v>45027</v>
      </c>
      <c r="N17" t="s">
        <v>562</v>
      </c>
      <c r="O17" t="s">
        <v>594</v>
      </c>
      <c r="P17" t="s">
        <v>811</v>
      </c>
      <c r="R17" t="s">
        <v>860</v>
      </c>
      <c r="S17" t="s">
        <v>559</v>
      </c>
    </row>
    <row r="18" spans="1:19">
      <c r="A18" t="s">
        <v>866</v>
      </c>
      <c r="B18" t="s">
        <v>940</v>
      </c>
      <c r="C18" t="s">
        <v>166</v>
      </c>
      <c r="D18" t="s">
        <v>889</v>
      </c>
      <c r="E18" s="14">
        <v>41710</v>
      </c>
      <c r="F18" s="14">
        <v>43170</v>
      </c>
      <c r="G18" t="s">
        <v>164</v>
      </c>
      <c r="H18" t="s">
        <v>131</v>
      </c>
      <c r="I18" s="6">
        <v>8750000</v>
      </c>
      <c r="J18" s="6">
        <v>7061028.4900000002</v>
      </c>
      <c r="K18" s="19">
        <v>0.80697468457142862</v>
      </c>
      <c r="L18" t="s">
        <v>545</v>
      </c>
      <c r="M18" s="14">
        <v>43385</v>
      </c>
      <c r="N18" t="s">
        <v>562</v>
      </c>
      <c r="O18" t="s">
        <v>573</v>
      </c>
      <c r="P18" t="s">
        <v>918</v>
      </c>
      <c r="R18" t="s">
        <v>860</v>
      </c>
      <c r="S18" t="s">
        <v>572</v>
      </c>
    </row>
    <row r="19" spans="1:19">
      <c r="A19" t="s">
        <v>866</v>
      </c>
      <c r="B19" t="s">
        <v>940</v>
      </c>
      <c r="C19" t="s">
        <v>163</v>
      </c>
      <c r="D19" t="s">
        <v>889</v>
      </c>
      <c r="E19" s="14">
        <v>41710</v>
      </c>
      <c r="F19" s="14">
        <v>43170</v>
      </c>
      <c r="G19" t="s">
        <v>164</v>
      </c>
      <c r="H19" t="s">
        <v>165</v>
      </c>
      <c r="I19" s="6">
        <v>1000000</v>
      </c>
      <c r="J19" s="6">
        <v>515409.62</v>
      </c>
      <c r="K19" s="19">
        <v>0.51540962000000001</v>
      </c>
      <c r="L19" t="s">
        <v>545</v>
      </c>
      <c r="M19" s="14">
        <v>44328</v>
      </c>
      <c r="N19" t="s">
        <v>562</v>
      </c>
      <c r="O19" t="s">
        <v>573</v>
      </c>
      <c r="P19" t="s">
        <v>918</v>
      </c>
      <c r="R19" t="s">
        <v>860</v>
      </c>
      <c r="S19" t="s">
        <v>559</v>
      </c>
    </row>
    <row r="20" spans="1:19">
      <c r="A20" t="s">
        <v>866</v>
      </c>
      <c r="B20" t="s">
        <v>940</v>
      </c>
      <c r="C20" t="s">
        <v>519</v>
      </c>
      <c r="D20" t="s">
        <v>7</v>
      </c>
      <c r="E20" s="14">
        <v>42808</v>
      </c>
      <c r="F20" s="14">
        <v>43172</v>
      </c>
      <c r="G20" t="s">
        <v>520</v>
      </c>
      <c r="H20" t="s">
        <v>521</v>
      </c>
      <c r="I20" s="6">
        <v>19000</v>
      </c>
      <c r="J20" s="6">
        <v>4731.25</v>
      </c>
      <c r="K20" s="19">
        <v>0.24901315789473685</v>
      </c>
      <c r="L20" t="s">
        <v>545</v>
      </c>
      <c r="M20" s="14">
        <v>43844</v>
      </c>
      <c r="N20" t="s">
        <v>562</v>
      </c>
      <c r="O20" t="s">
        <v>775</v>
      </c>
      <c r="P20" t="s">
        <v>907</v>
      </c>
      <c r="R20" t="s">
        <v>860</v>
      </c>
      <c r="S20" t="s">
        <v>559</v>
      </c>
    </row>
    <row r="21" spans="1:19">
      <c r="A21" t="s">
        <v>866</v>
      </c>
      <c r="B21" t="s">
        <v>940</v>
      </c>
      <c r="C21" t="s">
        <v>664</v>
      </c>
      <c r="D21" t="s">
        <v>64</v>
      </c>
      <c r="E21" s="14">
        <v>42461</v>
      </c>
      <c r="F21" s="14">
        <v>43190</v>
      </c>
      <c r="G21" t="s">
        <v>665</v>
      </c>
      <c r="H21" t="s">
        <v>591</v>
      </c>
      <c r="I21" s="6">
        <v>100000</v>
      </c>
      <c r="J21" s="6">
        <v>55061.82</v>
      </c>
      <c r="K21" s="19">
        <v>0.55061819999999995</v>
      </c>
      <c r="L21" t="s">
        <v>545</v>
      </c>
      <c r="M21" s="14">
        <v>43556</v>
      </c>
      <c r="N21" t="s">
        <v>563</v>
      </c>
      <c r="O21" t="s">
        <v>666</v>
      </c>
      <c r="P21" t="s">
        <v>876</v>
      </c>
      <c r="R21" t="s">
        <v>860</v>
      </c>
      <c r="S21" t="s">
        <v>559</v>
      </c>
    </row>
    <row r="22" spans="1:19">
      <c r="A22" t="s">
        <v>866</v>
      </c>
      <c r="B22" t="s">
        <v>940</v>
      </c>
      <c r="C22" t="s">
        <v>661</v>
      </c>
      <c r="D22" t="s">
        <v>52</v>
      </c>
      <c r="E22" s="14">
        <v>42095</v>
      </c>
      <c r="F22" s="14">
        <v>43190</v>
      </c>
      <c r="G22" t="s">
        <v>662</v>
      </c>
      <c r="H22" t="s">
        <v>663</v>
      </c>
      <c r="I22" s="6">
        <v>400000</v>
      </c>
      <c r="J22" s="6">
        <v>135879.70000000001</v>
      </c>
      <c r="K22" s="19">
        <v>0.33969925000000001</v>
      </c>
      <c r="L22" t="s">
        <v>545</v>
      </c>
      <c r="M22" s="14">
        <v>44958</v>
      </c>
      <c r="N22" t="s">
        <v>563</v>
      </c>
      <c r="O22" t="s">
        <v>660</v>
      </c>
      <c r="P22" t="s">
        <v>876</v>
      </c>
      <c r="R22" t="s">
        <v>860</v>
      </c>
      <c r="S22" t="s">
        <v>559</v>
      </c>
    </row>
    <row r="23" spans="1:19">
      <c r="A23" t="s">
        <v>866</v>
      </c>
      <c r="B23" t="s">
        <v>940</v>
      </c>
      <c r="C23" t="s">
        <v>658</v>
      </c>
      <c r="D23" t="s">
        <v>52</v>
      </c>
      <c r="E23" s="14">
        <v>42467</v>
      </c>
      <c r="F23" s="14">
        <v>43190</v>
      </c>
      <c r="G23" t="s">
        <v>659</v>
      </c>
      <c r="H23" t="s">
        <v>638</v>
      </c>
      <c r="I23" s="6">
        <v>2000000</v>
      </c>
      <c r="J23" s="6">
        <v>1998362.21</v>
      </c>
      <c r="K23" s="19">
        <v>0.99918110500000001</v>
      </c>
      <c r="L23" t="s">
        <v>801</v>
      </c>
      <c r="M23" s="14">
        <v>43046</v>
      </c>
      <c r="N23" t="s">
        <v>563</v>
      </c>
      <c r="O23" t="s">
        <v>660</v>
      </c>
      <c r="P23" t="s">
        <v>876</v>
      </c>
      <c r="R23" t="s">
        <v>860</v>
      </c>
      <c r="S23" t="s">
        <v>572</v>
      </c>
    </row>
    <row r="24" spans="1:19">
      <c r="A24" t="s">
        <v>866</v>
      </c>
      <c r="B24" t="s">
        <v>940</v>
      </c>
      <c r="C24" t="s">
        <v>522</v>
      </c>
      <c r="D24" t="s">
        <v>24</v>
      </c>
      <c r="E24" s="14">
        <v>42795</v>
      </c>
      <c r="F24" s="14">
        <v>43190</v>
      </c>
      <c r="G24" t="s">
        <v>523</v>
      </c>
      <c r="H24" t="s">
        <v>524</v>
      </c>
      <c r="I24" s="6">
        <v>38000</v>
      </c>
      <c r="J24" s="6">
        <v>10150</v>
      </c>
      <c r="K24" s="19">
        <v>0.26710526315789473</v>
      </c>
      <c r="L24" t="s">
        <v>545</v>
      </c>
      <c r="M24" s="14">
        <v>43800</v>
      </c>
      <c r="N24" t="s">
        <v>562</v>
      </c>
      <c r="O24" t="s">
        <v>568</v>
      </c>
      <c r="P24" t="s">
        <v>890</v>
      </c>
      <c r="R24" t="s">
        <v>860</v>
      </c>
      <c r="S24" t="s">
        <v>559</v>
      </c>
    </row>
    <row r="25" spans="1:19">
      <c r="A25" t="s">
        <v>866</v>
      </c>
      <c r="B25" t="s">
        <v>940</v>
      </c>
      <c r="C25" t="s">
        <v>381</v>
      </c>
      <c r="D25" t="s">
        <v>58</v>
      </c>
      <c r="E25" s="14">
        <v>42461</v>
      </c>
      <c r="F25" s="14">
        <v>43190</v>
      </c>
      <c r="G25" t="s">
        <v>382</v>
      </c>
      <c r="H25" t="s">
        <v>383</v>
      </c>
      <c r="I25" s="6">
        <v>20000</v>
      </c>
      <c r="J25" s="6">
        <v>14691.2</v>
      </c>
      <c r="K25" s="19">
        <v>0.73455999999999999</v>
      </c>
      <c r="L25" t="s">
        <v>545</v>
      </c>
      <c r="M25" s="14">
        <v>43282</v>
      </c>
      <c r="N25" t="s">
        <v>562</v>
      </c>
      <c r="O25" t="s">
        <v>569</v>
      </c>
      <c r="P25" t="s">
        <v>942</v>
      </c>
      <c r="R25" t="s">
        <v>860</v>
      </c>
      <c r="S25" t="s">
        <v>559</v>
      </c>
    </row>
    <row r="26" spans="1:19">
      <c r="A26" t="s">
        <v>866</v>
      </c>
      <c r="B26" t="s">
        <v>940</v>
      </c>
      <c r="C26" t="s">
        <v>304</v>
      </c>
      <c r="D26" t="s">
        <v>7</v>
      </c>
      <c r="E26" s="14">
        <v>42095</v>
      </c>
      <c r="F26" s="14">
        <v>43190</v>
      </c>
      <c r="G26" t="s">
        <v>305</v>
      </c>
      <c r="H26" t="s">
        <v>306</v>
      </c>
      <c r="I26" s="6">
        <v>19000</v>
      </c>
      <c r="J26" s="6">
        <v>0</v>
      </c>
      <c r="K26" s="19">
        <v>0</v>
      </c>
      <c r="L26" t="s">
        <v>545</v>
      </c>
      <c r="M26" t="e">
        <v>#DIV/0!</v>
      </c>
      <c r="N26" t="s">
        <v>562</v>
      </c>
      <c r="O26" t="s">
        <v>573</v>
      </c>
      <c r="P26" t="s">
        <v>907</v>
      </c>
      <c r="R26" t="s">
        <v>860</v>
      </c>
      <c r="S26" t="s">
        <v>559</v>
      </c>
    </row>
    <row r="27" spans="1:19">
      <c r="A27" t="s">
        <v>866</v>
      </c>
      <c r="B27" t="s">
        <v>940</v>
      </c>
      <c r="C27" t="s">
        <v>173</v>
      </c>
      <c r="D27" t="s">
        <v>7</v>
      </c>
      <c r="E27" s="14">
        <v>41730</v>
      </c>
      <c r="F27" s="14">
        <v>43190</v>
      </c>
      <c r="G27" t="s">
        <v>174</v>
      </c>
      <c r="H27" t="s">
        <v>40</v>
      </c>
      <c r="I27" s="6">
        <v>8800000</v>
      </c>
      <c r="J27" s="6">
        <v>6848530.1299999999</v>
      </c>
      <c r="K27" s="19">
        <v>0.77824206022727271</v>
      </c>
      <c r="L27" t="s">
        <v>545</v>
      </c>
      <c r="M27" s="14">
        <v>43435</v>
      </c>
      <c r="N27" t="s">
        <v>562</v>
      </c>
      <c r="O27" t="s">
        <v>569</v>
      </c>
      <c r="P27" t="s">
        <v>907</v>
      </c>
      <c r="R27" t="s">
        <v>860</v>
      </c>
      <c r="S27" t="s">
        <v>572</v>
      </c>
    </row>
    <row r="28" spans="1:19">
      <c r="A28" t="s">
        <v>866</v>
      </c>
      <c r="B28" t="s">
        <v>940</v>
      </c>
      <c r="C28" t="s">
        <v>123</v>
      </c>
      <c r="D28" t="s">
        <v>7</v>
      </c>
      <c r="E28" s="14">
        <v>41365</v>
      </c>
      <c r="F28" s="14">
        <v>43190</v>
      </c>
      <c r="G28" t="s">
        <v>124</v>
      </c>
      <c r="H28" t="s">
        <v>125</v>
      </c>
      <c r="I28" s="6">
        <v>60000</v>
      </c>
      <c r="J28" s="6">
        <v>47872.75</v>
      </c>
      <c r="K28" s="19">
        <v>0.79787916666666669</v>
      </c>
      <c r="L28" t="s">
        <v>545</v>
      </c>
      <c r="M28" s="14">
        <v>43497</v>
      </c>
      <c r="N28" t="s">
        <v>562</v>
      </c>
      <c r="O28" t="s">
        <v>776</v>
      </c>
      <c r="P28" t="s">
        <v>905</v>
      </c>
      <c r="R28" t="s">
        <v>860</v>
      </c>
      <c r="S28" t="s">
        <v>572</v>
      </c>
    </row>
    <row r="29" spans="1:19">
      <c r="A29" t="s">
        <v>937</v>
      </c>
      <c r="B29" t="s">
        <v>940</v>
      </c>
      <c r="C29" t="s">
        <v>669</v>
      </c>
      <c r="D29" t="s">
        <v>0</v>
      </c>
      <c r="E29" s="14">
        <v>42102</v>
      </c>
      <c r="F29" s="14">
        <v>43197</v>
      </c>
      <c r="G29" t="s">
        <v>670</v>
      </c>
      <c r="H29" t="s">
        <v>671</v>
      </c>
      <c r="I29" s="6">
        <v>1285532</v>
      </c>
      <c r="J29" s="6">
        <v>969911.21</v>
      </c>
      <c r="K29" s="19">
        <v>0.75448235438713307</v>
      </c>
      <c r="L29" t="s">
        <v>545</v>
      </c>
      <c r="M29" s="14">
        <v>43381</v>
      </c>
      <c r="N29" t="s">
        <v>562</v>
      </c>
      <c r="O29" t="s">
        <v>604</v>
      </c>
      <c r="P29" t="s">
        <v>905</v>
      </c>
      <c r="R29" t="s">
        <v>860</v>
      </c>
      <c r="S29" t="s">
        <v>572</v>
      </c>
    </row>
    <row r="30" spans="1:19">
      <c r="A30" t="s">
        <v>937</v>
      </c>
      <c r="B30" t="s">
        <v>940</v>
      </c>
      <c r="C30" t="s">
        <v>239</v>
      </c>
      <c r="D30" t="s">
        <v>7</v>
      </c>
      <c r="E30" s="14">
        <v>41878</v>
      </c>
      <c r="F30" s="14">
        <v>43198</v>
      </c>
      <c r="G30" t="s">
        <v>181</v>
      </c>
      <c r="H30" t="s">
        <v>240</v>
      </c>
      <c r="I30" s="6">
        <v>15000</v>
      </c>
      <c r="J30" s="6">
        <v>0</v>
      </c>
      <c r="K30" s="19">
        <v>0</v>
      </c>
      <c r="L30" t="s">
        <v>545</v>
      </c>
      <c r="M30" t="e">
        <v>#DIV/0!</v>
      </c>
      <c r="N30" t="s">
        <v>562</v>
      </c>
      <c r="O30" t="s">
        <v>776</v>
      </c>
      <c r="P30" t="s">
        <v>919</v>
      </c>
      <c r="R30" t="s">
        <v>860</v>
      </c>
      <c r="S30" t="s">
        <v>559</v>
      </c>
    </row>
    <row r="31" spans="1:19">
      <c r="A31" t="s">
        <v>937</v>
      </c>
      <c r="B31" t="s">
        <v>940</v>
      </c>
      <c r="C31" t="s">
        <v>180</v>
      </c>
      <c r="D31" t="s">
        <v>7</v>
      </c>
      <c r="E31" s="14">
        <v>41738</v>
      </c>
      <c r="F31" s="14">
        <v>43198</v>
      </c>
      <c r="G31" t="s">
        <v>181</v>
      </c>
      <c r="H31" t="s">
        <v>172</v>
      </c>
      <c r="I31" s="6">
        <v>18000</v>
      </c>
      <c r="J31" s="6">
        <v>17130.48</v>
      </c>
      <c r="K31" s="19">
        <v>0.95169333333333328</v>
      </c>
      <c r="L31" t="s">
        <v>801</v>
      </c>
      <c r="M31" s="14">
        <v>43109</v>
      </c>
      <c r="N31" t="s">
        <v>562</v>
      </c>
      <c r="O31" t="s">
        <v>776</v>
      </c>
      <c r="P31" t="s">
        <v>919</v>
      </c>
      <c r="R31" t="s">
        <v>860</v>
      </c>
      <c r="S31" t="s">
        <v>572</v>
      </c>
    </row>
    <row r="32" spans="1:19">
      <c r="A32" t="s">
        <v>937</v>
      </c>
      <c r="B32" t="s">
        <v>940</v>
      </c>
      <c r="C32" t="s">
        <v>314</v>
      </c>
      <c r="D32" t="s">
        <v>315</v>
      </c>
      <c r="E32" s="14">
        <v>42109</v>
      </c>
      <c r="F32" s="14">
        <v>43204</v>
      </c>
      <c r="G32" t="s">
        <v>316</v>
      </c>
      <c r="H32" t="s">
        <v>317</v>
      </c>
      <c r="I32" s="6">
        <v>36000</v>
      </c>
      <c r="J32" s="6">
        <v>24977.4</v>
      </c>
      <c r="K32" s="19">
        <v>0.69381666666666675</v>
      </c>
      <c r="L32" t="s">
        <v>545</v>
      </c>
      <c r="M32" s="14">
        <v>43480</v>
      </c>
      <c r="N32" t="s">
        <v>563</v>
      </c>
      <c r="O32" t="s">
        <v>569</v>
      </c>
      <c r="R32" t="s">
        <v>860</v>
      </c>
      <c r="S32" t="s">
        <v>559</v>
      </c>
    </row>
    <row r="33" spans="1:19">
      <c r="A33" t="s">
        <v>937</v>
      </c>
      <c r="B33" t="s">
        <v>940</v>
      </c>
      <c r="C33" t="s">
        <v>321</v>
      </c>
      <c r="D33" t="s">
        <v>0</v>
      </c>
      <c r="E33" s="14">
        <v>42116</v>
      </c>
      <c r="F33" s="14">
        <v>43211</v>
      </c>
      <c r="G33" t="s">
        <v>322</v>
      </c>
      <c r="H33" t="s">
        <v>323</v>
      </c>
      <c r="I33" s="6">
        <v>5000</v>
      </c>
      <c r="J33" s="6">
        <v>2448.35</v>
      </c>
      <c r="K33" s="19">
        <v>0.48966999999999999</v>
      </c>
      <c r="L33" t="s">
        <v>545</v>
      </c>
      <c r="M33" s="14">
        <v>44034</v>
      </c>
      <c r="N33" t="s">
        <v>562</v>
      </c>
      <c r="O33" t="s">
        <v>761</v>
      </c>
      <c r="P33" t="s">
        <v>905</v>
      </c>
      <c r="R33" t="s">
        <v>860</v>
      </c>
      <c r="S33" t="s">
        <v>559</v>
      </c>
    </row>
    <row r="34" spans="1:19">
      <c r="A34" t="s">
        <v>937</v>
      </c>
      <c r="B34" t="s">
        <v>940</v>
      </c>
      <c r="C34" t="s">
        <v>318</v>
      </c>
      <c r="D34" t="s">
        <v>7</v>
      </c>
      <c r="E34" s="14">
        <v>42125</v>
      </c>
      <c r="F34" s="14">
        <v>43220</v>
      </c>
      <c r="G34" t="s">
        <v>319</v>
      </c>
      <c r="H34" t="s">
        <v>320</v>
      </c>
      <c r="I34" s="6">
        <v>100000</v>
      </c>
      <c r="J34" s="6">
        <v>23280.84</v>
      </c>
      <c r="K34" s="19">
        <v>0.2328084</v>
      </c>
      <c r="L34" t="s">
        <v>545</v>
      </c>
      <c r="M34" s="14">
        <v>46143</v>
      </c>
      <c r="N34" t="s">
        <v>562</v>
      </c>
      <c r="O34" t="s">
        <v>761</v>
      </c>
      <c r="P34" t="s">
        <v>907</v>
      </c>
      <c r="R34" t="s">
        <v>860</v>
      </c>
      <c r="S34" t="s">
        <v>559</v>
      </c>
    </row>
    <row r="35" spans="1:19">
      <c r="A35" t="s">
        <v>937</v>
      </c>
      <c r="B35" t="s">
        <v>940</v>
      </c>
      <c r="C35" t="s">
        <v>178</v>
      </c>
      <c r="D35" t="s">
        <v>7</v>
      </c>
      <c r="E35" s="14">
        <v>41760</v>
      </c>
      <c r="F35" s="14">
        <v>43220</v>
      </c>
      <c r="G35" t="s">
        <v>179</v>
      </c>
      <c r="H35" t="s">
        <v>131</v>
      </c>
      <c r="I35" s="6">
        <v>1900000</v>
      </c>
      <c r="J35" s="6">
        <v>888748.17</v>
      </c>
      <c r="K35" s="19">
        <v>0.46776219473684211</v>
      </c>
      <c r="L35" t="s">
        <v>545</v>
      </c>
      <c r="M35" s="14">
        <v>44531</v>
      </c>
      <c r="N35" t="s">
        <v>562</v>
      </c>
      <c r="O35" t="s">
        <v>672</v>
      </c>
      <c r="P35" t="s">
        <v>907</v>
      </c>
      <c r="R35" t="s">
        <v>860</v>
      </c>
      <c r="S35" t="s">
        <v>559</v>
      </c>
    </row>
    <row r="36" spans="1:19">
      <c r="A36" t="s">
        <v>937</v>
      </c>
      <c r="B36" t="s">
        <v>940</v>
      </c>
      <c r="C36" t="s">
        <v>170</v>
      </c>
      <c r="D36" t="s">
        <v>7</v>
      </c>
      <c r="E36" s="14">
        <v>41760</v>
      </c>
      <c r="F36" s="14">
        <v>43220</v>
      </c>
      <c r="G36" t="s">
        <v>171</v>
      </c>
      <c r="H36" t="s">
        <v>172</v>
      </c>
      <c r="I36" s="6">
        <v>225000</v>
      </c>
      <c r="J36" s="6">
        <v>167400.25</v>
      </c>
      <c r="K36" s="19">
        <v>0.74400111111111111</v>
      </c>
      <c r="L36" t="s">
        <v>545</v>
      </c>
      <c r="M36" s="14">
        <v>43497</v>
      </c>
      <c r="N36" t="s">
        <v>562</v>
      </c>
      <c r="O36" t="s">
        <v>776</v>
      </c>
      <c r="P36" t="s">
        <v>907</v>
      </c>
      <c r="R36" t="s">
        <v>860</v>
      </c>
      <c r="S36" t="s">
        <v>559</v>
      </c>
    </row>
    <row r="37" spans="1:19">
      <c r="A37" t="s">
        <v>937</v>
      </c>
      <c r="B37" t="s">
        <v>940</v>
      </c>
      <c r="C37" t="s">
        <v>160</v>
      </c>
      <c r="D37" t="s">
        <v>7</v>
      </c>
      <c r="E37" s="14">
        <v>41760</v>
      </c>
      <c r="F37" s="14">
        <v>43220</v>
      </c>
      <c r="G37" t="s">
        <v>161</v>
      </c>
      <c r="H37" t="s">
        <v>162</v>
      </c>
      <c r="I37" s="6">
        <v>10000</v>
      </c>
      <c r="J37" s="6">
        <v>768.02</v>
      </c>
      <c r="K37" s="19">
        <v>7.6801999999999995E-2</v>
      </c>
      <c r="L37" t="s">
        <v>545</v>
      </c>
      <c r="M37" s="14">
        <v>58776</v>
      </c>
      <c r="N37" t="s">
        <v>562</v>
      </c>
      <c r="O37" t="s">
        <v>776</v>
      </c>
      <c r="P37" t="s">
        <v>907</v>
      </c>
      <c r="R37" t="s">
        <v>860</v>
      </c>
      <c r="S37" t="s">
        <v>559</v>
      </c>
    </row>
    <row r="38" spans="1:19">
      <c r="A38" t="s">
        <v>941</v>
      </c>
      <c r="B38" t="s">
        <v>940</v>
      </c>
      <c r="C38" t="s">
        <v>677</v>
      </c>
      <c r="D38" t="s">
        <v>328</v>
      </c>
      <c r="E38" s="14">
        <v>42508</v>
      </c>
      <c r="F38" s="14">
        <v>43237</v>
      </c>
      <c r="G38" t="s">
        <v>674</v>
      </c>
      <c r="H38" t="s">
        <v>678</v>
      </c>
      <c r="I38" s="6">
        <v>110000</v>
      </c>
      <c r="J38" s="6">
        <v>102645</v>
      </c>
      <c r="K38" s="19">
        <v>0.93313636363636365</v>
      </c>
      <c r="L38" t="s">
        <v>801</v>
      </c>
      <c r="M38" s="14">
        <v>43087</v>
      </c>
      <c r="N38" t="s">
        <v>563</v>
      </c>
      <c r="O38" t="s">
        <v>679</v>
      </c>
      <c r="R38" t="s">
        <v>860</v>
      </c>
      <c r="S38" t="s">
        <v>572</v>
      </c>
    </row>
    <row r="39" spans="1:19">
      <c r="A39" t="s">
        <v>941</v>
      </c>
      <c r="B39" t="s">
        <v>940</v>
      </c>
      <c r="C39" t="s">
        <v>673</v>
      </c>
      <c r="D39" t="s">
        <v>328</v>
      </c>
      <c r="E39" s="14">
        <v>42508</v>
      </c>
      <c r="F39" s="14">
        <v>43237</v>
      </c>
      <c r="G39" t="s">
        <v>674</v>
      </c>
      <c r="H39" t="s">
        <v>675</v>
      </c>
      <c r="I39" s="6">
        <v>80000</v>
      </c>
      <c r="J39" s="6">
        <v>35648.5</v>
      </c>
      <c r="K39" s="19">
        <v>0.44560624999999998</v>
      </c>
      <c r="L39" t="s">
        <v>545</v>
      </c>
      <c r="M39" s="14">
        <v>43756</v>
      </c>
      <c r="N39" t="s">
        <v>563</v>
      </c>
      <c r="O39" t="s">
        <v>676</v>
      </c>
      <c r="R39" t="s">
        <v>860</v>
      </c>
      <c r="S39" t="s">
        <v>559</v>
      </c>
    </row>
    <row r="40" spans="1:19">
      <c r="A40" t="s">
        <v>941</v>
      </c>
      <c r="B40" t="s">
        <v>940</v>
      </c>
      <c r="C40" t="s">
        <v>324</v>
      </c>
      <c r="D40" t="s">
        <v>7</v>
      </c>
      <c r="E40" s="14">
        <v>42151</v>
      </c>
      <c r="F40" s="14">
        <v>43246</v>
      </c>
      <c r="G40" t="s">
        <v>325</v>
      </c>
      <c r="H40" t="s">
        <v>326</v>
      </c>
      <c r="I40" s="6">
        <v>23200</v>
      </c>
      <c r="J40" s="6">
        <v>0</v>
      </c>
      <c r="K40" s="19">
        <v>0</v>
      </c>
      <c r="L40" t="s">
        <v>545</v>
      </c>
      <c r="M40" t="e">
        <v>#DIV/0!</v>
      </c>
      <c r="N40" t="s">
        <v>562</v>
      </c>
      <c r="O40" t="s">
        <v>777</v>
      </c>
      <c r="R40" t="s">
        <v>860</v>
      </c>
      <c r="S40" t="s">
        <v>559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F1" workbookViewId="0">
      <selection activeCell="K4" sqref="K4"/>
    </sheetView>
  </sheetViews>
  <sheetFormatPr defaultRowHeight="15"/>
  <cols>
    <col min="1" max="1" width="16.7109375" customWidth="1"/>
    <col min="2" max="2" width="12.5703125" customWidth="1"/>
    <col min="5" max="5" width="12" customWidth="1"/>
    <col min="6" max="6" width="10.7109375" bestFit="1" customWidth="1"/>
    <col min="7" max="7" width="14.85546875" customWidth="1"/>
    <col min="8" max="8" width="10.7109375" customWidth="1"/>
    <col min="9" max="9" width="14.42578125" style="6" bestFit="1" customWidth="1"/>
    <col min="10" max="10" width="15.140625" style="6" bestFit="1" customWidth="1"/>
    <col min="11" max="11" width="11" style="19" customWidth="1"/>
    <col min="12" max="12" width="17.5703125" customWidth="1"/>
    <col min="13" max="13" width="21.140625" customWidth="1"/>
    <col min="14" max="14" width="10.28515625" customWidth="1"/>
    <col min="15" max="15" width="20" customWidth="1"/>
    <col min="16" max="16" width="99.28515625" hidden="1" customWidth="1"/>
    <col min="17" max="17" width="55.5703125" customWidth="1"/>
    <col min="18" max="18" width="18.42578125" customWidth="1"/>
    <col min="19" max="19" width="10.28515625" customWidth="1"/>
    <col min="21" max="21" width="27.7109375" customWidth="1"/>
    <col min="22" max="22" width="25" customWidth="1"/>
  </cols>
  <sheetData>
    <row r="1" spans="1:22">
      <c r="A1" t="s">
        <v>784</v>
      </c>
      <c r="B1" t="s">
        <v>785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s="6" t="s">
        <v>542</v>
      </c>
      <c r="J1" s="6" t="s">
        <v>930</v>
      </c>
      <c r="K1" s="19" t="s">
        <v>543</v>
      </c>
      <c r="L1" t="s">
        <v>548</v>
      </c>
      <c r="M1" t="s">
        <v>550</v>
      </c>
      <c r="N1" t="s">
        <v>553</v>
      </c>
      <c r="O1" t="s">
        <v>554</v>
      </c>
      <c r="P1" t="s">
        <v>556</v>
      </c>
      <c r="Q1" t="s">
        <v>888</v>
      </c>
      <c r="R1" t="s">
        <v>557</v>
      </c>
      <c r="S1" t="s">
        <v>558</v>
      </c>
      <c r="T1" t="s">
        <v>559</v>
      </c>
      <c r="U1" t="s">
        <v>560</v>
      </c>
      <c r="V1" t="s">
        <v>561</v>
      </c>
    </row>
    <row r="2" spans="1:22">
      <c r="A2" t="s">
        <v>939</v>
      </c>
      <c r="B2" t="s">
        <v>944</v>
      </c>
      <c r="C2" t="s">
        <v>754</v>
      </c>
      <c r="D2" t="s">
        <v>0</v>
      </c>
      <c r="E2" s="14">
        <v>41516</v>
      </c>
      <c r="F2" s="14">
        <v>44437</v>
      </c>
      <c r="G2" t="s">
        <v>755</v>
      </c>
      <c r="H2" t="s">
        <v>756</v>
      </c>
      <c r="I2" s="6">
        <v>7560711.5599999996</v>
      </c>
      <c r="J2" s="6">
        <v>6926441.2300000004</v>
      </c>
      <c r="K2" s="19">
        <v>0.91610970409774506</v>
      </c>
      <c r="L2" t="s">
        <v>801</v>
      </c>
      <c r="M2" s="14">
        <v>43189</v>
      </c>
      <c r="N2" t="s">
        <v>563</v>
      </c>
      <c r="O2" t="s">
        <v>565</v>
      </c>
      <c r="P2" t="s">
        <v>877</v>
      </c>
      <c r="R2" t="s">
        <v>861</v>
      </c>
      <c r="S2">
        <v>0</v>
      </c>
      <c r="T2">
        <v>0</v>
      </c>
      <c r="U2">
        <v>0</v>
      </c>
      <c r="V2" t="s">
        <v>572</v>
      </c>
    </row>
    <row r="3" spans="1:22" ht="30">
      <c r="A3" t="s">
        <v>865</v>
      </c>
      <c r="B3" t="s">
        <v>945</v>
      </c>
      <c r="C3" t="s">
        <v>753</v>
      </c>
      <c r="D3" t="s">
        <v>349</v>
      </c>
      <c r="E3" s="14">
        <v>42772</v>
      </c>
      <c r="F3" s="14">
        <v>43866</v>
      </c>
      <c r="G3" t="s">
        <v>751</v>
      </c>
      <c r="H3" t="s">
        <v>487</v>
      </c>
      <c r="I3" s="6">
        <v>1650000</v>
      </c>
      <c r="J3" s="6">
        <v>1287062</v>
      </c>
      <c r="K3" s="19">
        <v>0.78003757575757571</v>
      </c>
      <c r="L3" t="s">
        <v>802</v>
      </c>
      <c r="M3" s="14">
        <v>43137</v>
      </c>
      <c r="N3" t="s">
        <v>563</v>
      </c>
      <c r="O3" t="s">
        <v>749</v>
      </c>
      <c r="Q3" s="136" t="s">
        <v>935</v>
      </c>
      <c r="R3" t="s">
        <v>861</v>
      </c>
      <c r="S3">
        <v>0</v>
      </c>
      <c r="T3">
        <v>0</v>
      </c>
      <c r="U3">
        <v>0</v>
      </c>
      <c r="V3" t="s">
        <v>572</v>
      </c>
    </row>
    <row r="4" spans="1:22" ht="30">
      <c r="A4" t="s">
        <v>865</v>
      </c>
      <c r="B4" t="s">
        <v>945</v>
      </c>
      <c r="C4" t="s">
        <v>750</v>
      </c>
      <c r="D4" t="s">
        <v>349</v>
      </c>
      <c r="E4" s="14">
        <v>42772</v>
      </c>
      <c r="F4" s="14">
        <v>43866</v>
      </c>
      <c r="G4" t="s">
        <v>751</v>
      </c>
      <c r="H4" t="s">
        <v>752</v>
      </c>
      <c r="I4" s="6">
        <v>250000</v>
      </c>
      <c r="J4" s="6">
        <v>188312.4</v>
      </c>
      <c r="K4" s="19">
        <v>0.75324959999999996</v>
      </c>
      <c r="L4" t="s">
        <v>802</v>
      </c>
      <c r="M4" s="14">
        <v>43137</v>
      </c>
      <c r="N4" t="s">
        <v>563</v>
      </c>
      <c r="O4" t="s">
        <v>749</v>
      </c>
      <c r="Q4" s="136" t="s">
        <v>935</v>
      </c>
      <c r="R4" t="s">
        <v>861</v>
      </c>
      <c r="S4">
        <v>0</v>
      </c>
      <c r="T4">
        <v>0</v>
      </c>
      <c r="U4">
        <v>0</v>
      </c>
      <c r="V4" t="s">
        <v>572</v>
      </c>
    </row>
    <row r="5" spans="1:22">
      <c r="A5" t="s">
        <v>803</v>
      </c>
      <c r="B5" t="s">
        <v>946</v>
      </c>
      <c r="C5" t="s">
        <v>737</v>
      </c>
      <c r="D5" t="s">
        <v>315</v>
      </c>
      <c r="E5" s="14">
        <v>42644</v>
      </c>
      <c r="F5" s="14">
        <v>43738</v>
      </c>
      <c r="G5" t="s">
        <v>738</v>
      </c>
      <c r="H5" t="s">
        <v>739</v>
      </c>
      <c r="I5" s="6">
        <v>200000</v>
      </c>
      <c r="J5" s="6">
        <v>179510.83</v>
      </c>
      <c r="K5" s="19">
        <v>0.89755414999999994</v>
      </c>
      <c r="L5" t="s">
        <v>802</v>
      </c>
      <c r="M5" s="14">
        <v>43101</v>
      </c>
      <c r="N5" t="s">
        <v>563</v>
      </c>
      <c r="O5" t="s">
        <v>565</v>
      </c>
      <c r="Q5" t="s">
        <v>934</v>
      </c>
      <c r="R5" t="s">
        <v>861</v>
      </c>
      <c r="S5">
        <v>0</v>
      </c>
      <c r="T5">
        <v>0</v>
      </c>
      <c r="U5">
        <v>0</v>
      </c>
      <c r="V5" t="s">
        <v>572</v>
      </c>
    </row>
    <row r="6" spans="1:22">
      <c r="A6" t="s">
        <v>938</v>
      </c>
      <c r="B6" t="s">
        <v>946</v>
      </c>
      <c r="C6" t="s">
        <v>598</v>
      </c>
      <c r="D6" t="s">
        <v>52</v>
      </c>
      <c r="E6" s="14">
        <v>41815</v>
      </c>
      <c r="F6" s="14">
        <v>43640</v>
      </c>
      <c r="G6" t="s">
        <v>599</v>
      </c>
      <c r="H6" t="s">
        <v>600</v>
      </c>
      <c r="I6" s="6">
        <v>1000000</v>
      </c>
      <c r="J6" s="6">
        <v>883217.99</v>
      </c>
      <c r="K6" s="19">
        <v>0.88321799000000001</v>
      </c>
      <c r="L6" t="s">
        <v>801</v>
      </c>
      <c r="M6" s="14">
        <v>43215</v>
      </c>
      <c r="N6" t="s">
        <v>563</v>
      </c>
      <c r="O6" t="s">
        <v>594</v>
      </c>
      <c r="Q6" t="s">
        <v>955</v>
      </c>
      <c r="R6" t="s">
        <v>861</v>
      </c>
      <c r="S6">
        <v>0</v>
      </c>
      <c r="T6">
        <v>0</v>
      </c>
      <c r="U6">
        <v>0</v>
      </c>
      <c r="V6" t="s">
        <v>572</v>
      </c>
    </row>
    <row r="7" spans="1:22">
      <c r="A7" t="s">
        <v>864</v>
      </c>
      <c r="B7" t="s">
        <v>946</v>
      </c>
      <c r="C7" t="s">
        <v>718</v>
      </c>
      <c r="D7" t="s">
        <v>52</v>
      </c>
      <c r="E7" s="14">
        <v>41668</v>
      </c>
      <c r="F7" s="14">
        <v>43493</v>
      </c>
      <c r="G7" t="s">
        <v>719</v>
      </c>
      <c r="H7" t="s">
        <v>597</v>
      </c>
      <c r="I7" s="6">
        <v>2000000</v>
      </c>
      <c r="J7" s="6">
        <v>1722849.85</v>
      </c>
      <c r="K7" s="19">
        <v>0.86142492500000001</v>
      </c>
      <c r="L7" t="s">
        <v>801</v>
      </c>
      <c r="M7" s="14">
        <v>43280</v>
      </c>
      <c r="N7" t="s">
        <v>563</v>
      </c>
      <c r="O7" t="s">
        <v>574</v>
      </c>
      <c r="Q7" t="s">
        <v>956</v>
      </c>
      <c r="R7" t="s">
        <v>861</v>
      </c>
      <c r="S7">
        <v>0</v>
      </c>
      <c r="T7">
        <v>0</v>
      </c>
      <c r="U7">
        <v>0</v>
      </c>
      <c r="V7" t="s">
        <v>572</v>
      </c>
    </row>
    <row r="8" spans="1:22">
      <c r="A8" t="s">
        <v>864</v>
      </c>
      <c r="B8" t="s">
        <v>946</v>
      </c>
      <c r="C8" t="s">
        <v>713</v>
      </c>
      <c r="D8" t="s">
        <v>52</v>
      </c>
      <c r="E8" s="14">
        <v>41668</v>
      </c>
      <c r="F8" s="14">
        <v>43493</v>
      </c>
      <c r="G8" t="s">
        <v>714</v>
      </c>
      <c r="H8" t="s">
        <v>600</v>
      </c>
      <c r="I8" s="6">
        <v>6500000</v>
      </c>
      <c r="J8" s="6">
        <v>5655960.0700000003</v>
      </c>
      <c r="K8" s="19">
        <v>0.87014770307692313</v>
      </c>
      <c r="L8" t="s">
        <v>801</v>
      </c>
      <c r="M8" s="14">
        <v>43249</v>
      </c>
      <c r="N8" t="s">
        <v>563</v>
      </c>
      <c r="O8" t="s">
        <v>574</v>
      </c>
      <c r="Q8" t="s">
        <v>957</v>
      </c>
      <c r="R8" t="s">
        <v>861</v>
      </c>
      <c r="S8">
        <v>0</v>
      </c>
      <c r="T8">
        <v>0</v>
      </c>
      <c r="U8">
        <v>0</v>
      </c>
      <c r="V8" t="s">
        <v>572</v>
      </c>
    </row>
    <row r="9" spans="1:22" ht="45">
      <c r="A9" t="s">
        <v>939</v>
      </c>
      <c r="B9" t="s">
        <v>940</v>
      </c>
      <c r="C9" t="s">
        <v>621</v>
      </c>
      <c r="D9" t="s">
        <v>52</v>
      </c>
      <c r="E9" s="14">
        <v>41518</v>
      </c>
      <c r="F9" s="14">
        <v>43343</v>
      </c>
      <c r="G9" t="s">
        <v>622</v>
      </c>
      <c r="H9" t="s">
        <v>623</v>
      </c>
      <c r="I9" s="6">
        <v>4412590</v>
      </c>
      <c r="J9" s="6">
        <v>3355050.65</v>
      </c>
      <c r="K9" s="19">
        <v>0.7603359138283865</v>
      </c>
      <c r="L9" t="s">
        <v>545</v>
      </c>
      <c r="M9" s="14">
        <v>43525</v>
      </c>
      <c r="N9" t="s">
        <v>563</v>
      </c>
      <c r="O9" t="s">
        <v>565</v>
      </c>
      <c r="Q9" s="136" t="s">
        <v>951</v>
      </c>
      <c r="R9" t="s">
        <v>861</v>
      </c>
      <c r="S9">
        <v>0</v>
      </c>
      <c r="T9">
        <v>0</v>
      </c>
      <c r="U9">
        <v>0</v>
      </c>
      <c r="V9" t="s">
        <v>572</v>
      </c>
    </row>
    <row r="10" spans="1:22">
      <c r="A10" t="s">
        <v>938</v>
      </c>
      <c r="B10" t="s">
        <v>940</v>
      </c>
      <c r="C10" t="s">
        <v>587</v>
      </c>
      <c r="D10" t="s">
        <v>349</v>
      </c>
      <c r="E10" s="14">
        <v>41800</v>
      </c>
      <c r="F10" s="14">
        <v>43278</v>
      </c>
      <c r="G10" t="s">
        <v>588</v>
      </c>
      <c r="H10" t="s">
        <v>589</v>
      </c>
      <c r="I10" s="6">
        <v>34900</v>
      </c>
      <c r="J10" s="6">
        <v>27998.12</v>
      </c>
      <c r="K10" s="19">
        <v>0.8022383954154727</v>
      </c>
      <c r="L10" t="s">
        <v>545</v>
      </c>
      <c r="M10" s="14">
        <v>43353</v>
      </c>
      <c r="N10" t="s">
        <v>563</v>
      </c>
      <c r="O10" t="s">
        <v>776</v>
      </c>
      <c r="Q10" t="s">
        <v>950</v>
      </c>
      <c r="R10" t="s">
        <v>861</v>
      </c>
      <c r="S10">
        <v>0</v>
      </c>
      <c r="T10">
        <v>0</v>
      </c>
      <c r="U10">
        <v>0</v>
      </c>
      <c r="V10" t="s">
        <v>572</v>
      </c>
    </row>
    <row r="11" spans="1:22">
      <c r="A11" t="s">
        <v>941</v>
      </c>
      <c r="B11" t="s">
        <v>940</v>
      </c>
      <c r="C11" t="s">
        <v>677</v>
      </c>
      <c r="D11" t="s">
        <v>328</v>
      </c>
      <c r="E11" s="14">
        <v>42508</v>
      </c>
      <c r="F11" s="14">
        <v>43237</v>
      </c>
      <c r="G11" t="s">
        <v>674</v>
      </c>
      <c r="H11" t="s">
        <v>678</v>
      </c>
      <c r="I11" s="6">
        <v>110000</v>
      </c>
      <c r="J11" s="6">
        <v>102645</v>
      </c>
      <c r="K11" s="19">
        <v>0.93313636363636365</v>
      </c>
      <c r="L11" t="s">
        <v>801</v>
      </c>
      <c r="M11" s="14">
        <v>43087</v>
      </c>
      <c r="N11" t="s">
        <v>563</v>
      </c>
      <c r="O11" t="s">
        <v>679</v>
      </c>
      <c r="P11" t="s">
        <v>949</v>
      </c>
      <c r="Q11" t="s">
        <v>948</v>
      </c>
      <c r="R11" t="s">
        <v>860</v>
      </c>
      <c r="S11">
        <v>1</v>
      </c>
      <c r="T11">
        <v>0</v>
      </c>
      <c r="U11">
        <v>0</v>
      </c>
      <c r="V11" t="s">
        <v>572</v>
      </c>
    </row>
    <row r="12" spans="1:22">
      <c r="A12" t="s">
        <v>866</v>
      </c>
      <c r="B12" t="s">
        <v>940</v>
      </c>
      <c r="C12" t="s">
        <v>658</v>
      </c>
      <c r="D12" t="s">
        <v>52</v>
      </c>
      <c r="E12" s="14">
        <v>42467</v>
      </c>
      <c r="F12" s="14">
        <v>43190</v>
      </c>
      <c r="G12" t="s">
        <v>659</v>
      </c>
      <c r="H12" t="s">
        <v>638</v>
      </c>
      <c r="I12" s="6">
        <v>2000000</v>
      </c>
      <c r="J12" s="6">
        <v>1998362.21</v>
      </c>
      <c r="K12" s="19">
        <v>0.99918110500000001</v>
      </c>
      <c r="L12" t="s">
        <v>801</v>
      </c>
      <c r="M12" s="14">
        <v>43046</v>
      </c>
      <c r="N12" t="s">
        <v>563</v>
      </c>
      <c r="O12" t="s">
        <v>660</v>
      </c>
      <c r="P12" t="s">
        <v>876</v>
      </c>
      <c r="Q12" t="s">
        <v>947</v>
      </c>
      <c r="R12" t="s">
        <v>860</v>
      </c>
      <c r="S12">
        <v>1</v>
      </c>
      <c r="T12">
        <v>0</v>
      </c>
      <c r="U12">
        <v>0</v>
      </c>
      <c r="V12" t="s">
        <v>572</v>
      </c>
    </row>
    <row r="13" spans="1:22" hidden="1">
      <c r="A13" t="s">
        <v>804</v>
      </c>
      <c r="B13" t="s">
        <v>936</v>
      </c>
      <c r="C13" t="s">
        <v>78</v>
      </c>
      <c r="D13" t="s">
        <v>889</v>
      </c>
      <c r="E13" s="14">
        <v>41183</v>
      </c>
      <c r="F13" s="14">
        <v>43026</v>
      </c>
      <c r="G13" t="s">
        <v>79</v>
      </c>
      <c r="H13" t="s">
        <v>80</v>
      </c>
      <c r="I13" s="6">
        <v>4200000</v>
      </c>
      <c r="J13" s="6">
        <v>3963126.45</v>
      </c>
      <c r="K13" s="19">
        <v>0.94360153571428573</v>
      </c>
      <c r="L13" t="s">
        <v>545</v>
      </c>
      <c r="M13" s="14">
        <v>43160</v>
      </c>
      <c r="N13" t="s">
        <v>562</v>
      </c>
      <c r="O13" t="s">
        <v>565</v>
      </c>
      <c r="P13" t="s">
        <v>892</v>
      </c>
      <c r="R13" t="s">
        <v>860</v>
      </c>
      <c r="S13">
        <v>1</v>
      </c>
      <c r="T13">
        <v>0</v>
      </c>
      <c r="U13">
        <v>1</v>
      </c>
      <c r="V13" t="s">
        <v>572</v>
      </c>
    </row>
    <row r="14" spans="1:22" hidden="1">
      <c r="A14" t="s">
        <v>804</v>
      </c>
      <c r="B14" t="s">
        <v>936</v>
      </c>
      <c r="C14" t="s">
        <v>27</v>
      </c>
      <c r="D14" t="s">
        <v>24</v>
      </c>
      <c r="E14" s="14">
        <v>40483</v>
      </c>
      <c r="F14" s="14">
        <v>43039</v>
      </c>
      <c r="G14" t="s">
        <v>25</v>
      </c>
      <c r="H14" t="s">
        <v>28</v>
      </c>
      <c r="I14" s="6">
        <v>1420000</v>
      </c>
      <c r="J14" s="6">
        <v>1397186.92</v>
      </c>
      <c r="K14" s="19">
        <v>0.98393445070422525</v>
      </c>
      <c r="L14" t="s">
        <v>545</v>
      </c>
      <c r="M14" s="14">
        <v>43101</v>
      </c>
      <c r="N14" t="s">
        <v>562</v>
      </c>
      <c r="O14" t="s">
        <v>565</v>
      </c>
      <c r="P14" t="s">
        <v>858</v>
      </c>
      <c r="R14" t="s">
        <v>860</v>
      </c>
      <c r="S14">
        <v>1</v>
      </c>
      <c r="T14">
        <v>0</v>
      </c>
      <c r="U14">
        <v>1</v>
      </c>
      <c r="V14" t="s">
        <v>572</v>
      </c>
    </row>
    <row r="15" spans="1:22" hidden="1">
      <c r="A15" t="s">
        <v>865</v>
      </c>
      <c r="B15" t="s">
        <v>940</v>
      </c>
      <c r="C15" t="s">
        <v>29</v>
      </c>
      <c r="D15" t="s">
        <v>24</v>
      </c>
      <c r="E15" s="14">
        <v>40483</v>
      </c>
      <c r="F15" s="14">
        <v>43159</v>
      </c>
      <c r="G15" t="s">
        <v>25</v>
      </c>
      <c r="H15" t="s">
        <v>30</v>
      </c>
      <c r="I15" s="6">
        <v>785000</v>
      </c>
      <c r="J15" s="6">
        <v>699905.81</v>
      </c>
      <c r="K15" s="19">
        <v>0.89159975796178348</v>
      </c>
      <c r="L15" t="s">
        <v>545</v>
      </c>
      <c r="M15" s="14">
        <v>43374</v>
      </c>
      <c r="N15" t="s">
        <v>562</v>
      </c>
      <c r="O15" t="s">
        <v>565</v>
      </c>
      <c r="P15" t="s">
        <v>858</v>
      </c>
      <c r="R15" t="s">
        <v>860</v>
      </c>
      <c r="S15">
        <v>1</v>
      </c>
      <c r="T15">
        <v>0</v>
      </c>
      <c r="U15">
        <v>1</v>
      </c>
      <c r="V15" t="s">
        <v>572</v>
      </c>
    </row>
    <row r="16" spans="1:22" hidden="1">
      <c r="A16" t="s">
        <v>804</v>
      </c>
      <c r="B16" t="s">
        <v>936</v>
      </c>
      <c r="C16" t="s">
        <v>31</v>
      </c>
      <c r="D16" t="s">
        <v>24</v>
      </c>
      <c r="E16" s="14">
        <v>40483</v>
      </c>
      <c r="F16" s="14">
        <v>43039</v>
      </c>
      <c r="G16" t="s">
        <v>25</v>
      </c>
      <c r="H16" t="s">
        <v>32</v>
      </c>
      <c r="I16" s="6">
        <v>1793000</v>
      </c>
      <c r="J16" s="6">
        <v>1705819.73</v>
      </c>
      <c r="K16" s="19">
        <v>0.95137742889012822</v>
      </c>
      <c r="L16" t="s">
        <v>545</v>
      </c>
      <c r="M16" s="14">
        <v>43191</v>
      </c>
      <c r="N16" t="s">
        <v>562</v>
      </c>
      <c r="O16" t="s">
        <v>565</v>
      </c>
      <c r="P16" t="s">
        <v>858</v>
      </c>
      <c r="R16" t="s">
        <v>860</v>
      </c>
      <c r="S16">
        <v>1</v>
      </c>
      <c r="T16">
        <v>0</v>
      </c>
      <c r="U16">
        <v>1</v>
      </c>
      <c r="V16" t="s">
        <v>572</v>
      </c>
    </row>
    <row r="17" spans="1:22" hidden="1">
      <c r="A17" t="s">
        <v>804</v>
      </c>
      <c r="B17" t="s">
        <v>936</v>
      </c>
      <c r="C17" t="s">
        <v>33</v>
      </c>
      <c r="D17" t="s">
        <v>24</v>
      </c>
      <c r="E17" s="14">
        <v>40483</v>
      </c>
      <c r="F17" s="14">
        <v>43039</v>
      </c>
      <c r="G17" t="s">
        <v>25</v>
      </c>
      <c r="H17" t="s">
        <v>34</v>
      </c>
      <c r="I17" s="6">
        <v>500000</v>
      </c>
      <c r="J17" s="6">
        <v>444508.86</v>
      </c>
      <c r="K17" s="19">
        <v>0.88901772000000001</v>
      </c>
      <c r="L17" t="s">
        <v>545</v>
      </c>
      <c r="M17" s="14">
        <v>43374</v>
      </c>
      <c r="N17" t="s">
        <v>562</v>
      </c>
      <c r="O17" t="s">
        <v>565</v>
      </c>
      <c r="P17" t="s">
        <v>858</v>
      </c>
      <c r="R17" t="s">
        <v>860</v>
      </c>
      <c r="S17">
        <v>1</v>
      </c>
      <c r="T17">
        <v>0</v>
      </c>
      <c r="U17">
        <v>1</v>
      </c>
      <c r="V17" t="s">
        <v>572</v>
      </c>
    </row>
    <row r="18" spans="1:22" hidden="1">
      <c r="A18" t="s">
        <v>804</v>
      </c>
      <c r="B18" t="s">
        <v>936</v>
      </c>
      <c r="C18" t="s">
        <v>35</v>
      </c>
      <c r="D18" t="s">
        <v>24</v>
      </c>
      <c r="E18" s="14">
        <v>40483</v>
      </c>
      <c r="F18" s="14">
        <v>43039</v>
      </c>
      <c r="G18" t="s">
        <v>25</v>
      </c>
      <c r="H18" t="s">
        <v>36</v>
      </c>
      <c r="I18" s="6">
        <v>580000</v>
      </c>
      <c r="J18" s="6">
        <v>457757.89</v>
      </c>
      <c r="K18" s="19">
        <v>0.78923774137931035</v>
      </c>
      <c r="L18" t="s">
        <v>545</v>
      </c>
      <c r="M18" s="14">
        <v>43739</v>
      </c>
      <c r="N18" t="s">
        <v>562</v>
      </c>
      <c r="O18" t="s">
        <v>565</v>
      </c>
      <c r="P18" t="s">
        <v>858</v>
      </c>
      <c r="R18" t="s">
        <v>860</v>
      </c>
      <c r="S18">
        <v>1</v>
      </c>
      <c r="T18">
        <v>0</v>
      </c>
      <c r="U18">
        <v>1</v>
      </c>
      <c r="V18" t="s">
        <v>572</v>
      </c>
    </row>
    <row r="19" spans="1:22" hidden="1">
      <c r="A19" t="s">
        <v>804</v>
      </c>
      <c r="B19" t="s">
        <v>936</v>
      </c>
      <c r="C19" t="s">
        <v>37</v>
      </c>
      <c r="D19" t="s">
        <v>24</v>
      </c>
      <c r="E19" s="14">
        <v>40483</v>
      </c>
      <c r="F19" s="14">
        <v>43039</v>
      </c>
      <c r="G19" t="s">
        <v>25</v>
      </c>
      <c r="H19" t="s">
        <v>38</v>
      </c>
      <c r="I19" s="6">
        <v>806000</v>
      </c>
      <c r="J19" s="6">
        <v>742961.88</v>
      </c>
      <c r="K19" s="19">
        <v>0.92178893300248144</v>
      </c>
      <c r="L19" t="s">
        <v>545</v>
      </c>
      <c r="M19" s="14">
        <v>43282</v>
      </c>
      <c r="N19" t="s">
        <v>562</v>
      </c>
      <c r="O19" t="s">
        <v>565</v>
      </c>
      <c r="P19" t="s">
        <v>858</v>
      </c>
      <c r="R19" t="s">
        <v>860</v>
      </c>
      <c r="S19">
        <v>1</v>
      </c>
      <c r="T19">
        <v>0</v>
      </c>
      <c r="U19">
        <v>1</v>
      </c>
      <c r="V19" t="s">
        <v>572</v>
      </c>
    </row>
    <row r="20" spans="1:22" hidden="1">
      <c r="A20" t="s">
        <v>804</v>
      </c>
      <c r="B20" t="s">
        <v>936</v>
      </c>
      <c r="C20" t="s">
        <v>39</v>
      </c>
      <c r="D20" t="s">
        <v>24</v>
      </c>
      <c r="E20" s="14">
        <v>40483</v>
      </c>
      <c r="F20" s="14">
        <v>43039</v>
      </c>
      <c r="G20" t="s">
        <v>25</v>
      </c>
      <c r="H20" t="s">
        <v>40</v>
      </c>
      <c r="I20" s="6">
        <v>932000</v>
      </c>
      <c r="J20" s="6">
        <v>924229.29</v>
      </c>
      <c r="K20" s="19">
        <v>0.99166232832618029</v>
      </c>
      <c r="L20" t="s">
        <v>545</v>
      </c>
      <c r="M20" s="14">
        <v>43070</v>
      </c>
      <c r="N20" t="s">
        <v>562</v>
      </c>
      <c r="O20" t="s">
        <v>565</v>
      </c>
      <c r="P20" t="s">
        <v>858</v>
      </c>
      <c r="R20" t="s">
        <v>860</v>
      </c>
      <c r="S20">
        <v>1</v>
      </c>
      <c r="T20">
        <v>0</v>
      </c>
      <c r="U20">
        <v>1</v>
      </c>
      <c r="V20" t="s">
        <v>572</v>
      </c>
    </row>
    <row r="21" spans="1:22" hidden="1">
      <c r="A21" t="s">
        <v>804</v>
      </c>
      <c r="B21" t="s">
        <v>936</v>
      </c>
      <c r="C21" t="s">
        <v>41</v>
      </c>
      <c r="D21" t="s">
        <v>24</v>
      </c>
      <c r="E21" s="14">
        <v>40483</v>
      </c>
      <c r="F21" s="14">
        <v>43039</v>
      </c>
      <c r="G21" t="s">
        <v>25</v>
      </c>
      <c r="H21" t="s">
        <v>42</v>
      </c>
      <c r="I21" s="6">
        <v>702000</v>
      </c>
      <c r="J21" s="6">
        <v>600623.18000000005</v>
      </c>
      <c r="K21" s="19">
        <v>0.85558857549857559</v>
      </c>
      <c r="L21" t="s">
        <v>545</v>
      </c>
      <c r="M21" s="14">
        <v>43497</v>
      </c>
      <c r="N21" t="s">
        <v>562</v>
      </c>
      <c r="O21" t="s">
        <v>565</v>
      </c>
      <c r="P21" t="s">
        <v>858</v>
      </c>
      <c r="R21" t="s">
        <v>860</v>
      </c>
      <c r="S21">
        <v>1</v>
      </c>
      <c r="T21">
        <v>0</v>
      </c>
      <c r="U21">
        <v>1</v>
      </c>
      <c r="V21" t="s">
        <v>572</v>
      </c>
    </row>
    <row r="22" spans="1:22" hidden="1">
      <c r="A22" t="s">
        <v>804</v>
      </c>
      <c r="B22" t="s">
        <v>936</v>
      </c>
      <c r="C22" t="s">
        <v>43</v>
      </c>
      <c r="D22" t="s">
        <v>24</v>
      </c>
      <c r="E22" s="14">
        <v>40483</v>
      </c>
      <c r="F22" s="14">
        <v>43039</v>
      </c>
      <c r="G22" t="s">
        <v>25</v>
      </c>
      <c r="H22" t="s">
        <v>44</v>
      </c>
      <c r="I22" s="6">
        <v>980000</v>
      </c>
      <c r="J22" s="6">
        <v>907859.57</v>
      </c>
      <c r="K22" s="19">
        <v>0.9263873163265306</v>
      </c>
      <c r="L22" t="s">
        <v>545</v>
      </c>
      <c r="M22" s="14">
        <v>43252</v>
      </c>
      <c r="N22" t="s">
        <v>562</v>
      </c>
      <c r="O22" t="s">
        <v>565</v>
      </c>
      <c r="P22" t="s">
        <v>858</v>
      </c>
      <c r="R22" t="s">
        <v>860</v>
      </c>
      <c r="S22">
        <v>1</v>
      </c>
      <c r="T22">
        <v>0</v>
      </c>
      <c r="U22">
        <v>1</v>
      </c>
      <c r="V22" t="s">
        <v>572</v>
      </c>
    </row>
    <row r="23" spans="1:22" hidden="1">
      <c r="A23" t="s">
        <v>804</v>
      </c>
      <c r="B23" t="s">
        <v>936</v>
      </c>
      <c r="C23" t="s">
        <v>45</v>
      </c>
      <c r="D23" t="s">
        <v>24</v>
      </c>
      <c r="E23" s="14">
        <v>40483</v>
      </c>
      <c r="F23" s="14">
        <v>43039</v>
      </c>
      <c r="G23" t="s">
        <v>25</v>
      </c>
      <c r="H23" t="s">
        <v>46</v>
      </c>
      <c r="I23" s="6">
        <v>725000</v>
      </c>
      <c r="J23" s="6">
        <v>687854.89</v>
      </c>
      <c r="K23" s="19">
        <v>0.94876536551724144</v>
      </c>
      <c r="L23" t="s">
        <v>545</v>
      </c>
      <c r="M23" s="14">
        <v>43191</v>
      </c>
      <c r="N23" t="s">
        <v>562</v>
      </c>
      <c r="O23" t="s">
        <v>565</v>
      </c>
      <c r="P23" t="s">
        <v>858</v>
      </c>
      <c r="R23" t="s">
        <v>860</v>
      </c>
      <c r="S23">
        <v>1</v>
      </c>
      <c r="T23">
        <v>0</v>
      </c>
      <c r="U23">
        <v>1</v>
      </c>
      <c r="V23" t="s">
        <v>572</v>
      </c>
    </row>
    <row r="24" spans="1:22" hidden="1">
      <c r="A24" t="s">
        <v>804</v>
      </c>
      <c r="B24" t="s">
        <v>936</v>
      </c>
      <c r="C24" t="s">
        <v>23</v>
      </c>
      <c r="D24" t="s">
        <v>24</v>
      </c>
      <c r="E24" s="14">
        <v>40483</v>
      </c>
      <c r="F24" s="14">
        <v>43039</v>
      </c>
      <c r="G24" t="s">
        <v>25</v>
      </c>
      <c r="H24" t="s">
        <v>26</v>
      </c>
      <c r="I24" s="6">
        <v>1002000</v>
      </c>
      <c r="J24" s="6">
        <v>996995.18</v>
      </c>
      <c r="K24" s="19">
        <v>0.99500516966067865</v>
      </c>
      <c r="L24" t="s">
        <v>545</v>
      </c>
      <c r="M24" s="14">
        <v>43070</v>
      </c>
      <c r="N24" t="s">
        <v>562</v>
      </c>
      <c r="O24" t="s">
        <v>565</v>
      </c>
      <c r="P24" t="s">
        <v>858</v>
      </c>
      <c r="R24" t="s">
        <v>860</v>
      </c>
      <c r="S24">
        <v>1</v>
      </c>
      <c r="T24">
        <v>0</v>
      </c>
      <c r="U24">
        <v>1</v>
      </c>
      <c r="V24" t="s">
        <v>572</v>
      </c>
    </row>
    <row r="25" spans="1:22" hidden="1">
      <c r="A25" t="s">
        <v>806</v>
      </c>
      <c r="B25" t="s">
        <v>946</v>
      </c>
      <c r="C25" t="s">
        <v>481</v>
      </c>
      <c r="D25" t="s">
        <v>7</v>
      </c>
      <c r="E25" s="14">
        <v>42725</v>
      </c>
      <c r="F25" s="14">
        <v>43819</v>
      </c>
      <c r="G25" t="s">
        <v>480</v>
      </c>
      <c r="H25" t="s">
        <v>482</v>
      </c>
      <c r="I25" s="6">
        <v>20000</v>
      </c>
      <c r="J25" s="6">
        <v>19691.84</v>
      </c>
      <c r="K25" s="19">
        <v>0.98459200000000002</v>
      </c>
      <c r="L25" t="s">
        <v>802</v>
      </c>
      <c r="M25" s="14">
        <v>43060</v>
      </c>
      <c r="N25" t="s">
        <v>562</v>
      </c>
      <c r="O25" t="s">
        <v>654</v>
      </c>
      <c r="R25" t="s">
        <v>861</v>
      </c>
      <c r="S25">
        <v>0</v>
      </c>
      <c r="T25">
        <v>0</v>
      </c>
      <c r="U25">
        <v>0</v>
      </c>
      <c r="V25" t="s">
        <v>572</v>
      </c>
    </row>
    <row r="26" spans="1:22" hidden="1">
      <c r="A26" t="s">
        <v>805</v>
      </c>
      <c r="B26" t="s">
        <v>936</v>
      </c>
      <c r="C26" t="s">
        <v>465</v>
      </c>
      <c r="D26" t="s">
        <v>58</v>
      </c>
      <c r="E26" s="14">
        <v>42681</v>
      </c>
      <c r="F26" s="14">
        <v>43045</v>
      </c>
      <c r="G26" t="s">
        <v>466</v>
      </c>
      <c r="H26" t="s">
        <v>467</v>
      </c>
      <c r="I26" s="6">
        <v>15966.37</v>
      </c>
      <c r="J26" s="6">
        <v>15022.29</v>
      </c>
      <c r="K26" s="19">
        <v>0.94087071763963881</v>
      </c>
      <c r="L26" t="s">
        <v>545</v>
      </c>
      <c r="M26" s="14">
        <v>43076</v>
      </c>
      <c r="N26" t="s">
        <v>562</v>
      </c>
      <c r="O26" t="s">
        <v>565</v>
      </c>
      <c r="P26" t="s">
        <v>910</v>
      </c>
      <c r="R26" t="s">
        <v>860</v>
      </c>
      <c r="S26">
        <v>1</v>
      </c>
      <c r="T26">
        <v>0</v>
      </c>
      <c r="U26">
        <v>1</v>
      </c>
      <c r="V26" t="s">
        <v>572</v>
      </c>
    </row>
    <row r="27" spans="1:22" hidden="1">
      <c r="A27" t="s">
        <v>805</v>
      </c>
      <c r="B27" t="s">
        <v>940</v>
      </c>
      <c r="C27" t="s">
        <v>19</v>
      </c>
      <c r="D27" t="s">
        <v>7</v>
      </c>
      <c r="E27" s="14">
        <v>40391</v>
      </c>
      <c r="F27" s="14">
        <v>43434</v>
      </c>
      <c r="G27" t="s">
        <v>4</v>
      </c>
      <c r="H27" t="s">
        <v>20</v>
      </c>
      <c r="I27" s="6">
        <v>166000</v>
      </c>
      <c r="J27" s="6">
        <v>136051.85</v>
      </c>
      <c r="K27" s="19">
        <v>0.81958945783132531</v>
      </c>
      <c r="L27" t="s">
        <v>545</v>
      </c>
      <c r="M27" s="14">
        <v>43647</v>
      </c>
      <c r="N27" t="s">
        <v>562</v>
      </c>
      <c r="O27" t="s">
        <v>565</v>
      </c>
      <c r="P27" t="s">
        <v>859</v>
      </c>
      <c r="R27" t="s">
        <v>861</v>
      </c>
      <c r="S27">
        <v>0</v>
      </c>
      <c r="T27">
        <v>0</v>
      </c>
      <c r="U27">
        <v>0</v>
      </c>
      <c r="V27" t="s">
        <v>572</v>
      </c>
    </row>
    <row r="28" spans="1:22" hidden="1">
      <c r="A28" t="s">
        <v>805</v>
      </c>
      <c r="B28" t="s">
        <v>940</v>
      </c>
      <c r="C28" t="s">
        <v>17</v>
      </c>
      <c r="D28" t="s">
        <v>7</v>
      </c>
      <c r="E28" s="14">
        <v>40391</v>
      </c>
      <c r="F28" s="14">
        <v>43434</v>
      </c>
      <c r="G28" t="s">
        <v>4</v>
      </c>
      <c r="H28" t="s">
        <v>18</v>
      </c>
      <c r="I28" s="6">
        <v>700000</v>
      </c>
      <c r="J28" s="6">
        <v>553321.32999999996</v>
      </c>
      <c r="K28" s="19">
        <v>0.79045904285714275</v>
      </c>
      <c r="L28" t="s">
        <v>545</v>
      </c>
      <c r="M28" s="14">
        <v>43770</v>
      </c>
      <c r="N28" t="s">
        <v>562</v>
      </c>
      <c r="O28" t="s">
        <v>565</v>
      </c>
      <c r="P28" t="s">
        <v>859</v>
      </c>
      <c r="R28" t="s">
        <v>861</v>
      </c>
      <c r="S28">
        <v>0</v>
      </c>
      <c r="T28">
        <v>0</v>
      </c>
      <c r="U28">
        <v>0</v>
      </c>
      <c r="V28" t="s">
        <v>572</v>
      </c>
    </row>
    <row r="29" spans="1:22" hidden="1">
      <c r="A29" t="s">
        <v>805</v>
      </c>
      <c r="B29" t="s">
        <v>940</v>
      </c>
      <c r="C29" t="s">
        <v>9</v>
      </c>
      <c r="D29" t="s">
        <v>7</v>
      </c>
      <c r="E29" s="14">
        <v>40391</v>
      </c>
      <c r="F29" s="14">
        <v>43434</v>
      </c>
      <c r="G29" t="s">
        <v>4</v>
      </c>
      <c r="H29" t="s">
        <v>10</v>
      </c>
      <c r="I29" s="6">
        <v>1899000</v>
      </c>
      <c r="J29" s="6">
        <v>1505733.64</v>
      </c>
      <c r="K29" s="19">
        <v>0.79290870984728801</v>
      </c>
      <c r="L29" t="s">
        <v>545</v>
      </c>
      <c r="M29" s="14">
        <v>43739</v>
      </c>
      <c r="N29" t="s">
        <v>562</v>
      </c>
      <c r="O29" t="s">
        <v>565</v>
      </c>
      <c r="P29" t="s">
        <v>859</v>
      </c>
      <c r="R29" t="s">
        <v>861</v>
      </c>
      <c r="S29">
        <v>0</v>
      </c>
      <c r="T29">
        <v>0</v>
      </c>
      <c r="U29">
        <v>0</v>
      </c>
      <c r="V29" t="s">
        <v>572</v>
      </c>
    </row>
    <row r="30" spans="1:22" hidden="1">
      <c r="A30" t="s">
        <v>805</v>
      </c>
      <c r="B30" t="s">
        <v>940</v>
      </c>
      <c r="C30" t="s">
        <v>6</v>
      </c>
      <c r="D30" t="s">
        <v>7</v>
      </c>
      <c r="E30" s="14">
        <v>40391</v>
      </c>
      <c r="F30" s="14">
        <v>43434</v>
      </c>
      <c r="G30" t="s">
        <v>4</v>
      </c>
      <c r="H30" t="s">
        <v>8</v>
      </c>
      <c r="I30" s="6">
        <v>666000</v>
      </c>
      <c r="J30" s="6">
        <v>610132.51</v>
      </c>
      <c r="K30" s="19">
        <v>0.91611487987987994</v>
      </c>
      <c r="L30" t="s">
        <v>801</v>
      </c>
      <c r="M30" s="14">
        <v>43282</v>
      </c>
      <c r="N30" t="s">
        <v>562</v>
      </c>
      <c r="O30" t="s">
        <v>565</v>
      </c>
      <c r="P30" t="s">
        <v>859</v>
      </c>
      <c r="R30" t="s">
        <v>861</v>
      </c>
      <c r="S30">
        <v>0</v>
      </c>
      <c r="T30">
        <v>0</v>
      </c>
      <c r="U30">
        <v>0</v>
      </c>
      <c r="V30" t="s">
        <v>572</v>
      </c>
    </row>
    <row r="31" spans="1:22" hidden="1">
      <c r="A31" t="s">
        <v>805</v>
      </c>
      <c r="B31" t="s">
        <v>940</v>
      </c>
      <c r="C31" t="s">
        <v>2</v>
      </c>
      <c r="D31" t="s">
        <v>3</v>
      </c>
      <c r="E31" s="14">
        <v>40391</v>
      </c>
      <c r="F31" s="14">
        <v>43434</v>
      </c>
      <c r="G31" t="s">
        <v>4</v>
      </c>
      <c r="H31" t="s">
        <v>5</v>
      </c>
      <c r="I31" s="6">
        <v>3782000</v>
      </c>
      <c r="J31" s="6">
        <v>3538730.66</v>
      </c>
      <c r="K31" s="19">
        <v>0.93567706504494985</v>
      </c>
      <c r="L31" t="s">
        <v>801</v>
      </c>
      <c r="M31" s="14">
        <v>43221</v>
      </c>
      <c r="N31" t="s">
        <v>562</v>
      </c>
      <c r="O31" t="s">
        <v>565</v>
      </c>
      <c r="P31" t="s">
        <v>859</v>
      </c>
      <c r="R31" t="s">
        <v>861</v>
      </c>
      <c r="S31">
        <v>0</v>
      </c>
      <c r="T31">
        <v>0</v>
      </c>
      <c r="U31">
        <v>0</v>
      </c>
      <c r="V31" t="s">
        <v>572</v>
      </c>
    </row>
    <row r="32" spans="1:22" ht="30" hidden="1">
      <c r="A32" t="s">
        <v>804</v>
      </c>
      <c r="B32" t="s">
        <v>940</v>
      </c>
      <c r="C32" t="s">
        <v>61</v>
      </c>
      <c r="D32" t="s">
        <v>58</v>
      </c>
      <c r="E32" s="14">
        <v>40848</v>
      </c>
      <c r="F32" s="14">
        <v>43404</v>
      </c>
      <c r="G32" t="s">
        <v>59</v>
      </c>
      <c r="H32" t="s">
        <v>62</v>
      </c>
      <c r="I32" s="6">
        <v>3650000</v>
      </c>
      <c r="J32" s="6">
        <v>2798277.87</v>
      </c>
      <c r="K32" s="19">
        <v>0.76665147123287669</v>
      </c>
      <c r="L32" t="s">
        <v>545</v>
      </c>
      <c r="M32" s="14">
        <v>43739</v>
      </c>
      <c r="N32" t="s">
        <v>562</v>
      </c>
      <c r="O32" t="s">
        <v>779</v>
      </c>
      <c r="P32" s="136" t="s">
        <v>783</v>
      </c>
      <c r="R32" t="s">
        <v>861</v>
      </c>
      <c r="S32">
        <v>0</v>
      </c>
      <c r="T32">
        <v>0</v>
      </c>
      <c r="U32">
        <v>0</v>
      </c>
      <c r="V32" t="s">
        <v>572</v>
      </c>
    </row>
    <row r="33" spans="1:22" hidden="1">
      <c r="A33" t="s">
        <v>803</v>
      </c>
      <c r="B33" t="s">
        <v>940</v>
      </c>
      <c r="C33" t="s">
        <v>627</v>
      </c>
      <c r="D33" t="s">
        <v>48</v>
      </c>
      <c r="E33" s="14">
        <v>41548</v>
      </c>
      <c r="F33" s="14">
        <v>43373</v>
      </c>
      <c r="G33" t="s">
        <v>628</v>
      </c>
      <c r="H33" t="s">
        <v>629</v>
      </c>
      <c r="I33" s="6">
        <v>3425000</v>
      </c>
      <c r="J33" s="6">
        <v>2614879.64</v>
      </c>
      <c r="K33" s="19">
        <v>0.76346850802919708</v>
      </c>
      <c r="L33" t="s">
        <v>545</v>
      </c>
      <c r="M33" s="14">
        <v>43525</v>
      </c>
      <c r="N33" t="s">
        <v>562</v>
      </c>
      <c r="O33" t="s">
        <v>565</v>
      </c>
      <c r="P33" t="s">
        <v>853</v>
      </c>
      <c r="R33" t="s">
        <v>861</v>
      </c>
      <c r="S33">
        <v>0</v>
      </c>
      <c r="T33">
        <v>0</v>
      </c>
      <c r="U33">
        <v>0</v>
      </c>
      <c r="V33" t="s">
        <v>572</v>
      </c>
    </row>
    <row r="34" spans="1:22" hidden="1">
      <c r="A34" t="s">
        <v>805</v>
      </c>
      <c r="B34" t="s">
        <v>936</v>
      </c>
      <c r="C34" t="s">
        <v>263</v>
      </c>
      <c r="D34" t="s">
        <v>136</v>
      </c>
      <c r="E34" s="14">
        <v>41974</v>
      </c>
      <c r="F34" s="14">
        <v>43069</v>
      </c>
      <c r="G34" t="s">
        <v>264</v>
      </c>
      <c r="H34" t="s">
        <v>265</v>
      </c>
      <c r="I34" s="6">
        <v>260000</v>
      </c>
      <c r="J34" s="6">
        <v>196390.25</v>
      </c>
      <c r="K34" s="19">
        <v>0.75534711538461541</v>
      </c>
      <c r="L34" t="s">
        <v>545</v>
      </c>
      <c r="M34" s="14">
        <v>43405</v>
      </c>
      <c r="N34" t="s">
        <v>562</v>
      </c>
      <c r="O34" t="s">
        <v>772</v>
      </c>
      <c r="P34" t="s">
        <v>811</v>
      </c>
      <c r="R34" t="s">
        <v>860</v>
      </c>
      <c r="S34">
        <v>1</v>
      </c>
      <c r="T34">
        <v>0</v>
      </c>
      <c r="U34">
        <v>0</v>
      </c>
      <c r="V34" t="s">
        <v>572</v>
      </c>
    </row>
    <row r="35" spans="1:22" hidden="1">
      <c r="A35" t="s">
        <v>803</v>
      </c>
      <c r="B35" t="s">
        <v>940</v>
      </c>
      <c r="C35" t="s">
        <v>145</v>
      </c>
      <c r="D35" t="s">
        <v>7</v>
      </c>
      <c r="E35" s="14">
        <v>41520</v>
      </c>
      <c r="F35" s="14">
        <v>43345</v>
      </c>
      <c r="G35" t="s">
        <v>146</v>
      </c>
      <c r="H35" t="s">
        <v>147</v>
      </c>
      <c r="I35" s="6">
        <v>800000</v>
      </c>
      <c r="J35" s="6">
        <v>649885.42000000004</v>
      </c>
      <c r="K35" s="19">
        <v>0.81235677500000003</v>
      </c>
      <c r="L35" t="s">
        <v>545</v>
      </c>
      <c r="M35" s="14">
        <v>43407</v>
      </c>
      <c r="N35" t="s">
        <v>562</v>
      </c>
      <c r="O35" t="s">
        <v>565</v>
      </c>
      <c r="R35" t="s">
        <v>861</v>
      </c>
      <c r="S35">
        <v>0</v>
      </c>
      <c r="T35">
        <v>0</v>
      </c>
      <c r="U35">
        <v>0</v>
      </c>
      <c r="V35" t="s">
        <v>572</v>
      </c>
    </row>
    <row r="36" spans="1:22" hidden="1">
      <c r="A36" t="s">
        <v>938</v>
      </c>
      <c r="B36" t="s">
        <v>940</v>
      </c>
      <c r="C36" t="s">
        <v>199</v>
      </c>
      <c r="D36" t="s">
        <v>7</v>
      </c>
      <c r="E36" s="14">
        <v>41821</v>
      </c>
      <c r="F36" s="14">
        <v>43281</v>
      </c>
      <c r="G36" t="s">
        <v>200</v>
      </c>
      <c r="H36" t="s">
        <v>201</v>
      </c>
      <c r="I36" s="6">
        <v>237000</v>
      </c>
      <c r="J36" s="6">
        <v>180214.04</v>
      </c>
      <c r="K36" s="19">
        <v>0.76039679324894516</v>
      </c>
      <c r="L36" t="s">
        <v>545</v>
      </c>
      <c r="M36" s="14">
        <v>43435</v>
      </c>
      <c r="N36" t="s">
        <v>562</v>
      </c>
      <c r="O36" t="s">
        <v>774</v>
      </c>
      <c r="R36" t="s">
        <v>861</v>
      </c>
      <c r="S36">
        <v>0</v>
      </c>
      <c r="T36">
        <v>0</v>
      </c>
      <c r="U36">
        <v>0</v>
      </c>
      <c r="V36" t="s">
        <v>572</v>
      </c>
    </row>
    <row r="37" spans="1:22" hidden="1">
      <c r="A37" t="s">
        <v>938</v>
      </c>
      <c r="B37" t="s">
        <v>940</v>
      </c>
      <c r="C37" t="s">
        <v>196</v>
      </c>
      <c r="D37" t="s">
        <v>7</v>
      </c>
      <c r="E37" s="14">
        <v>41791</v>
      </c>
      <c r="F37" s="14">
        <v>43255</v>
      </c>
      <c r="G37" t="s">
        <v>197</v>
      </c>
      <c r="H37" t="s">
        <v>198</v>
      </c>
      <c r="I37" s="6">
        <v>100000</v>
      </c>
      <c r="J37" s="6">
        <v>80541.509999999995</v>
      </c>
      <c r="K37" s="19">
        <v>0.80541509999999994</v>
      </c>
      <c r="L37" t="s">
        <v>545</v>
      </c>
      <c r="M37" s="14">
        <v>43374</v>
      </c>
      <c r="N37" t="s">
        <v>562</v>
      </c>
      <c r="O37" t="s">
        <v>758</v>
      </c>
      <c r="R37" t="s">
        <v>861</v>
      </c>
      <c r="S37">
        <v>0</v>
      </c>
      <c r="T37">
        <v>0</v>
      </c>
      <c r="U37">
        <v>0</v>
      </c>
      <c r="V37" t="s">
        <v>572</v>
      </c>
    </row>
    <row r="38" spans="1:22" hidden="1">
      <c r="A38" t="s">
        <v>806</v>
      </c>
      <c r="B38" t="s">
        <v>936</v>
      </c>
      <c r="C38" t="s">
        <v>86</v>
      </c>
      <c r="D38" t="s">
        <v>24</v>
      </c>
      <c r="E38" s="14">
        <v>41275</v>
      </c>
      <c r="F38" s="14">
        <v>43100</v>
      </c>
      <c r="G38" t="s">
        <v>87</v>
      </c>
      <c r="H38" t="s">
        <v>88</v>
      </c>
      <c r="I38" s="6">
        <v>575000</v>
      </c>
      <c r="J38" s="6">
        <v>506531.86</v>
      </c>
      <c r="K38" s="19">
        <v>0.88092497391304347</v>
      </c>
      <c r="L38" t="s">
        <v>545</v>
      </c>
      <c r="M38" s="14">
        <v>43282</v>
      </c>
      <c r="N38" t="s">
        <v>562</v>
      </c>
      <c r="O38" t="s">
        <v>565</v>
      </c>
      <c r="P38" t="s">
        <v>917</v>
      </c>
      <c r="R38" t="s">
        <v>860</v>
      </c>
      <c r="S38">
        <v>1</v>
      </c>
      <c r="T38">
        <v>0</v>
      </c>
      <c r="U38">
        <v>1</v>
      </c>
      <c r="V38" t="s">
        <v>572</v>
      </c>
    </row>
    <row r="39" spans="1:22" hidden="1">
      <c r="A39" t="s">
        <v>937</v>
      </c>
      <c r="B39" t="s">
        <v>940</v>
      </c>
      <c r="C39" t="s">
        <v>180</v>
      </c>
      <c r="D39" t="s">
        <v>7</v>
      </c>
      <c r="E39" s="14">
        <v>41738</v>
      </c>
      <c r="F39" s="14">
        <v>43198</v>
      </c>
      <c r="G39" t="s">
        <v>181</v>
      </c>
      <c r="H39" t="s">
        <v>172</v>
      </c>
      <c r="I39" s="6">
        <v>18000</v>
      </c>
      <c r="J39" s="6">
        <v>17130.48</v>
      </c>
      <c r="K39" s="19">
        <v>0.95169333333333328</v>
      </c>
      <c r="L39" t="s">
        <v>801</v>
      </c>
      <c r="M39" s="14">
        <v>43109</v>
      </c>
      <c r="N39" t="s">
        <v>562</v>
      </c>
      <c r="O39" t="s">
        <v>776</v>
      </c>
      <c r="P39" t="s">
        <v>919</v>
      </c>
      <c r="R39" t="s">
        <v>860</v>
      </c>
      <c r="S39">
        <v>1</v>
      </c>
      <c r="T39">
        <v>0</v>
      </c>
      <c r="U39">
        <v>0</v>
      </c>
      <c r="V39" t="s">
        <v>572</v>
      </c>
    </row>
    <row r="40" spans="1:22" hidden="1">
      <c r="A40" t="s">
        <v>937</v>
      </c>
      <c r="B40" t="s">
        <v>940</v>
      </c>
      <c r="C40" t="s">
        <v>669</v>
      </c>
      <c r="D40" t="s">
        <v>0</v>
      </c>
      <c r="E40" s="14">
        <v>42102</v>
      </c>
      <c r="F40" s="14">
        <v>43197</v>
      </c>
      <c r="G40" t="s">
        <v>670</v>
      </c>
      <c r="H40" t="s">
        <v>671</v>
      </c>
      <c r="I40" s="6">
        <v>1285532</v>
      </c>
      <c r="J40" s="6">
        <v>969911.21</v>
      </c>
      <c r="K40" s="19">
        <v>0.75448235438713307</v>
      </c>
      <c r="L40" t="s">
        <v>545</v>
      </c>
      <c r="M40" s="14">
        <v>43381</v>
      </c>
      <c r="N40" t="s">
        <v>562</v>
      </c>
      <c r="O40" t="s">
        <v>604</v>
      </c>
      <c r="P40" t="s">
        <v>905</v>
      </c>
      <c r="R40" t="s">
        <v>860</v>
      </c>
      <c r="S40">
        <v>1</v>
      </c>
      <c r="T40">
        <v>0</v>
      </c>
      <c r="U40">
        <v>0</v>
      </c>
      <c r="V40" t="s">
        <v>572</v>
      </c>
    </row>
    <row r="41" spans="1:22" hidden="1">
      <c r="A41" t="s">
        <v>866</v>
      </c>
      <c r="B41" t="s">
        <v>940</v>
      </c>
      <c r="C41" t="s">
        <v>309</v>
      </c>
      <c r="D41" t="s">
        <v>7</v>
      </c>
      <c r="E41" s="14">
        <v>42095</v>
      </c>
      <c r="F41" s="14">
        <v>43190</v>
      </c>
      <c r="G41" t="s">
        <v>310</v>
      </c>
      <c r="H41" t="s">
        <v>311</v>
      </c>
      <c r="I41" s="6">
        <v>49500</v>
      </c>
      <c r="J41" s="6">
        <v>42106.559999999998</v>
      </c>
      <c r="K41" s="19">
        <v>0.8506375757575757</v>
      </c>
      <c r="L41" t="s">
        <v>545</v>
      </c>
      <c r="M41" s="14">
        <v>43221</v>
      </c>
      <c r="N41" t="s">
        <v>562</v>
      </c>
      <c r="O41" t="s">
        <v>565</v>
      </c>
      <c r="P41" t="s">
        <v>908</v>
      </c>
      <c r="R41" t="s">
        <v>860</v>
      </c>
      <c r="S41">
        <v>1</v>
      </c>
      <c r="T41">
        <v>0</v>
      </c>
      <c r="U41">
        <v>1</v>
      </c>
      <c r="V41" t="s">
        <v>572</v>
      </c>
    </row>
    <row r="42" spans="1:22" hidden="1">
      <c r="A42" t="s">
        <v>866</v>
      </c>
      <c r="B42" t="s">
        <v>940</v>
      </c>
      <c r="C42" t="s">
        <v>173</v>
      </c>
      <c r="D42" t="s">
        <v>7</v>
      </c>
      <c r="E42" s="14">
        <v>41730</v>
      </c>
      <c r="F42" s="14">
        <v>43190</v>
      </c>
      <c r="G42" t="s">
        <v>174</v>
      </c>
      <c r="H42" t="s">
        <v>40</v>
      </c>
      <c r="I42" s="6">
        <v>8800000</v>
      </c>
      <c r="J42" s="6">
        <v>6848530.1299999999</v>
      </c>
      <c r="K42" s="19">
        <v>0.77824206022727271</v>
      </c>
      <c r="L42" t="s">
        <v>545</v>
      </c>
      <c r="M42" s="14">
        <v>43435</v>
      </c>
      <c r="N42" t="s">
        <v>562</v>
      </c>
      <c r="O42" t="s">
        <v>569</v>
      </c>
      <c r="P42" t="s">
        <v>907</v>
      </c>
      <c r="R42" t="s">
        <v>860</v>
      </c>
      <c r="S42">
        <v>1</v>
      </c>
      <c r="T42">
        <v>0</v>
      </c>
      <c r="U42">
        <v>0</v>
      </c>
      <c r="V42" t="s">
        <v>572</v>
      </c>
    </row>
    <row r="43" spans="1:22" hidden="1">
      <c r="A43" t="s">
        <v>866</v>
      </c>
      <c r="B43" t="s">
        <v>940</v>
      </c>
      <c r="C43" t="s">
        <v>126</v>
      </c>
      <c r="D43" t="s">
        <v>7</v>
      </c>
      <c r="E43" s="14">
        <v>41365</v>
      </c>
      <c r="F43" s="14">
        <v>43190</v>
      </c>
      <c r="G43" t="s">
        <v>127</v>
      </c>
      <c r="H43" t="s">
        <v>128</v>
      </c>
      <c r="I43" s="6">
        <v>15000</v>
      </c>
      <c r="J43" s="6">
        <v>14150</v>
      </c>
      <c r="K43" s="19">
        <v>0.94333333333333336</v>
      </c>
      <c r="L43" t="s">
        <v>801</v>
      </c>
      <c r="M43" s="14">
        <v>43160</v>
      </c>
      <c r="N43" t="s">
        <v>562</v>
      </c>
      <c r="O43" t="s">
        <v>565</v>
      </c>
      <c r="P43" t="s">
        <v>908</v>
      </c>
      <c r="R43" t="s">
        <v>860</v>
      </c>
      <c r="S43">
        <v>1</v>
      </c>
      <c r="T43">
        <v>0</v>
      </c>
      <c r="U43">
        <v>1</v>
      </c>
      <c r="V43" t="s">
        <v>572</v>
      </c>
    </row>
    <row r="44" spans="1:22" hidden="1">
      <c r="A44" t="s">
        <v>866</v>
      </c>
      <c r="B44" t="s">
        <v>940</v>
      </c>
      <c r="C44" t="s">
        <v>123</v>
      </c>
      <c r="D44" t="s">
        <v>7</v>
      </c>
      <c r="E44" s="14">
        <v>41365</v>
      </c>
      <c r="F44" s="14">
        <v>43190</v>
      </c>
      <c r="G44" t="s">
        <v>124</v>
      </c>
      <c r="H44" t="s">
        <v>125</v>
      </c>
      <c r="I44" s="6">
        <v>60000</v>
      </c>
      <c r="J44" s="6">
        <v>47872.75</v>
      </c>
      <c r="K44" s="19">
        <v>0.79787916666666669</v>
      </c>
      <c r="L44" t="s">
        <v>545</v>
      </c>
      <c r="M44" s="14">
        <v>43497</v>
      </c>
      <c r="N44" t="s">
        <v>562</v>
      </c>
      <c r="O44" t="s">
        <v>776</v>
      </c>
      <c r="P44" t="s">
        <v>905</v>
      </c>
      <c r="R44" t="s">
        <v>860</v>
      </c>
      <c r="S44">
        <v>1</v>
      </c>
      <c r="T44">
        <v>0</v>
      </c>
      <c r="U44">
        <v>0</v>
      </c>
      <c r="V44" t="s">
        <v>572</v>
      </c>
    </row>
    <row r="45" spans="1:22" hidden="1">
      <c r="A45" t="s">
        <v>866</v>
      </c>
      <c r="B45" t="s">
        <v>940</v>
      </c>
      <c r="C45" t="s">
        <v>166</v>
      </c>
      <c r="D45" t="s">
        <v>889</v>
      </c>
      <c r="E45" s="14">
        <v>41710</v>
      </c>
      <c r="F45" s="14">
        <v>43170</v>
      </c>
      <c r="G45" t="s">
        <v>164</v>
      </c>
      <c r="H45" t="s">
        <v>131</v>
      </c>
      <c r="I45" s="6">
        <v>8750000</v>
      </c>
      <c r="J45" s="6">
        <v>7061028.4900000002</v>
      </c>
      <c r="K45" s="19">
        <v>0.80697468457142862</v>
      </c>
      <c r="L45" t="s">
        <v>545</v>
      </c>
      <c r="M45" s="14">
        <v>43385</v>
      </c>
      <c r="N45" t="s">
        <v>562</v>
      </c>
      <c r="O45" t="s">
        <v>573</v>
      </c>
      <c r="P45" t="s">
        <v>918</v>
      </c>
      <c r="R45" t="s">
        <v>860</v>
      </c>
      <c r="S45">
        <v>1</v>
      </c>
      <c r="T45">
        <v>0</v>
      </c>
      <c r="U45">
        <v>0</v>
      </c>
      <c r="V45" t="s">
        <v>572</v>
      </c>
    </row>
    <row r="46" spans="1:22" hidden="1">
      <c r="A46" t="s">
        <v>865</v>
      </c>
      <c r="B46" t="s">
        <v>940</v>
      </c>
      <c r="C46" t="s">
        <v>84</v>
      </c>
      <c r="D46" t="s">
        <v>889</v>
      </c>
      <c r="E46" s="14">
        <v>41214</v>
      </c>
      <c r="F46" s="14">
        <v>43132</v>
      </c>
      <c r="G46" t="s">
        <v>82</v>
      </c>
      <c r="H46" t="s">
        <v>85</v>
      </c>
      <c r="I46" s="6">
        <v>3500000</v>
      </c>
      <c r="J46" s="6">
        <v>3394962.12</v>
      </c>
      <c r="K46" s="19">
        <v>0.96998917714285715</v>
      </c>
      <c r="L46" t="s">
        <v>801</v>
      </c>
      <c r="M46" s="14">
        <v>43101</v>
      </c>
      <c r="N46" t="s">
        <v>562</v>
      </c>
      <c r="O46" t="s">
        <v>565</v>
      </c>
      <c r="P46" t="s">
        <v>897</v>
      </c>
      <c r="R46" t="s">
        <v>860</v>
      </c>
      <c r="S46">
        <v>1</v>
      </c>
      <c r="T46">
        <v>0</v>
      </c>
      <c r="U46">
        <v>1</v>
      </c>
      <c r="V46" t="s">
        <v>572</v>
      </c>
    </row>
    <row r="47" spans="1:22" hidden="1">
      <c r="A47" t="s">
        <v>864</v>
      </c>
      <c r="B47" t="s">
        <v>940</v>
      </c>
      <c r="C47" t="s">
        <v>95</v>
      </c>
      <c r="D47" t="s">
        <v>889</v>
      </c>
      <c r="E47" s="14">
        <v>41306</v>
      </c>
      <c r="F47" s="14">
        <v>43131</v>
      </c>
      <c r="G47" t="s">
        <v>90</v>
      </c>
      <c r="H47" t="s">
        <v>14</v>
      </c>
      <c r="I47" s="6">
        <v>2350000</v>
      </c>
      <c r="J47" s="6">
        <v>2006009.05</v>
      </c>
      <c r="K47" s="19">
        <v>0.85362087234042561</v>
      </c>
      <c r="L47" t="s">
        <v>545</v>
      </c>
      <c r="M47" s="14">
        <v>43344</v>
      </c>
      <c r="N47" t="s">
        <v>562</v>
      </c>
      <c r="O47" t="s">
        <v>565</v>
      </c>
      <c r="P47" t="s">
        <v>895</v>
      </c>
      <c r="R47" t="s">
        <v>860</v>
      </c>
      <c r="S47">
        <v>1</v>
      </c>
      <c r="T47">
        <v>0</v>
      </c>
      <c r="U47">
        <v>1</v>
      </c>
      <c r="V47" t="s">
        <v>572</v>
      </c>
    </row>
    <row r="48" spans="1:22" hidden="1">
      <c r="A48" t="s">
        <v>864</v>
      </c>
      <c r="B48" t="s">
        <v>940</v>
      </c>
      <c r="C48" t="s">
        <v>89</v>
      </c>
      <c r="D48" t="s">
        <v>889</v>
      </c>
      <c r="E48" s="14">
        <v>41306</v>
      </c>
      <c r="F48" s="14">
        <v>43131</v>
      </c>
      <c r="G48" t="s">
        <v>90</v>
      </c>
      <c r="H48" t="s">
        <v>66</v>
      </c>
      <c r="I48" s="6">
        <v>3550</v>
      </c>
      <c r="J48" s="6">
        <v>3550</v>
      </c>
      <c r="K48" s="19">
        <v>1</v>
      </c>
      <c r="L48" t="s">
        <v>801</v>
      </c>
      <c r="M48" s="14">
        <v>43040</v>
      </c>
      <c r="N48" t="s">
        <v>562</v>
      </c>
      <c r="O48" t="s">
        <v>565</v>
      </c>
      <c r="P48" t="s">
        <v>895</v>
      </c>
      <c r="R48" t="s">
        <v>860</v>
      </c>
      <c r="S48">
        <v>1</v>
      </c>
      <c r="T48">
        <v>0</v>
      </c>
      <c r="U48">
        <v>1</v>
      </c>
      <c r="V48" t="s">
        <v>572</v>
      </c>
    </row>
    <row r="49" spans="1:22" hidden="1">
      <c r="A49" t="s">
        <v>864</v>
      </c>
      <c r="B49" t="s">
        <v>940</v>
      </c>
      <c r="C49" t="s">
        <v>91</v>
      </c>
      <c r="D49" t="s">
        <v>889</v>
      </c>
      <c r="E49" s="14">
        <v>41306</v>
      </c>
      <c r="F49" s="14">
        <v>43131</v>
      </c>
      <c r="G49" t="s">
        <v>90</v>
      </c>
      <c r="H49" t="s">
        <v>92</v>
      </c>
      <c r="I49" s="6">
        <v>1396000</v>
      </c>
      <c r="J49" s="6">
        <v>1151740.77</v>
      </c>
      <c r="K49" s="19">
        <v>0.82502920487106024</v>
      </c>
      <c r="L49" t="s">
        <v>545</v>
      </c>
      <c r="M49" s="14">
        <v>43435</v>
      </c>
      <c r="N49" t="s">
        <v>562</v>
      </c>
      <c r="O49" t="s">
        <v>565</v>
      </c>
      <c r="P49" t="s">
        <v>895</v>
      </c>
      <c r="R49" t="s">
        <v>860</v>
      </c>
      <c r="S49">
        <v>1</v>
      </c>
      <c r="T49">
        <v>0</v>
      </c>
      <c r="U49">
        <v>1</v>
      </c>
      <c r="V49" t="s">
        <v>572</v>
      </c>
    </row>
    <row r="50" spans="1:22" hidden="1">
      <c r="A50" t="s">
        <v>864</v>
      </c>
      <c r="B50" t="s">
        <v>940</v>
      </c>
      <c r="C50" t="s">
        <v>154</v>
      </c>
      <c r="D50" t="s">
        <v>58</v>
      </c>
      <c r="E50" s="14">
        <v>41671</v>
      </c>
      <c r="F50" s="14">
        <v>43131</v>
      </c>
      <c r="G50" t="s">
        <v>155</v>
      </c>
      <c r="H50" t="s">
        <v>156</v>
      </c>
      <c r="I50" s="6">
        <v>9000000</v>
      </c>
      <c r="J50" s="6">
        <v>7809150.4199999999</v>
      </c>
      <c r="K50" s="19">
        <v>0.86768338</v>
      </c>
      <c r="L50" t="s">
        <v>545</v>
      </c>
      <c r="M50" s="14">
        <v>43252</v>
      </c>
      <c r="N50" t="s">
        <v>562</v>
      </c>
      <c r="O50" t="s">
        <v>767</v>
      </c>
      <c r="P50" t="s">
        <v>943</v>
      </c>
      <c r="R50" t="s">
        <v>860</v>
      </c>
      <c r="S50">
        <v>1</v>
      </c>
      <c r="T50">
        <v>0</v>
      </c>
      <c r="U50">
        <v>0</v>
      </c>
      <c r="V50" t="s">
        <v>572</v>
      </c>
    </row>
    <row r="51" spans="1:22" hidden="1">
      <c r="A51" t="s">
        <v>864</v>
      </c>
      <c r="B51" t="s">
        <v>940</v>
      </c>
      <c r="C51" t="s">
        <v>301</v>
      </c>
      <c r="D51" t="s">
        <v>7</v>
      </c>
      <c r="E51" s="14">
        <v>42036</v>
      </c>
      <c r="F51" s="14">
        <v>43131</v>
      </c>
      <c r="G51" t="s">
        <v>302</v>
      </c>
      <c r="H51" t="s">
        <v>303</v>
      </c>
      <c r="I51" s="6">
        <v>30000</v>
      </c>
      <c r="J51" s="6">
        <v>27742.92</v>
      </c>
      <c r="K51" s="19">
        <v>0.92476399999999992</v>
      </c>
      <c r="L51" t="s">
        <v>545</v>
      </c>
      <c r="M51" s="14">
        <v>43132</v>
      </c>
      <c r="N51" t="s">
        <v>562</v>
      </c>
      <c r="O51" t="s">
        <v>573</v>
      </c>
      <c r="P51" t="s">
        <v>903</v>
      </c>
      <c r="R51" t="s">
        <v>860</v>
      </c>
      <c r="S51">
        <v>1</v>
      </c>
      <c r="T51">
        <v>0</v>
      </c>
      <c r="U51">
        <v>0</v>
      </c>
      <c r="V51" t="s">
        <v>572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5" workbookViewId="0">
      <selection activeCell="C78" sqref="C78"/>
    </sheetView>
  </sheetViews>
  <sheetFormatPr defaultRowHeight="15"/>
  <cols>
    <col min="1" max="1" width="13.140625" customWidth="1"/>
    <col min="2" max="2" width="23" customWidth="1"/>
    <col min="3" max="3" width="11.28515625" customWidth="1"/>
    <col min="4" max="4" width="5.5703125" customWidth="1"/>
    <col min="5" max="6" width="11.28515625" customWidth="1"/>
    <col min="7" max="7" width="21.5703125" customWidth="1"/>
    <col min="8" max="8" width="161.140625" customWidth="1"/>
    <col min="9" max="9" width="84.42578125" customWidth="1"/>
    <col min="10" max="10" width="17.5703125" customWidth="1"/>
    <col min="11" max="11" width="18.5703125" customWidth="1"/>
    <col min="12" max="12" width="15.5703125" bestFit="1" customWidth="1"/>
  </cols>
  <sheetData>
    <row r="1" spans="1:2">
      <c r="A1" s="51" t="s">
        <v>556</v>
      </c>
      <c r="B1" t="s">
        <v>809</v>
      </c>
    </row>
    <row r="3" spans="1:2">
      <c r="A3" s="51" t="s">
        <v>807</v>
      </c>
      <c r="B3" t="s">
        <v>808</v>
      </c>
    </row>
    <row r="4" spans="1:2">
      <c r="A4" s="101" t="s">
        <v>860</v>
      </c>
      <c r="B4" s="102">
        <v>82</v>
      </c>
    </row>
    <row r="5" spans="1:2">
      <c r="A5" s="101" t="s">
        <v>861</v>
      </c>
      <c r="B5" s="102">
        <v>135</v>
      </c>
    </row>
    <row r="6" spans="1:2">
      <c r="A6" s="101" t="s">
        <v>786</v>
      </c>
      <c r="B6" s="102">
        <v>217</v>
      </c>
    </row>
    <row r="11" spans="1:2">
      <c r="A11" s="51" t="s">
        <v>556</v>
      </c>
      <c r="B11" t="s">
        <v>809</v>
      </c>
    </row>
    <row r="12" spans="1:2">
      <c r="A12" s="51" t="s">
        <v>557</v>
      </c>
      <c r="B12" t="s">
        <v>860</v>
      </c>
    </row>
    <row r="14" spans="1:2">
      <c r="A14" s="51" t="s">
        <v>807</v>
      </c>
      <c r="B14" t="s">
        <v>808</v>
      </c>
    </row>
    <row r="15" spans="1:2">
      <c r="A15" s="101" t="s">
        <v>565</v>
      </c>
      <c r="B15" s="102">
        <v>44</v>
      </c>
    </row>
    <row r="16" spans="1:2">
      <c r="A16" s="101" t="s">
        <v>862</v>
      </c>
      <c r="B16" s="102">
        <v>38</v>
      </c>
    </row>
    <row r="17" spans="1:2">
      <c r="A17" s="101" t="s">
        <v>786</v>
      </c>
      <c r="B17" s="102">
        <v>82</v>
      </c>
    </row>
    <row r="23" spans="1:2">
      <c r="A23" s="51" t="s">
        <v>556</v>
      </c>
      <c r="B23" t="s">
        <v>809</v>
      </c>
    </row>
    <row r="24" spans="1:2">
      <c r="A24" s="51" t="s">
        <v>557</v>
      </c>
      <c r="B24" t="s">
        <v>860</v>
      </c>
    </row>
    <row r="25" spans="1:2">
      <c r="A25" s="51" t="s">
        <v>555</v>
      </c>
      <c r="B25" t="s">
        <v>565</v>
      </c>
    </row>
    <row r="27" spans="1:2">
      <c r="A27" s="51" t="s">
        <v>807</v>
      </c>
      <c r="B27" t="s">
        <v>808</v>
      </c>
    </row>
    <row r="28" spans="1:2">
      <c r="A28" s="101" t="s">
        <v>563</v>
      </c>
      <c r="B28" s="102">
        <v>4</v>
      </c>
    </row>
    <row r="29" spans="1:2">
      <c r="A29" s="101" t="s">
        <v>564</v>
      </c>
      <c r="B29" s="102">
        <v>1</v>
      </c>
    </row>
    <row r="30" spans="1:2">
      <c r="A30" s="101" t="s">
        <v>562</v>
      </c>
      <c r="B30" s="102">
        <v>39</v>
      </c>
    </row>
    <row r="31" spans="1:2">
      <c r="A31" s="101" t="s">
        <v>786</v>
      </c>
      <c r="B31" s="102">
        <v>44</v>
      </c>
    </row>
    <row r="37" spans="1:5">
      <c r="A37" s="51" t="s">
        <v>556</v>
      </c>
      <c r="B37" t="s">
        <v>809</v>
      </c>
    </row>
    <row r="38" spans="1:5">
      <c r="A38" s="51" t="s">
        <v>557</v>
      </c>
      <c r="B38" t="s">
        <v>860</v>
      </c>
    </row>
    <row r="39" spans="1:5">
      <c r="A39" s="51" t="s">
        <v>555</v>
      </c>
      <c r="B39" t="s">
        <v>565</v>
      </c>
    </row>
    <row r="41" spans="1:5">
      <c r="A41" s="51" t="s">
        <v>808</v>
      </c>
      <c r="B41" s="51" t="s">
        <v>863</v>
      </c>
    </row>
    <row r="42" spans="1:5">
      <c r="A42" s="51" t="s">
        <v>807</v>
      </c>
      <c r="B42" t="s">
        <v>563</v>
      </c>
      <c r="C42" t="s">
        <v>564</v>
      </c>
      <c r="D42" t="s">
        <v>562</v>
      </c>
      <c r="E42" t="s">
        <v>786</v>
      </c>
    </row>
    <row r="43" spans="1:5">
      <c r="A43" s="101" t="s">
        <v>804</v>
      </c>
      <c r="B43" s="102"/>
      <c r="C43" s="102"/>
      <c r="D43" s="102">
        <v>14</v>
      </c>
      <c r="E43" s="102">
        <v>14</v>
      </c>
    </row>
    <row r="44" spans="1:5">
      <c r="A44" s="101" t="s">
        <v>805</v>
      </c>
      <c r="B44" s="102">
        <v>1</v>
      </c>
      <c r="C44" s="102"/>
      <c r="D44" s="102">
        <v>1</v>
      </c>
      <c r="E44" s="102">
        <v>2</v>
      </c>
    </row>
    <row r="45" spans="1:5">
      <c r="A45" s="101" t="s">
        <v>806</v>
      </c>
      <c r="B45" s="102">
        <v>3</v>
      </c>
      <c r="C45" s="102"/>
      <c r="D45" s="102">
        <v>2</v>
      </c>
      <c r="E45" s="102">
        <v>5</v>
      </c>
    </row>
    <row r="46" spans="1:5">
      <c r="A46" s="101" t="s">
        <v>864</v>
      </c>
      <c r="B46" s="102"/>
      <c r="C46" s="102"/>
      <c r="D46" s="102">
        <v>7</v>
      </c>
      <c r="E46" s="102">
        <v>7</v>
      </c>
    </row>
    <row r="47" spans="1:5">
      <c r="A47" s="101" t="s">
        <v>865</v>
      </c>
      <c r="B47" s="102"/>
      <c r="C47" s="102">
        <v>1</v>
      </c>
      <c r="D47" s="102">
        <v>8</v>
      </c>
      <c r="E47" s="102">
        <v>9</v>
      </c>
    </row>
    <row r="48" spans="1:5">
      <c r="A48" s="101" t="s">
        <v>866</v>
      </c>
      <c r="B48" s="102"/>
      <c r="C48" s="102"/>
      <c r="D48" s="102">
        <v>7</v>
      </c>
      <c r="E48" s="102">
        <v>7</v>
      </c>
    </row>
    <row r="49" spans="1:5">
      <c r="A49" s="101" t="s">
        <v>786</v>
      </c>
      <c r="B49" s="102">
        <v>4</v>
      </c>
      <c r="C49" s="102">
        <v>1</v>
      </c>
      <c r="D49" s="102">
        <v>39</v>
      </c>
      <c r="E49" s="102">
        <v>44</v>
      </c>
    </row>
    <row r="60" spans="1:5">
      <c r="A60" s="51" t="s">
        <v>556</v>
      </c>
      <c r="B60" t="s">
        <v>809</v>
      </c>
    </row>
    <row r="62" spans="1:5">
      <c r="A62" s="51" t="s">
        <v>807</v>
      </c>
      <c r="B62" t="s">
        <v>808</v>
      </c>
    </row>
    <row r="63" spans="1:5">
      <c r="A63" s="101" t="s">
        <v>572</v>
      </c>
      <c r="B63" s="102">
        <v>50</v>
      </c>
    </row>
    <row r="64" spans="1:5">
      <c r="A64" s="101" t="s">
        <v>559</v>
      </c>
      <c r="B64" s="102">
        <v>167</v>
      </c>
    </row>
    <row r="65" spans="1:3">
      <c r="A65" s="101" t="s">
        <v>786</v>
      </c>
      <c r="B65" s="102">
        <v>217</v>
      </c>
    </row>
    <row r="72" spans="1:3">
      <c r="A72" s="51" t="s">
        <v>556</v>
      </c>
      <c r="B72" t="s">
        <v>809</v>
      </c>
    </row>
    <row r="74" spans="1:3">
      <c r="A74" s="51" t="s">
        <v>808</v>
      </c>
      <c r="B74" s="51" t="s">
        <v>863</v>
      </c>
    </row>
    <row r="75" spans="1:3">
      <c r="A75" s="51" t="s">
        <v>807</v>
      </c>
      <c r="B75" t="s">
        <v>572</v>
      </c>
      <c r="C75" t="s">
        <v>786</v>
      </c>
    </row>
    <row r="76" spans="1:3">
      <c r="A76" s="101" t="s">
        <v>563</v>
      </c>
      <c r="B76" s="102">
        <v>11</v>
      </c>
      <c r="C76" s="102">
        <v>11</v>
      </c>
    </row>
    <row r="77" spans="1:3">
      <c r="A77" s="101" t="s">
        <v>562</v>
      </c>
      <c r="B77" s="102">
        <v>39</v>
      </c>
      <c r="C77" s="102">
        <v>39</v>
      </c>
    </row>
    <row r="78" spans="1:3">
      <c r="A78" s="101" t="s">
        <v>786</v>
      </c>
      <c r="B78" s="102">
        <v>50</v>
      </c>
      <c r="C78" s="102">
        <v>50</v>
      </c>
    </row>
  </sheetData>
  <sortState ref="A525:B534">
    <sortCondition ref="A526" customList="January,February,March,April,May,June,July,August,September,October,November,December"/>
  </sortState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47"/>
  <sheetViews>
    <sheetView tabSelected="1" topLeftCell="C1" zoomScaleNormal="100" workbookViewId="0">
      <selection activeCell="C1" sqref="C1:Y238"/>
    </sheetView>
  </sheetViews>
  <sheetFormatPr defaultRowHeight="15"/>
  <cols>
    <col min="1" max="1" width="12.5703125" hidden="1" customWidth="1"/>
    <col min="2" max="2" width="9.7109375" hidden="1" customWidth="1"/>
    <col min="3" max="3" width="8.85546875" customWidth="1"/>
    <col min="4" max="4" width="11.5703125" customWidth="1"/>
    <col min="5" max="5" width="12" style="2" customWidth="1"/>
    <col min="6" max="6" width="11.7109375" style="2" customWidth="1"/>
    <col min="7" max="7" width="63.5703125" customWidth="1"/>
    <col min="8" max="8" width="34.7109375" customWidth="1"/>
    <col min="9" max="9" width="16.7109375" style="6" customWidth="1"/>
    <col min="10" max="10" width="17.85546875" style="6" customWidth="1"/>
    <col min="11" max="11" width="10" style="19" customWidth="1"/>
    <col min="12" max="12" width="29.140625" style="16" hidden="1" customWidth="1"/>
    <col min="13" max="13" width="19" style="19" hidden="1" customWidth="1"/>
    <col min="14" max="14" width="18" style="16" hidden="1" customWidth="1"/>
    <col min="15" max="15" width="18.85546875" style="19" hidden="1" customWidth="1"/>
    <col min="16" max="16" width="17.5703125" customWidth="1"/>
    <col min="17" max="17" width="20.5703125" style="16" hidden="1" customWidth="1"/>
    <col min="18" max="18" width="21.140625" style="14" customWidth="1"/>
    <col min="19" max="19" width="14" hidden="1" customWidth="1"/>
    <col min="20" max="20" width="10.140625" hidden="1" customWidth="1"/>
    <col min="21" max="21" width="13.85546875" customWidth="1"/>
    <col min="22" max="22" width="34" customWidth="1"/>
    <col min="23" max="23" width="14.140625" hidden="1" customWidth="1"/>
    <col min="24" max="24" width="47" customWidth="1"/>
    <col min="25" max="25" width="29.28515625" customWidth="1"/>
    <col min="26" max="26" width="16.85546875" customWidth="1"/>
    <col min="27" max="27" width="9.28515625" customWidth="1"/>
    <col min="28" max="28" width="9.140625" customWidth="1"/>
    <col min="29" max="29" width="25.28515625" customWidth="1"/>
    <col min="30" max="30" width="22.7109375" customWidth="1"/>
    <col min="31" max="31" width="14.42578125" customWidth="1"/>
  </cols>
  <sheetData>
    <row r="1" spans="1:32" s="3" customFormat="1" ht="14.25" customHeight="1">
      <c r="A1" s="49" t="s">
        <v>784</v>
      </c>
      <c r="B1" s="50" t="s">
        <v>785</v>
      </c>
      <c r="C1" s="22" t="s">
        <v>536</v>
      </c>
      <c r="D1" s="22" t="s">
        <v>537</v>
      </c>
      <c r="E1" s="21" t="s">
        <v>538</v>
      </c>
      <c r="F1" s="21" t="s">
        <v>539</v>
      </c>
      <c r="G1" s="22" t="s">
        <v>540</v>
      </c>
      <c r="H1" s="22" t="s">
        <v>541</v>
      </c>
      <c r="I1" s="47" t="s">
        <v>542</v>
      </c>
      <c r="J1" s="47" t="s">
        <v>930</v>
      </c>
      <c r="K1" s="18" t="s">
        <v>543</v>
      </c>
      <c r="L1" s="15" t="s">
        <v>544</v>
      </c>
      <c r="M1" s="20" t="s">
        <v>545</v>
      </c>
      <c r="N1" s="8" t="s">
        <v>546</v>
      </c>
      <c r="O1" s="20" t="s">
        <v>547</v>
      </c>
      <c r="P1" s="7" t="s">
        <v>548</v>
      </c>
      <c r="Q1" s="8" t="s">
        <v>549</v>
      </c>
      <c r="R1" s="17" t="s">
        <v>550</v>
      </c>
      <c r="S1" s="8" t="s">
        <v>551</v>
      </c>
      <c r="T1" s="8" t="s">
        <v>552</v>
      </c>
      <c r="U1" s="9" t="s">
        <v>553</v>
      </c>
      <c r="V1" s="10" t="s">
        <v>554</v>
      </c>
      <c r="W1" s="10" t="s">
        <v>555</v>
      </c>
      <c r="X1" s="11" t="s">
        <v>556</v>
      </c>
      <c r="Y1" s="11" t="s">
        <v>888</v>
      </c>
      <c r="Z1" s="12" t="s">
        <v>557</v>
      </c>
      <c r="AA1" s="12" t="s">
        <v>558</v>
      </c>
      <c r="AB1" s="12" t="s">
        <v>559</v>
      </c>
      <c r="AC1" s="12" t="s">
        <v>560</v>
      </c>
      <c r="AD1" s="13" t="s">
        <v>561</v>
      </c>
      <c r="AE1" s="4">
        <f ca="1">TODAY()</f>
        <v>43083</v>
      </c>
      <c r="AF1" s="3">
        <v>7</v>
      </c>
    </row>
    <row r="2" spans="1:32">
      <c r="A2" s="48" t="str">
        <f>TEXT(Table2[[#This Row],[MB END]],"mmmm")</f>
        <v>September</v>
      </c>
      <c r="B2" s="48" t="str">
        <f>TEXT(Table2[[#This Row],[MB END]],"yyyy")</f>
        <v>2017</v>
      </c>
      <c r="C2" s="117" t="s">
        <v>348</v>
      </c>
      <c r="D2" s="1" t="s">
        <v>349</v>
      </c>
      <c r="E2" s="2">
        <v>42255</v>
      </c>
      <c r="F2" s="28">
        <v>42985</v>
      </c>
      <c r="G2" s="1" t="s">
        <v>350</v>
      </c>
      <c r="H2" s="1" t="s">
        <v>351</v>
      </c>
      <c r="I2" s="5">
        <v>10000</v>
      </c>
      <c r="J2" s="5">
        <v>8604</v>
      </c>
      <c r="K2" s="19">
        <f t="shared" ref="K2:K65" si="0">J2/I2</f>
        <v>0.86040000000000005</v>
      </c>
      <c r="L2" s="16">
        <f t="shared" ref="L2:L65" si="1">DAYS360(E2,F2,FALSE)/30</f>
        <v>23.966666666666665</v>
      </c>
      <c r="M2" s="19">
        <f t="shared" ref="M2:M65" si="2">(I2/L2)/I2</f>
        <v>4.1724617524339362E-2</v>
      </c>
      <c r="N2" s="16">
        <f t="shared" ref="N2:N65" ca="1" si="3">DAYS360(E2,$AE$1,)/30</f>
        <v>27.2</v>
      </c>
      <c r="O2" s="19">
        <f t="shared" ref="O2:O65" ca="1" si="4">(J2/N2)/I2</f>
        <v>3.1632352941176473E-2</v>
      </c>
      <c r="P2" t="str">
        <f t="shared" ref="P2:P65" ca="1" si="5">IF(AND(O2&gt;M2,O2&lt;(2*M2)),"High Burn Rate",IF(O2&gt;=(2*M2),"Really High Burn Rate","Desired Burn Rate"))</f>
        <v>Desired Burn Rate</v>
      </c>
      <c r="Q2" s="16">
        <f t="shared" ref="Q2:Q65" ca="1" si="6">I2/(J2/N2)</f>
        <v>31.613203161320317</v>
      </c>
      <c r="R2" s="14">
        <f t="shared" ref="R2:R65" ca="1" si="7">EDATE(E2,Q2)</f>
        <v>43198</v>
      </c>
      <c r="S2" t="str">
        <f ca="1">TEXT(Table2[[#This Row],[Projected Limit Date]],"mmmm")</f>
        <v>April</v>
      </c>
      <c r="T2">
        <f t="shared" ref="T2:T65" ca="1" si="8">YEAR(DATE(YEAR(R2),MONTH(R2)+($AF$1-1),1))</f>
        <v>2018</v>
      </c>
      <c r="U2" t="s">
        <v>563</v>
      </c>
      <c r="V2" t="s">
        <v>565</v>
      </c>
      <c r="W2" t="str">
        <f t="shared" ref="W2:W65" si="9">IF(V2="No options","No options","Options")</f>
        <v>No options</v>
      </c>
      <c r="X2" s="110" t="s">
        <v>932</v>
      </c>
      <c r="Y2" s="110"/>
      <c r="Z2" t="str">
        <f t="shared" ref="Z2:Z65" ca="1" si="10">IF((DAYS360($AE$1,F2,)/30)&lt;=6,"Expiring &lt; 6 Months","Expiring &gt; 6 Months")</f>
        <v>Expiring &lt; 6 Months</v>
      </c>
      <c r="AA2">
        <f t="shared" ref="AA2:AA65" ca="1" si="11">IF(Z2="Expiring &lt; 6 Months",1,0)</f>
        <v>1</v>
      </c>
      <c r="AB2">
        <f t="shared" ref="AB2:AB65" ca="1" si="12">IF(Z2="Expiring &gt; 12 Months",1,0)</f>
        <v>0</v>
      </c>
      <c r="AC2">
        <f t="shared" ref="AC2:AC65" ca="1" si="13">IF(AND(W2="No Options",AA2=1),1,0)</f>
        <v>1</v>
      </c>
      <c r="AD2" t="str">
        <f t="shared" ref="AD2:AD65" si="14">IF(K2&gt;=0.75,"Reaching Spending Limit","Safe")</f>
        <v>Reaching Spending Limit</v>
      </c>
    </row>
    <row r="3" spans="1:32" ht="45" hidden="1">
      <c r="A3" s="48" t="str">
        <f>TEXT(Table2[[#This Row],[MB END]],"mmmm")</f>
        <v>October</v>
      </c>
      <c r="B3" s="48" t="str">
        <f>TEXT(Table2[[#This Row],[MB END]],"yyyy")</f>
        <v>2017</v>
      </c>
      <c r="C3" s="117" t="s">
        <v>78</v>
      </c>
      <c r="D3" s="123" t="s">
        <v>889</v>
      </c>
      <c r="E3" s="2">
        <v>41183</v>
      </c>
      <c r="F3" s="28">
        <v>43026</v>
      </c>
      <c r="G3" s="1" t="s">
        <v>79</v>
      </c>
      <c r="H3" s="1" t="s">
        <v>80</v>
      </c>
      <c r="I3" s="5">
        <v>4200000</v>
      </c>
      <c r="J3" s="5">
        <v>3963126.45</v>
      </c>
      <c r="K3" s="19">
        <f t="shared" si="0"/>
        <v>0.94360153571428573</v>
      </c>
      <c r="L3" s="16">
        <f t="shared" si="1"/>
        <v>60.56666666666667</v>
      </c>
      <c r="M3" s="19">
        <f t="shared" si="2"/>
        <v>1.6510731975784256E-2</v>
      </c>
      <c r="N3" s="16">
        <f t="shared" ca="1" si="3"/>
        <v>62.43333333333333</v>
      </c>
      <c r="O3" s="19">
        <f t="shared" ca="1" si="4"/>
        <v>1.5113745900388989E-2</v>
      </c>
      <c r="P3" t="str">
        <f t="shared" ca="1" si="5"/>
        <v>Desired Burn Rate</v>
      </c>
      <c r="Q3" s="16">
        <f t="shared" ca="1" si="6"/>
        <v>66.164934000528788</v>
      </c>
      <c r="R3" s="14">
        <f t="shared" ca="1" si="7"/>
        <v>43191</v>
      </c>
      <c r="S3" t="str">
        <f ca="1">TEXT(Table2[[#This Row],[Projected Limit Date]],"mmmm")</f>
        <v>April</v>
      </c>
      <c r="T3">
        <f t="shared" ca="1" si="8"/>
        <v>2018</v>
      </c>
      <c r="U3" t="s">
        <v>562</v>
      </c>
      <c r="V3" t="s">
        <v>565</v>
      </c>
      <c r="W3" t="str">
        <f t="shared" si="9"/>
        <v>No options</v>
      </c>
      <c r="X3" s="126" t="s">
        <v>892</v>
      </c>
      <c r="Y3" s="118"/>
      <c r="Z3" t="str">
        <f t="shared" ca="1" si="10"/>
        <v>Expiring &lt; 6 Months</v>
      </c>
      <c r="AA3">
        <f t="shared" ca="1" si="11"/>
        <v>1</v>
      </c>
      <c r="AB3">
        <f t="shared" ca="1" si="12"/>
        <v>0</v>
      </c>
      <c r="AC3">
        <f t="shared" ca="1" si="13"/>
        <v>1</v>
      </c>
      <c r="AD3" t="str">
        <f t="shared" si="14"/>
        <v>Reaching Spending Limit</v>
      </c>
    </row>
    <row r="4" spans="1:32" hidden="1">
      <c r="A4" s="48" t="str">
        <f>TEXT(Table2[[#This Row],[MB END]],"mmmm")</f>
        <v>October</v>
      </c>
      <c r="B4" s="48" t="str">
        <f>TEXT(Table2[[#This Row],[MB END]],"yyyy")</f>
        <v>2017</v>
      </c>
      <c r="C4" s="117" t="s">
        <v>266</v>
      </c>
      <c r="D4" s="1" t="s">
        <v>7</v>
      </c>
      <c r="E4" s="2">
        <v>41935</v>
      </c>
      <c r="F4" s="28">
        <v>43030</v>
      </c>
      <c r="G4" s="1" t="s">
        <v>267</v>
      </c>
      <c r="H4" s="1" t="s">
        <v>268</v>
      </c>
      <c r="I4" s="5">
        <v>200000</v>
      </c>
      <c r="J4" s="5">
        <v>147031.32</v>
      </c>
      <c r="K4" s="19">
        <f t="shared" si="0"/>
        <v>0.73515660000000005</v>
      </c>
      <c r="L4" s="16">
        <f t="shared" si="1"/>
        <v>35.966666666666669</v>
      </c>
      <c r="M4" s="19">
        <f t="shared" si="2"/>
        <v>2.780352177942539E-2</v>
      </c>
      <c r="N4" s="16">
        <f t="shared" ca="1" si="3"/>
        <v>37.700000000000003</v>
      </c>
      <c r="O4" s="19">
        <f t="shared" ca="1" si="4"/>
        <v>1.9500175066312998E-2</v>
      </c>
      <c r="P4" t="str">
        <f t="shared" ca="1" si="5"/>
        <v>Desired Burn Rate</v>
      </c>
      <c r="Q4" s="16">
        <f t="shared" ca="1" si="6"/>
        <v>51.281590888254286</v>
      </c>
      <c r="R4" s="14">
        <f t="shared" ca="1" si="7"/>
        <v>43488</v>
      </c>
      <c r="S4" t="str">
        <f ca="1">TEXT(Table2[[#This Row],[Projected Limit Date]],"mmmm")</f>
        <v>January</v>
      </c>
      <c r="T4">
        <f t="shared" ca="1" si="8"/>
        <v>2019</v>
      </c>
      <c r="U4" t="s">
        <v>562</v>
      </c>
      <c r="V4" t="s">
        <v>565</v>
      </c>
      <c r="W4" t="str">
        <f t="shared" si="9"/>
        <v>No options</v>
      </c>
      <c r="X4" s="125" t="s">
        <v>893</v>
      </c>
      <c r="Z4" t="str">
        <f t="shared" ca="1" si="10"/>
        <v>Expiring &lt; 6 Months</v>
      </c>
      <c r="AA4">
        <f t="shared" ca="1" si="11"/>
        <v>1</v>
      </c>
      <c r="AB4">
        <f t="shared" ca="1" si="12"/>
        <v>0</v>
      </c>
      <c r="AC4">
        <f t="shared" ca="1" si="13"/>
        <v>1</v>
      </c>
      <c r="AD4" t="str">
        <f t="shared" si="14"/>
        <v>Safe</v>
      </c>
    </row>
    <row r="5" spans="1:32" hidden="1">
      <c r="A5" s="48" t="str">
        <f>TEXT(Table2[[#This Row],[MB END]],"mmmm")</f>
        <v>October</v>
      </c>
      <c r="B5" s="48" t="str">
        <f>TEXT(Table2[[#This Row],[MB END]],"yyyy")</f>
        <v>2017</v>
      </c>
      <c r="C5" s="117" t="s">
        <v>75</v>
      </c>
      <c r="D5" s="123" t="s">
        <v>889</v>
      </c>
      <c r="E5" s="2">
        <v>41153</v>
      </c>
      <c r="F5" s="28">
        <v>43039</v>
      </c>
      <c r="G5" s="1" t="s">
        <v>76</v>
      </c>
      <c r="H5" s="1" t="s">
        <v>77</v>
      </c>
      <c r="I5" s="5">
        <v>700000</v>
      </c>
      <c r="J5" s="5">
        <v>164671.57999999999</v>
      </c>
      <c r="K5" s="19">
        <f t="shared" si="0"/>
        <v>0.23524511428571426</v>
      </c>
      <c r="L5" s="16">
        <f t="shared" si="1"/>
        <v>62</v>
      </c>
      <c r="M5" s="19">
        <f t="shared" si="2"/>
        <v>1.6129032258064516E-2</v>
      </c>
      <c r="N5" s="16">
        <f t="shared" ca="1" si="3"/>
        <v>63.43333333333333</v>
      </c>
      <c r="O5" s="19">
        <f t="shared" ca="1" si="4"/>
        <v>3.7085409503791003E-3</v>
      </c>
      <c r="P5" t="str">
        <f t="shared" ca="1" si="5"/>
        <v>Desired Burn Rate</v>
      </c>
      <c r="Q5" s="16">
        <f t="shared" ca="1" si="6"/>
        <v>269.64782467826774</v>
      </c>
      <c r="R5" s="14">
        <f t="shared" ca="1" si="7"/>
        <v>49341</v>
      </c>
      <c r="S5" t="str">
        <f ca="1">TEXT(Table2[[#This Row],[Projected Limit Date]],"mmmm")</f>
        <v>February</v>
      </c>
      <c r="T5">
        <f t="shared" ca="1" si="8"/>
        <v>2035</v>
      </c>
      <c r="U5" t="s">
        <v>562</v>
      </c>
      <c r="V5" t="s">
        <v>761</v>
      </c>
      <c r="W5" t="str">
        <f t="shared" si="9"/>
        <v>Options</v>
      </c>
      <c r="X5" s="120" t="s">
        <v>899</v>
      </c>
      <c r="Z5" t="str">
        <f t="shared" ca="1" si="10"/>
        <v>Expiring &lt; 6 Months</v>
      </c>
      <c r="AA5">
        <f t="shared" ca="1" si="11"/>
        <v>1</v>
      </c>
      <c r="AB5">
        <f t="shared" ca="1" si="12"/>
        <v>0</v>
      </c>
      <c r="AC5">
        <f t="shared" ca="1" si="13"/>
        <v>0</v>
      </c>
      <c r="AD5" t="str">
        <f t="shared" si="14"/>
        <v>Safe</v>
      </c>
    </row>
    <row r="6" spans="1:32" hidden="1">
      <c r="A6" s="48" t="str">
        <f>TEXT(Table2[[#This Row],[MB END]],"mmmm")</f>
        <v>October</v>
      </c>
      <c r="B6" s="48" t="str">
        <f>TEXT(Table2[[#This Row],[MB END]],"yyyy")</f>
        <v>2017</v>
      </c>
      <c r="C6" s="117" t="s">
        <v>27</v>
      </c>
      <c r="D6" s="1" t="s">
        <v>24</v>
      </c>
      <c r="E6" s="2">
        <v>40483</v>
      </c>
      <c r="F6" s="28">
        <v>43039</v>
      </c>
      <c r="G6" s="1" t="s">
        <v>25</v>
      </c>
      <c r="H6" s="1" t="s">
        <v>28</v>
      </c>
      <c r="I6" s="5">
        <v>1420000</v>
      </c>
      <c r="J6" s="5">
        <v>1397186.92</v>
      </c>
      <c r="K6" s="19">
        <f t="shared" si="0"/>
        <v>0.98393445070422525</v>
      </c>
      <c r="L6" s="16">
        <f t="shared" si="1"/>
        <v>84</v>
      </c>
      <c r="M6" s="19">
        <f t="shared" si="2"/>
        <v>1.1904761904761904E-2</v>
      </c>
      <c r="N6" s="16">
        <f t="shared" ca="1" si="3"/>
        <v>85.433333333333337</v>
      </c>
      <c r="O6" s="19">
        <f t="shared" ca="1" si="4"/>
        <v>1.1516985376951524E-2</v>
      </c>
      <c r="P6" t="str">
        <f t="shared" ca="1" si="5"/>
        <v>Desired Burn Rate</v>
      </c>
      <c r="Q6" s="16">
        <f t="shared" ca="1" si="6"/>
        <v>86.828277302605542</v>
      </c>
      <c r="R6" s="14">
        <f t="shared" ca="1" si="7"/>
        <v>43101</v>
      </c>
      <c r="S6" t="str">
        <f ca="1">TEXT(Table2[[#This Row],[Projected Limit Date]],"mmmm")</f>
        <v>January</v>
      </c>
      <c r="T6">
        <f t="shared" ca="1" si="8"/>
        <v>2018</v>
      </c>
      <c r="U6" t="s">
        <v>562</v>
      </c>
      <c r="V6" t="s">
        <v>565</v>
      </c>
      <c r="W6" t="str">
        <f t="shared" si="9"/>
        <v>No options</v>
      </c>
      <c r="X6" s="108" t="s">
        <v>858</v>
      </c>
      <c r="Y6" s="108"/>
      <c r="Z6" t="str">
        <f t="shared" ca="1" si="10"/>
        <v>Expiring &lt; 6 Months</v>
      </c>
      <c r="AA6">
        <f t="shared" ca="1" si="11"/>
        <v>1</v>
      </c>
      <c r="AB6">
        <f t="shared" ca="1" si="12"/>
        <v>0</v>
      </c>
      <c r="AC6">
        <f t="shared" ca="1" si="13"/>
        <v>1</v>
      </c>
      <c r="AD6" t="str">
        <f t="shared" si="14"/>
        <v>Reaching Spending Limit</v>
      </c>
    </row>
    <row r="7" spans="1:32" hidden="1">
      <c r="A7" s="48" t="str">
        <f>TEXT(Table2[[#This Row],[MB END]],"mmmm")</f>
        <v>February</v>
      </c>
      <c r="B7" s="48" t="str">
        <f>TEXT(Table2[[#This Row],[MB END]],"yyyy")</f>
        <v>2018</v>
      </c>
      <c r="C7" s="117" t="s">
        <v>29</v>
      </c>
      <c r="D7" s="1" t="s">
        <v>24</v>
      </c>
      <c r="E7" s="2">
        <v>40483</v>
      </c>
      <c r="F7" s="28">
        <v>43159</v>
      </c>
      <c r="G7" s="1" t="s">
        <v>25</v>
      </c>
      <c r="H7" s="1" t="s">
        <v>30</v>
      </c>
      <c r="I7" s="5">
        <v>785000</v>
      </c>
      <c r="J7" s="5">
        <v>699905.81</v>
      </c>
      <c r="K7" s="19">
        <f t="shared" si="0"/>
        <v>0.89159975796178348</v>
      </c>
      <c r="L7" s="16">
        <f t="shared" si="1"/>
        <v>87.9</v>
      </c>
      <c r="M7" s="19">
        <f t="shared" si="2"/>
        <v>1.1376564277588166E-2</v>
      </c>
      <c r="N7" s="16">
        <f t="shared" ca="1" si="3"/>
        <v>85.433333333333337</v>
      </c>
      <c r="O7" s="19">
        <f t="shared" ca="1" si="4"/>
        <v>1.0436204736189428E-2</v>
      </c>
      <c r="P7" t="str">
        <f t="shared" ca="1" si="5"/>
        <v>Desired Burn Rate</v>
      </c>
      <c r="Q7" s="16">
        <f t="shared" ca="1" si="6"/>
        <v>95.820274254712459</v>
      </c>
      <c r="R7" s="14">
        <f t="shared" ca="1" si="7"/>
        <v>43374</v>
      </c>
      <c r="S7" t="str">
        <f ca="1">TEXT(Table2[[#This Row],[Projected Limit Date]],"mmmm")</f>
        <v>October</v>
      </c>
      <c r="T7">
        <f t="shared" ca="1" si="8"/>
        <v>2019</v>
      </c>
      <c r="U7" t="s">
        <v>562</v>
      </c>
      <c r="V7" t="s">
        <v>565</v>
      </c>
      <c r="W7" t="str">
        <f t="shared" si="9"/>
        <v>No options</v>
      </c>
      <c r="X7" s="108" t="s">
        <v>858</v>
      </c>
      <c r="Y7" s="108"/>
      <c r="Z7" t="str">
        <f t="shared" ca="1" si="10"/>
        <v>Expiring &lt; 6 Months</v>
      </c>
      <c r="AA7">
        <f t="shared" ca="1" si="11"/>
        <v>1</v>
      </c>
      <c r="AB7">
        <f t="shared" ca="1" si="12"/>
        <v>0</v>
      </c>
      <c r="AC7">
        <f t="shared" ca="1" si="13"/>
        <v>1</v>
      </c>
      <c r="AD7" t="str">
        <f t="shared" si="14"/>
        <v>Reaching Spending Limit</v>
      </c>
    </row>
    <row r="8" spans="1:32" hidden="1">
      <c r="A8" s="48" t="str">
        <f>TEXT(Table2[[#This Row],[MB END]],"mmmm")</f>
        <v>October</v>
      </c>
      <c r="B8" s="48" t="str">
        <f>TEXT(Table2[[#This Row],[MB END]],"yyyy")</f>
        <v>2017</v>
      </c>
      <c r="C8" s="117" t="s">
        <v>31</v>
      </c>
      <c r="D8" s="1" t="s">
        <v>24</v>
      </c>
      <c r="E8" s="2">
        <v>40483</v>
      </c>
      <c r="F8" s="28">
        <v>43039</v>
      </c>
      <c r="G8" s="1" t="s">
        <v>25</v>
      </c>
      <c r="H8" s="1" t="s">
        <v>32</v>
      </c>
      <c r="I8" s="5">
        <v>1793000</v>
      </c>
      <c r="J8" s="5">
        <v>1705819.73</v>
      </c>
      <c r="K8" s="19">
        <f t="shared" si="0"/>
        <v>0.95137742889012822</v>
      </c>
      <c r="L8" s="16">
        <f t="shared" si="1"/>
        <v>84</v>
      </c>
      <c r="M8" s="19">
        <f t="shared" si="2"/>
        <v>1.1904761904761904E-2</v>
      </c>
      <c r="N8" s="16">
        <f t="shared" ca="1" si="3"/>
        <v>85.433333333333337</v>
      </c>
      <c r="O8" s="19">
        <f t="shared" ca="1" si="4"/>
        <v>1.1135904356887962E-2</v>
      </c>
      <c r="P8" t="str">
        <f t="shared" ca="1" si="5"/>
        <v>Desired Burn Rate</v>
      </c>
      <c r="Q8" s="16">
        <f t="shared" ca="1" si="6"/>
        <v>89.799621831473758</v>
      </c>
      <c r="R8" s="14">
        <f t="shared" ca="1" si="7"/>
        <v>43191</v>
      </c>
      <c r="S8" t="str">
        <f ca="1">TEXT(Table2[[#This Row],[Projected Limit Date]],"mmmm")</f>
        <v>April</v>
      </c>
      <c r="T8">
        <f t="shared" ca="1" si="8"/>
        <v>2018</v>
      </c>
      <c r="U8" t="s">
        <v>562</v>
      </c>
      <c r="V8" t="s">
        <v>565</v>
      </c>
      <c r="W8" t="str">
        <f t="shared" si="9"/>
        <v>No options</v>
      </c>
      <c r="X8" s="108" t="s">
        <v>858</v>
      </c>
      <c r="Y8" s="108"/>
      <c r="Z8" t="str">
        <f t="shared" ca="1" si="10"/>
        <v>Expiring &lt; 6 Months</v>
      </c>
      <c r="AA8">
        <f t="shared" ca="1" si="11"/>
        <v>1</v>
      </c>
      <c r="AB8">
        <f t="shared" ca="1" si="12"/>
        <v>0</v>
      </c>
      <c r="AC8">
        <f t="shared" ca="1" si="13"/>
        <v>1</v>
      </c>
      <c r="AD8" t="str">
        <f t="shared" si="14"/>
        <v>Reaching Spending Limit</v>
      </c>
    </row>
    <row r="9" spans="1:32" hidden="1">
      <c r="A9" s="48" t="str">
        <f>TEXT(Table2[[#This Row],[MB END]],"mmmm")</f>
        <v>October</v>
      </c>
      <c r="B9" s="48" t="str">
        <f>TEXT(Table2[[#This Row],[MB END]],"yyyy")</f>
        <v>2017</v>
      </c>
      <c r="C9" s="117" t="s">
        <v>33</v>
      </c>
      <c r="D9" s="1" t="s">
        <v>24</v>
      </c>
      <c r="E9" s="2">
        <v>40483</v>
      </c>
      <c r="F9" s="28">
        <v>43039</v>
      </c>
      <c r="G9" s="1" t="s">
        <v>25</v>
      </c>
      <c r="H9" s="1" t="s">
        <v>34</v>
      </c>
      <c r="I9" s="5">
        <v>500000</v>
      </c>
      <c r="J9" s="5">
        <v>444508.86</v>
      </c>
      <c r="K9" s="19">
        <f t="shared" si="0"/>
        <v>0.88901772000000001</v>
      </c>
      <c r="L9" s="16">
        <f t="shared" si="1"/>
        <v>84</v>
      </c>
      <c r="M9" s="19">
        <f t="shared" si="2"/>
        <v>1.1904761904761904E-2</v>
      </c>
      <c r="N9" s="16">
        <f t="shared" ca="1" si="3"/>
        <v>85.433333333333337</v>
      </c>
      <c r="O9" s="19">
        <f t="shared" ca="1" si="4"/>
        <v>1.0405981896215371E-2</v>
      </c>
      <c r="P9" t="str">
        <f t="shared" ca="1" si="5"/>
        <v>Desired Burn Rate</v>
      </c>
      <c r="Q9" s="16">
        <f t="shared" ca="1" si="6"/>
        <v>96.098571953473936</v>
      </c>
      <c r="R9" s="14">
        <f t="shared" ca="1" si="7"/>
        <v>43405</v>
      </c>
      <c r="S9" t="str">
        <f ca="1">TEXT(Table2[[#This Row],[Projected Limit Date]],"mmmm")</f>
        <v>November</v>
      </c>
      <c r="T9">
        <f t="shared" ca="1" si="8"/>
        <v>2019</v>
      </c>
      <c r="U9" t="s">
        <v>562</v>
      </c>
      <c r="V9" t="s">
        <v>565</v>
      </c>
      <c r="W9" t="str">
        <f t="shared" si="9"/>
        <v>No options</v>
      </c>
      <c r="X9" s="108" t="s">
        <v>858</v>
      </c>
      <c r="Y9" s="108"/>
      <c r="Z9" t="str">
        <f t="shared" ca="1" si="10"/>
        <v>Expiring &lt; 6 Months</v>
      </c>
      <c r="AA9">
        <f t="shared" ca="1" si="11"/>
        <v>1</v>
      </c>
      <c r="AB9">
        <f t="shared" ca="1" si="12"/>
        <v>0</v>
      </c>
      <c r="AC9">
        <f t="shared" ca="1" si="13"/>
        <v>1</v>
      </c>
      <c r="AD9" t="str">
        <f t="shared" si="14"/>
        <v>Reaching Spending Limit</v>
      </c>
    </row>
    <row r="10" spans="1:32" hidden="1">
      <c r="A10" s="48" t="str">
        <f>TEXT(Table2[[#This Row],[MB END]],"mmmm")</f>
        <v>October</v>
      </c>
      <c r="B10" s="48" t="str">
        <f>TEXT(Table2[[#This Row],[MB END]],"yyyy")</f>
        <v>2017</v>
      </c>
      <c r="C10" s="117" t="s">
        <v>35</v>
      </c>
      <c r="D10" s="1" t="s">
        <v>24</v>
      </c>
      <c r="E10" s="2">
        <v>40483</v>
      </c>
      <c r="F10" s="28">
        <v>43039</v>
      </c>
      <c r="G10" s="1" t="s">
        <v>25</v>
      </c>
      <c r="H10" s="1" t="s">
        <v>36</v>
      </c>
      <c r="I10" s="5">
        <v>580000</v>
      </c>
      <c r="J10" s="5">
        <v>457757.89</v>
      </c>
      <c r="K10" s="19">
        <f t="shared" si="0"/>
        <v>0.78923774137931035</v>
      </c>
      <c r="L10" s="16">
        <f t="shared" si="1"/>
        <v>84</v>
      </c>
      <c r="M10" s="19">
        <f t="shared" si="2"/>
        <v>1.1904761904761904E-2</v>
      </c>
      <c r="N10" s="16">
        <f t="shared" ca="1" si="3"/>
        <v>85.433333333333337</v>
      </c>
      <c r="O10" s="19">
        <f t="shared" ca="1" si="4"/>
        <v>9.2380539373309832E-3</v>
      </c>
      <c r="P10" t="str">
        <f t="shared" ca="1" si="5"/>
        <v>Desired Burn Rate</v>
      </c>
      <c r="Q10" s="16">
        <f t="shared" ca="1" si="6"/>
        <v>108.24790662446765</v>
      </c>
      <c r="R10" s="14">
        <f t="shared" ca="1" si="7"/>
        <v>43770</v>
      </c>
      <c r="S10" t="str">
        <f ca="1">TEXT(Table2[[#This Row],[Projected Limit Date]],"mmmm")</f>
        <v>November</v>
      </c>
      <c r="T10">
        <f t="shared" ca="1" si="8"/>
        <v>2020</v>
      </c>
      <c r="U10" t="s">
        <v>562</v>
      </c>
      <c r="V10" t="s">
        <v>565</v>
      </c>
      <c r="W10" t="str">
        <f t="shared" si="9"/>
        <v>No options</v>
      </c>
      <c r="X10" s="108" t="s">
        <v>858</v>
      </c>
      <c r="Y10" s="108"/>
      <c r="Z10" t="str">
        <f t="shared" ca="1" si="10"/>
        <v>Expiring &lt; 6 Months</v>
      </c>
      <c r="AA10">
        <f t="shared" ca="1" si="11"/>
        <v>1</v>
      </c>
      <c r="AB10">
        <f t="shared" ca="1" si="12"/>
        <v>0</v>
      </c>
      <c r="AC10">
        <f t="shared" ca="1" si="13"/>
        <v>1</v>
      </c>
      <c r="AD10" t="str">
        <f t="shared" si="14"/>
        <v>Reaching Spending Limit</v>
      </c>
    </row>
    <row r="11" spans="1:32" hidden="1">
      <c r="A11" s="48" t="str">
        <f>TEXT(Table2[[#This Row],[MB END]],"mmmm")</f>
        <v>October</v>
      </c>
      <c r="B11" s="48" t="str">
        <f>TEXT(Table2[[#This Row],[MB END]],"yyyy")</f>
        <v>2017</v>
      </c>
      <c r="C11" s="117" t="s">
        <v>37</v>
      </c>
      <c r="D11" s="1" t="s">
        <v>24</v>
      </c>
      <c r="E11" s="2">
        <v>40483</v>
      </c>
      <c r="F11" s="28">
        <v>43039</v>
      </c>
      <c r="G11" s="1" t="s">
        <v>25</v>
      </c>
      <c r="H11" s="1" t="s">
        <v>38</v>
      </c>
      <c r="I11" s="5">
        <v>806000</v>
      </c>
      <c r="J11" s="5">
        <v>742961.88</v>
      </c>
      <c r="K11" s="19">
        <f t="shared" si="0"/>
        <v>0.92178893300248144</v>
      </c>
      <c r="L11" s="16">
        <f t="shared" si="1"/>
        <v>84</v>
      </c>
      <c r="M11" s="19">
        <f t="shared" si="2"/>
        <v>1.1904761904761906E-2</v>
      </c>
      <c r="N11" s="16">
        <f t="shared" ca="1" si="3"/>
        <v>85.433333333333337</v>
      </c>
      <c r="O11" s="19">
        <f t="shared" ca="1" si="4"/>
        <v>1.0789570031242465E-2</v>
      </c>
      <c r="P11" t="str">
        <f t="shared" ca="1" si="5"/>
        <v>Desired Burn Rate</v>
      </c>
      <c r="Q11" s="16">
        <f t="shared" ca="1" si="6"/>
        <v>92.682099203618193</v>
      </c>
      <c r="R11" s="14">
        <f t="shared" ca="1" si="7"/>
        <v>43282</v>
      </c>
      <c r="S11" t="str">
        <f ca="1">TEXT(Table2[[#This Row],[Projected Limit Date]],"mmmm")</f>
        <v>July</v>
      </c>
      <c r="T11">
        <f t="shared" ca="1" si="8"/>
        <v>2019</v>
      </c>
      <c r="U11" t="s">
        <v>562</v>
      </c>
      <c r="V11" t="s">
        <v>565</v>
      </c>
      <c r="W11" t="str">
        <f t="shared" si="9"/>
        <v>No options</v>
      </c>
      <c r="X11" s="108" t="s">
        <v>858</v>
      </c>
      <c r="Y11" s="108"/>
      <c r="Z11" t="str">
        <f t="shared" ca="1" si="10"/>
        <v>Expiring &lt; 6 Months</v>
      </c>
      <c r="AA11">
        <f t="shared" ca="1" si="11"/>
        <v>1</v>
      </c>
      <c r="AB11">
        <f t="shared" ca="1" si="12"/>
        <v>0</v>
      </c>
      <c r="AC11">
        <f t="shared" ca="1" si="13"/>
        <v>1</v>
      </c>
      <c r="AD11" t="str">
        <f t="shared" si="14"/>
        <v>Reaching Spending Limit</v>
      </c>
    </row>
    <row r="12" spans="1:32" hidden="1">
      <c r="A12" s="48" t="str">
        <f>TEXT(Table2[[#This Row],[MB END]],"mmmm")</f>
        <v>October</v>
      </c>
      <c r="B12" s="48" t="str">
        <f>TEXT(Table2[[#This Row],[MB END]],"yyyy")</f>
        <v>2017</v>
      </c>
      <c r="C12" s="117" t="s">
        <v>39</v>
      </c>
      <c r="D12" s="1" t="s">
        <v>24</v>
      </c>
      <c r="E12" s="2">
        <v>40483</v>
      </c>
      <c r="F12" s="28">
        <v>43039</v>
      </c>
      <c r="G12" s="1" t="s">
        <v>25</v>
      </c>
      <c r="H12" s="1" t="s">
        <v>40</v>
      </c>
      <c r="I12" s="5">
        <v>932000</v>
      </c>
      <c r="J12" s="5">
        <v>924229.29</v>
      </c>
      <c r="K12" s="19">
        <f t="shared" si="0"/>
        <v>0.99166232832618029</v>
      </c>
      <c r="L12" s="16">
        <f t="shared" si="1"/>
        <v>84</v>
      </c>
      <c r="M12" s="19">
        <f t="shared" si="2"/>
        <v>1.1904761904761904E-2</v>
      </c>
      <c r="N12" s="16">
        <f t="shared" ca="1" si="3"/>
        <v>85.433333333333337</v>
      </c>
      <c r="O12" s="19">
        <f t="shared" ca="1" si="4"/>
        <v>1.1607440440805855E-2</v>
      </c>
      <c r="P12" t="str">
        <f t="shared" ca="1" si="5"/>
        <v>Desired Burn Rate</v>
      </c>
      <c r="Q12" s="16">
        <f t="shared" ca="1" si="6"/>
        <v>86.151637400137659</v>
      </c>
      <c r="R12" s="14">
        <f t="shared" ca="1" si="7"/>
        <v>43101</v>
      </c>
      <c r="S12" t="str">
        <f ca="1">TEXT(Table2[[#This Row],[Projected Limit Date]],"mmmm")</f>
        <v>January</v>
      </c>
      <c r="T12">
        <f t="shared" ca="1" si="8"/>
        <v>2018</v>
      </c>
      <c r="U12" t="s">
        <v>562</v>
      </c>
      <c r="V12" t="s">
        <v>565</v>
      </c>
      <c r="W12" t="str">
        <f t="shared" si="9"/>
        <v>No options</v>
      </c>
      <c r="X12" s="108" t="s">
        <v>858</v>
      </c>
      <c r="Y12" s="108"/>
      <c r="Z12" t="str">
        <f t="shared" ca="1" si="10"/>
        <v>Expiring &lt; 6 Months</v>
      </c>
      <c r="AA12">
        <f t="shared" ca="1" si="11"/>
        <v>1</v>
      </c>
      <c r="AB12">
        <f t="shared" ca="1" si="12"/>
        <v>0</v>
      </c>
      <c r="AC12">
        <f t="shared" ca="1" si="13"/>
        <v>1</v>
      </c>
      <c r="AD12" t="str">
        <f t="shared" si="14"/>
        <v>Reaching Spending Limit</v>
      </c>
    </row>
    <row r="13" spans="1:32" hidden="1">
      <c r="A13" s="48" t="str">
        <f>TEXT(Table2[[#This Row],[MB END]],"mmmm")</f>
        <v>October</v>
      </c>
      <c r="B13" s="48" t="str">
        <f>TEXT(Table2[[#This Row],[MB END]],"yyyy")</f>
        <v>2017</v>
      </c>
      <c r="C13" s="117" t="s">
        <v>41</v>
      </c>
      <c r="D13" s="1" t="s">
        <v>24</v>
      </c>
      <c r="E13" s="2">
        <v>40483</v>
      </c>
      <c r="F13" s="28">
        <v>43039</v>
      </c>
      <c r="G13" s="1" t="s">
        <v>25</v>
      </c>
      <c r="H13" s="1" t="s">
        <v>42</v>
      </c>
      <c r="I13" s="5">
        <v>702000</v>
      </c>
      <c r="J13" s="5">
        <v>600623.18000000005</v>
      </c>
      <c r="K13" s="19">
        <f t="shared" si="0"/>
        <v>0.85558857549857559</v>
      </c>
      <c r="L13" s="16">
        <f t="shared" si="1"/>
        <v>84</v>
      </c>
      <c r="M13" s="19">
        <f t="shared" si="2"/>
        <v>1.1904761904761904E-2</v>
      </c>
      <c r="N13" s="16">
        <f t="shared" ca="1" si="3"/>
        <v>85.433333333333337</v>
      </c>
      <c r="O13" s="19">
        <f t="shared" ca="1" si="4"/>
        <v>1.0014692651173338E-2</v>
      </c>
      <c r="P13" t="str">
        <f t="shared" ca="1" si="5"/>
        <v>Desired Burn Rate</v>
      </c>
      <c r="Q13" s="16">
        <f t="shared" ca="1" si="6"/>
        <v>99.85328904555432</v>
      </c>
      <c r="R13" s="14">
        <f t="shared" ca="1" si="7"/>
        <v>43497</v>
      </c>
      <c r="S13" t="str">
        <f ca="1">TEXT(Table2[[#This Row],[Projected Limit Date]],"mmmm")</f>
        <v>February</v>
      </c>
      <c r="T13">
        <f t="shared" ca="1" si="8"/>
        <v>2019</v>
      </c>
      <c r="U13" t="s">
        <v>562</v>
      </c>
      <c r="V13" t="s">
        <v>565</v>
      </c>
      <c r="W13" t="str">
        <f t="shared" si="9"/>
        <v>No options</v>
      </c>
      <c r="X13" s="108" t="s">
        <v>858</v>
      </c>
      <c r="Y13" s="108"/>
      <c r="Z13" t="str">
        <f t="shared" ca="1" si="10"/>
        <v>Expiring &lt; 6 Months</v>
      </c>
      <c r="AA13">
        <f t="shared" ca="1" si="11"/>
        <v>1</v>
      </c>
      <c r="AB13">
        <f t="shared" ca="1" si="12"/>
        <v>0</v>
      </c>
      <c r="AC13">
        <f t="shared" ca="1" si="13"/>
        <v>1</v>
      </c>
      <c r="AD13" t="str">
        <f t="shared" si="14"/>
        <v>Reaching Spending Limit</v>
      </c>
    </row>
    <row r="14" spans="1:32" hidden="1">
      <c r="A14" s="48" t="str">
        <f>TEXT(Table2[[#This Row],[MB END]],"mmmm")</f>
        <v>October</v>
      </c>
      <c r="B14" s="48" t="str">
        <f>TEXT(Table2[[#This Row],[MB END]],"yyyy")</f>
        <v>2017</v>
      </c>
      <c r="C14" s="117" t="s">
        <v>43</v>
      </c>
      <c r="D14" s="1" t="s">
        <v>24</v>
      </c>
      <c r="E14" s="2">
        <v>40483</v>
      </c>
      <c r="F14" s="28">
        <v>43039</v>
      </c>
      <c r="G14" s="1" t="s">
        <v>25</v>
      </c>
      <c r="H14" s="1" t="s">
        <v>44</v>
      </c>
      <c r="I14" s="5">
        <v>980000</v>
      </c>
      <c r="J14" s="5">
        <v>907859.57</v>
      </c>
      <c r="K14" s="19">
        <f t="shared" si="0"/>
        <v>0.9263873163265306</v>
      </c>
      <c r="L14" s="16">
        <f t="shared" si="1"/>
        <v>84</v>
      </c>
      <c r="M14" s="19">
        <f t="shared" si="2"/>
        <v>1.1904761904761904E-2</v>
      </c>
      <c r="N14" s="16">
        <f t="shared" ca="1" si="3"/>
        <v>85.433333333333337</v>
      </c>
      <c r="O14" s="19">
        <f t="shared" ca="1" si="4"/>
        <v>1.0843394260552445E-2</v>
      </c>
      <c r="P14" t="str">
        <f t="shared" ca="1" si="5"/>
        <v>Desired Burn Rate</v>
      </c>
      <c r="Q14" s="16">
        <f t="shared" ca="1" si="6"/>
        <v>92.222045604108871</v>
      </c>
      <c r="R14" s="14">
        <f t="shared" ca="1" si="7"/>
        <v>43282</v>
      </c>
      <c r="S14" t="str">
        <f ca="1">TEXT(Table2[[#This Row],[Projected Limit Date]],"mmmm")</f>
        <v>July</v>
      </c>
      <c r="T14">
        <f t="shared" ca="1" si="8"/>
        <v>2019</v>
      </c>
      <c r="U14" t="s">
        <v>562</v>
      </c>
      <c r="V14" t="s">
        <v>565</v>
      </c>
      <c r="W14" t="str">
        <f t="shared" si="9"/>
        <v>No options</v>
      </c>
      <c r="X14" s="108" t="s">
        <v>858</v>
      </c>
      <c r="Y14" s="108"/>
      <c r="Z14" t="str">
        <f t="shared" ca="1" si="10"/>
        <v>Expiring &lt; 6 Months</v>
      </c>
      <c r="AA14">
        <f t="shared" ca="1" si="11"/>
        <v>1</v>
      </c>
      <c r="AB14">
        <f t="shared" ca="1" si="12"/>
        <v>0</v>
      </c>
      <c r="AC14">
        <f t="shared" ca="1" si="13"/>
        <v>1</v>
      </c>
      <c r="AD14" t="str">
        <f t="shared" si="14"/>
        <v>Reaching Spending Limit</v>
      </c>
    </row>
    <row r="15" spans="1:32" hidden="1">
      <c r="A15" s="48" t="str">
        <f>TEXT(Table2[[#This Row],[MB END]],"mmmm")</f>
        <v>October</v>
      </c>
      <c r="B15" s="48" t="str">
        <f>TEXT(Table2[[#This Row],[MB END]],"yyyy")</f>
        <v>2017</v>
      </c>
      <c r="C15" s="117" t="s">
        <v>45</v>
      </c>
      <c r="D15" s="1" t="s">
        <v>24</v>
      </c>
      <c r="E15" s="2">
        <v>40483</v>
      </c>
      <c r="F15" s="28">
        <v>43039</v>
      </c>
      <c r="G15" s="1" t="s">
        <v>25</v>
      </c>
      <c r="H15" s="1" t="s">
        <v>46</v>
      </c>
      <c r="I15" s="5">
        <v>725000</v>
      </c>
      <c r="J15" s="5">
        <v>687854.89</v>
      </c>
      <c r="K15" s="19">
        <f t="shared" si="0"/>
        <v>0.94876536551724144</v>
      </c>
      <c r="L15" s="16">
        <f t="shared" si="1"/>
        <v>84</v>
      </c>
      <c r="M15" s="19">
        <f t="shared" si="2"/>
        <v>1.1904761904761906E-2</v>
      </c>
      <c r="N15" s="16">
        <f t="shared" ca="1" si="3"/>
        <v>85.433333333333337</v>
      </c>
      <c r="O15" s="19">
        <f t="shared" ca="1" si="4"/>
        <v>1.110533006848117E-2</v>
      </c>
      <c r="P15" t="str">
        <f t="shared" ca="1" si="5"/>
        <v>Desired Burn Rate</v>
      </c>
      <c r="Q15" s="16">
        <f t="shared" ca="1" si="6"/>
        <v>90.046850821496179</v>
      </c>
      <c r="R15" s="14">
        <f t="shared" ca="1" si="7"/>
        <v>43221</v>
      </c>
      <c r="S15" t="str">
        <f ca="1">TEXT(Table2[[#This Row],[Projected Limit Date]],"mmmm")</f>
        <v>May</v>
      </c>
      <c r="T15">
        <f t="shared" ca="1" si="8"/>
        <v>2018</v>
      </c>
      <c r="U15" t="s">
        <v>562</v>
      </c>
      <c r="V15" t="s">
        <v>565</v>
      </c>
      <c r="W15" t="str">
        <f t="shared" si="9"/>
        <v>No options</v>
      </c>
      <c r="X15" s="108" t="s">
        <v>858</v>
      </c>
      <c r="Y15" s="108"/>
      <c r="Z15" t="str">
        <f t="shared" ca="1" si="10"/>
        <v>Expiring &lt; 6 Months</v>
      </c>
      <c r="AA15">
        <f t="shared" ca="1" si="11"/>
        <v>1</v>
      </c>
      <c r="AB15">
        <f t="shared" ca="1" si="12"/>
        <v>0</v>
      </c>
      <c r="AC15">
        <f t="shared" ca="1" si="13"/>
        <v>1</v>
      </c>
      <c r="AD15" t="str">
        <f t="shared" si="14"/>
        <v>Reaching Spending Limit</v>
      </c>
    </row>
    <row r="16" spans="1:32" hidden="1">
      <c r="A16" s="48" t="str">
        <f>TEXT(Table2[[#This Row],[MB END]],"mmmm")</f>
        <v>October</v>
      </c>
      <c r="B16" s="48" t="str">
        <f>TEXT(Table2[[#This Row],[MB END]],"yyyy")</f>
        <v>2017</v>
      </c>
      <c r="C16" s="117" t="s">
        <v>23</v>
      </c>
      <c r="D16" s="1" t="s">
        <v>24</v>
      </c>
      <c r="E16" s="2">
        <v>40483</v>
      </c>
      <c r="F16" s="28">
        <v>43039</v>
      </c>
      <c r="G16" s="1" t="s">
        <v>25</v>
      </c>
      <c r="H16" s="1" t="s">
        <v>26</v>
      </c>
      <c r="I16" s="5">
        <v>1002000</v>
      </c>
      <c r="J16" s="5">
        <v>996995.18</v>
      </c>
      <c r="K16" s="19">
        <f t="shared" si="0"/>
        <v>0.99500516966067865</v>
      </c>
      <c r="L16" s="16">
        <f t="shared" si="1"/>
        <v>84</v>
      </c>
      <c r="M16" s="19">
        <f t="shared" si="2"/>
        <v>1.1904761904761906E-2</v>
      </c>
      <c r="N16" s="16">
        <f t="shared" ca="1" si="3"/>
        <v>85.433333333333337</v>
      </c>
      <c r="O16" s="19">
        <f t="shared" ca="1" si="4"/>
        <v>1.164656850948902E-2</v>
      </c>
      <c r="P16" t="str">
        <f t="shared" ca="1" si="5"/>
        <v>Desired Burn Rate</v>
      </c>
      <c r="Q16" s="16">
        <f t="shared" ca="1" si="6"/>
        <v>85.86220045717775</v>
      </c>
      <c r="R16" s="14">
        <f t="shared" ca="1" si="7"/>
        <v>43070</v>
      </c>
      <c r="S16" t="str">
        <f ca="1">TEXT(Table2[[#This Row],[Projected Limit Date]],"mmmm")</f>
        <v>December</v>
      </c>
      <c r="T16">
        <f t="shared" ca="1" si="8"/>
        <v>2018</v>
      </c>
      <c r="U16" t="s">
        <v>562</v>
      </c>
      <c r="V16" t="s">
        <v>565</v>
      </c>
      <c r="W16" t="str">
        <f t="shared" si="9"/>
        <v>No options</v>
      </c>
      <c r="X16" s="108" t="s">
        <v>858</v>
      </c>
      <c r="Y16" s="108"/>
      <c r="Z16" t="str">
        <f t="shared" ca="1" si="10"/>
        <v>Expiring &lt; 6 Months</v>
      </c>
      <c r="AA16">
        <f t="shared" ca="1" si="11"/>
        <v>1</v>
      </c>
      <c r="AB16">
        <f t="shared" ca="1" si="12"/>
        <v>0</v>
      </c>
      <c r="AC16">
        <f t="shared" ca="1" si="13"/>
        <v>1</v>
      </c>
      <c r="AD16" t="str">
        <f t="shared" si="14"/>
        <v>Reaching Spending Limit</v>
      </c>
    </row>
    <row r="17" spans="1:30" ht="17.25" hidden="1">
      <c r="A17" s="48" t="str">
        <f>TEXT(Table2[[#This Row],[MB END]],"mmmm")</f>
        <v>October</v>
      </c>
      <c r="B17" s="48" t="str">
        <f>TEXT(Table2[[#This Row],[MB END]],"yyyy")</f>
        <v>2017</v>
      </c>
      <c r="C17" s="117" t="s">
        <v>63</v>
      </c>
      <c r="D17" s="1" t="s">
        <v>64</v>
      </c>
      <c r="E17" s="2">
        <v>41000</v>
      </c>
      <c r="F17" s="28">
        <v>43039</v>
      </c>
      <c r="G17" s="1" t="s">
        <v>65</v>
      </c>
      <c r="H17" s="1" t="s">
        <v>66</v>
      </c>
      <c r="I17" s="5">
        <v>100000</v>
      </c>
      <c r="J17" s="5">
        <v>0</v>
      </c>
      <c r="K17" s="19">
        <f t="shared" si="0"/>
        <v>0</v>
      </c>
      <c r="L17" s="16">
        <f t="shared" si="1"/>
        <v>67</v>
      </c>
      <c r="M17" s="19">
        <f t="shared" si="2"/>
        <v>1.4925373134328358E-2</v>
      </c>
      <c r="N17" s="16">
        <f t="shared" ca="1" si="3"/>
        <v>68.433333333333337</v>
      </c>
      <c r="O17" s="19">
        <f t="shared" ca="1" si="4"/>
        <v>0</v>
      </c>
      <c r="P17" t="str">
        <f t="shared" ca="1" si="5"/>
        <v>Desired Burn Rate</v>
      </c>
      <c r="Q17" s="16" t="e">
        <f t="shared" ca="1" si="6"/>
        <v>#DIV/0!</v>
      </c>
      <c r="R17" s="14" t="e">
        <f t="shared" ca="1" si="7"/>
        <v>#DIV/0!</v>
      </c>
      <c r="S17" t="e">
        <f ca="1">TEXT(Table2[[#This Row],[Projected Limit Date]],"mmmm")</f>
        <v>#DIV/0!</v>
      </c>
      <c r="T17" t="e">
        <f t="shared" ca="1" si="8"/>
        <v>#DIV/0!</v>
      </c>
      <c r="U17" t="s">
        <v>562</v>
      </c>
      <c r="V17" t="s">
        <v>565</v>
      </c>
      <c r="W17" t="str">
        <f t="shared" si="9"/>
        <v>No options</v>
      </c>
      <c r="X17" s="115" t="s">
        <v>873</v>
      </c>
      <c r="Y17" s="115"/>
      <c r="Z17" t="str">
        <f t="shared" ca="1" si="10"/>
        <v>Expiring &lt; 6 Months</v>
      </c>
      <c r="AA17">
        <f t="shared" ca="1" si="11"/>
        <v>1</v>
      </c>
      <c r="AB17">
        <f t="shared" ca="1" si="12"/>
        <v>0</v>
      </c>
      <c r="AC17">
        <f t="shared" ca="1" si="13"/>
        <v>1</v>
      </c>
      <c r="AD17" t="str">
        <f t="shared" si="14"/>
        <v>Safe</v>
      </c>
    </row>
    <row r="18" spans="1:30" ht="17.25" hidden="1">
      <c r="A18" s="48" t="str">
        <f>TEXT(Table2[[#This Row],[MB END]],"mmmm")</f>
        <v>October</v>
      </c>
      <c r="B18" s="48" t="str">
        <f>TEXT(Table2[[#This Row],[MB END]],"yyyy")</f>
        <v>2017</v>
      </c>
      <c r="C18" s="117" t="s">
        <v>67</v>
      </c>
      <c r="D18" s="1" t="s">
        <v>64</v>
      </c>
      <c r="E18" s="2">
        <v>41000</v>
      </c>
      <c r="F18" s="28">
        <v>43039</v>
      </c>
      <c r="G18" s="1" t="s">
        <v>65</v>
      </c>
      <c r="H18" s="1" t="s">
        <v>68</v>
      </c>
      <c r="I18" s="5">
        <v>105000</v>
      </c>
      <c r="J18" s="5">
        <v>41139.839999999997</v>
      </c>
      <c r="K18" s="19">
        <f t="shared" si="0"/>
        <v>0.39180799999999999</v>
      </c>
      <c r="L18" s="16">
        <f t="shared" si="1"/>
        <v>67</v>
      </c>
      <c r="M18" s="19">
        <f t="shared" si="2"/>
        <v>1.4925373134328358E-2</v>
      </c>
      <c r="N18" s="16">
        <f t="shared" ca="1" si="3"/>
        <v>68.433333333333337</v>
      </c>
      <c r="O18" s="19">
        <f t="shared" ca="1" si="4"/>
        <v>5.7253969800292251E-3</v>
      </c>
      <c r="P18" t="str">
        <f t="shared" ca="1" si="5"/>
        <v>Desired Burn Rate</v>
      </c>
      <c r="Q18" s="16">
        <f t="shared" ca="1" si="6"/>
        <v>174.6603778721551</v>
      </c>
      <c r="R18" s="14">
        <f t="shared" ca="1" si="7"/>
        <v>46296</v>
      </c>
      <c r="S18" t="str">
        <f ca="1">TEXT(Table2[[#This Row],[Projected Limit Date]],"mmmm")</f>
        <v>October</v>
      </c>
      <c r="T18">
        <f t="shared" ca="1" si="8"/>
        <v>2027</v>
      </c>
      <c r="U18" t="s">
        <v>562</v>
      </c>
      <c r="V18" t="s">
        <v>565</v>
      </c>
      <c r="W18" t="str">
        <f t="shared" si="9"/>
        <v>No options</v>
      </c>
      <c r="X18" s="115" t="s">
        <v>873</v>
      </c>
      <c r="Y18" s="115"/>
      <c r="Z18" t="str">
        <f t="shared" ca="1" si="10"/>
        <v>Expiring &lt; 6 Months</v>
      </c>
      <c r="AA18">
        <f t="shared" ca="1" si="11"/>
        <v>1</v>
      </c>
      <c r="AB18">
        <f t="shared" ca="1" si="12"/>
        <v>0</v>
      </c>
      <c r="AC18">
        <f t="shared" ca="1" si="13"/>
        <v>1</v>
      </c>
      <c r="AD18" t="str">
        <f t="shared" si="14"/>
        <v>Safe</v>
      </c>
    </row>
    <row r="19" spans="1:30" hidden="1">
      <c r="A19" s="48" t="str">
        <f>TEXT(Table2[[#This Row],[MB END]],"mmmm")</f>
        <v>November</v>
      </c>
      <c r="B19" s="48" t="str">
        <f>TEXT(Table2[[#This Row],[MB END]],"yyyy")</f>
        <v>2017</v>
      </c>
      <c r="C19" s="117" t="s">
        <v>451</v>
      </c>
      <c r="D19" s="1" t="s">
        <v>349</v>
      </c>
      <c r="E19" s="2">
        <v>42676</v>
      </c>
      <c r="F19" s="28">
        <v>43040</v>
      </c>
      <c r="G19" s="1" t="s">
        <v>452</v>
      </c>
      <c r="H19" s="1" t="s">
        <v>453</v>
      </c>
      <c r="I19" s="5">
        <v>157978</v>
      </c>
      <c r="J19" s="5">
        <v>96782</v>
      </c>
      <c r="K19" s="19">
        <f t="shared" si="0"/>
        <v>0.61262960665409105</v>
      </c>
      <c r="L19" s="16">
        <f t="shared" si="1"/>
        <v>11.966666666666667</v>
      </c>
      <c r="M19" s="19">
        <f t="shared" si="2"/>
        <v>8.3565459610027856E-2</v>
      </c>
      <c r="N19" s="16">
        <f t="shared" ca="1" si="3"/>
        <v>13.4</v>
      </c>
      <c r="O19" s="19">
        <f t="shared" ca="1" si="4"/>
        <v>4.5718627362245599E-2</v>
      </c>
      <c r="P19" t="str">
        <f t="shared" ca="1" si="5"/>
        <v>Desired Burn Rate</v>
      </c>
      <c r="Q19" s="16">
        <f t="shared" ca="1" si="6"/>
        <v>21.872922650906162</v>
      </c>
      <c r="R19" s="14">
        <f t="shared" ca="1" si="7"/>
        <v>43314</v>
      </c>
      <c r="S19" t="str">
        <f ca="1">TEXT(Table2[[#This Row],[Projected Limit Date]],"mmmm")</f>
        <v>August</v>
      </c>
      <c r="T19">
        <f t="shared" ca="1" si="8"/>
        <v>2019</v>
      </c>
      <c r="U19" t="s">
        <v>563</v>
      </c>
      <c r="V19" t="s">
        <v>565</v>
      </c>
      <c r="W19" t="str">
        <f t="shared" si="9"/>
        <v>No options</v>
      </c>
      <c r="X19" s="119" t="s">
        <v>874</v>
      </c>
      <c r="Y19" s="110"/>
      <c r="Z19" t="str">
        <f t="shared" ca="1" si="10"/>
        <v>Expiring &lt; 6 Months</v>
      </c>
      <c r="AA19">
        <f t="shared" ca="1" si="11"/>
        <v>1</v>
      </c>
      <c r="AB19">
        <f t="shared" ca="1" si="12"/>
        <v>0</v>
      </c>
      <c r="AC19">
        <f t="shared" ca="1" si="13"/>
        <v>1</v>
      </c>
      <c r="AD19" t="str">
        <f t="shared" si="14"/>
        <v>Safe</v>
      </c>
    </row>
    <row r="20" spans="1:30">
      <c r="A20" s="48" t="str">
        <f>TEXT(Table2[[#This Row],[MB END]],"mmmm")</f>
        <v>November</v>
      </c>
      <c r="B20" s="48" t="str">
        <f>TEXT(Table2[[#This Row],[MB END]],"yyyy")</f>
        <v>2017</v>
      </c>
      <c r="C20" s="117" t="s">
        <v>312</v>
      </c>
      <c r="D20" s="1" t="s">
        <v>0</v>
      </c>
      <c r="E20" s="2">
        <v>42081</v>
      </c>
      <c r="F20" s="28">
        <v>43042</v>
      </c>
      <c r="G20" s="1" t="s">
        <v>1</v>
      </c>
      <c r="H20" s="1" t="s">
        <v>313</v>
      </c>
      <c r="I20" s="5">
        <v>110000</v>
      </c>
      <c r="J20" s="5">
        <v>110000</v>
      </c>
      <c r="K20" s="19">
        <f t="shared" si="0"/>
        <v>1</v>
      </c>
      <c r="L20" s="16">
        <f t="shared" si="1"/>
        <v>31.5</v>
      </c>
      <c r="M20" s="19">
        <f t="shared" si="2"/>
        <v>3.1746031746031744E-2</v>
      </c>
      <c r="N20" s="16">
        <f t="shared" ca="1" si="3"/>
        <v>32.866666666666667</v>
      </c>
      <c r="O20" s="19">
        <f t="shared" ca="1" si="4"/>
        <v>3.0425963488843813E-2</v>
      </c>
      <c r="P20" t="str">
        <f t="shared" ca="1" si="5"/>
        <v>Desired Burn Rate</v>
      </c>
      <c r="Q20" s="16">
        <f t="shared" ca="1" si="6"/>
        <v>32.866666666666667</v>
      </c>
      <c r="R20" s="14">
        <f t="shared" ca="1" si="7"/>
        <v>43057</v>
      </c>
      <c r="S20" t="str">
        <f ca="1">TEXT(Table2[[#This Row],[Projected Limit Date]],"mmmm")</f>
        <v>November</v>
      </c>
      <c r="T20">
        <f t="shared" ca="1" si="8"/>
        <v>2018</v>
      </c>
      <c r="U20" t="s">
        <v>563</v>
      </c>
      <c r="V20" t="s">
        <v>565</v>
      </c>
      <c r="W20" t="str">
        <f t="shared" si="9"/>
        <v>No options</v>
      </c>
      <c r="X20" t="s">
        <v>585</v>
      </c>
      <c r="Z20" t="str">
        <f t="shared" ca="1" si="10"/>
        <v>Expiring &lt; 6 Months</v>
      </c>
      <c r="AA20">
        <f t="shared" ca="1" si="11"/>
        <v>1</v>
      </c>
      <c r="AB20">
        <f t="shared" ca="1" si="12"/>
        <v>0</v>
      </c>
      <c r="AC20">
        <f t="shared" ca="1" si="13"/>
        <v>1</v>
      </c>
      <c r="AD20" t="str">
        <f t="shared" si="14"/>
        <v>Reaching Spending Limit</v>
      </c>
    </row>
    <row r="21" spans="1:30">
      <c r="A21" s="48" t="str">
        <f>TEXT(Table2[[#This Row],[MB END]],"mmmm")</f>
        <v>November</v>
      </c>
      <c r="B21" s="48" t="str">
        <f>TEXT(Table2[[#This Row],[MB END]],"yyyy")</f>
        <v>2017</v>
      </c>
      <c r="C21" s="117" t="s">
        <v>207</v>
      </c>
      <c r="D21" s="1" t="s">
        <v>0</v>
      </c>
      <c r="E21" s="2">
        <v>41794</v>
      </c>
      <c r="F21" s="28">
        <v>43042</v>
      </c>
      <c r="G21" s="1" t="s">
        <v>208</v>
      </c>
      <c r="H21" s="1" t="s">
        <v>209</v>
      </c>
      <c r="I21" s="5">
        <v>188816</v>
      </c>
      <c r="J21" s="5">
        <v>179516</v>
      </c>
      <c r="K21" s="19">
        <f t="shared" si="0"/>
        <v>0.95074569951699006</v>
      </c>
      <c r="L21" s="16">
        <f t="shared" si="1"/>
        <v>40.966666666666669</v>
      </c>
      <c r="M21" s="19">
        <f t="shared" si="2"/>
        <v>2.4410089503661515E-2</v>
      </c>
      <c r="N21" s="16">
        <f t="shared" ca="1" si="3"/>
        <v>42.333333333333336</v>
      </c>
      <c r="O21" s="19">
        <f t="shared" ca="1" si="4"/>
        <v>2.245855983111E-2</v>
      </c>
      <c r="P21" t="str">
        <f t="shared" ca="1" si="5"/>
        <v>Desired Burn Rate</v>
      </c>
      <c r="Q21" s="16">
        <f t="shared" ca="1" si="6"/>
        <v>44.526452609609542</v>
      </c>
      <c r="R21" s="14">
        <f t="shared" ca="1" si="7"/>
        <v>43135</v>
      </c>
      <c r="S21" t="str">
        <f ca="1">TEXT(Table2[[#This Row],[Projected Limit Date]],"mmmm")</f>
        <v>February</v>
      </c>
      <c r="T21">
        <f t="shared" ca="1" si="8"/>
        <v>2018</v>
      </c>
      <c r="U21" t="s">
        <v>563</v>
      </c>
      <c r="V21" t="s">
        <v>666</v>
      </c>
      <c r="W21" t="str">
        <f t="shared" si="9"/>
        <v>Options</v>
      </c>
      <c r="X21" t="s">
        <v>585</v>
      </c>
      <c r="Z21" t="str">
        <f t="shared" ca="1" si="10"/>
        <v>Expiring &lt; 6 Months</v>
      </c>
      <c r="AA21">
        <f t="shared" ca="1" si="11"/>
        <v>1</v>
      </c>
      <c r="AB21">
        <f t="shared" ca="1" si="12"/>
        <v>0</v>
      </c>
      <c r="AC21">
        <f t="shared" ca="1" si="13"/>
        <v>0</v>
      </c>
      <c r="AD21" t="str">
        <f t="shared" si="14"/>
        <v>Reaching Spending Limit</v>
      </c>
    </row>
    <row r="22" spans="1:30" ht="30" hidden="1">
      <c r="A22" s="48" t="str">
        <f>TEXT(Table2[[#This Row],[MB END]],"mmmm")</f>
        <v>November</v>
      </c>
      <c r="B22" s="48" t="str">
        <f>TEXT(Table2[[#This Row],[MB END]],"yyyy")</f>
        <v>2017</v>
      </c>
      <c r="C22" s="117" t="s">
        <v>465</v>
      </c>
      <c r="D22" s="1" t="s">
        <v>58</v>
      </c>
      <c r="E22" s="2">
        <v>42681</v>
      </c>
      <c r="F22" s="28">
        <v>43045</v>
      </c>
      <c r="G22" s="1" t="s">
        <v>466</v>
      </c>
      <c r="H22" s="1" t="s">
        <v>467</v>
      </c>
      <c r="I22" s="5">
        <v>15966.37</v>
      </c>
      <c r="J22" s="5">
        <v>15022.29</v>
      </c>
      <c r="K22" s="19">
        <f t="shared" si="0"/>
        <v>0.94087071763963881</v>
      </c>
      <c r="L22" s="16">
        <f t="shared" si="1"/>
        <v>11.966666666666667</v>
      </c>
      <c r="M22" s="19">
        <f t="shared" si="2"/>
        <v>8.3565459610027856E-2</v>
      </c>
      <c r="N22" s="16">
        <f t="shared" ca="1" si="3"/>
        <v>13.233333333333333</v>
      </c>
      <c r="O22" s="19">
        <f t="shared" ca="1" si="4"/>
        <v>7.1098542894683051E-2</v>
      </c>
      <c r="P22" t="str">
        <f t="shared" ca="1" si="5"/>
        <v>Desired Burn Rate</v>
      </c>
      <c r="Q22" s="16">
        <f t="shared" ca="1" si="6"/>
        <v>14.064985853244298</v>
      </c>
      <c r="R22" s="14">
        <f t="shared" ca="1" si="7"/>
        <v>43107</v>
      </c>
      <c r="S22" t="str">
        <f ca="1">TEXT(Table2[[#This Row],[Projected Limit Date]],"mmmm")</f>
        <v>January</v>
      </c>
      <c r="T22">
        <f t="shared" ca="1" si="8"/>
        <v>2018</v>
      </c>
      <c r="U22" t="s">
        <v>562</v>
      </c>
      <c r="V22" t="s">
        <v>565</v>
      </c>
      <c r="W22" t="str">
        <f t="shared" si="9"/>
        <v>No options</v>
      </c>
      <c r="X22" s="124" t="s">
        <v>911</v>
      </c>
      <c r="Y22" s="110"/>
      <c r="Z22" t="str">
        <f t="shared" ca="1" si="10"/>
        <v>Expiring &lt; 6 Months</v>
      </c>
      <c r="AA22">
        <f t="shared" ca="1" si="11"/>
        <v>1</v>
      </c>
      <c r="AB22">
        <f t="shared" ca="1" si="12"/>
        <v>0</v>
      </c>
      <c r="AC22">
        <f t="shared" ca="1" si="13"/>
        <v>1</v>
      </c>
      <c r="AD22" t="str">
        <f t="shared" si="14"/>
        <v>Reaching Spending Limit</v>
      </c>
    </row>
    <row r="23" spans="1:30" hidden="1">
      <c r="A23" s="48" t="str">
        <f>TEXT(Table2[[#This Row],[MB END]],"mmmm")</f>
        <v>November</v>
      </c>
      <c r="B23" s="48" t="str">
        <f>TEXT(Table2[[#This Row],[MB END]],"yyyy")</f>
        <v>2017</v>
      </c>
      <c r="C23" s="117" t="s">
        <v>148</v>
      </c>
      <c r="D23" s="1" t="s">
        <v>0</v>
      </c>
      <c r="E23" s="2">
        <v>41591</v>
      </c>
      <c r="F23" s="28">
        <v>43051</v>
      </c>
      <c r="G23" s="1" t="s">
        <v>149</v>
      </c>
      <c r="H23" s="1" t="s">
        <v>150</v>
      </c>
      <c r="I23" s="5">
        <v>243100</v>
      </c>
      <c r="J23" s="5">
        <v>3557.5</v>
      </c>
      <c r="K23" s="19">
        <f t="shared" si="0"/>
        <v>1.4633895516248458E-2</v>
      </c>
      <c r="L23" s="16">
        <f t="shared" si="1"/>
        <v>47.966666666666669</v>
      </c>
      <c r="M23" s="19">
        <f t="shared" si="2"/>
        <v>2.0847810979847115E-2</v>
      </c>
      <c r="N23" s="16">
        <f t="shared" ca="1" si="3"/>
        <v>49.033333333333331</v>
      </c>
      <c r="O23" s="19">
        <f t="shared" ca="1" si="4"/>
        <v>2.9844790311859534E-4</v>
      </c>
      <c r="P23" t="str">
        <f t="shared" ca="1" si="5"/>
        <v>Desired Burn Rate</v>
      </c>
      <c r="Q23" s="16">
        <f t="shared" ca="1" si="6"/>
        <v>3350.668540641836</v>
      </c>
      <c r="R23" s="14">
        <f t="shared" ca="1" si="7"/>
        <v>143555</v>
      </c>
      <c r="S23" t="str">
        <f ca="1">TEXT(Table2[[#This Row],[Projected Limit Date]],"mmmm")</f>
        <v>January</v>
      </c>
      <c r="T23">
        <f t="shared" ca="1" si="8"/>
        <v>2293</v>
      </c>
      <c r="U23" t="s">
        <v>562</v>
      </c>
      <c r="V23" t="s">
        <v>569</v>
      </c>
      <c r="W23" t="str">
        <f t="shared" si="9"/>
        <v>Options</v>
      </c>
      <c r="X23" s="110" t="s">
        <v>920</v>
      </c>
      <c r="Y23" s="110"/>
      <c r="Z23" t="str">
        <f t="shared" ca="1" si="10"/>
        <v>Expiring &lt; 6 Months</v>
      </c>
      <c r="AA23">
        <f t="shared" ca="1" si="11"/>
        <v>1</v>
      </c>
      <c r="AB23">
        <f t="shared" ca="1" si="12"/>
        <v>0</v>
      </c>
      <c r="AC23">
        <f t="shared" ca="1" si="13"/>
        <v>0</v>
      </c>
      <c r="AD23" t="str">
        <f t="shared" si="14"/>
        <v>Safe</v>
      </c>
    </row>
    <row r="24" spans="1:30" hidden="1">
      <c r="A24" s="48" t="str">
        <f>TEXT(Table2[[#This Row],[MB END]],"mmmm")</f>
        <v>November</v>
      </c>
      <c r="B24" s="48" t="str">
        <f>TEXT(Table2[[#This Row],[MB END]],"yyyy")</f>
        <v>2018</v>
      </c>
      <c r="C24" s="116" t="s">
        <v>631</v>
      </c>
      <c r="D24" s="27" t="s">
        <v>349</v>
      </c>
      <c r="E24" s="28">
        <v>42326</v>
      </c>
      <c r="F24" s="28">
        <v>43421</v>
      </c>
      <c r="G24" s="27" t="s">
        <v>632</v>
      </c>
      <c r="H24" s="27" t="s">
        <v>633</v>
      </c>
      <c r="I24" s="5">
        <v>400000</v>
      </c>
      <c r="J24" s="5">
        <v>200441.46</v>
      </c>
      <c r="K24" s="29">
        <f t="shared" si="0"/>
        <v>0.50110365000000001</v>
      </c>
      <c r="L24" s="23">
        <f t="shared" si="1"/>
        <v>35.966666666666669</v>
      </c>
      <c r="M24" s="30">
        <f t="shared" si="2"/>
        <v>2.780352177942539E-2</v>
      </c>
      <c r="N24" s="24">
        <f t="shared" ca="1" si="3"/>
        <v>24.866666666666667</v>
      </c>
      <c r="O24" s="30">
        <f t="shared" ca="1" si="4"/>
        <v>2.0151621313672922E-2</v>
      </c>
      <c r="P24" s="26" t="str">
        <f t="shared" ca="1" si="5"/>
        <v>Desired Burn Rate</v>
      </c>
      <c r="Q24" s="24">
        <f t="shared" ca="1" si="6"/>
        <v>49.623798722413348</v>
      </c>
      <c r="R24" s="25">
        <f t="shared" ca="1" si="7"/>
        <v>43817</v>
      </c>
      <c r="S24" s="26" t="str">
        <f ca="1">TEXT(Table2[[#This Row],[Projected Limit Date]],"mmmm")</f>
        <v>December</v>
      </c>
      <c r="T24" s="26">
        <f t="shared" ca="1" si="8"/>
        <v>2020</v>
      </c>
      <c r="U24" s="31" t="s">
        <v>563</v>
      </c>
      <c r="V24" s="31" t="s">
        <v>933</v>
      </c>
      <c r="W24" s="32" t="str">
        <f t="shared" si="9"/>
        <v>Options</v>
      </c>
      <c r="X24" s="31"/>
      <c r="Y24" s="31"/>
      <c r="Z24" t="str">
        <f t="shared" ca="1" si="10"/>
        <v>Expiring &gt; 6 Months</v>
      </c>
      <c r="AA24">
        <f t="shared" ca="1" si="11"/>
        <v>0</v>
      </c>
      <c r="AB24">
        <f t="shared" ca="1" si="12"/>
        <v>0</v>
      </c>
      <c r="AC24">
        <f t="shared" ca="1" si="13"/>
        <v>0</v>
      </c>
      <c r="AD24" t="str">
        <f t="shared" si="14"/>
        <v>Safe</v>
      </c>
    </row>
    <row r="25" spans="1:30" hidden="1">
      <c r="A25" s="48" t="str">
        <f>TEXT(Table2[[#This Row],[MB END]],"mmmm")</f>
        <v>November</v>
      </c>
      <c r="B25" s="48" t="str">
        <f>TEXT(Table2[[#This Row],[MB END]],"yyyy")</f>
        <v>2018</v>
      </c>
      <c r="C25" s="116" t="s">
        <v>636</v>
      </c>
      <c r="D25" s="27" t="s">
        <v>349</v>
      </c>
      <c r="E25" s="28">
        <v>42481</v>
      </c>
      <c r="F25" s="28">
        <v>43421</v>
      </c>
      <c r="G25" s="27" t="s">
        <v>637</v>
      </c>
      <c r="H25" s="27" t="s">
        <v>638</v>
      </c>
      <c r="I25" s="5">
        <v>365000</v>
      </c>
      <c r="J25" s="5">
        <v>51955.86</v>
      </c>
      <c r="K25" s="29">
        <f t="shared" si="0"/>
        <v>0.14234482191780823</v>
      </c>
      <c r="L25" s="23">
        <f t="shared" si="1"/>
        <v>30.866666666666667</v>
      </c>
      <c r="M25" s="30">
        <f t="shared" si="2"/>
        <v>3.2397408207343416E-2</v>
      </c>
      <c r="N25" s="24">
        <f t="shared" ca="1" si="3"/>
        <v>19.766666666666666</v>
      </c>
      <c r="O25" s="30">
        <f t="shared" ca="1" si="4"/>
        <v>7.2012557462634852E-3</v>
      </c>
      <c r="P25" s="26" t="str">
        <f t="shared" ca="1" si="5"/>
        <v>Desired Burn Rate</v>
      </c>
      <c r="Q25" s="24">
        <f t="shared" ca="1" si="6"/>
        <v>138.86466961250056</v>
      </c>
      <c r="R25" s="25">
        <f t="shared" ca="1" si="7"/>
        <v>46681</v>
      </c>
      <c r="S25" s="26" t="str">
        <f ca="1">TEXT(Table2[[#This Row],[Projected Limit Date]],"mmmm")</f>
        <v>October</v>
      </c>
      <c r="T25" s="26">
        <f t="shared" ca="1" si="8"/>
        <v>2028</v>
      </c>
      <c r="U25" s="31" t="s">
        <v>563</v>
      </c>
      <c r="V25" s="31" t="s">
        <v>933</v>
      </c>
      <c r="W25" s="32" t="str">
        <f t="shared" si="9"/>
        <v>Options</v>
      </c>
      <c r="X25" s="31"/>
      <c r="Y25" s="31"/>
      <c r="Z25" t="str">
        <f t="shared" ca="1" si="10"/>
        <v>Expiring &gt; 6 Months</v>
      </c>
      <c r="AA25">
        <f t="shared" ca="1" si="11"/>
        <v>0</v>
      </c>
      <c r="AB25">
        <f t="shared" ca="1" si="12"/>
        <v>0</v>
      </c>
      <c r="AC25">
        <f t="shared" ca="1" si="13"/>
        <v>0</v>
      </c>
      <c r="AD25" t="str">
        <f t="shared" si="14"/>
        <v>Safe</v>
      </c>
    </row>
    <row r="26" spans="1:30">
      <c r="A26" s="48" t="str">
        <f>TEXT(Table2[[#This Row],[MB END]],"mmmm")</f>
        <v>November</v>
      </c>
      <c r="B26" s="48" t="str">
        <f>TEXT(Table2[[#This Row],[MB END]],"yyyy")</f>
        <v>2017</v>
      </c>
      <c r="C26" s="116" t="s">
        <v>639</v>
      </c>
      <c r="D26" s="27" t="s">
        <v>48</v>
      </c>
      <c r="E26" s="28">
        <v>41931</v>
      </c>
      <c r="F26" s="28">
        <v>43059</v>
      </c>
      <c r="G26" s="27" t="s">
        <v>640</v>
      </c>
      <c r="H26" s="27" t="s">
        <v>641</v>
      </c>
      <c r="I26" s="5">
        <v>1469600</v>
      </c>
      <c r="J26" s="5">
        <v>1468999.51</v>
      </c>
      <c r="K26" s="29">
        <f t="shared" si="0"/>
        <v>0.99959139221556892</v>
      </c>
      <c r="L26" s="23">
        <f t="shared" si="1"/>
        <v>37.033333333333331</v>
      </c>
      <c r="M26" s="30">
        <f t="shared" si="2"/>
        <v>2.7002700270027005E-2</v>
      </c>
      <c r="N26" s="24">
        <f t="shared" ca="1" si="3"/>
        <v>37.833333333333336</v>
      </c>
      <c r="O26" s="30">
        <f t="shared" ca="1" si="4"/>
        <v>2.642091785591812E-2</v>
      </c>
      <c r="P26" s="26" t="str">
        <f t="shared" ca="1" si="5"/>
        <v>Desired Burn Rate</v>
      </c>
      <c r="Q26" s="24">
        <f t="shared" ca="1" si="6"/>
        <v>37.848798647091904</v>
      </c>
      <c r="R26" s="25">
        <f t="shared" ca="1" si="7"/>
        <v>43058</v>
      </c>
      <c r="S26" s="26" t="str">
        <f ca="1">TEXT(Table2[[#This Row],[Projected Limit Date]],"mmmm")</f>
        <v>November</v>
      </c>
      <c r="T26" s="26">
        <f t="shared" ca="1" si="8"/>
        <v>2018</v>
      </c>
      <c r="U26" s="31" t="s">
        <v>563</v>
      </c>
      <c r="V26" s="31" t="s">
        <v>565</v>
      </c>
      <c r="W26" s="32" t="str">
        <f t="shared" si="9"/>
        <v>No options</v>
      </c>
      <c r="X26" s="31" t="s">
        <v>816</v>
      </c>
      <c r="Y26" s="31"/>
      <c r="Z26" t="str">
        <f t="shared" ca="1" si="10"/>
        <v>Expiring &lt; 6 Months</v>
      </c>
      <c r="AA26">
        <f t="shared" ca="1" si="11"/>
        <v>1</v>
      </c>
      <c r="AB26">
        <f t="shared" ca="1" si="12"/>
        <v>0</v>
      </c>
      <c r="AC26">
        <f t="shared" ca="1" si="13"/>
        <v>1</v>
      </c>
      <c r="AD26" t="str">
        <f t="shared" si="14"/>
        <v>Reaching Spending Limit</v>
      </c>
    </row>
    <row r="27" spans="1:30" hidden="1">
      <c r="A27" s="48" t="str">
        <f>TEXT(Table2[[#This Row],[MB END]],"mmmm")</f>
        <v>November</v>
      </c>
      <c r="B27" s="48" t="str">
        <f>TEXT(Table2[[#This Row],[MB END]],"yyyy")</f>
        <v>2017</v>
      </c>
      <c r="C27" s="116" t="s">
        <v>642</v>
      </c>
      <c r="D27" s="27" t="s">
        <v>48</v>
      </c>
      <c r="E27" s="28">
        <v>41931</v>
      </c>
      <c r="F27" s="28">
        <v>43059</v>
      </c>
      <c r="G27" s="27" t="s">
        <v>640</v>
      </c>
      <c r="H27" s="27" t="s">
        <v>643</v>
      </c>
      <c r="I27" s="5">
        <v>1231200</v>
      </c>
      <c r="J27" s="5">
        <v>90962.11</v>
      </c>
      <c r="K27" s="29">
        <f t="shared" si="0"/>
        <v>7.3880856075373619E-2</v>
      </c>
      <c r="L27" s="23">
        <f t="shared" si="1"/>
        <v>37.033333333333331</v>
      </c>
      <c r="M27" s="30">
        <f t="shared" si="2"/>
        <v>2.7002700270027005E-2</v>
      </c>
      <c r="N27" s="24">
        <f t="shared" ca="1" si="3"/>
        <v>37.833333333333336</v>
      </c>
      <c r="O27" s="30">
        <f t="shared" ca="1" si="4"/>
        <v>1.9527979579393908E-3</v>
      </c>
      <c r="P27" s="26" t="str">
        <f t="shared" ca="1" si="5"/>
        <v>Desired Burn Rate</v>
      </c>
      <c r="Q27" s="24">
        <f t="shared" ca="1" si="6"/>
        <v>512.08574647180023</v>
      </c>
      <c r="R27" s="25">
        <f t="shared" ca="1" si="7"/>
        <v>57515</v>
      </c>
      <c r="S27" s="26" t="str">
        <f ca="1">TEXT(Table2[[#This Row],[Projected Limit Date]],"mmmm")</f>
        <v>June</v>
      </c>
      <c r="T27" s="26">
        <f t="shared" ca="1" si="8"/>
        <v>2057</v>
      </c>
      <c r="U27" s="31" t="s">
        <v>563</v>
      </c>
      <c r="V27" s="31" t="s">
        <v>565</v>
      </c>
      <c r="W27" s="32" t="str">
        <f t="shared" si="9"/>
        <v>No options</v>
      </c>
      <c r="X27" s="31" t="s">
        <v>816</v>
      </c>
      <c r="Y27" s="31"/>
      <c r="Z27" t="str">
        <f t="shared" ca="1" si="10"/>
        <v>Expiring &lt; 6 Months</v>
      </c>
      <c r="AA27">
        <f t="shared" ca="1" si="11"/>
        <v>1</v>
      </c>
      <c r="AB27">
        <f t="shared" ca="1" si="12"/>
        <v>0</v>
      </c>
      <c r="AC27">
        <f t="shared" ca="1" si="13"/>
        <v>1</v>
      </c>
      <c r="AD27" t="str">
        <f t="shared" si="14"/>
        <v>Safe</v>
      </c>
    </row>
    <row r="28" spans="1:30" hidden="1">
      <c r="A28" s="48" t="str">
        <f>TEXT(Table2[[#This Row],[MB END]],"mmmm")</f>
        <v>November</v>
      </c>
      <c r="B28" s="48" t="str">
        <f>TEXT(Table2[[#This Row],[MB END]],"yyyy")</f>
        <v>2017</v>
      </c>
      <c r="C28" s="117" t="s">
        <v>457</v>
      </c>
      <c r="D28" s="1" t="s">
        <v>58</v>
      </c>
      <c r="E28" s="2">
        <v>42697</v>
      </c>
      <c r="F28" s="28">
        <v>43061</v>
      </c>
      <c r="G28" s="1" t="s">
        <v>458</v>
      </c>
      <c r="H28" s="1" t="s">
        <v>459</v>
      </c>
      <c r="I28" s="5">
        <v>81990</v>
      </c>
      <c r="J28" s="5">
        <v>81990</v>
      </c>
      <c r="K28" s="19">
        <f t="shared" si="0"/>
        <v>1</v>
      </c>
      <c r="L28" s="16">
        <f t="shared" si="1"/>
        <v>11.966666666666667</v>
      </c>
      <c r="M28" s="19">
        <f t="shared" si="2"/>
        <v>8.3565459610027856E-2</v>
      </c>
      <c r="N28" s="16">
        <f t="shared" ca="1" si="3"/>
        <v>12.7</v>
      </c>
      <c r="O28" s="19">
        <f t="shared" ca="1" si="4"/>
        <v>7.874015748031496E-2</v>
      </c>
      <c r="P28" t="str">
        <f t="shared" ca="1" si="5"/>
        <v>Desired Burn Rate</v>
      </c>
      <c r="Q28" s="16">
        <f t="shared" ca="1" si="6"/>
        <v>12.7</v>
      </c>
      <c r="R28" s="14">
        <f t="shared" ca="1" si="7"/>
        <v>43062</v>
      </c>
      <c r="S28" t="str">
        <f ca="1">TEXT(Table2[[#This Row],[Projected Limit Date]],"mmmm")</f>
        <v>November</v>
      </c>
      <c r="T28">
        <f t="shared" ca="1" si="8"/>
        <v>2018</v>
      </c>
      <c r="U28" t="s">
        <v>562</v>
      </c>
      <c r="V28" t="s">
        <v>565</v>
      </c>
      <c r="W28" t="str">
        <f t="shared" si="9"/>
        <v>No options</v>
      </c>
      <c r="X28" s="110" t="s">
        <v>570</v>
      </c>
      <c r="Y28" s="110"/>
      <c r="Z28" t="str">
        <f t="shared" ca="1" si="10"/>
        <v>Expiring &lt; 6 Months</v>
      </c>
      <c r="AA28">
        <f t="shared" ca="1" si="11"/>
        <v>1</v>
      </c>
      <c r="AB28">
        <f t="shared" ca="1" si="12"/>
        <v>0</v>
      </c>
      <c r="AC28">
        <f t="shared" ca="1" si="13"/>
        <v>1</v>
      </c>
      <c r="AD28" t="str">
        <f t="shared" si="14"/>
        <v>Reaching Spending Limit</v>
      </c>
    </row>
    <row r="29" spans="1:30" hidden="1">
      <c r="A29" s="48" t="str">
        <f>TEXT(Table2[[#This Row],[MB END]],"mmmm")</f>
        <v>November</v>
      </c>
      <c r="B29" s="48" t="str">
        <f>TEXT(Table2[[#This Row],[MB END]],"yyyy")</f>
        <v>2017</v>
      </c>
      <c r="C29" s="117" t="s">
        <v>279</v>
      </c>
      <c r="D29" s="1" t="s">
        <v>7</v>
      </c>
      <c r="E29" s="2">
        <v>41969</v>
      </c>
      <c r="F29" s="28">
        <v>43064</v>
      </c>
      <c r="G29" s="1" t="s">
        <v>280</v>
      </c>
      <c r="H29" s="1" t="s">
        <v>281</v>
      </c>
      <c r="I29" s="5">
        <v>72800</v>
      </c>
      <c r="J29" s="5">
        <v>47141.25</v>
      </c>
      <c r="K29" s="19">
        <f t="shared" si="0"/>
        <v>0.64754464285714286</v>
      </c>
      <c r="L29" s="16">
        <f t="shared" si="1"/>
        <v>35.966666666666669</v>
      </c>
      <c r="M29" s="19">
        <f t="shared" si="2"/>
        <v>2.780352177942539E-2</v>
      </c>
      <c r="N29" s="16">
        <f t="shared" ca="1" si="3"/>
        <v>36.6</v>
      </c>
      <c r="O29" s="19">
        <f t="shared" ca="1" si="4"/>
        <v>1.769247658079625E-2</v>
      </c>
      <c r="P29" t="str">
        <f t="shared" ca="1" si="5"/>
        <v>Desired Burn Rate</v>
      </c>
      <c r="Q29" s="16">
        <f t="shared" ca="1" si="6"/>
        <v>56.521199586349539</v>
      </c>
      <c r="R29" s="14">
        <f t="shared" ca="1" si="7"/>
        <v>43672</v>
      </c>
      <c r="S29" t="str">
        <f ca="1">TEXT(Table2[[#This Row],[Projected Limit Date]],"mmmm")</f>
        <v>July</v>
      </c>
      <c r="T29">
        <f t="shared" ca="1" si="8"/>
        <v>2020</v>
      </c>
      <c r="U29" t="s">
        <v>562</v>
      </c>
      <c r="V29" t="s">
        <v>573</v>
      </c>
      <c r="W29" t="str">
        <f t="shared" si="9"/>
        <v>Options</v>
      </c>
      <c r="X29" s="120" t="s">
        <v>900</v>
      </c>
      <c r="Y29" s="110"/>
      <c r="Z29" t="str">
        <f t="shared" ca="1" si="10"/>
        <v>Expiring &lt; 6 Months</v>
      </c>
      <c r="AA29">
        <f t="shared" ca="1" si="11"/>
        <v>1</v>
      </c>
      <c r="AB29">
        <f t="shared" ca="1" si="12"/>
        <v>0</v>
      </c>
      <c r="AC29">
        <f t="shared" ca="1" si="13"/>
        <v>0</v>
      </c>
      <c r="AD29" t="str">
        <f t="shared" si="14"/>
        <v>Safe</v>
      </c>
    </row>
    <row r="30" spans="1:30" hidden="1">
      <c r="A30" s="48" t="str">
        <f>TEXT(Table2[[#This Row],[MB END]],"mmmm")</f>
        <v>November</v>
      </c>
      <c r="B30" s="48" t="str">
        <f>TEXT(Table2[[#This Row],[MB END]],"yyyy")</f>
        <v>2017</v>
      </c>
      <c r="C30" s="117" t="s">
        <v>263</v>
      </c>
      <c r="D30" s="1" t="s">
        <v>136</v>
      </c>
      <c r="E30" s="2">
        <v>41974</v>
      </c>
      <c r="F30" s="28">
        <v>43069</v>
      </c>
      <c r="G30" s="1" t="s">
        <v>264</v>
      </c>
      <c r="H30" s="1" t="s">
        <v>265</v>
      </c>
      <c r="I30" s="5">
        <v>260000</v>
      </c>
      <c r="J30" s="5">
        <v>196390.25</v>
      </c>
      <c r="K30" s="19">
        <f t="shared" si="0"/>
        <v>0.75534711538461541</v>
      </c>
      <c r="L30" s="16">
        <f t="shared" si="1"/>
        <v>35.966666666666669</v>
      </c>
      <c r="M30" s="19">
        <f t="shared" si="2"/>
        <v>2.7803521779425393E-2</v>
      </c>
      <c r="N30" s="16">
        <f t="shared" ca="1" si="3"/>
        <v>36.43333333333333</v>
      </c>
      <c r="O30" s="19">
        <f t="shared" ca="1" si="4"/>
        <v>2.0732308747976637E-2</v>
      </c>
      <c r="P30" t="str">
        <f t="shared" ca="1" si="5"/>
        <v>Desired Burn Rate</v>
      </c>
      <c r="Q30" s="16">
        <f t="shared" ca="1" si="6"/>
        <v>48.233894842878733</v>
      </c>
      <c r="R30" s="14">
        <f t="shared" ca="1" si="7"/>
        <v>43435</v>
      </c>
      <c r="S30" t="str">
        <f ca="1">TEXT(Table2[[#This Row],[Projected Limit Date]],"mmmm")</f>
        <v>December</v>
      </c>
      <c r="T30">
        <f t="shared" ca="1" si="8"/>
        <v>2019</v>
      </c>
      <c r="U30" t="s">
        <v>562</v>
      </c>
      <c r="V30" t="s">
        <v>772</v>
      </c>
      <c r="W30" t="str">
        <f t="shared" si="9"/>
        <v>Options</v>
      </c>
      <c r="X30" s="110" t="s">
        <v>811</v>
      </c>
      <c r="Y30" s="110"/>
      <c r="Z30" t="str">
        <f t="shared" ca="1" si="10"/>
        <v>Expiring &lt; 6 Months</v>
      </c>
      <c r="AA30">
        <f t="shared" ca="1" si="11"/>
        <v>1</v>
      </c>
      <c r="AB30">
        <f t="shared" ca="1" si="12"/>
        <v>0</v>
      </c>
      <c r="AC30">
        <f t="shared" ca="1" si="13"/>
        <v>0</v>
      </c>
      <c r="AD30" t="str">
        <f t="shared" si="14"/>
        <v>Reaching Spending Limit</v>
      </c>
    </row>
    <row r="31" spans="1:30" hidden="1">
      <c r="A31" s="48" t="str">
        <f>TEXT(Table2[[#This Row],[MB END]],"mmmm")</f>
        <v>December</v>
      </c>
      <c r="B31" s="48" t="str">
        <f>TEXT(Table2[[#This Row],[MB END]],"yyyy")</f>
        <v>2017</v>
      </c>
      <c r="C31" s="117" t="s">
        <v>468</v>
      </c>
      <c r="D31" s="1" t="s">
        <v>58</v>
      </c>
      <c r="E31" s="2">
        <v>42711</v>
      </c>
      <c r="F31" s="28">
        <v>43075</v>
      </c>
      <c r="G31" s="1" t="s">
        <v>469</v>
      </c>
      <c r="H31" s="1" t="s">
        <v>470</v>
      </c>
      <c r="I31" s="5">
        <v>375028</v>
      </c>
      <c r="J31" s="5">
        <v>375028</v>
      </c>
      <c r="K31" s="19">
        <f t="shared" si="0"/>
        <v>1</v>
      </c>
      <c r="L31" s="16">
        <f t="shared" si="1"/>
        <v>11.966666666666667</v>
      </c>
      <c r="M31" s="19">
        <f t="shared" si="2"/>
        <v>8.3565459610027856E-2</v>
      </c>
      <c r="N31" s="16">
        <f t="shared" ca="1" si="3"/>
        <v>12.233333333333333</v>
      </c>
      <c r="O31" s="19">
        <f t="shared" ca="1" si="4"/>
        <v>8.1743869209809264E-2</v>
      </c>
      <c r="P31" t="str">
        <f t="shared" ca="1" si="5"/>
        <v>Desired Burn Rate</v>
      </c>
      <c r="Q31" s="16">
        <f t="shared" ca="1" si="6"/>
        <v>12.233333333333333</v>
      </c>
      <c r="R31" s="14">
        <f t="shared" ca="1" si="7"/>
        <v>43076</v>
      </c>
      <c r="S31" t="str">
        <f ca="1">TEXT(Table2[[#This Row],[Projected Limit Date]],"mmmm")</f>
        <v>December</v>
      </c>
      <c r="T31">
        <f t="shared" ca="1" si="8"/>
        <v>2018</v>
      </c>
      <c r="U31" t="s">
        <v>562</v>
      </c>
      <c r="V31" t="s">
        <v>565</v>
      </c>
      <c r="W31" t="str">
        <f t="shared" si="9"/>
        <v>No options</v>
      </c>
      <c r="X31" s="110" t="s">
        <v>570</v>
      </c>
      <c r="Y31" s="110"/>
      <c r="Z31" t="str">
        <f t="shared" ca="1" si="10"/>
        <v>Expiring &lt; 6 Months</v>
      </c>
      <c r="AA31">
        <f t="shared" ca="1" si="11"/>
        <v>1</v>
      </c>
      <c r="AB31">
        <f t="shared" ca="1" si="12"/>
        <v>0</v>
      </c>
      <c r="AC31">
        <f t="shared" ca="1" si="13"/>
        <v>1</v>
      </c>
      <c r="AD31" t="str">
        <f t="shared" si="14"/>
        <v>Reaching Spending Limit</v>
      </c>
    </row>
    <row r="32" spans="1:30" hidden="1">
      <c r="A32" s="48" t="str">
        <f>TEXT(Table2[[#This Row],[MB END]],"mmmm")</f>
        <v>December</v>
      </c>
      <c r="B32" s="48" t="str">
        <f>TEXT(Table2[[#This Row],[MB END]],"yyyy")</f>
        <v>2017</v>
      </c>
      <c r="C32" s="117" t="s">
        <v>288</v>
      </c>
      <c r="D32" s="1" t="s">
        <v>7</v>
      </c>
      <c r="E32" s="2">
        <v>41990</v>
      </c>
      <c r="F32" s="28">
        <v>43085</v>
      </c>
      <c r="G32" s="1" t="s">
        <v>289</v>
      </c>
      <c r="H32" s="1" t="s">
        <v>66</v>
      </c>
      <c r="I32" s="5">
        <v>45000</v>
      </c>
      <c r="J32" s="5">
        <v>0</v>
      </c>
      <c r="K32" s="19">
        <f t="shared" si="0"/>
        <v>0</v>
      </c>
      <c r="L32" s="16">
        <f t="shared" si="1"/>
        <v>35.966666666666669</v>
      </c>
      <c r="M32" s="19">
        <f t="shared" si="2"/>
        <v>2.7803521779425393E-2</v>
      </c>
      <c r="N32" s="16">
        <f t="shared" ca="1" si="3"/>
        <v>35.9</v>
      </c>
      <c r="O32" s="19">
        <f t="shared" ca="1" si="4"/>
        <v>0</v>
      </c>
      <c r="P32" t="str">
        <f t="shared" ca="1" si="5"/>
        <v>Desired Burn Rate</v>
      </c>
      <c r="Q32" s="16" t="e">
        <f t="shared" ca="1" si="6"/>
        <v>#DIV/0!</v>
      </c>
      <c r="R32" s="14" t="e">
        <f t="shared" ca="1" si="7"/>
        <v>#DIV/0!</v>
      </c>
      <c r="S32" t="e">
        <f ca="1">TEXT(Table2[[#This Row],[Projected Limit Date]],"mmmm")</f>
        <v>#DIV/0!</v>
      </c>
      <c r="T32" t="e">
        <f t="shared" ca="1" si="8"/>
        <v>#DIV/0!</v>
      </c>
      <c r="U32" t="s">
        <v>562</v>
      </c>
      <c r="V32" t="s">
        <v>654</v>
      </c>
      <c r="W32" t="str">
        <f t="shared" si="9"/>
        <v>Options</v>
      </c>
      <c r="X32" s="120" t="s">
        <v>901</v>
      </c>
      <c r="Y32" s="110"/>
      <c r="Z32" t="str">
        <f t="shared" ca="1" si="10"/>
        <v>Expiring &lt; 6 Months</v>
      </c>
      <c r="AA32">
        <f t="shared" ca="1" si="11"/>
        <v>1</v>
      </c>
      <c r="AB32">
        <f t="shared" ca="1" si="12"/>
        <v>0</v>
      </c>
      <c r="AC32">
        <f t="shared" ca="1" si="13"/>
        <v>0</v>
      </c>
      <c r="AD32" t="str">
        <f t="shared" si="14"/>
        <v>Safe</v>
      </c>
    </row>
    <row r="33" spans="1:30" hidden="1">
      <c r="A33" s="48" t="str">
        <f>TEXT(Table2[[#This Row],[MB END]],"mmmm")</f>
        <v>December</v>
      </c>
      <c r="B33" s="48" t="str">
        <f>TEXT(Table2[[#This Row],[MB END]],"yyyy")</f>
        <v>2017</v>
      </c>
      <c r="C33" s="116" t="s">
        <v>652</v>
      </c>
      <c r="D33" s="27" t="s">
        <v>7</v>
      </c>
      <c r="E33" s="28">
        <v>42004</v>
      </c>
      <c r="F33" s="28">
        <v>43099</v>
      </c>
      <c r="G33" s="27" t="s">
        <v>653</v>
      </c>
      <c r="H33" s="27" t="s">
        <v>629</v>
      </c>
      <c r="I33" s="5">
        <v>2000000</v>
      </c>
      <c r="J33" s="5">
        <v>1154132.06</v>
      </c>
      <c r="K33" s="29">
        <f t="shared" si="0"/>
        <v>0.57706603000000001</v>
      </c>
      <c r="L33" s="23">
        <f t="shared" si="1"/>
        <v>36</v>
      </c>
      <c r="M33" s="30">
        <f t="shared" si="2"/>
        <v>2.7777777777777776E-2</v>
      </c>
      <c r="N33" s="24">
        <f t="shared" ca="1" si="3"/>
        <v>35.466666666666669</v>
      </c>
      <c r="O33" s="30">
        <f t="shared" ca="1" si="4"/>
        <v>1.6270658740601504E-2</v>
      </c>
      <c r="P33" s="26" t="str">
        <f t="shared" ca="1" si="5"/>
        <v>Desired Burn Rate</v>
      </c>
      <c r="Q33" s="24">
        <f t="shared" ca="1" si="6"/>
        <v>61.460326588045163</v>
      </c>
      <c r="R33" s="25">
        <f t="shared" ca="1" si="7"/>
        <v>43861</v>
      </c>
      <c r="S33" s="26" t="str">
        <f ca="1">TEXT(Table2[[#This Row],[Projected Limit Date]],"mmmm")</f>
        <v>January</v>
      </c>
      <c r="T33" s="26">
        <f t="shared" ca="1" si="8"/>
        <v>2020</v>
      </c>
      <c r="U33" s="31" t="s">
        <v>562</v>
      </c>
      <c r="V33" s="31" t="s">
        <v>654</v>
      </c>
      <c r="W33" s="32" t="str">
        <f t="shared" si="9"/>
        <v>Options</v>
      </c>
      <c r="X33" s="31" t="s">
        <v>902</v>
      </c>
      <c r="Y33" s="31"/>
      <c r="Z33" t="str">
        <f t="shared" ca="1" si="10"/>
        <v>Expiring &lt; 6 Months</v>
      </c>
      <c r="AA33">
        <f t="shared" ca="1" si="11"/>
        <v>1</v>
      </c>
      <c r="AB33">
        <f t="shared" ca="1" si="12"/>
        <v>0</v>
      </c>
      <c r="AC33">
        <f t="shared" ca="1" si="13"/>
        <v>0</v>
      </c>
      <c r="AD33" t="str">
        <f t="shared" si="14"/>
        <v>Safe</v>
      </c>
    </row>
    <row r="34" spans="1:30" hidden="1">
      <c r="A34" s="106" t="str">
        <f>TEXT(Table2[[#This Row],[MB END]],"mmmm")</f>
        <v>December</v>
      </c>
      <c r="B34" s="106" t="str">
        <f>TEXT(Table2[[#This Row],[MB END]],"yyyy")</f>
        <v>2017</v>
      </c>
      <c r="C34" s="117" t="s">
        <v>836</v>
      </c>
      <c r="D34" s="1" t="s">
        <v>58</v>
      </c>
      <c r="E34" s="2">
        <v>42991</v>
      </c>
      <c r="F34" s="28">
        <v>43100</v>
      </c>
      <c r="G34" s="1" t="s">
        <v>837</v>
      </c>
      <c r="H34" s="1" t="s">
        <v>838</v>
      </c>
      <c r="I34" s="5">
        <v>4990</v>
      </c>
      <c r="J34" s="5">
        <v>0</v>
      </c>
      <c r="K34" s="19">
        <f t="shared" si="0"/>
        <v>0</v>
      </c>
      <c r="L34" s="16">
        <f t="shared" si="1"/>
        <v>3.6</v>
      </c>
      <c r="M34" s="105">
        <f t="shared" si="2"/>
        <v>0.27777777777777779</v>
      </c>
      <c r="N34" s="16">
        <f t="shared" ca="1" si="3"/>
        <v>3.0333333333333332</v>
      </c>
      <c r="O34" s="105">
        <f t="shared" ca="1" si="4"/>
        <v>0</v>
      </c>
      <c r="P34" s="102" t="str">
        <f t="shared" ca="1" si="5"/>
        <v>Desired Burn Rate</v>
      </c>
      <c r="Q34" s="16" t="e">
        <f t="shared" ca="1" si="6"/>
        <v>#DIV/0!</v>
      </c>
      <c r="R34" s="14" t="e">
        <f t="shared" ca="1" si="7"/>
        <v>#DIV/0!</v>
      </c>
      <c r="S34" s="102" t="e">
        <f ca="1">TEXT(Table2[[#This Row],[Projected Limit Date]],"mmmm")</f>
        <v>#DIV/0!</v>
      </c>
      <c r="T34" s="102" t="e">
        <f t="shared" ca="1" si="8"/>
        <v>#DIV/0!</v>
      </c>
      <c r="U34" s="102" t="s">
        <v>562</v>
      </c>
      <c r="V34" s="102" t="s">
        <v>565</v>
      </c>
      <c r="W34" s="102" t="str">
        <f t="shared" si="9"/>
        <v>No options</v>
      </c>
      <c r="X34" s="112" t="s">
        <v>887</v>
      </c>
      <c r="Y34" s="112"/>
      <c r="Z34" s="102" t="str">
        <f t="shared" ca="1" si="10"/>
        <v>Expiring &lt; 6 Months</v>
      </c>
      <c r="AA34" s="102">
        <f t="shared" ca="1" si="11"/>
        <v>1</v>
      </c>
      <c r="AB34" s="102">
        <f t="shared" ca="1" si="12"/>
        <v>0</v>
      </c>
      <c r="AC34" s="102">
        <f t="shared" ca="1" si="13"/>
        <v>1</v>
      </c>
      <c r="AD34" s="102" t="str">
        <f t="shared" si="14"/>
        <v>Safe</v>
      </c>
    </row>
    <row r="35" spans="1:30" hidden="1">
      <c r="A35" s="48" t="str">
        <f>TEXT(Table2[[#This Row],[MB END]],"mmmm")</f>
        <v>December</v>
      </c>
      <c r="B35" s="48" t="str">
        <f>TEXT(Table2[[#This Row],[MB END]],"yyyy")</f>
        <v>2017</v>
      </c>
      <c r="C35" s="117" t="s">
        <v>490</v>
      </c>
      <c r="D35" s="1" t="s">
        <v>48</v>
      </c>
      <c r="E35" s="2">
        <v>42767</v>
      </c>
      <c r="F35" s="28">
        <v>43100</v>
      </c>
      <c r="G35" s="1" t="s">
        <v>491</v>
      </c>
      <c r="H35" s="1" t="s">
        <v>492</v>
      </c>
      <c r="I35" s="5">
        <v>734100</v>
      </c>
      <c r="J35" s="5">
        <v>533888.72</v>
      </c>
      <c r="K35" s="19">
        <f t="shared" si="0"/>
        <v>0.7272697452663125</v>
      </c>
      <c r="L35" s="16">
        <f t="shared" si="1"/>
        <v>11</v>
      </c>
      <c r="M35" s="19">
        <f t="shared" si="2"/>
        <v>9.0909090909090898E-2</v>
      </c>
      <c r="N35" s="16">
        <f t="shared" ca="1" si="3"/>
        <v>10.433333333333334</v>
      </c>
      <c r="O35" s="19">
        <f t="shared" ca="1" si="4"/>
        <v>6.9706365360988412E-2</v>
      </c>
      <c r="P35" t="str">
        <f t="shared" ca="1" si="5"/>
        <v>Desired Burn Rate</v>
      </c>
      <c r="Q35" s="16">
        <f t="shared" ca="1" si="6"/>
        <v>14.345892155204179</v>
      </c>
      <c r="R35" s="14">
        <f t="shared" ca="1" si="7"/>
        <v>43191</v>
      </c>
      <c r="S35" t="str">
        <f ca="1">TEXT(Table2[[#This Row],[Projected Limit Date]],"mmmm")</f>
        <v>April</v>
      </c>
      <c r="T35">
        <f t="shared" ca="1" si="8"/>
        <v>2018</v>
      </c>
      <c r="U35" t="s">
        <v>563</v>
      </c>
      <c r="V35" t="s">
        <v>565</v>
      </c>
      <c r="W35" t="str">
        <f t="shared" si="9"/>
        <v>No options</v>
      </c>
      <c r="X35" s="110" t="s">
        <v>875</v>
      </c>
      <c r="Y35" s="110"/>
      <c r="Z35" t="str">
        <f t="shared" ca="1" si="10"/>
        <v>Expiring &lt; 6 Months</v>
      </c>
      <c r="AA35">
        <f t="shared" ca="1" si="11"/>
        <v>1</v>
      </c>
      <c r="AB35">
        <f t="shared" ca="1" si="12"/>
        <v>0</v>
      </c>
      <c r="AC35">
        <f t="shared" ca="1" si="13"/>
        <v>1</v>
      </c>
      <c r="AD35" t="str">
        <f t="shared" si="14"/>
        <v>Safe</v>
      </c>
    </row>
    <row r="36" spans="1:30" hidden="1">
      <c r="A36" s="48" t="str">
        <f>TEXT(Table2[[#This Row],[MB END]],"mmmm")</f>
        <v>December</v>
      </c>
      <c r="B36" s="48" t="str">
        <f>TEXT(Table2[[#This Row],[MB END]],"yyyy")</f>
        <v>2017</v>
      </c>
      <c r="C36" s="117" t="s">
        <v>493</v>
      </c>
      <c r="D36" s="1" t="s">
        <v>48</v>
      </c>
      <c r="E36" s="2">
        <v>42767</v>
      </c>
      <c r="F36" s="28">
        <v>43100</v>
      </c>
      <c r="G36" s="1" t="s">
        <v>494</v>
      </c>
      <c r="H36" s="1" t="s">
        <v>492</v>
      </c>
      <c r="I36" s="5">
        <v>950000</v>
      </c>
      <c r="J36" s="5">
        <v>633669.84</v>
      </c>
      <c r="K36" s="19">
        <f t="shared" si="0"/>
        <v>0.6670208842105263</v>
      </c>
      <c r="L36" s="16">
        <f t="shared" si="1"/>
        <v>11</v>
      </c>
      <c r="M36" s="19">
        <f t="shared" si="2"/>
        <v>9.0909090909090912E-2</v>
      </c>
      <c r="N36" s="16">
        <f t="shared" ca="1" si="3"/>
        <v>10.433333333333334</v>
      </c>
      <c r="O36" s="19">
        <f t="shared" ca="1" si="4"/>
        <v>6.3931714141583995E-2</v>
      </c>
      <c r="P36" t="str">
        <f t="shared" ca="1" si="5"/>
        <v>Desired Burn Rate</v>
      </c>
      <c r="Q36" s="16">
        <f t="shared" ca="1" si="6"/>
        <v>15.641689158926464</v>
      </c>
      <c r="R36" s="14">
        <f t="shared" ca="1" si="7"/>
        <v>43221</v>
      </c>
      <c r="S36" t="str">
        <f ca="1">TEXT(Table2[[#This Row],[Projected Limit Date]],"mmmm")</f>
        <v>May</v>
      </c>
      <c r="T36">
        <f t="shared" ca="1" si="8"/>
        <v>2018</v>
      </c>
      <c r="U36" t="s">
        <v>563</v>
      </c>
      <c r="V36" t="s">
        <v>565</v>
      </c>
      <c r="W36" t="str">
        <f t="shared" si="9"/>
        <v>No options</v>
      </c>
      <c r="X36" s="110" t="s">
        <v>875</v>
      </c>
      <c r="Y36" s="110"/>
      <c r="Z36" t="str">
        <f t="shared" ca="1" si="10"/>
        <v>Expiring &lt; 6 Months</v>
      </c>
      <c r="AA36">
        <f t="shared" ca="1" si="11"/>
        <v>1</v>
      </c>
      <c r="AB36">
        <f t="shared" ca="1" si="12"/>
        <v>0</v>
      </c>
      <c r="AC36">
        <f t="shared" ca="1" si="13"/>
        <v>1</v>
      </c>
      <c r="AD36" t="str">
        <f t="shared" si="14"/>
        <v>Safe</v>
      </c>
    </row>
    <row r="37" spans="1:30" hidden="1">
      <c r="A37" s="48" t="str">
        <f>TEXT(Table2[[#This Row],[MB END]],"mmmm")</f>
        <v>December</v>
      </c>
      <c r="B37" s="48" t="str">
        <f>TEXT(Table2[[#This Row],[MB END]],"yyyy")</f>
        <v>2017</v>
      </c>
      <c r="C37" s="117" t="s">
        <v>86</v>
      </c>
      <c r="D37" s="1" t="s">
        <v>24</v>
      </c>
      <c r="E37" s="2">
        <v>41275</v>
      </c>
      <c r="F37" s="28">
        <v>43100</v>
      </c>
      <c r="G37" s="1" t="s">
        <v>87</v>
      </c>
      <c r="H37" s="1" t="s">
        <v>88</v>
      </c>
      <c r="I37" s="5">
        <v>575000</v>
      </c>
      <c r="J37" s="5">
        <v>506531.86</v>
      </c>
      <c r="K37" s="19">
        <f t="shared" si="0"/>
        <v>0.88092497391304347</v>
      </c>
      <c r="L37" s="16">
        <f t="shared" si="1"/>
        <v>60</v>
      </c>
      <c r="M37" s="19">
        <f t="shared" si="2"/>
        <v>1.6666666666666666E-2</v>
      </c>
      <c r="N37" s="16">
        <f t="shared" ca="1" si="3"/>
        <v>59.43333333333333</v>
      </c>
      <c r="O37" s="19">
        <f t="shared" ca="1" si="4"/>
        <v>1.4822069106781438E-2</v>
      </c>
      <c r="P37" t="str">
        <f t="shared" ca="1" si="5"/>
        <v>Desired Burn Rate</v>
      </c>
      <c r="Q37" s="16">
        <f t="shared" ca="1" si="6"/>
        <v>67.466963808883946</v>
      </c>
      <c r="R37" s="14">
        <f t="shared" ca="1" si="7"/>
        <v>43313</v>
      </c>
      <c r="S37" t="str">
        <f ca="1">TEXT(Table2[[#This Row],[Projected Limit Date]],"mmmm")</f>
        <v>August</v>
      </c>
      <c r="T37">
        <f t="shared" ca="1" si="8"/>
        <v>2019</v>
      </c>
      <c r="U37" t="s">
        <v>562</v>
      </c>
      <c r="V37" t="s">
        <v>565</v>
      </c>
      <c r="W37" t="str">
        <f t="shared" si="9"/>
        <v>No options</v>
      </c>
      <c r="X37" s="110" t="s">
        <v>917</v>
      </c>
      <c r="Y37" s="110"/>
      <c r="Z37" t="str">
        <f t="shared" ca="1" si="10"/>
        <v>Expiring &lt; 6 Months</v>
      </c>
      <c r="AA37">
        <f t="shared" ca="1" si="11"/>
        <v>1</v>
      </c>
      <c r="AB37">
        <f t="shared" ca="1" si="12"/>
        <v>0</v>
      </c>
      <c r="AC37">
        <f t="shared" ca="1" si="13"/>
        <v>1</v>
      </c>
      <c r="AD37" t="str">
        <f t="shared" si="14"/>
        <v>Reaching Spending Limit</v>
      </c>
    </row>
    <row r="38" spans="1:30" hidden="1">
      <c r="A38" s="48" t="str">
        <f>TEXT(Table2[[#This Row],[MB END]],"mmmm")</f>
        <v>December</v>
      </c>
      <c r="B38" s="48" t="str">
        <f>TEXT(Table2[[#This Row],[MB END]],"yyyy")</f>
        <v>2017</v>
      </c>
      <c r="C38" s="117" t="s">
        <v>293</v>
      </c>
      <c r="D38" s="1" t="s">
        <v>136</v>
      </c>
      <c r="E38" s="2">
        <v>42005</v>
      </c>
      <c r="F38" s="28">
        <v>43100</v>
      </c>
      <c r="G38" s="1" t="s">
        <v>294</v>
      </c>
      <c r="H38" s="1" t="s">
        <v>295</v>
      </c>
      <c r="I38" s="5">
        <v>200000</v>
      </c>
      <c r="J38" s="5">
        <v>518.75</v>
      </c>
      <c r="K38" s="19">
        <f t="shared" si="0"/>
        <v>2.5937500000000001E-3</v>
      </c>
      <c r="L38" s="16">
        <f t="shared" si="1"/>
        <v>36</v>
      </c>
      <c r="M38" s="19">
        <f t="shared" si="2"/>
        <v>2.777777777777778E-2</v>
      </c>
      <c r="N38" s="16">
        <f t="shared" ca="1" si="3"/>
        <v>35.43333333333333</v>
      </c>
      <c r="O38" s="19">
        <f t="shared" ca="1" si="4"/>
        <v>7.3200846660395117E-5</v>
      </c>
      <c r="P38" t="str">
        <f t="shared" ca="1" si="5"/>
        <v>Desired Burn Rate</v>
      </c>
      <c r="Q38" s="16">
        <f t="shared" ca="1" si="6"/>
        <v>13661.044176706826</v>
      </c>
      <c r="R38" s="14">
        <f t="shared" ca="1" si="7"/>
        <v>457802</v>
      </c>
      <c r="S38" t="str">
        <f ca="1">TEXT(Table2[[#This Row],[Projected Limit Date]],"mmmm")</f>
        <v>June</v>
      </c>
      <c r="T38">
        <f t="shared" ca="1" si="8"/>
        <v>3153</v>
      </c>
      <c r="U38" t="s">
        <v>562</v>
      </c>
      <c r="V38" t="s">
        <v>749</v>
      </c>
      <c r="W38" t="str">
        <f t="shared" si="9"/>
        <v>Options</v>
      </c>
      <c r="X38" s="110" t="s">
        <v>811</v>
      </c>
      <c r="Y38" s="110"/>
      <c r="Z38" t="str">
        <f t="shared" ca="1" si="10"/>
        <v>Expiring &lt; 6 Months</v>
      </c>
      <c r="AA38">
        <f t="shared" ca="1" si="11"/>
        <v>1</v>
      </c>
      <c r="AB38">
        <f t="shared" ca="1" si="12"/>
        <v>0</v>
      </c>
      <c r="AC38">
        <f t="shared" ca="1" si="13"/>
        <v>0</v>
      </c>
      <c r="AD38" t="str">
        <f t="shared" si="14"/>
        <v>Safe</v>
      </c>
    </row>
    <row r="39" spans="1:30" hidden="1">
      <c r="A39" s="48" t="str">
        <f>TEXT(Table2[[#This Row],[MB END]],"mmmm")</f>
        <v>December</v>
      </c>
      <c r="B39" s="48" t="str">
        <f>TEXT(Table2[[#This Row],[MB END]],"yyyy")</f>
        <v>2017</v>
      </c>
      <c r="C39" s="117" t="s">
        <v>296</v>
      </c>
      <c r="D39" s="1" t="s">
        <v>136</v>
      </c>
      <c r="E39" s="2">
        <v>42005</v>
      </c>
      <c r="F39" s="28">
        <v>43100</v>
      </c>
      <c r="G39" s="1" t="s">
        <v>294</v>
      </c>
      <c r="H39" s="1" t="s">
        <v>297</v>
      </c>
      <c r="I39" s="5">
        <v>800000</v>
      </c>
      <c r="J39" s="5">
        <v>572701.49</v>
      </c>
      <c r="K39" s="19">
        <f t="shared" si="0"/>
        <v>0.71587686249999993</v>
      </c>
      <c r="L39" s="16">
        <f t="shared" si="1"/>
        <v>36</v>
      </c>
      <c r="M39" s="19">
        <f t="shared" si="2"/>
        <v>2.777777777777778E-2</v>
      </c>
      <c r="N39" s="16">
        <f t="shared" ca="1" si="3"/>
        <v>35.43333333333333</v>
      </c>
      <c r="O39" s="19">
        <f t="shared" ca="1" si="4"/>
        <v>2.0203486241768581E-2</v>
      </c>
      <c r="P39" t="str">
        <f t="shared" ca="1" si="5"/>
        <v>Desired Burn Rate</v>
      </c>
      <c r="Q39" s="16">
        <f t="shared" ca="1" si="6"/>
        <v>49.496408096767247</v>
      </c>
      <c r="R39" s="14">
        <f t="shared" ca="1" si="7"/>
        <v>43497</v>
      </c>
      <c r="S39" t="str">
        <f ca="1">TEXT(Table2[[#This Row],[Projected Limit Date]],"mmmm")</f>
        <v>February</v>
      </c>
      <c r="T39">
        <f t="shared" ca="1" si="8"/>
        <v>2019</v>
      </c>
      <c r="U39" t="s">
        <v>562</v>
      </c>
      <c r="V39" t="s">
        <v>773</v>
      </c>
      <c r="W39" t="str">
        <f t="shared" si="9"/>
        <v>Options</v>
      </c>
      <c r="X39" s="110" t="s">
        <v>811</v>
      </c>
      <c r="Y39" s="110"/>
      <c r="Z39" t="str">
        <f t="shared" ca="1" si="10"/>
        <v>Expiring &lt; 6 Months</v>
      </c>
      <c r="AA39">
        <f t="shared" ca="1" si="11"/>
        <v>1</v>
      </c>
      <c r="AB39">
        <f t="shared" ca="1" si="12"/>
        <v>0</v>
      </c>
      <c r="AC39">
        <f t="shared" ca="1" si="13"/>
        <v>0</v>
      </c>
      <c r="AD39" t="str">
        <f t="shared" si="14"/>
        <v>Safe</v>
      </c>
    </row>
    <row r="40" spans="1:30" hidden="1">
      <c r="A40" s="48" t="str">
        <f>TEXT(Table2[[#This Row],[MB END]],"mmmm")</f>
        <v>December</v>
      </c>
      <c r="B40" s="48" t="str">
        <f>TEXT(Table2[[#This Row],[MB END]],"yyyy")</f>
        <v>2017</v>
      </c>
      <c r="C40" s="117" t="s">
        <v>498</v>
      </c>
      <c r="D40" s="1" t="s">
        <v>48</v>
      </c>
      <c r="E40" s="2">
        <v>42767</v>
      </c>
      <c r="F40" s="28">
        <v>43100</v>
      </c>
      <c r="G40" s="1" t="s">
        <v>499</v>
      </c>
      <c r="H40" s="1" t="s">
        <v>492</v>
      </c>
      <c r="I40" s="5">
        <v>555428</v>
      </c>
      <c r="J40" s="5">
        <v>370519.2</v>
      </c>
      <c r="K40" s="19">
        <f t="shared" si="0"/>
        <v>0.66708772334127919</v>
      </c>
      <c r="L40" s="16">
        <f t="shared" si="1"/>
        <v>11</v>
      </c>
      <c r="M40" s="19">
        <f t="shared" si="2"/>
        <v>9.0909090909090912E-2</v>
      </c>
      <c r="N40" s="16">
        <f t="shared" ca="1" si="3"/>
        <v>10.433333333333334</v>
      </c>
      <c r="O40" s="19">
        <f t="shared" ca="1" si="4"/>
        <v>6.3938120448045921E-2</v>
      </c>
      <c r="P40" t="str">
        <f t="shared" ca="1" si="5"/>
        <v>Desired Burn Rate</v>
      </c>
      <c r="Q40" s="16">
        <f t="shared" ca="1" si="6"/>
        <v>15.640121933402282</v>
      </c>
      <c r="R40" s="14">
        <f t="shared" ca="1" si="7"/>
        <v>43221</v>
      </c>
      <c r="S40" t="str">
        <f ca="1">TEXT(Table2[[#This Row],[Projected Limit Date]],"mmmm")</f>
        <v>May</v>
      </c>
      <c r="T40">
        <f t="shared" ca="1" si="8"/>
        <v>2018</v>
      </c>
      <c r="U40" t="s">
        <v>563</v>
      </c>
      <c r="V40" t="s">
        <v>565</v>
      </c>
      <c r="W40" t="str">
        <f t="shared" si="9"/>
        <v>No options</v>
      </c>
      <c r="X40" s="110" t="s">
        <v>875</v>
      </c>
      <c r="Y40" s="110"/>
      <c r="Z40" t="str">
        <f t="shared" ca="1" si="10"/>
        <v>Expiring &lt; 6 Months</v>
      </c>
      <c r="AA40">
        <f t="shared" ca="1" si="11"/>
        <v>1</v>
      </c>
      <c r="AB40">
        <f t="shared" ca="1" si="12"/>
        <v>0</v>
      </c>
      <c r="AC40">
        <f t="shared" ca="1" si="13"/>
        <v>1</v>
      </c>
      <c r="AD40" t="str">
        <f t="shared" si="14"/>
        <v>Safe</v>
      </c>
    </row>
    <row r="41" spans="1:30" hidden="1">
      <c r="A41" s="48" t="str">
        <f>TEXT(Table2[[#This Row],[MB END]],"mmmm")</f>
        <v>January</v>
      </c>
      <c r="B41" s="48" t="str">
        <f>TEXT(Table2[[#This Row],[MB END]],"yyyy")</f>
        <v>2018</v>
      </c>
      <c r="C41" s="117" t="s">
        <v>488</v>
      </c>
      <c r="D41" s="1" t="s">
        <v>58</v>
      </c>
      <c r="E41" s="2">
        <v>42746</v>
      </c>
      <c r="F41" s="28">
        <v>43110</v>
      </c>
      <c r="G41" s="1" t="s">
        <v>489</v>
      </c>
      <c r="H41" s="1" t="s">
        <v>66</v>
      </c>
      <c r="I41" s="5">
        <v>311320</v>
      </c>
      <c r="J41" s="5">
        <v>311320</v>
      </c>
      <c r="K41" s="19">
        <f t="shared" si="0"/>
        <v>1</v>
      </c>
      <c r="L41" s="16">
        <f t="shared" si="1"/>
        <v>11.966666666666667</v>
      </c>
      <c r="M41" s="19">
        <f t="shared" si="2"/>
        <v>8.3565459610027856E-2</v>
      </c>
      <c r="N41" s="16">
        <f t="shared" ca="1" si="3"/>
        <v>11.1</v>
      </c>
      <c r="O41" s="19">
        <f t="shared" ca="1" si="4"/>
        <v>9.00900900900901E-2</v>
      </c>
      <c r="P41" t="str">
        <f t="shared" ca="1" si="5"/>
        <v>High Burn Rate</v>
      </c>
      <c r="Q41" s="16">
        <f t="shared" ca="1" si="6"/>
        <v>11.1</v>
      </c>
      <c r="R41" s="14">
        <f t="shared" ca="1" si="7"/>
        <v>43080</v>
      </c>
      <c r="S41" t="str">
        <f ca="1">TEXT(Table2[[#This Row],[Projected Limit Date]],"mmmm")</f>
        <v>December</v>
      </c>
      <c r="T41">
        <f t="shared" ca="1" si="8"/>
        <v>2018</v>
      </c>
      <c r="U41" t="s">
        <v>562</v>
      </c>
      <c r="V41" t="s">
        <v>565</v>
      </c>
      <c r="W41" t="str">
        <f t="shared" si="9"/>
        <v>No options</v>
      </c>
      <c r="X41" t="s">
        <v>570</v>
      </c>
      <c r="Z41" t="str">
        <f t="shared" ca="1" si="10"/>
        <v>Expiring &lt; 6 Months</v>
      </c>
      <c r="AA41">
        <f t="shared" ca="1" si="11"/>
        <v>1</v>
      </c>
      <c r="AB41">
        <f t="shared" ca="1" si="12"/>
        <v>0</v>
      </c>
      <c r="AC41">
        <f t="shared" ca="1" si="13"/>
        <v>1</v>
      </c>
      <c r="AD41" t="str">
        <f t="shared" si="14"/>
        <v>Reaching Spending Limit</v>
      </c>
    </row>
    <row r="42" spans="1:30" hidden="1">
      <c r="A42" s="48" t="str">
        <f>TEXT(Table2[[#This Row],[MB END]],"mmmm")</f>
        <v>January</v>
      </c>
      <c r="B42" s="48" t="str">
        <f>TEXT(Table2[[#This Row],[MB END]],"yyyy")</f>
        <v>2019</v>
      </c>
      <c r="C42" s="117" t="s">
        <v>476</v>
      </c>
      <c r="D42" s="1" t="s">
        <v>7</v>
      </c>
      <c r="E42" s="2">
        <v>42746</v>
      </c>
      <c r="F42" s="28">
        <v>43475</v>
      </c>
      <c r="G42" s="1" t="s">
        <v>477</v>
      </c>
      <c r="H42" s="1" t="s">
        <v>478</v>
      </c>
      <c r="I42" s="5">
        <v>15000</v>
      </c>
      <c r="J42" s="5">
        <v>1635</v>
      </c>
      <c r="K42" s="19">
        <f t="shared" si="0"/>
        <v>0.109</v>
      </c>
      <c r="L42" s="16">
        <f t="shared" si="1"/>
        <v>23.966666666666665</v>
      </c>
      <c r="M42" s="19">
        <f t="shared" si="2"/>
        <v>4.1724617524339369E-2</v>
      </c>
      <c r="N42" s="16">
        <f t="shared" ca="1" si="3"/>
        <v>11.1</v>
      </c>
      <c r="O42" s="19">
        <f t="shared" ca="1" si="4"/>
        <v>9.8198198198198201E-3</v>
      </c>
      <c r="P42" t="str">
        <f t="shared" ca="1" si="5"/>
        <v>Desired Burn Rate</v>
      </c>
      <c r="Q42" s="16">
        <f t="shared" ca="1" si="6"/>
        <v>101.8348623853211</v>
      </c>
      <c r="R42" s="14">
        <f t="shared" ca="1" si="7"/>
        <v>45819</v>
      </c>
      <c r="S42" t="str">
        <f ca="1">TEXT(Table2[[#This Row],[Projected Limit Date]],"mmmm")</f>
        <v>June</v>
      </c>
      <c r="T42">
        <f t="shared" ca="1" si="8"/>
        <v>2025</v>
      </c>
      <c r="U42" t="s">
        <v>562</v>
      </c>
      <c r="V42" t="s">
        <v>569</v>
      </c>
      <c r="W42" t="str">
        <f t="shared" si="9"/>
        <v>Options</v>
      </c>
      <c r="X42" s="31" t="s">
        <v>903</v>
      </c>
      <c r="Z42" t="str">
        <f t="shared" ca="1" si="10"/>
        <v>Expiring &gt; 6 Months</v>
      </c>
      <c r="AA42">
        <f t="shared" ca="1" si="11"/>
        <v>0</v>
      </c>
      <c r="AB42">
        <f t="shared" ca="1" si="12"/>
        <v>0</v>
      </c>
      <c r="AC42">
        <f t="shared" ca="1" si="13"/>
        <v>0</v>
      </c>
      <c r="AD42" t="str">
        <f t="shared" si="14"/>
        <v>Safe</v>
      </c>
    </row>
    <row r="43" spans="1:30" hidden="1">
      <c r="A43" s="48" t="str">
        <f>TEXT(Table2[[#This Row],[MB END]],"mmmm")</f>
        <v>January</v>
      </c>
      <c r="B43" s="48" t="str">
        <f>TEXT(Table2[[#This Row],[MB END]],"yyyy")</f>
        <v>2019</v>
      </c>
      <c r="C43" s="117" t="s">
        <v>151</v>
      </c>
      <c r="D43" s="1" t="s">
        <v>7</v>
      </c>
      <c r="E43" s="2">
        <v>41744</v>
      </c>
      <c r="F43" s="28">
        <v>43479</v>
      </c>
      <c r="G43" s="1" t="s">
        <v>152</v>
      </c>
      <c r="H43" s="1" t="s">
        <v>153</v>
      </c>
      <c r="I43" s="5">
        <v>24000</v>
      </c>
      <c r="J43" s="5">
        <v>2694.12</v>
      </c>
      <c r="K43" s="19">
        <f t="shared" si="0"/>
        <v>0.11225499999999999</v>
      </c>
      <c r="L43" s="16">
        <f t="shared" si="1"/>
        <v>56.966666666666669</v>
      </c>
      <c r="M43" s="19">
        <f t="shared" si="2"/>
        <v>1.7554125219426564E-2</v>
      </c>
      <c r="N43" s="16">
        <f t="shared" ca="1" si="3"/>
        <v>43.966666666666669</v>
      </c>
      <c r="O43" s="19">
        <f t="shared" ca="1" si="4"/>
        <v>2.5531842304776344E-3</v>
      </c>
      <c r="P43" t="str">
        <f t="shared" ca="1" si="5"/>
        <v>Desired Burn Rate</v>
      </c>
      <c r="Q43" s="16">
        <f t="shared" ca="1" si="6"/>
        <v>391.66778020281208</v>
      </c>
      <c r="R43" s="14">
        <f t="shared" ca="1" si="7"/>
        <v>53646</v>
      </c>
      <c r="S43" t="str">
        <f ca="1">TEXT(Table2[[#This Row],[Projected Limit Date]],"mmmm")</f>
        <v>November</v>
      </c>
      <c r="T43">
        <f t="shared" ca="1" si="8"/>
        <v>2047</v>
      </c>
      <c r="U43" t="s">
        <v>562</v>
      </c>
      <c r="V43" s="128" t="s">
        <v>565</v>
      </c>
      <c r="W43" t="str">
        <f t="shared" si="9"/>
        <v>No options</v>
      </c>
      <c r="X43" s="31" t="s">
        <v>904</v>
      </c>
      <c r="Z43" t="str">
        <f t="shared" ca="1" si="10"/>
        <v>Expiring &gt; 6 Months</v>
      </c>
      <c r="AA43">
        <f t="shared" ca="1" si="11"/>
        <v>0</v>
      </c>
      <c r="AB43">
        <f t="shared" ca="1" si="12"/>
        <v>0</v>
      </c>
      <c r="AC43">
        <f t="shared" ca="1" si="13"/>
        <v>0</v>
      </c>
      <c r="AD43" t="str">
        <f t="shared" si="14"/>
        <v>Safe</v>
      </c>
    </row>
    <row r="44" spans="1:30" hidden="1">
      <c r="A44" s="48" t="str">
        <f>TEXT(Table2[[#This Row],[MB END]],"mmmm")</f>
        <v>January</v>
      </c>
      <c r="B44" s="48" t="str">
        <f>TEXT(Table2[[#This Row],[MB END]],"yyyy")</f>
        <v>2018</v>
      </c>
      <c r="C44" s="117" t="s">
        <v>495</v>
      </c>
      <c r="D44" s="1" t="s">
        <v>58</v>
      </c>
      <c r="E44" s="2">
        <v>42753</v>
      </c>
      <c r="F44" s="28">
        <v>43117</v>
      </c>
      <c r="G44" s="1" t="s">
        <v>496</v>
      </c>
      <c r="H44" s="1" t="s">
        <v>497</v>
      </c>
      <c r="I44" s="5">
        <v>129132</v>
      </c>
      <c r="J44" s="5">
        <v>129132</v>
      </c>
      <c r="K44" s="19">
        <f t="shared" si="0"/>
        <v>1</v>
      </c>
      <c r="L44" s="16">
        <f t="shared" si="1"/>
        <v>11.966666666666667</v>
      </c>
      <c r="M44" s="19">
        <f t="shared" si="2"/>
        <v>8.3565459610027856E-2</v>
      </c>
      <c r="N44" s="16">
        <f t="shared" ca="1" si="3"/>
        <v>10.866666666666667</v>
      </c>
      <c r="O44" s="19">
        <f t="shared" ca="1" si="4"/>
        <v>9.202453987730061E-2</v>
      </c>
      <c r="P44" t="str">
        <f t="shared" ca="1" si="5"/>
        <v>High Burn Rate</v>
      </c>
      <c r="Q44" s="16">
        <f t="shared" ca="1" si="6"/>
        <v>10.866666666666667</v>
      </c>
      <c r="R44" s="14">
        <f t="shared" ca="1" si="7"/>
        <v>43057</v>
      </c>
      <c r="S44" t="str">
        <f ca="1">TEXT(Table2[[#This Row],[Projected Limit Date]],"mmmm")</f>
        <v>November</v>
      </c>
      <c r="T44">
        <f t="shared" ca="1" si="8"/>
        <v>2018</v>
      </c>
      <c r="U44" t="s">
        <v>562</v>
      </c>
      <c r="V44" t="s">
        <v>565</v>
      </c>
      <c r="W44" t="str">
        <f t="shared" si="9"/>
        <v>No options</v>
      </c>
      <c r="X44" t="s">
        <v>570</v>
      </c>
      <c r="Z44" t="str">
        <f t="shared" ca="1" si="10"/>
        <v>Expiring &lt; 6 Months</v>
      </c>
      <c r="AA44">
        <f t="shared" ca="1" si="11"/>
        <v>1</v>
      </c>
      <c r="AB44">
        <f t="shared" ca="1" si="12"/>
        <v>0</v>
      </c>
      <c r="AC44">
        <f t="shared" ca="1" si="13"/>
        <v>1</v>
      </c>
      <c r="AD44" t="str">
        <f t="shared" si="14"/>
        <v>Reaching Spending Limit</v>
      </c>
    </row>
    <row r="45" spans="1:30" hidden="1">
      <c r="A45" s="48" t="str">
        <f>TEXT(Table2[[#This Row],[MB END]],"mmmm")</f>
        <v>January</v>
      </c>
      <c r="B45" s="48" t="str">
        <f>TEXT(Table2[[#This Row],[MB END]],"yyyy")</f>
        <v>2018</v>
      </c>
      <c r="C45" s="117" t="s">
        <v>471</v>
      </c>
      <c r="D45" s="1" t="s">
        <v>7</v>
      </c>
      <c r="E45" s="2">
        <v>42755</v>
      </c>
      <c r="F45" s="28">
        <v>43119</v>
      </c>
      <c r="G45" s="1" t="s">
        <v>472</v>
      </c>
      <c r="H45" s="1" t="s">
        <v>473</v>
      </c>
      <c r="I45" s="5">
        <v>86000</v>
      </c>
      <c r="J45" s="5">
        <v>43377.3</v>
      </c>
      <c r="K45" s="19">
        <f t="shared" si="0"/>
        <v>0.50438720930232561</v>
      </c>
      <c r="L45" s="16">
        <f t="shared" si="1"/>
        <v>11.966666666666667</v>
      </c>
      <c r="M45" s="19">
        <f t="shared" si="2"/>
        <v>8.3565459610027856E-2</v>
      </c>
      <c r="N45" s="16">
        <f t="shared" ca="1" si="3"/>
        <v>10.8</v>
      </c>
      <c r="O45" s="19">
        <f t="shared" ca="1" si="4"/>
        <v>4.6702519379844959E-2</v>
      </c>
      <c r="P45" t="str">
        <f t="shared" ca="1" si="5"/>
        <v>Desired Burn Rate</v>
      </c>
      <c r="Q45" s="16">
        <f t="shared" ca="1" si="6"/>
        <v>21.412121086374672</v>
      </c>
      <c r="R45" s="14">
        <f t="shared" ca="1" si="7"/>
        <v>43393</v>
      </c>
      <c r="S45" t="str">
        <f ca="1">TEXT(Table2[[#This Row],[Projected Limit Date]],"mmmm")</f>
        <v>October</v>
      </c>
      <c r="T45">
        <f t="shared" ca="1" si="8"/>
        <v>2019</v>
      </c>
      <c r="U45" t="s">
        <v>562</v>
      </c>
      <c r="V45" t="s">
        <v>565</v>
      </c>
      <c r="W45" t="str">
        <f t="shared" si="9"/>
        <v>No options</v>
      </c>
      <c r="X45" s="127" t="s">
        <v>894</v>
      </c>
      <c r="Y45" s="110"/>
      <c r="Z45" t="str">
        <f t="shared" ca="1" si="10"/>
        <v>Expiring &lt; 6 Months</v>
      </c>
      <c r="AA45">
        <f t="shared" ca="1" si="11"/>
        <v>1</v>
      </c>
      <c r="AB45">
        <f t="shared" ca="1" si="12"/>
        <v>0</v>
      </c>
      <c r="AC45">
        <f t="shared" ca="1" si="13"/>
        <v>1</v>
      </c>
      <c r="AD45" t="str">
        <f t="shared" si="14"/>
        <v>Safe</v>
      </c>
    </row>
    <row r="46" spans="1:30" hidden="1">
      <c r="A46" s="48" t="str">
        <f>TEXT(Table2[[#This Row],[MB END]],"mmmm")</f>
        <v>January</v>
      </c>
      <c r="B46" s="48" t="str">
        <f>TEXT(Table2[[#This Row],[MB END]],"yyyy")</f>
        <v>2018</v>
      </c>
      <c r="C46" s="117" t="s">
        <v>474</v>
      </c>
      <c r="D46" s="1" t="s">
        <v>7</v>
      </c>
      <c r="E46" s="2">
        <v>42755</v>
      </c>
      <c r="F46" s="28">
        <v>43119</v>
      </c>
      <c r="G46" s="1" t="s">
        <v>472</v>
      </c>
      <c r="H46" s="1" t="s">
        <v>475</v>
      </c>
      <c r="I46" s="5">
        <v>10000</v>
      </c>
      <c r="J46" s="5">
        <v>0</v>
      </c>
      <c r="K46" s="19">
        <f t="shared" si="0"/>
        <v>0</v>
      </c>
      <c r="L46" s="16">
        <f t="shared" si="1"/>
        <v>11.966666666666667</v>
      </c>
      <c r="M46" s="19">
        <f t="shared" si="2"/>
        <v>8.3565459610027856E-2</v>
      </c>
      <c r="N46" s="16">
        <f t="shared" ca="1" si="3"/>
        <v>10.8</v>
      </c>
      <c r="O46" s="19">
        <f t="shared" ca="1" si="4"/>
        <v>0</v>
      </c>
      <c r="P46" t="str">
        <f t="shared" ca="1" si="5"/>
        <v>Desired Burn Rate</v>
      </c>
      <c r="Q46" s="16" t="e">
        <f t="shared" ca="1" si="6"/>
        <v>#DIV/0!</v>
      </c>
      <c r="R46" s="14" t="e">
        <f t="shared" ca="1" si="7"/>
        <v>#DIV/0!</v>
      </c>
      <c r="S46" t="e">
        <f ca="1">TEXT(Table2[[#This Row],[Projected Limit Date]],"mmmm")</f>
        <v>#DIV/0!</v>
      </c>
      <c r="T46" t="e">
        <f t="shared" ca="1" si="8"/>
        <v>#DIV/0!</v>
      </c>
      <c r="U46" t="s">
        <v>562</v>
      </c>
      <c r="V46" t="s">
        <v>565</v>
      </c>
      <c r="W46" t="str">
        <f t="shared" si="9"/>
        <v>No options</v>
      </c>
      <c r="X46" s="127" t="s">
        <v>894</v>
      </c>
      <c r="Y46" s="110"/>
      <c r="Z46" t="str">
        <f t="shared" ca="1" si="10"/>
        <v>Expiring &lt; 6 Months</v>
      </c>
      <c r="AA46">
        <f t="shared" ca="1" si="11"/>
        <v>1</v>
      </c>
      <c r="AB46">
        <f t="shared" ca="1" si="12"/>
        <v>0</v>
      </c>
      <c r="AC46">
        <f t="shared" ca="1" si="13"/>
        <v>1</v>
      </c>
      <c r="AD46" t="str">
        <f t="shared" si="14"/>
        <v>Safe</v>
      </c>
    </row>
    <row r="47" spans="1:30" hidden="1">
      <c r="A47" s="48" t="str">
        <f>TEXT(Table2[[#This Row],[MB END]],"mmmm")</f>
        <v>January</v>
      </c>
      <c r="B47" s="48" t="str">
        <f>TEXT(Table2[[#This Row],[MB END]],"yyyy")</f>
        <v>2018</v>
      </c>
      <c r="C47" s="117" t="s">
        <v>500</v>
      </c>
      <c r="D47" s="1" t="s">
        <v>58</v>
      </c>
      <c r="E47" s="2">
        <v>42760</v>
      </c>
      <c r="F47" s="28">
        <v>43124</v>
      </c>
      <c r="G47" s="1" t="s">
        <v>501</v>
      </c>
      <c r="H47" s="1" t="s">
        <v>502</v>
      </c>
      <c r="I47" s="5">
        <v>118940</v>
      </c>
      <c r="J47" s="5">
        <v>118940</v>
      </c>
      <c r="K47" s="19">
        <f t="shared" si="0"/>
        <v>1</v>
      </c>
      <c r="L47" s="16">
        <f t="shared" si="1"/>
        <v>11.966666666666667</v>
      </c>
      <c r="M47" s="19">
        <f t="shared" si="2"/>
        <v>8.3565459610027856E-2</v>
      </c>
      <c r="N47" s="16">
        <f t="shared" ca="1" si="3"/>
        <v>10.633333333333333</v>
      </c>
      <c r="O47" s="19">
        <f t="shared" ca="1" si="4"/>
        <v>9.4043887147335428E-2</v>
      </c>
      <c r="P47" t="str">
        <f t="shared" ca="1" si="5"/>
        <v>High Burn Rate</v>
      </c>
      <c r="Q47" s="16">
        <f t="shared" ca="1" si="6"/>
        <v>10.633333333333333</v>
      </c>
      <c r="R47" s="14">
        <f t="shared" ca="1" si="7"/>
        <v>43064</v>
      </c>
      <c r="S47" t="str">
        <f ca="1">TEXT(Table2[[#This Row],[Projected Limit Date]],"mmmm")</f>
        <v>November</v>
      </c>
      <c r="T47">
        <f t="shared" ca="1" si="8"/>
        <v>2018</v>
      </c>
      <c r="U47" t="s">
        <v>562</v>
      </c>
      <c r="V47" t="s">
        <v>565</v>
      </c>
      <c r="W47" t="str">
        <f t="shared" si="9"/>
        <v>No options</v>
      </c>
      <c r="X47" t="s">
        <v>570</v>
      </c>
      <c r="Z47" t="str">
        <f t="shared" ca="1" si="10"/>
        <v>Expiring &lt; 6 Months</v>
      </c>
      <c r="AA47">
        <f t="shared" ca="1" si="11"/>
        <v>1</v>
      </c>
      <c r="AB47">
        <f t="shared" ca="1" si="12"/>
        <v>0</v>
      </c>
      <c r="AC47">
        <f t="shared" ca="1" si="13"/>
        <v>1</v>
      </c>
      <c r="AD47" t="str">
        <f t="shared" si="14"/>
        <v>Reaching Spending Limit</v>
      </c>
    </row>
    <row r="48" spans="1:30" hidden="1">
      <c r="A48" s="48" t="str">
        <f>TEXT(Table2[[#This Row],[MB END]],"mmmm")</f>
        <v>January</v>
      </c>
      <c r="B48" s="48" t="str">
        <f>TEXT(Table2[[#This Row],[MB END]],"yyyy")</f>
        <v>2018</v>
      </c>
      <c r="C48" s="117" t="s">
        <v>89</v>
      </c>
      <c r="D48" s="123" t="s">
        <v>889</v>
      </c>
      <c r="E48" s="2">
        <v>41306</v>
      </c>
      <c r="F48" s="28">
        <v>43131</v>
      </c>
      <c r="G48" s="1" t="s">
        <v>90</v>
      </c>
      <c r="H48" s="1" t="s">
        <v>66</v>
      </c>
      <c r="I48" s="5">
        <v>3550</v>
      </c>
      <c r="J48" s="5">
        <v>3550</v>
      </c>
      <c r="K48" s="19">
        <f t="shared" si="0"/>
        <v>1</v>
      </c>
      <c r="L48" s="16">
        <f t="shared" si="1"/>
        <v>60</v>
      </c>
      <c r="M48" s="19">
        <f t="shared" si="2"/>
        <v>1.6666666666666666E-2</v>
      </c>
      <c r="N48" s="16">
        <f t="shared" ca="1" si="3"/>
        <v>58.43333333333333</v>
      </c>
      <c r="O48" s="19">
        <f t="shared" ca="1" si="4"/>
        <v>1.7113519680547633E-2</v>
      </c>
      <c r="P48" t="str">
        <f t="shared" ca="1" si="5"/>
        <v>High Burn Rate</v>
      </c>
      <c r="Q48" s="16">
        <f t="shared" ca="1" si="6"/>
        <v>58.43333333333333</v>
      </c>
      <c r="R48" s="14">
        <f t="shared" ca="1" si="7"/>
        <v>43070</v>
      </c>
      <c r="S48" t="str">
        <f ca="1">TEXT(Table2[[#This Row],[Projected Limit Date]],"mmmm")</f>
        <v>December</v>
      </c>
      <c r="T48">
        <f t="shared" ca="1" si="8"/>
        <v>2018</v>
      </c>
      <c r="U48" t="s">
        <v>562</v>
      </c>
      <c r="V48" t="s">
        <v>565</v>
      </c>
      <c r="W48" t="str">
        <f t="shared" si="9"/>
        <v>No options</v>
      </c>
      <c r="X48" s="127" t="s">
        <v>895</v>
      </c>
      <c r="Y48" s="120"/>
      <c r="Z48" t="str">
        <f t="shared" ca="1" si="10"/>
        <v>Expiring &lt; 6 Months</v>
      </c>
      <c r="AA48">
        <f t="shared" ca="1" si="11"/>
        <v>1</v>
      </c>
      <c r="AB48">
        <f t="shared" ca="1" si="12"/>
        <v>0</v>
      </c>
      <c r="AC48">
        <f t="shared" ca="1" si="13"/>
        <v>1</v>
      </c>
      <c r="AD48" t="str">
        <f t="shared" si="14"/>
        <v>Reaching Spending Limit</v>
      </c>
    </row>
    <row r="49" spans="1:30" hidden="1">
      <c r="A49" s="48" t="str">
        <f>TEXT(Table2[[#This Row],[MB END]],"mmmm")</f>
        <v>January</v>
      </c>
      <c r="B49" s="48" t="str">
        <f>TEXT(Table2[[#This Row],[MB END]],"yyyy")</f>
        <v>2018</v>
      </c>
      <c r="C49" s="117" t="s">
        <v>96</v>
      </c>
      <c r="D49" s="1" t="s">
        <v>58</v>
      </c>
      <c r="E49" s="2">
        <v>41306</v>
      </c>
      <c r="F49" s="28">
        <v>43131</v>
      </c>
      <c r="G49" s="1" t="s">
        <v>97</v>
      </c>
      <c r="H49" s="1" t="s">
        <v>98</v>
      </c>
      <c r="I49" s="5">
        <v>24000</v>
      </c>
      <c r="J49" s="5">
        <v>14255.14</v>
      </c>
      <c r="K49" s="19">
        <f t="shared" si="0"/>
        <v>0.59396416666666663</v>
      </c>
      <c r="L49" s="16">
        <f t="shared" si="1"/>
        <v>60</v>
      </c>
      <c r="M49" s="19">
        <f t="shared" si="2"/>
        <v>1.6666666666666666E-2</v>
      </c>
      <c r="N49" s="16">
        <f t="shared" ca="1" si="3"/>
        <v>58.43333333333333</v>
      </c>
      <c r="O49" s="19">
        <f t="shared" ca="1" si="4"/>
        <v>1.0164817455790074E-2</v>
      </c>
      <c r="P49" t="str">
        <f t="shared" ca="1" si="5"/>
        <v>Desired Burn Rate</v>
      </c>
      <c r="Q49" s="16">
        <f t="shared" ca="1" si="6"/>
        <v>98.378549772222513</v>
      </c>
      <c r="R49" s="14">
        <f t="shared" ca="1" si="7"/>
        <v>44287</v>
      </c>
      <c r="S49" t="str">
        <f ca="1">TEXT(Table2[[#This Row],[Projected Limit Date]],"mmmm")</f>
        <v>April</v>
      </c>
      <c r="T49">
        <f t="shared" ca="1" si="8"/>
        <v>2021</v>
      </c>
      <c r="U49" t="s">
        <v>562</v>
      </c>
      <c r="V49" t="s">
        <v>569</v>
      </c>
      <c r="W49" t="str">
        <f t="shared" si="9"/>
        <v>Options</v>
      </c>
      <c r="X49" s="120" t="s">
        <v>912</v>
      </c>
      <c r="Z49" t="str">
        <f t="shared" ca="1" si="10"/>
        <v>Expiring &lt; 6 Months</v>
      </c>
      <c r="AA49">
        <f t="shared" ca="1" si="11"/>
        <v>1</v>
      </c>
      <c r="AB49">
        <f t="shared" ca="1" si="12"/>
        <v>0</v>
      </c>
      <c r="AC49">
        <f t="shared" ca="1" si="13"/>
        <v>0</v>
      </c>
      <c r="AD49" t="str">
        <f t="shared" si="14"/>
        <v>Safe</v>
      </c>
    </row>
    <row r="50" spans="1:30" hidden="1">
      <c r="A50" s="48" t="str">
        <f>TEXT(Table2[[#This Row],[MB END]],"mmmm")</f>
        <v>January</v>
      </c>
      <c r="B50" s="48" t="str">
        <f>TEXT(Table2[[#This Row],[MB END]],"yyyy")</f>
        <v>2018</v>
      </c>
      <c r="C50" s="117" t="s">
        <v>154</v>
      </c>
      <c r="D50" s="1" t="s">
        <v>58</v>
      </c>
      <c r="E50" s="2">
        <v>41671</v>
      </c>
      <c r="F50" s="28">
        <v>43131</v>
      </c>
      <c r="G50" s="1" t="s">
        <v>155</v>
      </c>
      <c r="H50" s="1" t="s">
        <v>156</v>
      </c>
      <c r="I50" s="5">
        <v>9000000</v>
      </c>
      <c r="J50" s="5">
        <v>7809150.4199999999</v>
      </c>
      <c r="K50" s="19">
        <f t="shared" si="0"/>
        <v>0.86768338</v>
      </c>
      <c r="L50" s="16">
        <f t="shared" si="1"/>
        <v>48</v>
      </c>
      <c r="M50" s="19">
        <f t="shared" si="2"/>
        <v>2.0833333333333332E-2</v>
      </c>
      <c r="N50" s="16">
        <f t="shared" ca="1" si="3"/>
        <v>46.43333333333333</v>
      </c>
      <c r="O50" s="19">
        <f t="shared" ca="1" si="4"/>
        <v>1.8686648528356067E-2</v>
      </c>
      <c r="P50" t="str">
        <f t="shared" ca="1" si="5"/>
        <v>Desired Burn Rate</v>
      </c>
      <c r="Q50" s="16">
        <f t="shared" ca="1" si="6"/>
        <v>53.514143988021679</v>
      </c>
      <c r="R50" s="14">
        <f t="shared" ca="1" si="7"/>
        <v>43282</v>
      </c>
      <c r="S50" t="str">
        <f ca="1">TEXT(Table2[[#This Row],[Projected Limit Date]],"mmmm")</f>
        <v>July</v>
      </c>
      <c r="T50">
        <f t="shared" ca="1" si="8"/>
        <v>2019</v>
      </c>
      <c r="U50" t="s">
        <v>562</v>
      </c>
      <c r="V50" t="s">
        <v>767</v>
      </c>
      <c r="W50" t="str">
        <f t="shared" si="9"/>
        <v>Options</v>
      </c>
      <c r="X50" s="120" t="s">
        <v>912</v>
      </c>
      <c r="Y50" s="110"/>
      <c r="Z50" t="str">
        <f t="shared" ca="1" si="10"/>
        <v>Expiring &lt; 6 Months</v>
      </c>
      <c r="AA50">
        <f t="shared" ca="1" si="11"/>
        <v>1</v>
      </c>
      <c r="AB50">
        <f t="shared" ca="1" si="12"/>
        <v>0</v>
      </c>
      <c r="AC50">
        <f t="shared" ca="1" si="13"/>
        <v>0</v>
      </c>
      <c r="AD50" t="str">
        <f t="shared" si="14"/>
        <v>Reaching Spending Limit</v>
      </c>
    </row>
    <row r="51" spans="1:30" hidden="1">
      <c r="A51" s="48" t="str">
        <f>TEXT(Table2[[#This Row],[MB END]],"mmmm")</f>
        <v>January</v>
      </c>
      <c r="B51" s="48" t="str">
        <f>TEXT(Table2[[#This Row],[MB END]],"yyyy")</f>
        <v>2018</v>
      </c>
      <c r="C51" s="117" t="s">
        <v>301</v>
      </c>
      <c r="D51" s="1" t="s">
        <v>7</v>
      </c>
      <c r="E51" s="2">
        <v>42036</v>
      </c>
      <c r="F51" s="28">
        <v>43131</v>
      </c>
      <c r="G51" s="1" t="s">
        <v>302</v>
      </c>
      <c r="H51" s="1" t="s">
        <v>303</v>
      </c>
      <c r="I51" s="5">
        <v>30000</v>
      </c>
      <c r="J51" s="5">
        <v>27742.92</v>
      </c>
      <c r="K51" s="19">
        <f t="shared" si="0"/>
        <v>0.92476399999999992</v>
      </c>
      <c r="L51" s="16">
        <f t="shared" si="1"/>
        <v>36</v>
      </c>
      <c r="M51" s="19">
        <f t="shared" si="2"/>
        <v>2.777777777777778E-2</v>
      </c>
      <c r="N51" s="16">
        <f t="shared" ca="1" si="3"/>
        <v>34.43333333333333</v>
      </c>
      <c r="O51" s="19">
        <f t="shared" ca="1" si="4"/>
        <v>2.6856650532429815E-2</v>
      </c>
      <c r="P51" t="str">
        <f t="shared" ca="1" si="5"/>
        <v>Desired Burn Rate</v>
      </c>
      <c r="Q51" s="16">
        <f t="shared" ca="1" si="6"/>
        <v>37.234725111848356</v>
      </c>
      <c r="R51" s="14">
        <f t="shared" ca="1" si="7"/>
        <v>43160</v>
      </c>
      <c r="S51" t="str">
        <f ca="1">TEXT(Table2[[#This Row],[Projected Limit Date]],"mmmm")</f>
        <v>March</v>
      </c>
      <c r="T51">
        <f t="shared" ca="1" si="8"/>
        <v>2018</v>
      </c>
      <c r="U51" t="s">
        <v>562</v>
      </c>
      <c r="V51" t="s">
        <v>573</v>
      </c>
      <c r="W51" t="str">
        <f t="shared" si="9"/>
        <v>Options</v>
      </c>
      <c r="X51" s="31" t="s">
        <v>903</v>
      </c>
      <c r="Z51" t="str">
        <f t="shared" ca="1" si="10"/>
        <v>Expiring &lt; 6 Months</v>
      </c>
      <c r="AA51">
        <f t="shared" ca="1" si="11"/>
        <v>1</v>
      </c>
      <c r="AB51">
        <f t="shared" ca="1" si="12"/>
        <v>0</v>
      </c>
      <c r="AC51">
        <f t="shared" ca="1" si="13"/>
        <v>0</v>
      </c>
      <c r="AD51" t="str">
        <f t="shared" si="14"/>
        <v>Reaching Spending Limit</v>
      </c>
    </row>
    <row r="52" spans="1:30" hidden="1">
      <c r="A52" s="48" t="str">
        <f>TEXT(Table2[[#This Row],[MB END]],"mmmm")</f>
        <v>January</v>
      </c>
      <c r="B52" s="48" t="str">
        <f>TEXT(Table2[[#This Row],[MB END]],"yyyy")</f>
        <v>2018</v>
      </c>
      <c r="C52" s="117" t="s">
        <v>514</v>
      </c>
      <c r="D52" s="1" t="s">
        <v>7</v>
      </c>
      <c r="E52" s="2">
        <v>42767</v>
      </c>
      <c r="F52" s="28">
        <v>43131</v>
      </c>
      <c r="G52" s="1" t="s">
        <v>515</v>
      </c>
      <c r="H52" s="1" t="s">
        <v>169</v>
      </c>
      <c r="I52" s="5">
        <v>165514</v>
      </c>
      <c r="J52" s="5">
        <v>21341.29</v>
      </c>
      <c r="K52" s="19">
        <f t="shared" si="0"/>
        <v>0.12893948548159068</v>
      </c>
      <c r="L52" s="16">
        <f t="shared" si="1"/>
        <v>12</v>
      </c>
      <c r="M52" s="19">
        <f t="shared" si="2"/>
        <v>8.3333333333333343E-2</v>
      </c>
      <c r="N52" s="16">
        <f t="shared" ca="1" si="3"/>
        <v>10.433333333333334</v>
      </c>
      <c r="O52" s="19">
        <f t="shared" ca="1" si="4"/>
        <v>1.2358417138810609E-2</v>
      </c>
      <c r="P52" t="str">
        <f t="shared" ca="1" si="5"/>
        <v>Desired Burn Rate</v>
      </c>
      <c r="Q52" s="16">
        <f t="shared" ca="1" si="6"/>
        <v>80.916511294927972</v>
      </c>
      <c r="R52" s="14">
        <f t="shared" ca="1" si="7"/>
        <v>45200</v>
      </c>
      <c r="S52" t="str">
        <f ca="1">TEXT(Table2[[#This Row],[Projected Limit Date]],"mmmm")</f>
        <v>October</v>
      </c>
      <c r="T52">
        <f t="shared" ca="1" si="8"/>
        <v>2024</v>
      </c>
      <c r="U52" t="s">
        <v>562</v>
      </c>
      <c r="V52" t="s">
        <v>573</v>
      </c>
      <c r="W52" t="str">
        <f t="shared" si="9"/>
        <v>Options</v>
      </c>
      <c r="X52" s="31" t="s">
        <v>903</v>
      </c>
      <c r="Z52" t="str">
        <f t="shared" ca="1" si="10"/>
        <v>Expiring &lt; 6 Months</v>
      </c>
      <c r="AA52">
        <f t="shared" ca="1" si="11"/>
        <v>1</v>
      </c>
      <c r="AB52">
        <f t="shared" ca="1" si="12"/>
        <v>0</v>
      </c>
      <c r="AC52">
        <f t="shared" ca="1" si="13"/>
        <v>0</v>
      </c>
      <c r="AD52" t="str">
        <f t="shared" si="14"/>
        <v>Safe</v>
      </c>
    </row>
    <row r="53" spans="1:30" hidden="1">
      <c r="A53" s="48" t="str">
        <f>TEXT(Table2[[#This Row],[MB END]],"mmmm")</f>
        <v>January</v>
      </c>
      <c r="B53" s="48" t="str">
        <f>TEXT(Table2[[#This Row],[MB END]],"yyyy")</f>
        <v>2018</v>
      </c>
      <c r="C53" s="117" t="s">
        <v>91</v>
      </c>
      <c r="D53" s="123" t="s">
        <v>889</v>
      </c>
      <c r="E53" s="2">
        <v>41306</v>
      </c>
      <c r="F53" s="28">
        <v>43131</v>
      </c>
      <c r="G53" s="1" t="s">
        <v>90</v>
      </c>
      <c r="H53" s="1" t="s">
        <v>92</v>
      </c>
      <c r="I53" s="5">
        <v>1396000</v>
      </c>
      <c r="J53" s="5">
        <v>1151740.77</v>
      </c>
      <c r="K53" s="19">
        <f t="shared" si="0"/>
        <v>0.82502920487106024</v>
      </c>
      <c r="L53" s="16">
        <f t="shared" si="1"/>
        <v>60</v>
      </c>
      <c r="M53" s="19">
        <f t="shared" si="2"/>
        <v>1.6666666666666666E-2</v>
      </c>
      <c r="N53" s="16">
        <f t="shared" ca="1" si="3"/>
        <v>58.43333333333333</v>
      </c>
      <c r="O53" s="19">
        <f t="shared" ca="1" si="4"/>
        <v>1.4119153534587455E-2</v>
      </c>
      <c r="P53" t="str">
        <f t="shared" ca="1" si="5"/>
        <v>Desired Burn Rate</v>
      </c>
      <c r="Q53" s="16">
        <f t="shared" ca="1" si="6"/>
        <v>70.825775606895746</v>
      </c>
      <c r="R53" s="14">
        <f t="shared" ca="1" si="7"/>
        <v>43435</v>
      </c>
      <c r="S53" t="str">
        <f ca="1">TEXT(Table2[[#This Row],[Projected Limit Date]],"mmmm")</f>
        <v>December</v>
      </c>
      <c r="T53">
        <f t="shared" ca="1" si="8"/>
        <v>2019</v>
      </c>
      <c r="U53" t="s">
        <v>562</v>
      </c>
      <c r="V53" t="s">
        <v>565</v>
      </c>
      <c r="W53" t="str">
        <f t="shared" si="9"/>
        <v>No options</v>
      </c>
      <c r="X53" s="127" t="s">
        <v>895</v>
      </c>
      <c r="Y53" s="120"/>
      <c r="Z53" t="str">
        <f t="shared" ca="1" si="10"/>
        <v>Expiring &lt; 6 Months</v>
      </c>
      <c r="AA53">
        <f t="shared" ca="1" si="11"/>
        <v>1</v>
      </c>
      <c r="AB53">
        <f t="shared" ca="1" si="12"/>
        <v>0</v>
      </c>
      <c r="AC53">
        <f t="shared" ca="1" si="13"/>
        <v>1</v>
      </c>
      <c r="AD53" t="str">
        <f t="shared" si="14"/>
        <v>Reaching Spending Limit</v>
      </c>
    </row>
    <row r="54" spans="1:30" hidden="1">
      <c r="A54" s="48" t="str">
        <f>TEXT(Table2[[#This Row],[MB END]],"mmmm")</f>
        <v>January</v>
      </c>
      <c r="B54" s="48" t="str">
        <f>TEXT(Table2[[#This Row],[MB END]],"yyyy")</f>
        <v>2018</v>
      </c>
      <c r="C54" s="117" t="s">
        <v>93</v>
      </c>
      <c r="D54" s="123" t="s">
        <v>889</v>
      </c>
      <c r="E54" s="2">
        <v>41306</v>
      </c>
      <c r="F54" s="28">
        <v>43131</v>
      </c>
      <c r="G54" s="1" t="s">
        <v>90</v>
      </c>
      <c r="H54" s="1" t="s">
        <v>94</v>
      </c>
      <c r="I54" s="5">
        <v>244000</v>
      </c>
      <c r="J54" s="5">
        <v>13599.86</v>
      </c>
      <c r="K54" s="19">
        <f t="shared" si="0"/>
        <v>5.5737131147540989E-2</v>
      </c>
      <c r="L54" s="16">
        <f t="shared" si="1"/>
        <v>60</v>
      </c>
      <c r="M54" s="19">
        <f t="shared" si="2"/>
        <v>1.6666666666666666E-2</v>
      </c>
      <c r="N54" s="16">
        <f t="shared" ca="1" si="3"/>
        <v>58.43333333333333</v>
      </c>
      <c r="O54" s="19">
        <f t="shared" ca="1" si="4"/>
        <v>9.5385849083070716E-4</v>
      </c>
      <c r="P54" t="str">
        <f t="shared" ca="1" si="5"/>
        <v>Desired Burn Rate</v>
      </c>
      <c r="Q54" s="16">
        <f t="shared" ca="1" si="6"/>
        <v>1048.3735371785688</v>
      </c>
      <c r="R54" s="14">
        <f t="shared" ca="1" si="7"/>
        <v>73202</v>
      </c>
      <c r="S54" t="str">
        <f ca="1">TEXT(Table2[[#This Row],[Projected Limit Date]],"mmmm")</f>
        <v>June</v>
      </c>
      <c r="T54">
        <f t="shared" ca="1" si="8"/>
        <v>2100</v>
      </c>
      <c r="U54" t="s">
        <v>562</v>
      </c>
      <c r="V54" t="s">
        <v>565</v>
      </c>
      <c r="W54" t="str">
        <f t="shared" si="9"/>
        <v>No options</v>
      </c>
      <c r="X54" s="127" t="s">
        <v>895</v>
      </c>
      <c r="Y54" s="120"/>
      <c r="Z54" t="str">
        <f t="shared" ca="1" si="10"/>
        <v>Expiring &lt; 6 Months</v>
      </c>
      <c r="AA54">
        <f t="shared" ca="1" si="11"/>
        <v>1</v>
      </c>
      <c r="AB54">
        <f t="shared" ca="1" si="12"/>
        <v>0</v>
      </c>
      <c r="AC54">
        <f t="shared" ca="1" si="13"/>
        <v>1</v>
      </c>
      <c r="AD54" t="str">
        <f t="shared" si="14"/>
        <v>Safe</v>
      </c>
    </row>
    <row r="55" spans="1:30" hidden="1">
      <c r="A55" s="48" t="str">
        <f>TEXT(Table2[[#This Row],[MB END]],"mmmm")</f>
        <v>January</v>
      </c>
      <c r="B55" s="48" t="str">
        <f>TEXT(Table2[[#This Row],[MB END]],"yyyy")</f>
        <v>2018</v>
      </c>
      <c r="C55" s="117" t="s">
        <v>95</v>
      </c>
      <c r="D55" s="123" t="s">
        <v>889</v>
      </c>
      <c r="E55" s="2">
        <v>41306</v>
      </c>
      <c r="F55" s="28">
        <v>43131</v>
      </c>
      <c r="G55" s="1" t="s">
        <v>90</v>
      </c>
      <c r="H55" s="1" t="s">
        <v>14</v>
      </c>
      <c r="I55" s="5">
        <v>2350000</v>
      </c>
      <c r="J55" s="5">
        <v>2006009.05</v>
      </c>
      <c r="K55" s="19">
        <f t="shared" si="0"/>
        <v>0.85362087234042561</v>
      </c>
      <c r="L55" s="16">
        <f t="shared" si="1"/>
        <v>60</v>
      </c>
      <c r="M55" s="19">
        <f t="shared" si="2"/>
        <v>1.6666666666666666E-2</v>
      </c>
      <c r="N55" s="16">
        <f t="shared" ca="1" si="3"/>
        <v>58.43333333333333</v>
      </c>
      <c r="O55" s="19">
        <f t="shared" ca="1" si="4"/>
        <v>1.4608457598524112E-2</v>
      </c>
      <c r="P55" t="str">
        <f t="shared" ca="1" si="5"/>
        <v>Desired Burn Rate</v>
      </c>
      <c r="Q55" s="16">
        <f t="shared" ca="1" si="6"/>
        <v>68.453496425319372</v>
      </c>
      <c r="R55" s="14">
        <f t="shared" ca="1" si="7"/>
        <v>43374</v>
      </c>
      <c r="S55" t="str">
        <f ca="1">TEXT(Table2[[#This Row],[Projected Limit Date]],"mmmm")</f>
        <v>October</v>
      </c>
      <c r="T55">
        <f t="shared" ca="1" si="8"/>
        <v>2019</v>
      </c>
      <c r="U55" t="s">
        <v>562</v>
      </c>
      <c r="V55" t="s">
        <v>565</v>
      </c>
      <c r="W55" t="str">
        <f t="shared" si="9"/>
        <v>No options</v>
      </c>
      <c r="X55" s="127" t="s">
        <v>895</v>
      </c>
      <c r="Y55" s="120"/>
      <c r="Z55" t="str">
        <f t="shared" ca="1" si="10"/>
        <v>Expiring &lt; 6 Months</v>
      </c>
      <c r="AA55">
        <f t="shared" ca="1" si="11"/>
        <v>1</v>
      </c>
      <c r="AB55">
        <f t="shared" ca="1" si="12"/>
        <v>0</v>
      </c>
      <c r="AC55">
        <f t="shared" ca="1" si="13"/>
        <v>1</v>
      </c>
      <c r="AD55" t="str">
        <f t="shared" si="14"/>
        <v>Reaching Spending Limit</v>
      </c>
    </row>
    <row r="56" spans="1:30" hidden="1">
      <c r="A56" s="48" t="str">
        <f>TEXT(Table2[[#This Row],[MB END]],"mmmm")</f>
        <v>January</v>
      </c>
      <c r="B56" s="48" t="str">
        <f>TEXT(Table2[[#This Row],[MB END]],"yyyy")</f>
        <v>2018</v>
      </c>
      <c r="C56" s="117" t="s">
        <v>102</v>
      </c>
      <c r="D56" s="123" t="s">
        <v>889</v>
      </c>
      <c r="E56" s="2">
        <v>41306</v>
      </c>
      <c r="F56" s="28">
        <v>43131</v>
      </c>
      <c r="G56" s="1" t="s">
        <v>103</v>
      </c>
      <c r="H56" s="1" t="s">
        <v>104</v>
      </c>
      <c r="I56" s="5">
        <v>240000</v>
      </c>
      <c r="J56" s="5">
        <v>118352.09</v>
      </c>
      <c r="K56" s="19">
        <f t="shared" si="0"/>
        <v>0.49313370833333331</v>
      </c>
      <c r="L56" s="16">
        <f t="shared" si="1"/>
        <v>60</v>
      </c>
      <c r="M56" s="19">
        <f t="shared" si="2"/>
        <v>1.6666666666666666E-2</v>
      </c>
      <c r="N56" s="16">
        <f t="shared" ca="1" si="3"/>
        <v>58.43333333333333</v>
      </c>
      <c r="O56" s="19">
        <f t="shared" ca="1" si="4"/>
        <v>8.4392534227039368E-3</v>
      </c>
      <c r="P56" t="str">
        <f t="shared" ca="1" si="5"/>
        <v>Desired Burn Rate</v>
      </c>
      <c r="Q56" s="16">
        <f t="shared" ca="1" si="6"/>
        <v>118.49389393968454</v>
      </c>
      <c r="R56" s="14">
        <f t="shared" ca="1" si="7"/>
        <v>44896</v>
      </c>
      <c r="S56" t="str">
        <f ca="1">TEXT(Table2[[#This Row],[Projected Limit Date]],"mmmm")</f>
        <v>December</v>
      </c>
      <c r="T56">
        <f t="shared" ca="1" si="8"/>
        <v>2023</v>
      </c>
      <c r="U56" t="s">
        <v>562</v>
      </c>
      <c r="V56" t="s">
        <v>565</v>
      </c>
      <c r="W56" t="str">
        <f t="shared" si="9"/>
        <v>No options</v>
      </c>
      <c r="X56" s="127" t="s">
        <v>896</v>
      </c>
      <c r="Y56" s="110"/>
      <c r="Z56" t="str">
        <f t="shared" ca="1" si="10"/>
        <v>Expiring &lt; 6 Months</v>
      </c>
      <c r="AA56">
        <f t="shared" ca="1" si="11"/>
        <v>1</v>
      </c>
      <c r="AB56">
        <f t="shared" ca="1" si="12"/>
        <v>0</v>
      </c>
      <c r="AC56">
        <f t="shared" ca="1" si="13"/>
        <v>1</v>
      </c>
      <c r="AD56" t="str">
        <f t="shared" si="14"/>
        <v>Safe</v>
      </c>
    </row>
    <row r="57" spans="1:30" hidden="1">
      <c r="A57" s="48" t="str">
        <f>TEXT(Table2[[#This Row],[MB END]],"mmmm")</f>
        <v>February</v>
      </c>
      <c r="B57" s="48" t="str">
        <f>TEXT(Table2[[#This Row],[MB END]],"yyyy")</f>
        <v>2018</v>
      </c>
      <c r="C57" s="117" t="s">
        <v>81</v>
      </c>
      <c r="D57" s="123" t="s">
        <v>889</v>
      </c>
      <c r="E57" s="2">
        <v>41214</v>
      </c>
      <c r="F57" s="28">
        <v>43132</v>
      </c>
      <c r="G57" s="1" t="s">
        <v>82</v>
      </c>
      <c r="H57" s="1" t="s">
        <v>83</v>
      </c>
      <c r="I57" s="5">
        <v>50000</v>
      </c>
      <c r="J57" s="5">
        <v>429.82</v>
      </c>
      <c r="K57" s="19">
        <f t="shared" si="0"/>
        <v>8.5964000000000006E-3</v>
      </c>
      <c r="L57" s="16">
        <f t="shared" si="1"/>
        <v>63</v>
      </c>
      <c r="M57" s="19">
        <f t="shared" si="2"/>
        <v>1.5873015873015872E-2</v>
      </c>
      <c r="N57" s="16">
        <f t="shared" ca="1" si="3"/>
        <v>61.43333333333333</v>
      </c>
      <c r="O57" s="19">
        <f t="shared" ca="1" si="4"/>
        <v>1.399305480195334E-4</v>
      </c>
      <c r="P57" t="str">
        <f t="shared" ca="1" si="5"/>
        <v>Desired Burn Rate</v>
      </c>
      <c r="Q57" s="16">
        <f t="shared" ca="1" si="6"/>
        <v>7146.4023699843337</v>
      </c>
      <c r="R57" s="14">
        <f t="shared" ca="1" si="7"/>
        <v>258714</v>
      </c>
      <c r="S57" t="str">
        <f ca="1">TEXT(Table2[[#This Row],[Projected Limit Date]],"mmmm")</f>
        <v>May</v>
      </c>
      <c r="T57">
        <f t="shared" ca="1" si="8"/>
        <v>2608</v>
      </c>
      <c r="U57" t="s">
        <v>562</v>
      </c>
      <c r="V57" t="s">
        <v>565</v>
      </c>
      <c r="W57" t="str">
        <f t="shared" si="9"/>
        <v>No options</v>
      </c>
      <c r="X57" s="127" t="s">
        <v>897</v>
      </c>
      <c r="Y57" s="120"/>
      <c r="Z57" t="str">
        <f t="shared" ca="1" si="10"/>
        <v>Expiring &lt; 6 Months</v>
      </c>
      <c r="AA57">
        <f t="shared" ca="1" si="11"/>
        <v>1</v>
      </c>
      <c r="AB57">
        <f t="shared" ca="1" si="12"/>
        <v>0</v>
      </c>
      <c r="AC57">
        <f t="shared" ca="1" si="13"/>
        <v>1</v>
      </c>
      <c r="AD57" t="str">
        <f t="shared" si="14"/>
        <v>Safe</v>
      </c>
    </row>
    <row r="58" spans="1:30" hidden="1">
      <c r="A58" s="48" t="str">
        <f>TEXT(Table2[[#This Row],[MB END]],"mmmm")</f>
        <v>February</v>
      </c>
      <c r="B58" s="48" t="str">
        <f>TEXT(Table2[[#This Row],[MB END]],"yyyy")</f>
        <v>2018</v>
      </c>
      <c r="C58" s="117" t="s">
        <v>84</v>
      </c>
      <c r="D58" s="123" t="s">
        <v>889</v>
      </c>
      <c r="E58" s="2">
        <v>41214</v>
      </c>
      <c r="F58" s="28">
        <v>43132</v>
      </c>
      <c r="G58" s="1" t="s">
        <v>82</v>
      </c>
      <c r="H58" s="1" t="s">
        <v>85</v>
      </c>
      <c r="I58" s="5">
        <v>3500000</v>
      </c>
      <c r="J58" s="5">
        <v>3394962.12</v>
      </c>
      <c r="K58" s="19">
        <f t="shared" si="0"/>
        <v>0.96998917714285715</v>
      </c>
      <c r="L58" s="16">
        <f t="shared" si="1"/>
        <v>63</v>
      </c>
      <c r="M58" s="19">
        <f t="shared" si="2"/>
        <v>1.5873015873015872E-2</v>
      </c>
      <c r="N58" s="16">
        <f t="shared" ca="1" si="3"/>
        <v>61.43333333333333</v>
      </c>
      <c r="O58" s="19">
        <f t="shared" ca="1" si="4"/>
        <v>1.5789297511820788E-2</v>
      </c>
      <c r="P58" t="str">
        <f t="shared" ca="1" si="5"/>
        <v>Desired Burn Rate</v>
      </c>
      <c r="Q58" s="16">
        <f t="shared" ca="1" si="6"/>
        <v>63.334039988247838</v>
      </c>
      <c r="R58" s="14">
        <f t="shared" ca="1" si="7"/>
        <v>43132</v>
      </c>
      <c r="S58" t="str">
        <f ca="1">TEXT(Table2[[#This Row],[Projected Limit Date]],"mmmm")</f>
        <v>February</v>
      </c>
      <c r="T58">
        <f t="shared" ca="1" si="8"/>
        <v>2018</v>
      </c>
      <c r="U58" t="s">
        <v>562</v>
      </c>
      <c r="V58" t="s">
        <v>565</v>
      </c>
      <c r="W58" t="str">
        <f t="shared" si="9"/>
        <v>No options</v>
      </c>
      <c r="X58" s="127" t="s">
        <v>897</v>
      </c>
      <c r="Y58" s="120"/>
      <c r="Z58" t="str">
        <f t="shared" ca="1" si="10"/>
        <v>Expiring &lt; 6 Months</v>
      </c>
      <c r="AA58">
        <f t="shared" ca="1" si="11"/>
        <v>1</v>
      </c>
      <c r="AB58">
        <f t="shared" ca="1" si="12"/>
        <v>0</v>
      </c>
      <c r="AC58">
        <f t="shared" ca="1" si="13"/>
        <v>1</v>
      </c>
      <c r="AD58" t="str">
        <f t="shared" si="14"/>
        <v>Reaching Spending Limit</v>
      </c>
    </row>
    <row r="59" spans="1:30" hidden="1">
      <c r="A59" s="48" t="str">
        <f>TEXT(Table2[[#This Row],[MB END]],"mmmm")</f>
        <v>February</v>
      </c>
      <c r="B59" s="48" t="str">
        <f>TEXT(Table2[[#This Row],[MB END]],"yyyy")</f>
        <v>2018</v>
      </c>
      <c r="C59" s="117" t="s">
        <v>99</v>
      </c>
      <c r="D59" s="1" t="s">
        <v>7</v>
      </c>
      <c r="E59" s="2">
        <v>41311</v>
      </c>
      <c r="F59" s="28">
        <v>43136</v>
      </c>
      <c r="G59" s="1" t="s">
        <v>100</v>
      </c>
      <c r="H59" s="1" t="s">
        <v>101</v>
      </c>
      <c r="I59" s="5">
        <v>45000</v>
      </c>
      <c r="J59" s="5">
        <v>7376.02</v>
      </c>
      <c r="K59" s="19">
        <f t="shared" si="0"/>
        <v>0.16391155555555556</v>
      </c>
      <c r="L59" s="16">
        <f t="shared" si="1"/>
        <v>59.966666666666669</v>
      </c>
      <c r="M59" s="19">
        <f t="shared" si="2"/>
        <v>1.6675931072818232E-2</v>
      </c>
      <c r="N59" s="16">
        <f t="shared" ca="1" si="3"/>
        <v>58.266666666666666</v>
      </c>
      <c r="O59" s="19">
        <f t="shared" ca="1" si="4"/>
        <v>2.813127383676583E-3</v>
      </c>
      <c r="P59" t="str">
        <f t="shared" ca="1" si="5"/>
        <v>Desired Burn Rate</v>
      </c>
      <c r="Q59" s="16">
        <f t="shared" ca="1" si="6"/>
        <v>355.47625955461075</v>
      </c>
      <c r="R59" s="14">
        <f t="shared" ca="1" si="7"/>
        <v>52115</v>
      </c>
      <c r="S59" t="str">
        <f ca="1">TEXT(Table2[[#This Row],[Projected Limit Date]],"mmmm")</f>
        <v>September</v>
      </c>
      <c r="T59">
        <f t="shared" ca="1" si="8"/>
        <v>2043</v>
      </c>
      <c r="U59" t="s">
        <v>562</v>
      </c>
      <c r="V59" t="s">
        <v>565</v>
      </c>
      <c r="W59" t="str">
        <f t="shared" si="9"/>
        <v>No options</v>
      </c>
      <c r="X59" s="31" t="s">
        <v>906</v>
      </c>
      <c r="Z59" t="str">
        <f t="shared" ca="1" si="10"/>
        <v>Expiring &lt; 6 Months</v>
      </c>
      <c r="AA59">
        <f t="shared" ca="1" si="11"/>
        <v>1</v>
      </c>
      <c r="AB59">
        <f t="shared" ca="1" si="12"/>
        <v>0</v>
      </c>
      <c r="AC59">
        <f t="shared" ca="1" si="13"/>
        <v>1</v>
      </c>
      <c r="AD59" t="str">
        <f t="shared" si="14"/>
        <v>Safe</v>
      </c>
    </row>
    <row r="60" spans="1:30" hidden="1">
      <c r="A60" s="48" t="str">
        <f>TEXT(Table2[[#This Row],[MB END]],"mmmm")</f>
        <v>February</v>
      </c>
      <c r="B60" s="48" t="str">
        <f>TEXT(Table2[[#This Row],[MB END]],"yyyy")</f>
        <v>2018</v>
      </c>
      <c r="C60" s="117" t="s">
        <v>512</v>
      </c>
      <c r="D60" s="1" t="s">
        <v>58</v>
      </c>
      <c r="E60" s="2">
        <v>42774</v>
      </c>
      <c r="F60" s="28">
        <v>43138</v>
      </c>
      <c r="G60" s="1" t="s">
        <v>513</v>
      </c>
      <c r="H60" s="1" t="s">
        <v>497</v>
      </c>
      <c r="I60" s="5">
        <v>529516</v>
      </c>
      <c r="J60" s="5">
        <v>529516</v>
      </c>
      <c r="K60" s="19">
        <f t="shared" si="0"/>
        <v>1</v>
      </c>
      <c r="L60" s="16">
        <f t="shared" si="1"/>
        <v>11.966666666666667</v>
      </c>
      <c r="M60" s="19">
        <f t="shared" si="2"/>
        <v>8.3565459610027856E-2</v>
      </c>
      <c r="N60" s="16">
        <f t="shared" ca="1" si="3"/>
        <v>10.199999999999999</v>
      </c>
      <c r="O60" s="19">
        <f t="shared" ca="1" si="4"/>
        <v>9.8039215686274508E-2</v>
      </c>
      <c r="P60" t="str">
        <f t="shared" ca="1" si="5"/>
        <v>High Burn Rate</v>
      </c>
      <c r="Q60" s="16">
        <f t="shared" ca="1" si="6"/>
        <v>10.199999999999999</v>
      </c>
      <c r="R60" s="14">
        <f t="shared" ca="1" si="7"/>
        <v>43077</v>
      </c>
      <c r="S60" t="str">
        <f ca="1">TEXT(Table2[[#This Row],[Projected Limit Date]],"mmmm")</f>
        <v>December</v>
      </c>
      <c r="T60">
        <f t="shared" ca="1" si="8"/>
        <v>2018</v>
      </c>
      <c r="U60" t="s">
        <v>562</v>
      </c>
      <c r="V60" t="s">
        <v>565</v>
      </c>
      <c r="W60" t="str">
        <f t="shared" si="9"/>
        <v>No options</v>
      </c>
      <c r="X60" s="109" t="s">
        <v>570</v>
      </c>
      <c r="Y60" s="110"/>
      <c r="Z60" t="str">
        <f t="shared" ca="1" si="10"/>
        <v>Expiring &lt; 6 Months</v>
      </c>
      <c r="AA60">
        <f t="shared" ca="1" si="11"/>
        <v>1</v>
      </c>
      <c r="AB60">
        <f t="shared" ca="1" si="12"/>
        <v>0</v>
      </c>
      <c r="AC60">
        <f t="shared" ca="1" si="13"/>
        <v>1</v>
      </c>
      <c r="AD60" t="str">
        <f t="shared" si="14"/>
        <v>Reaching Spending Limit</v>
      </c>
    </row>
    <row r="61" spans="1:30" hidden="1">
      <c r="A61" s="48" t="str">
        <f>TEXT(Table2[[#This Row],[MB END]],"mmmm")</f>
        <v>February</v>
      </c>
      <c r="B61" s="48" t="str">
        <f>TEXT(Table2[[#This Row],[MB END]],"yyyy")</f>
        <v>2018</v>
      </c>
      <c r="C61" s="117" t="s">
        <v>509</v>
      </c>
      <c r="D61" s="1" t="s">
        <v>349</v>
      </c>
      <c r="E61" s="2">
        <v>42775</v>
      </c>
      <c r="F61" s="28">
        <v>43139</v>
      </c>
      <c r="G61" s="1" t="s">
        <v>510</v>
      </c>
      <c r="H61" s="1" t="s">
        <v>511</v>
      </c>
      <c r="I61" s="5">
        <v>3085.94</v>
      </c>
      <c r="J61" s="5">
        <v>700.69</v>
      </c>
      <c r="K61" s="19">
        <f t="shared" si="0"/>
        <v>0.22705885402827017</v>
      </c>
      <c r="L61" s="16">
        <f t="shared" si="1"/>
        <v>11.966666666666667</v>
      </c>
      <c r="M61" s="19">
        <f t="shared" si="2"/>
        <v>8.3565459610027856E-2</v>
      </c>
      <c r="N61" s="16">
        <f t="shared" ca="1" si="3"/>
        <v>10.166666666666666</v>
      </c>
      <c r="O61" s="19">
        <f t="shared" ca="1" si="4"/>
        <v>2.2333657773272477E-2</v>
      </c>
      <c r="P61" t="str">
        <f t="shared" ca="1" si="5"/>
        <v>Desired Burn Rate</v>
      </c>
      <c r="Q61" s="16">
        <f t="shared" ca="1" si="6"/>
        <v>44.775468942518557</v>
      </c>
      <c r="R61" s="14">
        <f t="shared" ca="1" si="7"/>
        <v>44113</v>
      </c>
      <c r="S61" t="str">
        <f ca="1">TEXT(Table2[[#This Row],[Projected Limit Date]],"mmmm")</f>
        <v>October</v>
      </c>
      <c r="T61">
        <f t="shared" ca="1" si="8"/>
        <v>2021</v>
      </c>
      <c r="U61" t="s">
        <v>564</v>
      </c>
      <c r="V61" t="s">
        <v>565</v>
      </c>
      <c r="W61" t="str">
        <f t="shared" si="9"/>
        <v>No options</v>
      </c>
      <c r="X61" s="109"/>
      <c r="Y61" s="110"/>
      <c r="Z61" t="str">
        <f t="shared" ca="1" si="10"/>
        <v>Expiring &lt; 6 Months</v>
      </c>
      <c r="AA61">
        <f t="shared" ca="1" si="11"/>
        <v>1</v>
      </c>
      <c r="AB61">
        <f t="shared" ca="1" si="12"/>
        <v>0</v>
      </c>
      <c r="AC61">
        <f t="shared" ca="1" si="13"/>
        <v>1</v>
      </c>
      <c r="AD61" t="str">
        <f t="shared" si="14"/>
        <v>Safe</v>
      </c>
    </row>
    <row r="62" spans="1:30" hidden="1">
      <c r="A62" s="48" t="str">
        <f>TEXT(Table2[[#This Row],[MB END]],"mmmm")</f>
        <v>February</v>
      </c>
      <c r="B62" s="48" t="str">
        <f>TEXT(Table2[[#This Row],[MB END]],"yyyy")</f>
        <v>2018</v>
      </c>
      <c r="C62" s="117" t="s">
        <v>108</v>
      </c>
      <c r="D62" s="1" t="s">
        <v>24</v>
      </c>
      <c r="E62" s="2">
        <v>41325</v>
      </c>
      <c r="F62" s="28">
        <v>43150</v>
      </c>
      <c r="G62" s="1" t="s">
        <v>109</v>
      </c>
      <c r="H62" s="1" t="s">
        <v>110</v>
      </c>
      <c r="I62" s="5">
        <v>15000</v>
      </c>
      <c r="J62" s="5">
        <v>237.14</v>
      </c>
      <c r="K62" s="19">
        <f t="shared" si="0"/>
        <v>1.5809333333333331E-2</v>
      </c>
      <c r="L62" s="16">
        <f t="shared" si="1"/>
        <v>59.966666666666669</v>
      </c>
      <c r="M62" s="19">
        <f t="shared" si="2"/>
        <v>1.6675931072818232E-2</v>
      </c>
      <c r="N62" s="16">
        <f t="shared" ca="1" si="3"/>
        <v>57.8</v>
      </c>
      <c r="O62" s="19">
        <f t="shared" ca="1" si="4"/>
        <v>2.7351787773933101E-4</v>
      </c>
      <c r="P62" t="str">
        <f t="shared" ca="1" si="5"/>
        <v>Desired Burn Rate</v>
      </c>
      <c r="Q62" s="16">
        <f t="shared" ca="1" si="6"/>
        <v>3656.0681453993425</v>
      </c>
      <c r="R62" s="14">
        <f t="shared" ca="1" si="7"/>
        <v>152600</v>
      </c>
      <c r="S62" t="str">
        <f ca="1">TEXT(Table2[[#This Row],[Projected Limit Date]],"mmmm")</f>
        <v>October</v>
      </c>
      <c r="T62">
        <f t="shared" ca="1" si="8"/>
        <v>2318</v>
      </c>
      <c r="U62" t="s">
        <v>562</v>
      </c>
      <c r="V62" t="s">
        <v>565</v>
      </c>
      <c r="W62" t="str">
        <f t="shared" si="9"/>
        <v>No options</v>
      </c>
      <c r="X62" s="110" t="s">
        <v>891</v>
      </c>
      <c r="Y62" s="110"/>
      <c r="Z62" t="str">
        <f t="shared" ca="1" si="10"/>
        <v>Expiring &lt; 6 Months</v>
      </c>
      <c r="AA62">
        <f t="shared" ca="1" si="11"/>
        <v>1</v>
      </c>
      <c r="AB62">
        <f t="shared" ca="1" si="12"/>
        <v>0</v>
      </c>
      <c r="AC62">
        <f t="shared" ca="1" si="13"/>
        <v>1</v>
      </c>
      <c r="AD62" t="str">
        <f t="shared" si="14"/>
        <v>Safe</v>
      </c>
    </row>
    <row r="63" spans="1:30" hidden="1">
      <c r="A63" s="48" t="str">
        <f>TEXT(Table2[[#This Row],[MB END]],"mmmm")</f>
        <v>February</v>
      </c>
      <c r="B63" s="48" t="str">
        <f>TEXT(Table2[[#This Row],[MB END]],"yyyy")</f>
        <v>2018</v>
      </c>
      <c r="C63" s="116" t="s">
        <v>655</v>
      </c>
      <c r="D63" s="27" t="s">
        <v>64</v>
      </c>
      <c r="E63" s="28">
        <v>41698</v>
      </c>
      <c r="F63" s="28">
        <v>43158</v>
      </c>
      <c r="G63" s="27" t="s">
        <v>656</v>
      </c>
      <c r="H63" s="27" t="s">
        <v>190</v>
      </c>
      <c r="I63" s="5">
        <v>1550000</v>
      </c>
      <c r="J63" s="5">
        <v>994663.36</v>
      </c>
      <c r="K63" s="29">
        <f t="shared" si="0"/>
        <v>0.64171829677419356</v>
      </c>
      <c r="L63" s="23">
        <f t="shared" si="1"/>
        <v>47.9</v>
      </c>
      <c r="M63" s="30">
        <f t="shared" si="2"/>
        <v>2.0876826722338204E-2</v>
      </c>
      <c r="N63" s="24">
        <f t="shared" ca="1" si="3"/>
        <v>45.466666666666669</v>
      </c>
      <c r="O63" s="30">
        <f t="shared" ca="1" si="4"/>
        <v>1.4114038785356163E-2</v>
      </c>
      <c r="P63" s="26" t="str">
        <f t="shared" ca="1" si="5"/>
        <v>Desired Burn Rate</v>
      </c>
      <c r="Q63" s="24">
        <f t="shared" ca="1" si="6"/>
        <v>70.851441972622112</v>
      </c>
      <c r="R63" s="25">
        <f t="shared" ca="1" si="7"/>
        <v>43827</v>
      </c>
      <c r="S63" s="26" t="str">
        <f ca="1">TEXT(Table2[[#This Row],[Projected Limit Date]],"mmmm")</f>
        <v>December</v>
      </c>
      <c r="T63" s="26">
        <f t="shared" ca="1" si="8"/>
        <v>2020</v>
      </c>
      <c r="U63" s="31" t="s">
        <v>562</v>
      </c>
      <c r="V63" s="31" t="s">
        <v>657</v>
      </c>
      <c r="W63" s="32" t="str">
        <f t="shared" si="9"/>
        <v>Options</v>
      </c>
      <c r="X63" s="31" t="s">
        <v>905</v>
      </c>
      <c r="Y63" s="35"/>
      <c r="Z63" t="str">
        <f t="shared" ca="1" si="10"/>
        <v>Expiring &lt; 6 Months</v>
      </c>
      <c r="AA63">
        <f t="shared" ca="1" si="11"/>
        <v>1</v>
      </c>
      <c r="AB63">
        <f t="shared" ca="1" si="12"/>
        <v>0</v>
      </c>
      <c r="AC63">
        <f t="shared" ca="1" si="13"/>
        <v>0</v>
      </c>
      <c r="AD63" t="str">
        <f t="shared" si="14"/>
        <v>Safe</v>
      </c>
    </row>
    <row r="64" spans="1:30" hidden="1">
      <c r="A64" s="48" t="str">
        <f>TEXT(Table2[[#This Row],[MB END]],"mmmm")</f>
        <v>February</v>
      </c>
      <c r="B64" s="48" t="str">
        <f>TEXT(Table2[[#This Row],[MB END]],"yyyy")</f>
        <v>2018</v>
      </c>
      <c r="C64" s="117" t="s">
        <v>111</v>
      </c>
      <c r="D64" s="1" t="s">
        <v>58</v>
      </c>
      <c r="E64" s="2">
        <v>41334</v>
      </c>
      <c r="F64" s="28">
        <v>43159</v>
      </c>
      <c r="G64" s="1" t="s">
        <v>112</v>
      </c>
      <c r="H64" s="1" t="s">
        <v>113</v>
      </c>
      <c r="I64" s="5">
        <v>52500000</v>
      </c>
      <c r="J64" s="5">
        <v>36287410.329999998</v>
      </c>
      <c r="K64" s="19">
        <f t="shared" si="0"/>
        <v>0.69118876819047614</v>
      </c>
      <c r="L64" s="16">
        <f t="shared" si="1"/>
        <v>59.9</v>
      </c>
      <c r="M64" s="19">
        <f t="shared" si="2"/>
        <v>1.6694490818030049E-2</v>
      </c>
      <c r="N64" s="16">
        <f t="shared" ca="1" si="3"/>
        <v>57.43333333333333</v>
      </c>
      <c r="O64" s="19">
        <f t="shared" ca="1" si="4"/>
        <v>1.203462742061189E-2</v>
      </c>
      <c r="P64" t="str">
        <f t="shared" ca="1" si="5"/>
        <v>Desired Burn Rate</v>
      </c>
      <c r="Q64" s="16">
        <f t="shared" ca="1" si="6"/>
        <v>83.093557037526949</v>
      </c>
      <c r="R64" s="14">
        <f t="shared" ca="1" si="7"/>
        <v>43862</v>
      </c>
      <c r="S64" t="str">
        <f ca="1">TEXT(Table2[[#This Row],[Projected Limit Date]],"mmmm")</f>
        <v>February</v>
      </c>
      <c r="T64">
        <f t="shared" ca="1" si="8"/>
        <v>2020</v>
      </c>
      <c r="U64" t="s">
        <v>562</v>
      </c>
      <c r="V64" t="s">
        <v>565</v>
      </c>
      <c r="W64" t="str">
        <f t="shared" si="9"/>
        <v>No options</v>
      </c>
      <c r="X64" s="109" t="s">
        <v>852</v>
      </c>
      <c r="Y64" s="110"/>
      <c r="Z64" t="str">
        <f t="shared" ca="1" si="10"/>
        <v>Expiring &lt; 6 Months</v>
      </c>
      <c r="AA64">
        <f t="shared" ca="1" si="11"/>
        <v>1</v>
      </c>
      <c r="AB64">
        <f t="shared" ca="1" si="12"/>
        <v>0</v>
      </c>
      <c r="AC64">
        <f t="shared" ca="1" si="13"/>
        <v>1</v>
      </c>
      <c r="AD64" t="str">
        <f t="shared" si="14"/>
        <v>Safe</v>
      </c>
    </row>
    <row r="65" spans="1:30" hidden="1">
      <c r="A65" s="48" t="str">
        <f>TEXT(Table2[[#This Row],[MB END]],"mmmm")</f>
        <v>February</v>
      </c>
      <c r="B65" s="48" t="str">
        <f>TEXT(Table2[[#This Row],[MB END]],"yyyy")</f>
        <v>2018</v>
      </c>
      <c r="C65" s="117" t="s">
        <v>117</v>
      </c>
      <c r="D65" s="1" t="s">
        <v>24</v>
      </c>
      <c r="E65" s="2">
        <v>41334</v>
      </c>
      <c r="F65" s="28">
        <v>43159</v>
      </c>
      <c r="G65" s="1" t="s">
        <v>118</v>
      </c>
      <c r="H65" s="1" t="s">
        <v>119</v>
      </c>
      <c r="I65" s="5">
        <v>30000</v>
      </c>
      <c r="J65" s="5">
        <v>2662.5</v>
      </c>
      <c r="K65" s="19">
        <f t="shared" si="0"/>
        <v>8.8749999999999996E-2</v>
      </c>
      <c r="L65" s="16">
        <f t="shared" si="1"/>
        <v>59.9</v>
      </c>
      <c r="M65" s="19">
        <f t="shared" si="2"/>
        <v>1.6694490818030049E-2</v>
      </c>
      <c r="N65" s="16">
        <f t="shared" ca="1" si="3"/>
        <v>57.43333333333333</v>
      </c>
      <c r="O65" s="19">
        <f t="shared" ca="1" si="4"/>
        <v>1.545269878119559E-3</v>
      </c>
      <c r="P65" t="str">
        <f t="shared" ca="1" si="5"/>
        <v>Desired Burn Rate</v>
      </c>
      <c r="Q65" s="16">
        <f t="shared" ca="1" si="6"/>
        <v>647.13615023474165</v>
      </c>
      <c r="R65" s="14">
        <f t="shared" ca="1" si="7"/>
        <v>61029</v>
      </c>
      <c r="S65" t="str">
        <f ca="1">TEXT(Table2[[#This Row],[Projected Limit Date]],"mmmm")</f>
        <v>February</v>
      </c>
      <c r="T65">
        <f t="shared" ca="1" si="8"/>
        <v>2067</v>
      </c>
      <c r="U65" t="s">
        <v>562</v>
      </c>
      <c r="V65" t="s">
        <v>565</v>
      </c>
      <c r="W65" t="str">
        <f t="shared" si="9"/>
        <v>No options</v>
      </c>
      <c r="X65" s="110" t="s">
        <v>891</v>
      </c>
      <c r="Y65" s="110"/>
      <c r="Z65" t="str">
        <f t="shared" ca="1" si="10"/>
        <v>Expiring &lt; 6 Months</v>
      </c>
      <c r="AA65">
        <f t="shared" ca="1" si="11"/>
        <v>1</v>
      </c>
      <c r="AB65">
        <f t="shared" ca="1" si="12"/>
        <v>0</v>
      </c>
      <c r="AC65">
        <f t="shared" ca="1" si="13"/>
        <v>1</v>
      </c>
      <c r="AD65" t="str">
        <f t="shared" si="14"/>
        <v>Safe</v>
      </c>
    </row>
    <row r="66" spans="1:30" hidden="1">
      <c r="A66" s="48" t="str">
        <f>TEXT(Table2[[#This Row],[MB END]],"mmmm")</f>
        <v>March</v>
      </c>
      <c r="B66" s="48" t="str">
        <f>TEXT(Table2[[#This Row],[MB END]],"yyyy")</f>
        <v>2018</v>
      </c>
      <c r="C66" s="117" t="s">
        <v>105</v>
      </c>
      <c r="D66" s="1" t="s">
        <v>24</v>
      </c>
      <c r="E66" s="2">
        <v>41339</v>
      </c>
      <c r="F66" s="28">
        <v>43164</v>
      </c>
      <c r="G66" s="1" t="s">
        <v>106</v>
      </c>
      <c r="H66" s="1" t="s">
        <v>107</v>
      </c>
      <c r="I66" s="5">
        <v>20000</v>
      </c>
      <c r="J66" s="5">
        <v>6687.68</v>
      </c>
      <c r="K66" s="19">
        <f t="shared" ref="K66:K128" si="15">J66/I66</f>
        <v>0.33438400000000001</v>
      </c>
      <c r="L66" s="16">
        <f t="shared" ref="L66:L128" si="16">DAYS360(E66,F66,FALSE)/30</f>
        <v>59.966666666666669</v>
      </c>
      <c r="M66" s="19">
        <f t="shared" ref="M66:M128" si="17">(I66/L66)/I66</f>
        <v>1.6675931072818232E-2</v>
      </c>
      <c r="N66" s="16">
        <f t="shared" ref="N66:N128" ca="1" si="18">DAYS360(E66,$AE$1,)/30</f>
        <v>57.266666666666666</v>
      </c>
      <c r="O66" s="19">
        <f t="shared" ref="O66:O128" ca="1" si="19">(J66/N66)/I66</f>
        <v>5.83906868451688E-3</v>
      </c>
      <c r="P66" t="str">
        <f t="shared" ref="P66:P128" ca="1" si="20">IF(AND(O66&gt;M66,O66&lt;(2*M66)),"High Burn Rate",IF(O66&gt;=(2*M66),"Really High Burn Rate","Desired Burn Rate"))</f>
        <v>Desired Burn Rate</v>
      </c>
      <c r="Q66" s="16">
        <f t="shared" ref="Q66:Q128" ca="1" si="21">I66/(J66/N66)</f>
        <v>171.26018788777773</v>
      </c>
      <c r="R66" s="14">
        <f t="shared" ref="R66:R128" ca="1" si="22">EDATE(E66,Q66)</f>
        <v>46544</v>
      </c>
      <c r="S66" t="str">
        <f ca="1">TEXT(Table2[[#This Row],[Projected Limit Date]],"mmmm")</f>
        <v>June</v>
      </c>
      <c r="T66">
        <f t="shared" ref="T66:T128" ca="1" si="23">YEAR(DATE(YEAR(R66),MONTH(R66)+($AF$1-1),1))</f>
        <v>2027</v>
      </c>
      <c r="U66" t="s">
        <v>562</v>
      </c>
      <c r="V66" t="s">
        <v>565</v>
      </c>
      <c r="W66" t="str">
        <f t="shared" ref="W66:W128" si="24">IF(V66="No options","No options","Options")</f>
        <v>No options</v>
      </c>
      <c r="X66" s="110" t="s">
        <v>891</v>
      </c>
      <c r="Y66" s="110"/>
      <c r="Z66" t="str">
        <f t="shared" ref="Z66:Z128" ca="1" si="25">IF((DAYS360($AE$1,F66,)/30)&lt;=6,"Expiring &lt; 6 Months","Expiring &gt; 6 Months")</f>
        <v>Expiring &lt; 6 Months</v>
      </c>
      <c r="AA66">
        <f t="shared" ref="AA66:AA128" ca="1" si="26">IF(Z66="Expiring &lt; 6 Months",1,0)</f>
        <v>1</v>
      </c>
      <c r="AB66">
        <f t="shared" ref="AB66:AB128" ca="1" si="27">IF(Z66="Expiring &gt; 12 Months",1,0)</f>
        <v>0</v>
      </c>
      <c r="AC66">
        <f t="shared" ref="AC66:AC128" ca="1" si="28">IF(AND(W66="No Options",AA66=1),1,0)</f>
        <v>1</v>
      </c>
      <c r="AD66" t="str">
        <f t="shared" ref="AD66:AD128" si="29">IF(K66&gt;=0.75,"Reaching Spending Limit","Safe")</f>
        <v>Safe</v>
      </c>
    </row>
    <row r="67" spans="1:30" hidden="1">
      <c r="A67" s="106" t="str">
        <f>TEXT(Table2[[#This Row],[MB END]],"mmmm")</f>
        <v>March</v>
      </c>
      <c r="B67" s="106" t="str">
        <f>TEXT(Table2[[#This Row],[MB END]],"yyyy")</f>
        <v>2018</v>
      </c>
      <c r="C67" s="117" t="s">
        <v>830</v>
      </c>
      <c r="D67" s="1" t="s">
        <v>58</v>
      </c>
      <c r="E67" s="2">
        <v>42985</v>
      </c>
      <c r="F67" s="28">
        <v>43166</v>
      </c>
      <c r="G67" s="1" t="s">
        <v>835</v>
      </c>
      <c r="H67" s="1" t="s">
        <v>300</v>
      </c>
      <c r="I67" s="5">
        <v>4990</v>
      </c>
      <c r="J67" s="5">
        <v>0</v>
      </c>
      <c r="K67" s="19">
        <f t="shared" si="15"/>
        <v>0</v>
      </c>
      <c r="L67" s="16">
        <f t="shared" si="16"/>
        <v>6</v>
      </c>
      <c r="M67" s="105">
        <f t="shared" si="17"/>
        <v>0.16666666666666666</v>
      </c>
      <c r="N67" s="16">
        <f t="shared" ca="1" si="18"/>
        <v>3.2333333333333334</v>
      </c>
      <c r="O67" s="105">
        <f t="shared" ca="1" si="19"/>
        <v>0</v>
      </c>
      <c r="P67" s="102" t="str">
        <f t="shared" ca="1" si="20"/>
        <v>Desired Burn Rate</v>
      </c>
      <c r="Q67" s="16" t="e">
        <f t="shared" ca="1" si="21"/>
        <v>#DIV/0!</v>
      </c>
      <c r="R67" s="14" t="e">
        <f t="shared" ca="1" si="22"/>
        <v>#DIV/0!</v>
      </c>
      <c r="S67" s="102" t="e">
        <f ca="1">TEXT(Table2[[#This Row],[Projected Limit Date]],"mmmm")</f>
        <v>#DIV/0!</v>
      </c>
      <c r="T67" s="102" t="e">
        <f t="shared" ca="1" si="23"/>
        <v>#DIV/0!</v>
      </c>
      <c r="U67" s="102" t="s">
        <v>562</v>
      </c>
      <c r="V67" s="102" t="s">
        <v>565</v>
      </c>
      <c r="W67" s="102" t="str">
        <f t="shared" si="24"/>
        <v>No options</v>
      </c>
      <c r="X67" s="125" t="s">
        <v>914</v>
      </c>
      <c r="Y67" s="110"/>
      <c r="Z67" s="102" t="str">
        <f t="shared" ca="1" si="25"/>
        <v>Expiring &lt; 6 Months</v>
      </c>
      <c r="AA67" s="102">
        <f t="shared" ca="1" si="26"/>
        <v>1</v>
      </c>
      <c r="AB67" s="102">
        <f t="shared" ca="1" si="27"/>
        <v>0</v>
      </c>
      <c r="AC67" s="102">
        <f t="shared" ca="1" si="28"/>
        <v>1</v>
      </c>
      <c r="AD67" s="102" t="str">
        <f t="shared" si="29"/>
        <v>Safe</v>
      </c>
    </row>
    <row r="68" spans="1:30" hidden="1">
      <c r="A68" s="48" t="str">
        <f>TEXT(Table2[[#This Row],[MB END]],"mmmm")</f>
        <v>March</v>
      </c>
      <c r="B68" s="48" t="str">
        <f>TEXT(Table2[[#This Row],[MB END]],"yyyy")</f>
        <v>2018</v>
      </c>
      <c r="C68" s="117" t="s">
        <v>298</v>
      </c>
      <c r="D68" s="1" t="s">
        <v>58</v>
      </c>
      <c r="E68" s="2">
        <v>42071</v>
      </c>
      <c r="F68" s="28">
        <v>43166</v>
      </c>
      <c r="G68" s="1" t="s">
        <v>299</v>
      </c>
      <c r="H68" s="1" t="s">
        <v>300</v>
      </c>
      <c r="I68" s="5">
        <v>6000</v>
      </c>
      <c r="J68" s="5">
        <v>2840</v>
      </c>
      <c r="K68" s="19">
        <f t="shared" si="15"/>
        <v>0.47333333333333333</v>
      </c>
      <c r="L68" s="16">
        <f t="shared" si="16"/>
        <v>35.966666666666669</v>
      </c>
      <c r="M68" s="19">
        <f t="shared" si="17"/>
        <v>2.780352177942539E-2</v>
      </c>
      <c r="N68" s="16">
        <f t="shared" ca="1" si="18"/>
        <v>33.200000000000003</v>
      </c>
      <c r="O68" s="19">
        <f t="shared" ca="1" si="19"/>
        <v>1.4257028112449797E-2</v>
      </c>
      <c r="P68" t="str">
        <f t="shared" ca="1" si="20"/>
        <v>Desired Burn Rate</v>
      </c>
      <c r="Q68" s="16">
        <f t="shared" ca="1" si="21"/>
        <v>70.140845070422543</v>
      </c>
      <c r="R68" s="14">
        <f t="shared" ca="1" si="22"/>
        <v>44204</v>
      </c>
      <c r="S68" t="str">
        <f ca="1">TEXT(Table2[[#This Row],[Projected Limit Date]],"mmmm")</f>
        <v>January</v>
      </c>
      <c r="T68">
        <f t="shared" ca="1" si="23"/>
        <v>2021</v>
      </c>
      <c r="U68" t="s">
        <v>562</v>
      </c>
      <c r="V68" t="s">
        <v>565</v>
      </c>
      <c r="W68" t="str">
        <f t="shared" si="24"/>
        <v>No options</v>
      </c>
      <c r="X68" s="129" t="s">
        <v>916</v>
      </c>
      <c r="Z68" t="str">
        <f t="shared" ca="1" si="25"/>
        <v>Expiring &lt; 6 Months</v>
      </c>
      <c r="AA68">
        <f t="shared" ca="1" si="26"/>
        <v>1</v>
      </c>
      <c r="AB68">
        <f t="shared" ca="1" si="27"/>
        <v>0</v>
      </c>
      <c r="AC68">
        <f t="shared" ca="1" si="28"/>
        <v>1</v>
      </c>
      <c r="AD68" t="str">
        <f t="shared" si="29"/>
        <v>Safe</v>
      </c>
    </row>
    <row r="69" spans="1:30" hidden="1">
      <c r="A69" s="48" t="str">
        <f>TEXT(Table2[[#This Row],[MB END]],"mmmm")</f>
        <v>March</v>
      </c>
      <c r="B69" s="48" t="str">
        <f>TEXT(Table2[[#This Row],[MB END]],"yyyy")</f>
        <v>2018</v>
      </c>
      <c r="C69" s="117" t="s">
        <v>307</v>
      </c>
      <c r="D69" s="1" t="s">
        <v>136</v>
      </c>
      <c r="E69" s="2">
        <v>42074</v>
      </c>
      <c r="F69" s="28">
        <v>43169</v>
      </c>
      <c r="G69" s="1" t="s">
        <v>308</v>
      </c>
      <c r="H69" s="1" t="s">
        <v>292</v>
      </c>
      <c r="I69" s="5">
        <v>3000000</v>
      </c>
      <c r="J69" s="5">
        <v>998401.07</v>
      </c>
      <c r="K69" s="19">
        <f t="shared" si="15"/>
        <v>0.33280035666666663</v>
      </c>
      <c r="L69" s="16">
        <f t="shared" si="16"/>
        <v>35.966666666666669</v>
      </c>
      <c r="M69" s="19">
        <f t="shared" si="17"/>
        <v>2.7803521779425393E-2</v>
      </c>
      <c r="N69" s="16">
        <f t="shared" ca="1" si="18"/>
        <v>33.1</v>
      </c>
      <c r="O69" s="19">
        <f t="shared" ca="1" si="19"/>
        <v>1.0054391440080562E-2</v>
      </c>
      <c r="P69" t="str">
        <f t="shared" ca="1" si="20"/>
        <v>Desired Burn Rate</v>
      </c>
      <c r="Q69" s="16">
        <f t="shared" ca="1" si="21"/>
        <v>99.459028023677917</v>
      </c>
      <c r="R69" s="14">
        <f t="shared" ca="1" si="22"/>
        <v>45088</v>
      </c>
      <c r="S69" t="str">
        <f ca="1">TEXT(Table2[[#This Row],[Projected Limit Date]],"mmmm")</f>
        <v>June</v>
      </c>
      <c r="T69">
        <f t="shared" ca="1" si="23"/>
        <v>2023</v>
      </c>
      <c r="U69" t="s">
        <v>562</v>
      </c>
      <c r="V69" t="s">
        <v>594</v>
      </c>
      <c r="W69" t="str">
        <f t="shared" si="24"/>
        <v>Options</v>
      </c>
      <c r="X69" s="110" t="s">
        <v>811</v>
      </c>
      <c r="Z69" t="str">
        <f t="shared" ca="1" si="25"/>
        <v>Expiring &lt; 6 Months</v>
      </c>
      <c r="AA69">
        <f t="shared" ca="1" si="26"/>
        <v>1</v>
      </c>
      <c r="AB69">
        <f t="shared" ca="1" si="27"/>
        <v>0</v>
      </c>
      <c r="AC69">
        <f t="shared" ca="1" si="28"/>
        <v>0</v>
      </c>
      <c r="AD69" t="str">
        <f t="shared" si="29"/>
        <v>Safe</v>
      </c>
    </row>
    <row r="70" spans="1:30" hidden="1">
      <c r="A70" s="48" t="str">
        <f>TEXT(Table2[[#This Row],[MB END]],"mmmm")</f>
        <v>March</v>
      </c>
      <c r="B70" s="48" t="str">
        <f>TEXT(Table2[[#This Row],[MB END]],"yyyy")</f>
        <v>2018</v>
      </c>
      <c r="C70" s="117" t="s">
        <v>163</v>
      </c>
      <c r="D70" s="1" t="s">
        <v>889</v>
      </c>
      <c r="E70" s="2">
        <v>41710</v>
      </c>
      <c r="F70" s="28">
        <v>43170</v>
      </c>
      <c r="G70" s="1" t="s">
        <v>164</v>
      </c>
      <c r="H70" s="1" t="s">
        <v>165</v>
      </c>
      <c r="I70" s="5">
        <v>1000000</v>
      </c>
      <c r="J70" s="5">
        <v>515409.62</v>
      </c>
      <c r="K70" s="19">
        <f t="shared" si="15"/>
        <v>0.51540962000000001</v>
      </c>
      <c r="L70" s="16">
        <f t="shared" si="16"/>
        <v>47.966666666666669</v>
      </c>
      <c r="M70" s="19">
        <f t="shared" si="17"/>
        <v>2.0847810979847115E-2</v>
      </c>
      <c r="N70" s="16">
        <f t="shared" ca="1" si="18"/>
        <v>45.06666666666667</v>
      </c>
      <c r="O70" s="19">
        <f t="shared" ca="1" si="19"/>
        <v>1.143660399408284E-2</v>
      </c>
      <c r="P70" t="str">
        <f t="shared" ca="1" si="20"/>
        <v>Desired Burn Rate</v>
      </c>
      <c r="Q70" s="16">
        <f t="shared" ca="1" si="21"/>
        <v>87.438543864716124</v>
      </c>
      <c r="R70" s="14">
        <f t="shared" ca="1" si="22"/>
        <v>44359</v>
      </c>
      <c r="S70" t="str">
        <f ca="1">TEXT(Table2[[#This Row],[Projected Limit Date]],"mmmm")</f>
        <v>June</v>
      </c>
      <c r="T70">
        <f t="shared" ca="1" si="23"/>
        <v>2021</v>
      </c>
      <c r="U70" t="s">
        <v>562</v>
      </c>
      <c r="V70" t="s">
        <v>573</v>
      </c>
      <c r="W70" t="str">
        <f t="shared" si="24"/>
        <v>Options</v>
      </c>
      <c r="X70" t="s">
        <v>918</v>
      </c>
      <c r="Z70" t="str">
        <f t="shared" ca="1" si="25"/>
        <v>Expiring &lt; 6 Months</v>
      </c>
      <c r="AA70">
        <f t="shared" ca="1" si="26"/>
        <v>1</v>
      </c>
      <c r="AB70">
        <f t="shared" ca="1" si="27"/>
        <v>0</v>
      </c>
      <c r="AC70">
        <f t="shared" ca="1" si="28"/>
        <v>0</v>
      </c>
      <c r="AD70" t="str">
        <f t="shared" si="29"/>
        <v>Safe</v>
      </c>
    </row>
    <row r="71" spans="1:30" hidden="1">
      <c r="A71" s="48" t="str">
        <f>TEXT(Table2[[#This Row],[MB END]],"mmmm")</f>
        <v>March</v>
      </c>
      <c r="B71" s="48" t="str">
        <f>TEXT(Table2[[#This Row],[MB END]],"yyyy")</f>
        <v>2018</v>
      </c>
      <c r="C71" s="117" t="s">
        <v>166</v>
      </c>
      <c r="D71" s="1" t="s">
        <v>889</v>
      </c>
      <c r="E71" s="2">
        <v>41710</v>
      </c>
      <c r="F71" s="28">
        <v>43170</v>
      </c>
      <c r="G71" s="1" t="s">
        <v>164</v>
      </c>
      <c r="H71" s="1" t="s">
        <v>131</v>
      </c>
      <c r="I71" s="5">
        <v>8750000</v>
      </c>
      <c r="J71" s="5">
        <v>7061028.4900000002</v>
      </c>
      <c r="K71" s="19">
        <f t="shared" si="15"/>
        <v>0.80697468457142862</v>
      </c>
      <c r="L71" s="16">
        <f t="shared" si="16"/>
        <v>47.966666666666669</v>
      </c>
      <c r="M71" s="19">
        <f t="shared" si="17"/>
        <v>2.0847810979847115E-2</v>
      </c>
      <c r="N71" s="16">
        <f t="shared" ca="1" si="18"/>
        <v>45.06666666666667</v>
      </c>
      <c r="O71" s="19">
        <f t="shared" ca="1" si="19"/>
        <v>1.7906243000845309E-2</v>
      </c>
      <c r="P71" t="str">
        <f t="shared" ca="1" si="20"/>
        <v>Desired Burn Rate</v>
      </c>
      <c r="Q71" s="16">
        <f t="shared" ca="1" si="21"/>
        <v>55.846444167701314</v>
      </c>
      <c r="R71" s="14">
        <f t="shared" ca="1" si="22"/>
        <v>43385</v>
      </c>
      <c r="S71" t="str">
        <f ca="1">TEXT(Table2[[#This Row],[Projected Limit Date]],"mmmm")</f>
        <v>October</v>
      </c>
      <c r="T71">
        <f t="shared" ca="1" si="23"/>
        <v>2019</v>
      </c>
      <c r="U71" t="s">
        <v>562</v>
      </c>
      <c r="V71" t="s">
        <v>573</v>
      </c>
      <c r="W71" t="str">
        <f t="shared" si="24"/>
        <v>Options</v>
      </c>
      <c r="X71" t="s">
        <v>918</v>
      </c>
      <c r="Z71" t="str">
        <f t="shared" ca="1" si="25"/>
        <v>Expiring &lt; 6 Months</v>
      </c>
      <c r="AA71">
        <f t="shared" ca="1" si="26"/>
        <v>1</v>
      </c>
      <c r="AB71">
        <f t="shared" ca="1" si="27"/>
        <v>0</v>
      </c>
      <c r="AC71">
        <f t="shared" ca="1" si="28"/>
        <v>0</v>
      </c>
      <c r="AD71" t="str">
        <f t="shared" si="29"/>
        <v>Reaching Spending Limit</v>
      </c>
    </row>
    <row r="72" spans="1:30" hidden="1">
      <c r="A72" s="48" t="str">
        <f>TEXT(Table2[[#This Row],[MB END]],"mmmm")</f>
        <v>March</v>
      </c>
      <c r="B72" s="48" t="str">
        <f>TEXT(Table2[[#This Row],[MB END]],"yyyy")</f>
        <v>2018</v>
      </c>
      <c r="C72" s="117" t="s">
        <v>519</v>
      </c>
      <c r="D72" s="1" t="s">
        <v>7</v>
      </c>
      <c r="E72" s="2">
        <v>42808</v>
      </c>
      <c r="F72" s="28">
        <v>43172</v>
      </c>
      <c r="G72" s="1" t="s">
        <v>520</v>
      </c>
      <c r="H72" s="1" t="s">
        <v>521</v>
      </c>
      <c r="I72" s="5">
        <v>19000</v>
      </c>
      <c r="J72" s="5">
        <v>4731.25</v>
      </c>
      <c r="K72" s="19">
        <f t="shared" si="15"/>
        <v>0.24901315789473685</v>
      </c>
      <c r="L72" s="16">
        <f t="shared" si="16"/>
        <v>11.966666666666667</v>
      </c>
      <c r="M72" s="19">
        <f t="shared" si="17"/>
        <v>8.3565459610027842E-2</v>
      </c>
      <c r="N72" s="16">
        <f t="shared" ca="1" si="18"/>
        <v>9</v>
      </c>
      <c r="O72" s="19">
        <f t="shared" ca="1" si="19"/>
        <v>2.7668128654970762E-2</v>
      </c>
      <c r="P72" t="str">
        <f t="shared" ca="1" si="20"/>
        <v>Desired Burn Rate</v>
      </c>
      <c r="Q72" s="16">
        <f t="shared" ca="1" si="21"/>
        <v>36.14266842800528</v>
      </c>
      <c r="R72" s="14">
        <f t="shared" ca="1" si="22"/>
        <v>43904</v>
      </c>
      <c r="S72" t="str">
        <f ca="1">TEXT(Table2[[#This Row],[Projected Limit Date]],"mmmm")</f>
        <v>March</v>
      </c>
      <c r="T72">
        <f t="shared" ca="1" si="23"/>
        <v>2020</v>
      </c>
      <c r="U72" t="s">
        <v>562</v>
      </c>
      <c r="V72" t="s">
        <v>775</v>
      </c>
      <c r="W72" t="str">
        <f t="shared" si="24"/>
        <v>Options</v>
      </c>
      <c r="X72" s="31" t="s">
        <v>907</v>
      </c>
      <c r="Z72" t="str">
        <f t="shared" ca="1" si="25"/>
        <v>Expiring &lt; 6 Months</v>
      </c>
      <c r="AA72">
        <f t="shared" ca="1" si="26"/>
        <v>1</v>
      </c>
      <c r="AB72">
        <f t="shared" ca="1" si="27"/>
        <v>0</v>
      </c>
      <c r="AC72">
        <f t="shared" ca="1" si="28"/>
        <v>0</v>
      </c>
      <c r="AD72" t="str">
        <f t="shared" si="29"/>
        <v>Safe</v>
      </c>
    </row>
    <row r="73" spans="1:30" hidden="1">
      <c r="A73" s="48" t="str">
        <f>TEXT(Table2[[#This Row],[MB END]],"mmmm")</f>
        <v>March</v>
      </c>
      <c r="B73" s="48" t="str">
        <f>TEXT(Table2[[#This Row],[MB END]],"yyyy")</f>
        <v>2018</v>
      </c>
      <c r="C73" s="117" t="s">
        <v>120</v>
      </c>
      <c r="D73" s="1" t="s">
        <v>24</v>
      </c>
      <c r="E73" s="2">
        <v>41359</v>
      </c>
      <c r="F73" s="28">
        <v>43184</v>
      </c>
      <c r="G73" s="1" t="s">
        <v>121</v>
      </c>
      <c r="H73" s="1" t="s">
        <v>122</v>
      </c>
      <c r="I73" s="5">
        <v>24000</v>
      </c>
      <c r="J73" s="5">
        <v>0</v>
      </c>
      <c r="K73" s="19">
        <f t="shared" si="15"/>
        <v>0</v>
      </c>
      <c r="L73" s="16">
        <f t="shared" si="16"/>
        <v>59.966666666666669</v>
      </c>
      <c r="M73" s="19">
        <f t="shared" si="17"/>
        <v>1.6675931072818232E-2</v>
      </c>
      <c r="N73" s="16">
        <f t="shared" ca="1" si="18"/>
        <v>56.6</v>
      </c>
      <c r="O73" s="19">
        <f t="shared" ca="1" si="19"/>
        <v>0</v>
      </c>
      <c r="P73" t="str">
        <f t="shared" ca="1" si="20"/>
        <v>Desired Burn Rate</v>
      </c>
      <c r="Q73" s="16" t="e">
        <f t="shared" ca="1" si="21"/>
        <v>#DIV/0!</v>
      </c>
      <c r="R73" s="14" t="e">
        <f t="shared" ca="1" si="22"/>
        <v>#DIV/0!</v>
      </c>
      <c r="S73" t="e">
        <f ca="1">TEXT(Table2[[#This Row],[Projected Limit Date]],"mmmm")</f>
        <v>#DIV/0!</v>
      </c>
      <c r="T73" t="e">
        <f t="shared" ca="1" si="23"/>
        <v>#DIV/0!</v>
      </c>
      <c r="U73" t="s">
        <v>562</v>
      </c>
      <c r="V73" t="s">
        <v>565</v>
      </c>
      <c r="W73" t="str">
        <f t="shared" si="24"/>
        <v>No options</v>
      </c>
      <c r="X73" s="110" t="s">
        <v>891</v>
      </c>
      <c r="Z73" t="str">
        <f t="shared" ca="1" si="25"/>
        <v>Expiring &lt; 6 Months</v>
      </c>
      <c r="AA73">
        <f t="shared" ca="1" si="26"/>
        <v>1</v>
      </c>
      <c r="AB73">
        <f t="shared" ca="1" si="27"/>
        <v>0</v>
      </c>
      <c r="AC73">
        <f t="shared" ca="1" si="28"/>
        <v>1</v>
      </c>
      <c r="AD73" t="str">
        <f t="shared" si="29"/>
        <v>Safe</v>
      </c>
    </row>
    <row r="74" spans="1:30" hidden="1">
      <c r="A74" s="48" t="str">
        <f>TEXT(Table2[[#This Row],[MB END]],"mmmm")</f>
        <v>March</v>
      </c>
      <c r="B74" s="48" t="str">
        <f>TEXT(Table2[[#This Row],[MB END]],"yyyy")</f>
        <v>2018</v>
      </c>
      <c r="C74" s="117" t="s">
        <v>129</v>
      </c>
      <c r="D74" s="1" t="s">
        <v>7</v>
      </c>
      <c r="E74" s="2">
        <v>41365</v>
      </c>
      <c r="F74" s="28">
        <v>43190</v>
      </c>
      <c r="G74" s="1" t="s">
        <v>130</v>
      </c>
      <c r="H74" s="1" t="s">
        <v>131</v>
      </c>
      <c r="I74" s="5">
        <v>3250000</v>
      </c>
      <c r="J74" s="5">
        <v>2047738.22</v>
      </c>
      <c r="K74" s="19">
        <f t="shared" si="15"/>
        <v>0.63007329846153848</v>
      </c>
      <c r="L74" s="16">
        <f t="shared" si="16"/>
        <v>60</v>
      </c>
      <c r="M74" s="19">
        <f t="shared" si="17"/>
        <v>1.6666666666666666E-2</v>
      </c>
      <c r="N74" s="16">
        <f t="shared" ca="1" si="18"/>
        <v>56.43333333333333</v>
      </c>
      <c r="O74" s="19">
        <f t="shared" ca="1" si="19"/>
        <v>1.1164913735290109E-2</v>
      </c>
      <c r="P74" t="str">
        <f t="shared" ca="1" si="20"/>
        <v>Desired Burn Rate</v>
      </c>
      <c r="Q74" s="16">
        <f t="shared" ca="1" si="21"/>
        <v>89.566298827656453</v>
      </c>
      <c r="R74" s="14">
        <f t="shared" ca="1" si="22"/>
        <v>44075</v>
      </c>
      <c r="S74" t="str">
        <f ca="1">TEXT(Table2[[#This Row],[Projected Limit Date]],"mmmm")</f>
        <v>September</v>
      </c>
      <c r="T74">
        <f t="shared" ca="1" si="23"/>
        <v>2021</v>
      </c>
      <c r="U74" t="s">
        <v>562</v>
      </c>
      <c r="V74" t="s">
        <v>565</v>
      </c>
      <c r="W74" t="str">
        <f t="shared" si="24"/>
        <v>No options</v>
      </c>
      <c r="X74" s="125" t="s">
        <v>898</v>
      </c>
      <c r="Z74" t="str">
        <f t="shared" ca="1" si="25"/>
        <v>Expiring &lt; 6 Months</v>
      </c>
      <c r="AA74">
        <f t="shared" ca="1" si="26"/>
        <v>1</v>
      </c>
      <c r="AB74">
        <f t="shared" ca="1" si="27"/>
        <v>0</v>
      </c>
      <c r="AC74">
        <f t="shared" ca="1" si="28"/>
        <v>1</v>
      </c>
      <c r="AD74" t="str">
        <f t="shared" si="29"/>
        <v>Safe</v>
      </c>
    </row>
    <row r="75" spans="1:30">
      <c r="A75" s="48" t="str">
        <f>TEXT(Table2[[#This Row],[MB END]],"mmmm")</f>
        <v>March</v>
      </c>
      <c r="B75" s="48" t="str">
        <f>TEXT(Table2[[#This Row],[MB END]],"yyyy")</f>
        <v>2018</v>
      </c>
      <c r="C75" s="116" t="s">
        <v>667</v>
      </c>
      <c r="D75" s="27" t="s">
        <v>64</v>
      </c>
      <c r="E75" s="28">
        <v>42461</v>
      </c>
      <c r="F75" s="28">
        <v>43190</v>
      </c>
      <c r="G75" s="27" t="s">
        <v>665</v>
      </c>
      <c r="H75" s="27" t="s">
        <v>668</v>
      </c>
      <c r="I75" s="5">
        <v>94000</v>
      </c>
      <c r="J75" s="5">
        <v>72491.839999999997</v>
      </c>
      <c r="K75" s="29">
        <f t="shared" si="15"/>
        <v>0.77118978723404252</v>
      </c>
      <c r="L75" s="23">
        <f t="shared" si="16"/>
        <v>24</v>
      </c>
      <c r="M75" s="30">
        <f t="shared" si="17"/>
        <v>4.1666666666666664E-2</v>
      </c>
      <c r="N75" s="24">
        <f t="shared" ca="1" si="18"/>
        <v>20.433333333333334</v>
      </c>
      <c r="O75" s="30">
        <f t="shared" ca="1" si="19"/>
        <v>3.7741751414390338E-2</v>
      </c>
      <c r="P75" s="26" t="str">
        <f t="shared" ca="1" si="20"/>
        <v>Desired Burn Rate</v>
      </c>
      <c r="Q75" s="24">
        <f t="shared" ca="1" si="21"/>
        <v>26.495855717461904</v>
      </c>
      <c r="R75" s="25">
        <f t="shared" ca="1" si="22"/>
        <v>43252</v>
      </c>
      <c r="S75" s="26" t="str">
        <f ca="1">TEXT(Table2[[#This Row],[Projected Limit Date]],"mmmm")</f>
        <v>June</v>
      </c>
      <c r="T75" s="26">
        <f t="shared" ca="1" si="23"/>
        <v>2018</v>
      </c>
      <c r="U75" s="31" t="s">
        <v>563</v>
      </c>
      <c r="V75" s="31" t="s">
        <v>565</v>
      </c>
      <c r="W75" s="32" t="str">
        <f t="shared" si="24"/>
        <v>No options</v>
      </c>
      <c r="X75" s="31" t="s">
        <v>931</v>
      </c>
      <c r="Y75" s="31"/>
      <c r="Z75" t="str">
        <f t="shared" ca="1" si="25"/>
        <v>Expiring &lt; 6 Months</v>
      </c>
      <c r="AA75">
        <f t="shared" ca="1" si="26"/>
        <v>1</v>
      </c>
      <c r="AB75">
        <f t="shared" ca="1" si="27"/>
        <v>0</v>
      </c>
      <c r="AC75">
        <f t="shared" ca="1" si="28"/>
        <v>1</v>
      </c>
      <c r="AD75" t="str">
        <f t="shared" si="29"/>
        <v>Reaching Spending Limit</v>
      </c>
    </row>
    <row r="76" spans="1:30" hidden="1">
      <c r="A76" s="48" t="str">
        <f>TEXT(Table2[[#This Row],[MB END]],"mmmm")</f>
        <v>March</v>
      </c>
      <c r="B76" s="48" t="str">
        <f>TEXT(Table2[[#This Row],[MB END]],"yyyy")</f>
        <v>2018</v>
      </c>
      <c r="C76" s="117" t="s">
        <v>123</v>
      </c>
      <c r="D76" s="1" t="s">
        <v>7</v>
      </c>
      <c r="E76" s="2">
        <v>41365</v>
      </c>
      <c r="F76" s="28">
        <v>43190</v>
      </c>
      <c r="G76" s="1" t="s">
        <v>124</v>
      </c>
      <c r="H76" s="1" t="s">
        <v>125</v>
      </c>
      <c r="I76" s="5">
        <v>60000</v>
      </c>
      <c r="J76" s="5">
        <v>47872.75</v>
      </c>
      <c r="K76" s="19">
        <f t="shared" si="15"/>
        <v>0.79787916666666669</v>
      </c>
      <c r="L76" s="16">
        <f t="shared" si="16"/>
        <v>60</v>
      </c>
      <c r="M76" s="19">
        <f t="shared" si="17"/>
        <v>1.6666666666666666E-2</v>
      </c>
      <c r="N76" s="16">
        <f t="shared" ca="1" si="18"/>
        <v>56.43333333333333</v>
      </c>
      <c r="O76" s="19">
        <f t="shared" ca="1" si="19"/>
        <v>1.4138437684583581E-2</v>
      </c>
      <c r="P76" t="str">
        <f t="shared" ca="1" si="20"/>
        <v>Desired Burn Rate</v>
      </c>
      <c r="Q76" s="16">
        <f t="shared" ca="1" si="21"/>
        <v>70.729172650411769</v>
      </c>
      <c r="R76" s="14">
        <f t="shared" ca="1" si="22"/>
        <v>43497</v>
      </c>
      <c r="S76" t="str">
        <f ca="1">TEXT(Table2[[#This Row],[Projected Limit Date]],"mmmm")</f>
        <v>February</v>
      </c>
      <c r="T76">
        <f t="shared" ca="1" si="23"/>
        <v>2019</v>
      </c>
      <c r="U76" t="s">
        <v>562</v>
      </c>
      <c r="V76" t="s">
        <v>776</v>
      </c>
      <c r="W76" t="str">
        <f t="shared" si="24"/>
        <v>Options</v>
      </c>
      <c r="X76" s="31" t="s">
        <v>905</v>
      </c>
      <c r="Z76" t="str">
        <f t="shared" ca="1" si="25"/>
        <v>Expiring &lt; 6 Months</v>
      </c>
      <c r="AA76">
        <f t="shared" ca="1" si="26"/>
        <v>1</v>
      </c>
      <c r="AB76">
        <f t="shared" ca="1" si="27"/>
        <v>0</v>
      </c>
      <c r="AC76">
        <f t="shared" ca="1" si="28"/>
        <v>0</v>
      </c>
      <c r="AD76" t="str">
        <f t="shared" si="29"/>
        <v>Reaching Spending Limit</v>
      </c>
    </row>
    <row r="77" spans="1:30" hidden="1">
      <c r="A77" s="48" t="str">
        <f>TEXT(Table2[[#This Row],[MB END]],"mmmm")</f>
        <v>March</v>
      </c>
      <c r="B77" s="48" t="str">
        <f>TEXT(Table2[[#This Row],[MB END]],"yyyy")</f>
        <v>2018</v>
      </c>
      <c r="C77" s="117" t="s">
        <v>126</v>
      </c>
      <c r="D77" s="1" t="s">
        <v>7</v>
      </c>
      <c r="E77" s="2">
        <v>41365</v>
      </c>
      <c r="F77" s="28">
        <v>43190</v>
      </c>
      <c r="G77" s="1" t="s">
        <v>127</v>
      </c>
      <c r="H77" s="1" t="s">
        <v>128</v>
      </c>
      <c r="I77" s="5">
        <v>15000</v>
      </c>
      <c r="J77" s="5">
        <v>14150</v>
      </c>
      <c r="K77" s="19">
        <f t="shared" si="15"/>
        <v>0.94333333333333336</v>
      </c>
      <c r="L77" s="16">
        <f t="shared" si="16"/>
        <v>60</v>
      </c>
      <c r="M77" s="19">
        <f t="shared" si="17"/>
        <v>1.6666666666666666E-2</v>
      </c>
      <c r="N77" s="16">
        <f t="shared" ca="1" si="18"/>
        <v>56.43333333333333</v>
      </c>
      <c r="O77" s="19">
        <f t="shared" ca="1" si="19"/>
        <v>1.6715888954518608E-2</v>
      </c>
      <c r="P77" t="str">
        <f t="shared" ca="1" si="20"/>
        <v>High Burn Rate</v>
      </c>
      <c r="Q77" s="16">
        <f t="shared" ca="1" si="21"/>
        <v>59.823321554770317</v>
      </c>
      <c r="R77" s="14">
        <f t="shared" ca="1" si="22"/>
        <v>43160</v>
      </c>
      <c r="S77" t="str">
        <f ca="1">TEXT(Table2[[#This Row],[Projected Limit Date]],"mmmm")</f>
        <v>March</v>
      </c>
      <c r="T77">
        <f t="shared" ca="1" si="23"/>
        <v>2018</v>
      </c>
      <c r="U77" t="s">
        <v>562</v>
      </c>
      <c r="V77" t="s">
        <v>565</v>
      </c>
      <c r="W77" t="str">
        <f t="shared" si="24"/>
        <v>No options</v>
      </c>
      <c r="X77" s="31" t="s">
        <v>908</v>
      </c>
      <c r="Z77" t="str">
        <f t="shared" ca="1" si="25"/>
        <v>Expiring &lt; 6 Months</v>
      </c>
      <c r="AA77">
        <f t="shared" ca="1" si="26"/>
        <v>1</v>
      </c>
      <c r="AB77">
        <f t="shared" ca="1" si="27"/>
        <v>0</v>
      </c>
      <c r="AC77">
        <f t="shared" ca="1" si="28"/>
        <v>1</v>
      </c>
      <c r="AD77" t="str">
        <f t="shared" si="29"/>
        <v>Reaching Spending Limit</v>
      </c>
    </row>
    <row r="78" spans="1:30" hidden="1">
      <c r="A78" s="48" t="str">
        <f>TEXT(Table2[[#This Row],[MB END]],"mmmm")</f>
        <v>March</v>
      </c>
      <c r="B78" s="48" t="str">
        <f>TEXT(Table2[[#This Row],[MB END]],"yyyy")</f>
        <v>2018</v>
      </c>
      <c r="C78" s="117" t="s">
        <v>173</v>
      </c>
      <c r="D78" s="1" t="s">
        <v>7</v>
      </c>
      <c r="E78" s="2">
        <v>41730</v>
      </c>
      <c r="F78" s="28">
        <v>43190</v>
      </c>
      <c r="G78" s="1" t="s">
        <v>174</v>
      </c>
      <c r="H78" s="1" t="s">
        <v>40</v>
      </c>
      <c r="I78" s="5">
        <v>8800000</v>
      </c>
      <c r="J78" s="5">
        <v>6848530.1299999999</v>
      </c>
      <c r="K78" s="19">
        <f t="shared" si="15"/>
        <v>0.77824206022727271</v>
      </c>
      <c r="L78" s="16">
        <f t="shared" si="16"/>
        <v>48</v>
      </c>
      <c r="M78" s="19">
        <f t="shared" si="17"/>
        <v>2.0833333333333336E-2</v>
      </c>
      <c r="N78" s="16">
        <f t="shared" ca="1" si="18"/>
        <v>44.43333333333333</v>
      </c>
      <c r="O78" s="19">
        <f t="shared" ca="1" si="19"/>
        <v>1.7514825061378983E-2</v>
      </c>
      <c r="P78" t="str">
        <f t="shared" ca="1" si="20"/>
        <v>Desired Burn Rate</v>
      </c>
      <c r="Q78" s="16">
        <f t="shared" ca="1" si="21"/>
        <v>57.094489753428789</v>
      </c>
      <c r="R78" s="14">
        <f t="shared" ca="1" si="22"/>
        <v>43466</v>
      </c>
      <c r="S78" t="str">
        <f ca="1">TEXT(Table2[[#This Row],[Projected Limit Date]],"mmmm")</f>
        <v>January</v>
      </c>
      <c r="T78">
        <f t="shared" ca="1" si="23"/>
        <v>2019</v>
      </c>
      <c r="U78" t="s">
        <v>562</v>
      </c>
      <c r="V78" t="s">
        <v>569</v>
      </c>
      <c r="W78" t="str">
        <f t="shared" si="24"/>
        <v>Options</v>
      </c>
      <c r="X78" s="31" t="s">
        <v>907</v>
      </c>
      <c r="Y78" s="110"/>
      <c r="Z78" t="str">
        <f t="shared" ca="1" si="25"/>
        <v>Expiring &lt; 6 Months</v>
      </c>
      <c r="AA78">
        <f t="shared" ca="1" si="26"/>
        <v>1</v>
      </c>
      <c r="AB78">
        <f t="shared" ca="1" si="27"/>
        <v>0</v>
      </c>
      <c r="AC78">
        <f t="shared" ca="1" si="28"/>
        <v>0</v>
      </c>
      <c r="AD78" t="str">
        <f t="shared" si="29"/>
        <v>Reaching Spending Limit</v>
      </c>
    </row>
    <row r="79" spans="1:30" hidden="1">
      <c r="A79" s="48" t="str">
        <f>TEXT(Table2[[#This Row],[MB END]],"mmmm")</f>
        <v>March</v>
      </c>
      <c r="B79" s="48" t="str">
        <f>TEXT(Table2[[#This Row],[MB END]],"yyyy")</f>
        <v>2018</v>
      </c>
      <c r="C79" s="117" t="s">
        <v>304</v>
      </c>
      <c r="D79" s="1" t="s">
        <v>7</v>
      </c>
      <c r="E79" s="2">
        <v>42095</v>
      </c>
      <c r="F79" s="28">
        <v>43190</v>
      </c>
      <c r="G79" s="1" t="s">
        <v>305</v>
      </c>
      <c r="H79" s="1" t="s">
        <v>306</v>
      </c>
      <c r="I79" s="5">
        <v>19000</v>
      </c>
      <c r="J79" s="5">
        <v>0</v>
      </c>
      <c r="K79" s="19">
        <f t="shared" si="15"/>
        <v>0</v>
      </c>
      <c r="L79" s="16">
        <f t="shared" si="16"/>
        <v>36</v>
      </c>
      <c r="M79" s="19">
        <f t="shared" si="17"/>
        <v>2.777777777777778E-2</v>
      </c>
      <c r="N79" s="16">
        <f t="shared" ca="1" si="18"/>
        <v>32.43333333333333</v>
      </c>
      <c r="O79" s="19">
        <f t="shared" ca="1" si="19"/>
        <v>0</v>
      </c>
      <c r="P79" t="str">
        <f t="shared" ca="1" si="20"/>
        <v>Desired Burn Rate</v>
      </c>
      <c r="Q79" s="16" t="e">
        <f t="shared" ca="1" si="21"/>
        <v>#DIV/0!</v>
      </c>
      <c r="R79" s="14" t="e">
        <f t="shared" ca="1" si="22"/>
        <v>#DIV/0!</v>
      </c>
      <c r="S79" t="e">
        <f ca="1">TEXT(Table2[[#This Row],[Projected Limit Date]],"mmmm")</f>
        <v>#DIV/0!</v>
      </c>
      <c r="T79" t="e">
        <f t="shared" ca="1" si="23"/>
        <v>#DIV/0!</v>
      </c>
      <c r="U79" t="s">
        <v>562</v>
      </c>
      <c r="V79" t="s">
        <v>573</v>
      </c>
      <c r="W79" t="str">
        <f t="shared" si="24"/>
        <v>Options</v>
      </c>
      <c r="X79" s="31" t="s">
        <v>907</v>
      </c>
      <c r="Y79" s="110"/>
      <c r="Z79" t="str">
        <f t="shared" ca="1" si="25"/>
        <v>Expiring &lt; 6 Months</v>
      </c>
      <c r="AA79">
        <f t="shared" ca="1" si="26"/>
        <v>1</v>
      </c>
      <c r="AB79">
        <f t="shared" ca="1" si="27"/>
        <v>0</v>
      </c>
      <c r="AC79">
        <f t="shared" ca="1" si="28"/>
        <v>0</v>
      </c>
      <c r="AD79" t="str">
        <f t="shared" si="29"/>
        <v>Safe</v>
      </c>
    </row>
    <row r="80" spans="1:30" hidden="1">
      <c r="A80" s="48" t="str">
        <f>TEXT(Table2[[#This Row],[MB END]],"mmmm")</f>
        <v>March</v>
      </c>
      <c r="B80" s="48" t="str">
        <f>TEXT(Table2[[#This Row],[MB END]],"yyyy")</f>
        <v>2018</v>
      </c>
      <c r="C80" s="117" t="s">
        <v>309</v>
      </c>
      <c r="D80" s="1" t="s">
        <v>7</v>
      </c>
      <c r="E80" s="2">
        <v>42095</v>
      </c>
      <c r="F80" s="28">
        <v>43190</v>
      </c>
      <c r="G80" s="1" t="s">
        <v>310</v>
      </c>
      <c r="H80" s="1" t="s">
        <v>311</v>
      </c>
      <c r="I80" s="5">
        <v>49500</v>
      </c>
      <c r="J80" s="5">
        <v>42106.559999999998</v>
      </c>
      <c r="K80" s="19">
        <f t="shared" si="15"/>
        <v>0.8506375757575757</v>
      </c>
      <c r="L80" s="16">
        <f t="shared" si="16"/>
        <v>36</v>
      </c>
      <c r="M80" s="19">
        <f t="shared" si="17"/>
        <v>2.7777777777777776E-2</v>
      </c>
      <c r="N80" s="16">
        <f t="shared" ca="1" si="18"/>
        <v>32.43333333333333</v>
      </c>
      <c r="O80" s="19">
        <f t="shared" ca="1" si="19"/>
        <v>2.6227263384097917E-2</v>
      </c>
      <c r="P80" t="str">
        <f t="shared" ca="1" si="20"/>
        <v>Desired Burn Rate</v>
      </c>
      <c r="Q80" s="16">
        <f t="shared" ca="1" si="21"/>
        <v>38.128263149494991</v>
      </c>
      <c r="R80" s="14">
        <f t="shared" ca="1" si="22"/>
        <v>43252</v>
      </c>
      <c r="S80" t="str">
        <f ca="1">TEXT(Table2[[#This Row],[Projected Limit Date]],"mmmm")</f>
        <v>June</v>
      </c>
      <c r="T80">
        <f t="shared" ca="1" si="23"/>
        <v>2018</v>
      </c>
      <c r="U80" t="s">
        <v>562</v>
      </c>
      <c r="V80" t="s">
        <v>565</v>
      </c>
      <c r="W80" t="str">
        <f t="shared" si="24"/>
        <v>No options</v>
      </c>
      <c r="X80" s="31" t="s">
        <v>908</v>
      </c>
      <c r="Y80" s="110"/>
      <c r="Z80" t="str">
        <f t="shared" ca="1" si="25"/>
        <v>Expiring &lt; 6 Months</v>
      </c>
      <c r="AA80">
        <f t="shared" ca="1" si="26"/>
        <v>1</v>
      </c>
      <c r="AB80">
        <f t="shared" ca="1" si="27"/>
        <v>0</v>
      </c>
      <c r="AC80">
        <f t="shared" ca="1" si="28"/>
        <v>1</v>
      </c>
      <c r="AD80" t="str">
        <f t="shared" si="29"/>
        <v>Reaching Spending Limit</v>
      </c>
    </row>
    <row r="81" spans="1:30" hidden="1">
      <c r="A81" s="48" t="str">
        <f>TEXT(Table2[[#This Row],[MB END]],"mmmm")</f>
        <v>March</v>
      </c>
      <c r="B81" s="48" t="str">
        <f>TEXT(Table2[[#This Row],[MB END]],"yyyy")</f>
        <v>2018</v>
      </c>
      <c r="C81" s="117" t="s">
        <v>381</v>
      </c>
      <c r="D81" s="1" t="s">
        <v>58</v>
      </c>
      <c r="E81" s="2">
        <v>42461</v>
      </c>
      <c r="F81" s="28">
        <v>43190</v>
      </c>
      <c r="G81" s="1" t="s">
        <v>382</v>
      </c>
      <c r="H81" s="1" t="s">
        <v>383</v>
      </c>
      <c r="I81" s="5">
        <v>20000</v>
      </c>
      <c r="J81" s="5">
        <v>14691.2</v>
      </c>
      <c r="K81" s="19">
        <f t="shared" si="15"/>
        <v>0.73455999999999999</v>
      </c>
      <c r="L81" s="16">
        <f t="shared" si="16"/>
        <v>24</v>
      </c>
      <c r="M81" s="19">
        <f t="shared" si="17"/>
        <v>4.1666666666666671E-2</v>
      </c>
      <c r="N81" s="16">
        <f t="shared" ca="1" si="18"/>
        <v>20.433333333333334</v>
      </c>
      <c r="O81" s="19">
        <f t="shared" ca="1" si="19"/>
        <v>3.5949102773246332E-2</v>
      </c>
      <c r="P81" t="str">
        <f t="shared" ca="1" si="20"/>
        <v>Desired Burn Rate</v>
      </c>
      <c r="Q81" s="16">
        <f t="shared" ca="1" si="21"/>
        <v>27.817105931895739</v>
      </c>
      <c r="R81" s="14">
        <f t="shared" ca="1" si="22"/>
        <v>43282</v>
      </c>
      <c r="S81" t="str">
        <f ca="1">TEXT(Table2[[#This Row],[Projected Limit Date]],"mmmm")</f>
        <v>July</v>
      </c>
      <c r="T81">
        <f t="shared" ca="1" si="23"/>
        <v>2019</v>
      </c>
      <c r="U81" t="s">
        <v>562</v>
      </c>
      <c r="V81" t="s">
        <v>569</v>
      </c>
      <c r="W81" t="str">
        <f t="shared" si="24"/>
        <v>Options</v>
      </c>
      <c r="X81" s="120" t="s">
        <v>915</v>
      </c>
      <c r="Y81" s="110"/>
      <c r="Z81" t="str">
        <f t="shared" ca="1" si="25"/>
        <v>Expiring &lt; 6 Months</v>
      </c>
      <c r="AA81">
        <f t="shared" ca="1" si="26"/>
        <v>1</v>
      </c>
      <c r="AB81">
        <f t="shared" ca="1" si="27"/>
        <v>0</v>
      </c>
      <c r="AC81">
        <f t="shared" ca="1" si="28"/>
        <v>0</v>
      </c>
      <c r="AD81" t="str">
        <f t="shared" si="29"/>
        <v>Safe</v>
      </c>
    </row>
    <row r="82" spans="1:30" hidden="1">
      <c r="A82" s="48" t="str">
        <f>TEXT(Table2[[#This Row],[MB END]],"mmmm")</f>
        <v>March</v>
      </c>
      <c r="B82" s="48" t="str">
        <f>TEXT(Table2[[#This Row],[MB END]],"yyyy")</f>
        <v>2018</v>
      </c>
      <c r="C82" s="117" t="s">
        <v>522</v>
      </c>
      <c r="D82" s="1" t="s">
        <v>24</v>
      </c>
      <c r="E82" s="2">
        <v>42795</v>
      </c>
      <c r="F82" s="28">
        <v>43190</v>
      </c>
      <c r="G82" s="1" t="s">
        <v>523</v>
      </c>
      <c r="H82" s="1" t="s">
        <v>524</v>
      </c>
      <c r="I82" s="5">
        <v>38000</v>
      </c>
      <c r="J82" s="5">
        <v>10150</v>
      </c>
      <c r="K82" s="19">
        <f t="shared" si="15"/>
        <v>0.26710526315789473</v>
      </c>
      <c r="L82" s="16">
        <f t="shared" si="16"/>
        <v>13</v>
      </c>
      <c r="M82" s="19">
        <f t="shared" si="17"/>
        <v>7.6923076923076913E-2</v>
      </c>
      <c r="N82" s="16">
        <f t="shared" ca="1" si="18"/>
        <v>9.4333333333333336</v>
      </c>
      <c r="O82" s="19">
        <f t="shared" ca="1" si="19"/>
        <v>2.8315045564441137E-2</v>
      </c>
      <c r="P82" t="str">
        <f t="shared" ca="1" si="20"/>
        <v>Desired Burn Rate</v>
      </c>
      <c r="Q82" s="16">
        <f t="shared" ca="1" si="21"/>
        <v>35.31691297208539</v>
      </c>
      <c r="R82" s="14">
        <f t="shared" ca="1" si="22"/>
        <v>43862</v>
      </c>
      <c r="S82" t="str">
        <f ca="1">TEXT(Table2[[#This Row],[Projected Limit Date]],"mmmm")</f>
        <v>February</v>
      </c>
      <c r="T82">
        <f t="shared" ca="1" si="23"/>
        <v>2020</v>
      </c>
      <c r="U82" t="s">
        <v>562</v>
      </c>
      <c r="V82" t="s">
        <v>568</v>
      </c>
      <c r="W82" t="str">
        <f t="shared" si="24"/>
        <v>Options</v>
      </c>
      <c r="X82" s="110" t="s">
        <v>890</v>
      </c>
      <c r="Y82" s="110"/>
      <c r="Z82" t="str">
        <f t="shared" ca="1" si="25"/>
        <v>Expiring &lt; 6 Months</v>
      </c>
      <c r="AA82">
        <f t="shared" ca="1" si="26"/>
        <v>1</v>
      </c>
      <c r="AB82">
        <f t="shared" ca="1" si="27"/>
        <v>0</v>
      </c>
      <c r="AC82">
        <f t="shared" ca="1" si="28"/>
        <v>0</v>
      </c>
      <c r="AD82" t="str">
        <f t="shared" si="29"/>
        <v>Safe</v>
      </c>
    </row>
    <row r="83" spans="1:30">
      <c r="A83" s="48" t="str">
        <f>TEXT(Table2[[#This Row],[MB END]],"mmmm")</f>
        <v>March</v>
      </c>
      <c r="B83" s="48" t="str">
        <f>TEXT(Table2[[#This Row],[MB END]],"yyyy")</f>
        <v>2018</v>
      </c>
      <c r="C83" s="116" t="s">
        <v>658</v>
      </c>
      <c r="D83" s="27" t="s">
        <v>52</v>
      </c>
      <c r="E83" s="28">
        <v>42467</v>
      </c>
      <c r="F83" s="28">
        <v>43190</v>
      </c>
      <c r="G83" s="27" t="s">
        <v>659</v>
      </c>
      <c r="H83" s="27" t="s">
        <v>638</v>
      </c>
      <c r="I83" s="5">
        <v>2000000</v>
      </c>
      <c r="J83" s="5">
        <v>1998362.21</v>
      </c>
      <c r="K83" s="29">
        <f t="shared" si="15"/>
        <v>0.99918110500000001</v>
      </c>
      <c r="L83" s="23">
        <f t="shared" si="16"/>
        <v>23.8</v>
      </c>
      <c r="M83" s="30">
        <f t="shared" si="17"/>
        <v>4.2016806722689072E-2</v>
      </c>
      <c r="N83" s="24">
        <f t="shared" ca="1" si="18"/>
        <v>20.233333333333334</v>
      </c>
      <c r="O83" s="30">
        <f t="shared" ca="1" si="19"/>
        <v>4.9382921169686983E-2</v>
      </c>
      <c r="P83" s="26" t="str">
        <f t="shared" ca="1" si="20"/>
        <v>High Burn Rate</v>
      </c>
      <c r="Q83" s="24">
        <f t="shared" ca="1" si="21"/>
        <v>20.249915888204605</v>
      </c>
      <c r="R83" s="25">
        <f t="shared" ca="1" si="22"/>
        <v>43076</v>
      </c>
      <c r="S83" s="26" t="str">
        <f ca="1">TEXT(Table2[[#This Row],[Projected Limit Date]],"mmmm")</f>
        <v>December</v>
      </c>
      <c r="T83" s="26">
        <f t="shared" ca="1" si="23"/>
        <v>2018</v>
      </c>
      <c r="U83" s="31" t="s">
        <v>563</v>
      </c>
      <c r="V83" s="31" t="s">
        <v>660</v>
      </c>
      <c r="W83" s="32" t="str">
        <f t="shared" si="24"/>
        <v>Options</v>
      </c>
      <c r="X83" s="31" t="s">
        <v>876</v>
      </c>
      <c r="Y83" s="31" t="s">
        <v>947</v>
      </c>
      <c r="Z83" t="str">
        <f t="shared" ca="1" si="25"/>
        <v>Expiring &lt; 6 Months</v>
      </c>
      <c r="AA83">
        <f t="shared" ca="1" si="26"/>
        <v>1</v>
      </c>
      <c r="AB83">
        <f t="shared" ca="1" si="27"/>
        <v>0</v>
      </c>
      <c r="AC83">
        <f t="shared" ca="1" si="28"/>
        <v>0</v>
      </c>
      <c r="AD83" t="str">
        <f t="shared" si="29"/>
        <v>Reaching Spending Limit</v>
      </c>
    </row>
    <row r="84" spans="1:30" hidden="1">
      <c r="A84" s="48" t="str">
        <f>TEXT(Table2[[#This Row],[MB END]],"mmmm")</f>
        <v>March</v>
      </c>
      <c r="B84" s="48" t="str">
        <f>TEXT(Table2[[#This Row],[MB END]],"yyyy")</f>
        <v>2018</v>
      </c>
      <c r="C84" s="116" t="s">
        <v>661</v>
      </c>
      <c r="D84" s="27" t="s">
        <v>52</v>
      </c>
      <c r="E84" s="28">
        <v>42095</v>
      </c>
      <c r="F84" s="28">
        <v>43190</v>
      </c>
      <c r="G84" s="27" t="s">
        <v>662</v>
      </c>
      <c r="H84" s="27" t="s">
        <v>663</v>
      </c>
      <c r="I84" s="5">
        <v>400000</v>
      </c>
      <c r="J84" s="5">
        <v>135879.70000000001</v>
      </c>
      <c r="K84" s="29">
        <f t="shared" si="15"/>
        <v>0.33969925000000001</v>
      </c>
      <c r="L84" s="23">
        <f t="shared" si="16"/>
        <v>36</v>
      </c>
      <c r="M84" s="30">
        <f t="shared" si="17"/>
        <v>2.777777777777778E-2</v>
      </c>
      <c r="N84" s="24">
        <f t="shared" ca="1" si="18"/>
        <v>32.43333333333333</v>
      </c>
      <c r="O84" s="30">
        <f t="shared" ca="1" si="19"/>
        <v>1.0473769270298049E-2</v>
      </c>
      <c r="P84" s="26" t="str">
        <f t="shared" ca="1" si="20"/>
        <v>Desired Burn Rate</v>
      </c>
      <c r="Q84" s="24">
        <f t="shared" ca="1" si="21"/>
        <v>95.47661154192518</v>
      </c>
      <c r="R84" s="25">
        <f t="shared" ca="1" si="22"/>
        <v>44986</v>
      </c>
      <c r="S84" s="26" t="str">
        <f ca="1">TEXT(Table2[[#This Row],[Projected Limit Date]],"mmmm")</f>
        <v>March</v>
      </c>
      <c r="T84" s="26">
        <f t="shared" ca="1" si="23"/>
        <v>2023</v>
      </c>
      <c r="U84" t="s">
        <v>563</v>
      </c>
      <c r="V84" s="31" t="s">
        <v>660</v>
      </c>
      <c r="W84" s="32" t="str">
        <f t="shared" si="24"/>
        <v>Options</v>
      </c>
      <c r="X84" s="31" t="s">
        <v>876</v>
      </c>
      <c r="Y84" s="31"/>
      <c r="Z84" t="str">
        <f t="shared" ca="1" si="25"/>
        <v>Expiring &lt; 6 Months</v>
      </c>
      <c r="AA84">
        <f t="shared" ca="1" si="26"/>
        <v>1</v>
      </c>
      <c r="AB84">
        <f t="shared" ca="1" si="27"/>
        <v>0</v>
      </c>
      <c r="AC84">
        <f t="shared" ca="1" si="28"/>
        <v>0</v>
      </c>
      <c r="AD84" t="str">
        <f t="shared" si="29"/>
        <v>Safe</v>
      </c>
    </row>
    <row r="85" spans="1:30" hidden="1">
      <c r="A85" s="48" t="str">
        <f>TEXT(Table2[[#This Row],[MB END]],"mmmm")</f>
        <v>March</v>
      </c>
      <c r="B85" s="48" t="str">
        <f>TEXT(Table2[[#This Row],[MB END]],"yyyy")</f>
        <v>2018</v>
      </c>
      <c r="C85" s="116" t="s">
        <v>664</v>
      </c>
      <c r="D85" s="27" t="s">
        <v>64</v>
      </c>
      <c r="E85" s="28">
        <v>42461</v>
      </c>
      <c r="F85" s="28">
        <v>43190</v>
      </c>
      <c r="G85" s="27" t="s">
        <v>665</v>
      </c>
      <c r="H85" s="27" t="s">
        <v>591</v>
      </c>
      <c r="I85" s="5">
        <v>100000</v>
      </c>
      <c r="J85" s="5">
        <v>55061.82</v>
      </c>
      <c r="K85" s="29">
        <f t="shared" si="15"/>
        <v>0.55061819999999995</v>
      </c>
      <c r="L85" s="23">
        <f t="shared" si="16"/>
        <v>24</v>
      </c>
      <c r="M85" s="30">
        <f t="shared" si="17"/>
        <v>4.1666666666666671E-2</v>
      </c>
      <c r="N85" s="24">
        <f t="shared" ca="1" si="18"/>
        <v>20.433333333333334</v>
      </c>
      <c r="O85" s="30">
        <f t="shared" ca="1" si="19"/>
        <v>2.6947057096247957E-2</v>
      </c>
      <c r="P85" s="26" t="str">
        <f t="shared" ca="1" si="20"/>
        <v>Desired Burn Rate</v>
      </c>
      <c r="Q85" s="24">
        <f t="shared" ca="1" si="21"/>
        <v>37.109803732120248</v>
      </c>
      <c r="R85" s="25">
        <f t="shared" ca="1" si="22"/>
        <v>43586</v>
      </c>
      <c r="S85" s="26" t="str">
        <f ca="1">TEXT(Table2[[#This Row],[Projected Limit Date]],"mmmm")</f>
        <v>May</v>
      </c>
      <c r="T85" s="26">
        <f t="shared" ca="1" si="23"/>
        <v>2019</v>
      </c>
      <c r="U85" s="31" t="s">
        <v>563</v>
      </c>
      <c r="V85" s="31" t="s">
        <v>666</v>
      </c>
      <c r="W85" s="32" t="str">
        <f t="shared" si="24"/>
        <v>Options</v>
      </c>
      <c r="X85" s="31" t="s">
        <v>876</v>
      </c>
      <c r="Y85" s="31"/>
      <c r="Z85" t="str">
        <f t="shared" ca="1" si="25"/>
        <v>Expiring &lt; 6 Months</v>
      </c>
      <c r="AA85">
        <f t="shared" ca="1" si="26"/>
        <v>1</v>
      </c>
      <c r="AB85">
        <f t="shared" ca="1" si="27"/>
        <v>0</v>
      </c>
      <c r="AC85">
        <f t="shared" ca="1" si="28"/>
        <v>0</v>
      </c>
      <c r="AD85" t="str">
        <f t="shared" si="29"/>
        <v>Safe</v>
      </c>
    </row>
    <row r="86" spans="1:30" hidden="1">
      <c r="A86" s="48" t="str">
        <f>TEXT(Table2[[#This Row],[MB END]],"mmmm")</f>
        <v>April</v>
      </c>
      <c r="B86" s="48" t="str">
        <f>TEXT(Table2[[#This Row],[MB END]],"yyyy")</f>
        <v>2018</v>
      </c>
      <c r="C86" s="116" t="s">
        <v>669</v>
      </c>
      <c r="D86" s="27" t="s">
        <v>0</v>
      </c>
      <c r="E86" s="28">
        <v>42102</v>
      </c>
      <c r="F86" s="28">
        <v>43197</v>
      </c>
      <c r="G86" s="27" t="s">
        <v>670</v>
      </c>
      <c r="H86" s="27" t="s">
        <v>671</v>
      </c>
      <c r="I86" s="5">
        <v>1285532</v>
      </c>
      <c r="J86" s="5">
        <v>969911.21</v>
      </c>
      <c r="K86" s="29">
        <f t="shared" si="15"/>
        <v>0.75448235438713307</v>
      </c>
      <c r="L86" s="23">
        <f t="shared" si="16"/>
        <v>35.966666666666669</v>
      </c>
      <c r="M86" s="30">
        <f t="shared" si="17"/>
        <v>2.780352177942539E-2</v>
      </c>
      <c r="N86" s="24">
        <f t="shared" ca="1" si="18"/>
        <v>32.200000000000003</v>
      </c>
      <c r="O86" s="30">
        <f t="shared" ca="1" si="19"/>
        <v>2.3431129018233944E-2</v>
      </c>
      <c r="P86" s="26" t="str">
        <f t="shared" ca="1" si="20"/>
        <v>Desired Burn Rate</v>
      </c>
      <c r="Q86" s="24">
        <f t="shared" ca="1" si="21"/>
        <v>42.678267838558135</v>
      </c>
      <c r="R86" s="25">
        <f t="shared" ca="1" si="22"/>
        <v>43381</v>
      </c>
      <c r="S86" s="26" t="str">
        <f ca="1">TEXT(Table2[[#This Row],[Projected Limit Date]],"mmmm")</f>
        <v>October</v>
      </c>
      <c r="T86" s="26">
        <f t="shared" ca="1" si="23"/>
        <v>2019</v>
      </c>
      <c r="U86" s="31" t="s">
        <v>562</v>
      </c>
      <c r="V86" s="31" t="s">
        <v>604</v>
      </c>
      <c r="W86" s="32" t="str">
        <f t="shared" si="24"/>
        <v>Options</v>
      </c>
      <c r="X86" s="31" t="s">
        <v>905</v>
      </c>
      <c r="Y86" s="31"/>
      <c r="Z86" t="str">
        <f t="shared" ca="1" si="25"/>
        <v>Expiring &lt; 6 Months</v>
      </c>
      <c r="AA86">
        <f t="shared" ca="1" si="26"/>
        <v>1</v>
      </c>
      <c r="AB86">
        <f t="shared" ca="1" si="27"/>
        <v>0</v>
      </c>
      <c r="AC86">
        <f t="shared" ca="1" si="28"/>
        <v>0</v>
      </c>
      <c r="AD86" t="str">
        <f t="shared" si="29"/>
        <v>Reaching Spending Limit</v>
      </c>
    </row>
    <row r="87" spans="1:30" hidden="1">
      <c r="A87" s="48" t="str">
        <f>TEXT(Table2[[#This Row],[MB END]],"mmmm")</f>
        <v>April</v>
      </c>
      <c r="B87" s="48" t="str">
        <f>TEXT(Table2[[#This Row],[MB END]],"yyyy")</f>
        <v>2018</v>
      </c>
      <c r="C87" s="117" t="s">
        <v>180</v>
      </c>
      <c r="D87" s="1" t="s">
        <v>7</v>
      </c>
      <c r="E87" s="2">
        <v>41738</v>
      </c>
      <c r="F87" s="28">
        <v>43198</v>
      </c>
      <c r="G87" s="1" t="s">
        <v>181</v>
      </c>
      <c r="H87" s="1" t="s">
        <v>172</v>
      </c>
      <c r="I87" s="5">
        <v>18000</v>
      </c>
      <c r="J87" s="5">
        <v>17130.48</v>
      </c>
      <c r="K87" s="19">
        <f t="shared" si="15"/>
        <v>0.95169333333333328</v>
      </c>
      <c r="L87" s="16">
        <f t="shared" si="16"/>
        <v>47.966666666666669</v>
      </c>
      <c r="M87" s="19">
        <f t="shared" si="17"/>
        <v>2.0847810979847115E-2</v>
      </c>
      <c r="N87" s="16">
        <f t="shared" ca="1" si="18"/>
        <v>44.166666666666664</v>
      </c>
      <c r="O87" s="19">
        <f t="shared" ca="1" si="19"/>
        <v>2.1547773584905661E-2</v>
      </c>
      <c r="P87" t="str">
        <f t="shared" ca="1" si="20"/>
        <v>High Burn Rate</v>
      </c>
      <c r="Q87" s="16">
        <f t="shared" ca="1" si="21"/>
        <v>46.408506942012131</v>
      </c>
      <c r="R87" s="14">
        <f t="shared" ca="1" si="22"/>
        <v>43140</v>
      </c>
      <c r="S87" t="str">
        <f ca="1">TEXT(Table2[[#This Row],[Projected Limit Date]],"mmmm")</f>
        <v>February</v>
      </c>
      <c r="T87">
        <f t="shared" ca="1" si="23"/>
        <v>2018</v>
      </c>
      <c r="U87" t="s">
        <v>562</v>
      </c>
      <c r="V87" t="s">
        <v>776</v>
      </c>
      <c r="W87" t="str">
        <f t="shared" si="24"/>
        <v>Options</v>
      </c>
      <c r="X87" s="31" t="s">
        <v>919</v>
      </c>
      <c r="Z87" t="str">
        <f t="shared" ca="1" si="25"/>
        <v>Expiring &lt; 6 Months</v>
      </c>
      <c r="AA87">
        <f t="shared" ca="1" si="26"/>
        <v>1</v>
      </c>
      <c r="AB87">
        <f t="shared" ca="1" si="27"/>
        <v>0</v>
      </c>
      <c r="AC87">
        <f t="shared" ca="1" si="28"/>
        <v>0</v>
      </c>
      <c r="AD87" t="str">
        <f t="shared" si="29"/>
        <v>Reaching Spending Limit</v>
      </c>
    </row>
    <row r="88" spans="1:30" hidden="1">
      <c r="A88" s="48" t="str">
        <f>TEXT(Table2[[#This Row],[MB END]],"mmmm")</f>
        <v>April</v>
      </c>
      <c r="B88" s="48" t="str">
        <f>TEXT(Table2[[#This Row],[MB END]],"yyyy")</f>
        <v>2018</v>
      </c>
      <c r="C88" s="117" t="s">
        <v>239</v>
      </c>
      <c r="D88" s="1" t="s">
        <v>7</v>
      </c>
      <c r="E88" s="2">
        <v>41878</v>
      </c>
      <c r="F88" s="28">
        <v>43198</v>
      </c>
      <c r="G88" s="1" t="s">
        <v>181</v>
      </c>
      <c r="H88" s="1" t="s">
        <v>240</v>
      </c>
      <c r="I88" s="5">
        <v>15000</v>
      </c>
      <c r="J88" s="5">
        <v>0</v>
      </c>
      <c r="K88" s="19">
        <f t="shared" si="15"/>
        <v>0</v>
      </c>
      <c r="L88" s="16">
        <f t="shared" si="16"/>
        <v>43.366666666666667</v>
      </c>
      <c r="M88" s="19">
        <f t="shared" si="17"/>
        <v>2.3059185242121444E-2</v>
      </c>
      <c r="N88" s="16">
        <f t="shared" ca="1" si="18"/>
        <v>39.56666666666667</v>
      </c>
      <c r="O88" s="19">
        <f t="shared" ca="1" si="19"/>
        <v>0</v>
      </c>
      <c r="P88" t="str">
        <f t="shared" ca="1" si="20"/>
        <v>Desired Burn Rate</v>
      </c>
      <c r="Q88" s="16" t="e">
        <f t="shared" ca="1" si="21"/>
        <v>#DIV/0!</v>
      </c>
      <c r="R88" s="14" t="e">
        <f t="shared" ca="1" si="22"/>
        <v>#DIV/0!</v>
      </c>
      <c r="S88" t="e">
        <f ca="1">TEXT(Table2[[#This Row],[Projected Limit Date]],"mmmm")</f>
        <v>#DIV/0!</v>
      </c>
      <c r="T88" t="e">
        <f t="shared" ca="1" si="23"/>
        <v>#DIV/0!</v>
      </c>
      <c r="U88" t="s">
        <v>562</v>
      </c>
      <c r="V88" t="s">
        <v>776</v>
      </c>
      <c r="W88" t="str">
        <f t="shared" si="24"/>
        <v>Options</v>
      </c>
      <c r="X88" s="31" t="s">
        <v>919</v>
      </c>
      <c r="Z88" t="str">
        <f t="shared" ca="1" si="25"/>
        <v>Expiring &lt; 6 Months</v>
      </c>
      <c r="AA88">
        <f t="shared" ca="1" si="26"/>
        <v>1</v>
      </c>
      <c r="AB88">
        <f t="shared" ca="1" si="27"/>
        <v>0</v>
      </c>
      <c r="AC88">
        <f t="shared" ca="1" si="28"/>
        <v>0</v>
      </c>
      <c r="AD88" t="str">
        <f t="shared" si="29"/>
        <v>Safe</v>
      </c>
    </row>
    <row r="89" spans="1:30" hidden="1">
      <c r="A89" s="48" t="str">
        <f>TEXT(Table2[[#This Row],[MB END]],"mmmm")</f>
        <v>April</v>
      </c>
      <c r="B89" s="48" t="str">
        <f>TEXT(Table2[[#This Row],[MB END]],"yyyy")</f>
        <v>2018</v>
      </c>
      <c r="C89" s="117" t="s">
        <v>314</v>
      </c>
      <c r="D89" s="1" t="s">
        <v>315</v>
      </c>
      <c r="E89" s="2">
        <v>42109</v>
      </c>
      <c r="F89" s="28">
        <v>43204</v>
      </c>
      <c r="G89" s="1" t="s">
        <v>316</v>
      </c>
      <c r="H89" s="1" t="s">
        <v>317</v>
      </c>
      <c r="I89" s="5">
        <v>36000</v>
      </c>
      <c r="J89" s="5">
        <v>24977.4</v>
      </c>
      <c r="K89" s="19">
        <f t="shared" si="15"/>
        <v>0.69381666666666675</v>
      </c>
      <c r="L89" s="16">
        <f t="shared" si="16"/>
        <v>35.966666666666669</v>
      </c>
      <c r="M89" s="19">
        <f t="shared" si="17"/>
        <v>2.7803521779425393E-2</v>
      </c>
      <c r="N89" s="16">
        <f t="shared" ca="1" si="18"/>
        <v>31.966666666666665</v>
      </c>
      <c r="O89" s="19">
        <f t="shared" ca="1" si="19"/>
        <v>2.17043795620438E-2</v>
      </c>
      <c r="P89" t="str">
        <f t="shared" ca="1" si="20"/>
        <v>Desired Burn Rate</v>
      </c>
      <c r="Q89" s="16">
        <f t="shared" ca="1" si="21"/>
        <v>46.073650580124422</v>
      </c>
      <c r="R89" s="14">
        <f t="shared" ca="1" si="22"/>
        <v>43511</v>
      </c>
      <c r="S89" t="str">
        <f ca="1">TEXT(Table2[[#This Row],[Projected Limit Date]],"mmmm")</f>
        <v>February</v>
      </c>
      <c r="T89">
        <f t="shared" ca="1" si="23"/>
        <v>2019</v>
      </c>
      <c r="U89" t="s">
        <v>563</v>
      </c>
      <c r="V89" t="s">
        <v>569</v>
      </c>
      <c r="W89" t="str">
        <f t="shared" si="24"/>
        <v>Options</v>
      </c>
      <c r="X89" t="s">
        <v>954</v>
      </c>
      <c r="Z89" t="str">
        <f t="shared" ca="1" si="25"/>
        <v>Expiring &lt; 6 Months</v>
      </c>
      <c r="AA89">
        <f t="shared" ca="1" si="26"/>
        <v>1</v>
      </c>
      <c r="AB89">
        <f t="shared" ca="1" si="27"/>
        <v>0</v>
      </c>
      <c r="AC89">
        <f t="shared" ca="1" si="28"/>
        <v>0</v>
      </c>
      <c r="AD89" t="str">
        <f t="shared" si="29"/>
        <v>Safe</v>
      </c>
    </row>
    <row r="90" spans="1:30" ht="30.75" hidden="1" customHeight="1">
      <c r="A90" s="48" t="str">
        <f>TEXT(Table2[[#This Row],[MB END]],"mmmm")</f>
        <v>April</v>
      </c>
      <c r="B90" s="48" t="str">
        <f>TEXT(Table2[[#This Row],[MB END]],"yyyy")</f>
        <v>2018</v>
      </c>
      <c r="C90" s="117" t="s">
        <v>321</v>
      </c>
      <c r="D90" s="1" t="s">
        <v>0</v>
      </c>
      <c r="E90" s="2">
        <v>42116</v>
      </c>
      <c r="F90" s="28">
        <v>43211</v>
      </c>
      <c r="G90" s="1" t="s">
        <v>322</v>
      </c>
      <c r="H90" s="1" t="s">
        <v>323</v>
      </c>
      <c r="I90" s="5">
        <v>5000</v>
      </c>
      <c r="J90" s="5">
        <v>2448.35</v>
      </c>
      <c r="K90" s="19">
        <f t="shared" si="15"/>
        <v>0.48966999999999999</v>
      </c>
      <c r="L90" s="16">
        <f t="shared" si="16"/>
        <v>35.966666666666669</v>
      </c>
      <c r="M90" s="19">
        <f t="shared" si="17"/>
        <v>2.7803521779425393E-2</v>
      </c>
      <c r="N90" s="16">
        <f t="shared" ca="1" si="18"/>
        <v>31.733333333333334</v>
      </c>
      <c r="O90" s="19">
        <f t="shared" ca="1" si="19"/>
        <v>1.5430777310924369E-2</v>
      </c>
      <c r="P90" t="str">
        <f t="shared" ca="1" si="20"/>
        <v>Desired Burn Rate</v>
      </c>
      <c r="Q90" s="16">
        <f t="shared" ca="1" si="21"/>
        <v>64.805549315525425</v>
      </c>
      <c r="R90" s="14">
        <f t="shared" ca="1" si="22"/>
        <v>44065</v>
      </c>
      <c r="S90" t="str">
        <f ca="1">TEXT(Table2[[#This Row],[Projected Limit Date]],"mmmm")</f>
        <v>August</v>
      </c>
      <c r="T90">
        <f t="shared" ca="1" si="23"/>
        <v>2021</v>
      </c>
      <c r="U90" t="s">
        <v>562</v>
      </c>
      <c r="V90" t="s">
        <v>761</v>
      </c>
      <c r="W90" t="str">
        <f t="shared" si="24"/>
        <v>Options</v>
      </c>
      <c r="X90" s="31" t="s">
        <v>905</v>
      </c>
      <c r="Z90" t="str">
        <f t="shared" ca="1" si="25"/>
        <v>Expiring &lt; 6 Months</v>
      </c>
      <c r="AA90">
        <f t="shared" ca="1" si="26"/>
        <v>1</v>
      </c>
      <c r="AB90">
        <f t="shared" ca="1" si="27"/>
        <v>0</v>
      </c>
      <c r="AC90">
        <f t="shared" ca="1" si="28"/>
        <v>0</v>
      </c>
      <c r="AD90" t="str">
        <f t="shared" si="29"/>
        <v>Safe</v>
      </c>
    </row>
    <row r="91" spans="1:30" hidden="1">
      <c r="A91" s="48" t="str">
        <f>TEXT(Table2[[#This Row],[MB END]],"mmmm")</f>
        <v>April</v>
      </c>
      <c r="B91" s="48" t="str">
        <f>TEXT(Table2[[#This Row],[MB END]],"yyyy")</f>
        <v>2018</v>
      </c>
      <c r="C91" s="117" t="s">
        <v>160</v>
      </c>
      <c r="D91" s="1" t="s">
        <v>7</v>
      </c>
      <c r="E91" s="2">
        <v>41760</v>
      </c>
      <c r="F91" s="28">
        <v>43220</v>
      </c>
      <c r="G91" s="1" t="s">
        <v>161</v>
      </c>
      <c r="H91" s="1" t="s">
        <v>162</v>
      </c>
      <c r="I91" s="5">
        <v>10000</v>
      </c>
      <c r="J91" s="5">
        <v>768.02</v>
      </c>
      <c r="K91" s="19">
        <f t="shared" si="15"/>
        <v>7.6801999999999995E-2</v>
      </c>
      <c r="L91" s="16">
        <f t="shared" si="16"/>
        <v>47.966666666666669</v>
      </c>
      <c r="M91" s="19">
        <f t="shared" si="17"/>
        <v>2.0847810979847118E-2</v>
      </c>
      <c r="N91" s="16">
        <f t="shared" ca="1" si="18"/>
        <v>43.43333333333333</v>
      </c>
      <c r="O91" s="19">
        <f t="shared" ca="1" si="19"/>
        <v>1.7682732156561779E-3</v>
      </c>
      <c r="P91" t="str">
        <f t="shared" ca="1" si="20"/>
        <v>Desired Burn Rate</v>
      </c>
      <c r="Q91" s="16">
        <f t="shared" ca="1" si="21"/>
        <v>565.5234672708176</v>
      </c>
      <c r="R91" s="14">
        <f t="shared" ca="1" si="22"/>
        <v>58958</v>
      </c>
      <c r="S91" t="str">
        <f ca="1">TEXT(Table2[[#This Row],[Projected Limit Date]],"mmmm")</f>
        <v>June</v>
      </c>
      <c r="T91">
        <f t="shared" ca="1" si="23"/>
        <v>2061</v>
      </c>
      <c r="U91" t="s">
        <v>562</v>
      </c>
      <c r="V91" t="s">
        <v>776</v>
      </c>
      <c r="W91" t="str">
        <f t="shared" si="24"/>
        <v>Options</v>
      </c>
      <c r="X91" s="31" t="s">
        <v>907</v>
      </c>
      <c r="Z91" t="str">
        <f t="shared" ca="1" si="25"/>
        <v>Expiring &lt; 6 Months</v>
      </c>
      <c r="AA91">
        <f t="shared" ca="1" si="26"/>
        <v>1</v>
      </c>
      <c r="AB91">
        <f t="shared" ca="1" si="27"/>
        <v>0</v>
      </c>
      <c r="AC91">
        <f t="shared" ca="1" si="28"/>
        <v>0</v>
      </c>
      <c r="AD91" t="str">
        <f t="shared" si="29"/>
        <v>Safe</v>
      </c>
    </row>
    <row r="92" spans="1:30" hidden="1">
      <c r="A92" s="48" t="str">
        <f>TEXT(Table2[[#This Row],[MB END]],"mmmm")</f>
        <v>April</v>
      </c>
      <c r="B92" s="48" t="str">
        <f>TEXT(Table2[[#This Row],[MB END]],"yyyy")</f>
        <v>2018</v>
      </c>
      <c r="C92" s="117" t="s">
        <v>170</v>
      </c>
      <c r="D92" s="1" t="s">
        <v>7</v>
      </c>
      <c r="E92" s="2">
        <v>41760</v>
      </c>
      <c r="F92" s="28">
        <v>43220</v>
      </c>
      <c r="G92" s="1" t="s">
        <v>171</v>
      </c>
      <c r="H92" s="1" t="s">
        <v>172</v>
      </c>
      <c r="I92" s="5">
        <v>225000</v>
      </c>
      <c r="J92" s="5">
        <v>167400.25</v>
      </c>
      <c r="K92" s="19">
        <f t="shared" si="15"/>
        <v>0.74400111111111111</v>
      </c>
      <c r="L92" s="16">
        <f t="shared" si="16"/>
        <v>47.966666666666669</v>
      </c>
      <c r="M92" s="19">
        <f t="shared" si="17"/>
        <v>2.0847810979847115E-2</v>
      </c>
      <c r="N92" s="16">
        <f t="shared" ca="1" si="18"/>
        <v>43.43333333333333</v>
      </c>
      <c r="O92" s="19">
        <f t="shared" ca="1" si="19"/>
        <v>1.7129726272704017E-2</v>
      </c>
      <c r="P92" t="str">
        <f t="shared" ca="1" si="20"/>
        <v>Desired Burn Rate</v>
      </c>
      <c r="Q92" s="16">
        <f t="shared" ca="1" si="21"/>
        <v>58.378049017250568</v>
      </c>
      <c r="R92" s="14">
        <f t="shared" ca="1" si="22"/>
        <v>43525</v>
      </c>
      <c r="S92" t="str">
        <f ca="1">TEXT(Table2[[#This Row],[Projected Limit Date]],"mmmm")</f>
        <v>March</v>
      </c>
      <c r="T92">
        <f t="shared" ca="1" si="23"/>
        <v>2019</v>
      </c>
      <c r="U92" t="s">
        <v>562</v>
      </c>
      <c r="V92" t="s">
        <v>776</v>
      </c>
      <c r="W92" t="str">
        <f t="shared" si="24"/>
        <v>Options</v>
      </c>
      <c r="X92" s="31" t="s">
        <v>907</v>
      </c>
      <c r="Z92" t="str">
        <f t="shared" ca="1" si="25"/>
        <v>Expiring &lt; 6 Months</v>
      </c>
      <c r="AA92">
        <f t="shared" ca="1" si="26"/>
        <v>1</v>
      </c>
      <c r="AB92">
        <f t="shared" ca="1" si="27"/>
        <v>0</v>
      </c>
      <c r="AC92">
        <f t="shared" ca="1" si="28"/>
        <v>0</v>
      </c>
      <c r="AD92" t="str">
        <f t="shared" si="29"/>
        <v>Safe</v>
      </c>
    </row>
    <row r="93" spans="1:30" hidden="1">
      <c r="A93" s="48" t="str">
        <f>TEXT(Table2[[#This Row],[MB END]],"mmmm")</f>
        <v>April</v>
      </c>
      <c r="B93" s="48" t="str">
        <f>TEXT(Table2[[#This Row],[MB END]],"yyyy")</f>
        <v>2018</v>
      </c>
      <c r="C93" s="117" t="s">
        <v>178</v>
      </c>
      <c r="D93" s="1" t="s">
        <v>7</v>
      </c>
      <c r="E93" s="2">
        <v>41760</v>
      </c>
      <c r="F93" s="28">
        <v>43220</v>
      </c>
      <c r="G93" s="1" t="s">
        <v>179</v>
      </c>
      <c r="H93" s="1" t="s">
        <v>131</v>
      </c>
      <c r="I93" s="5">
        <v>1900000</v>
      </c>
      <c r="J93" s="5">
        <v>888748.17</v>
      </c>
      <c r="K93" s="19">
        <f t="shared" si="15"/>
        <v>0.46776219473684211</v>
      </c>
      <c r="L93" s="16">
        <f t="shared" si="16"/>
        <v>47.966666666666669</v>
      </c>
      <c r="M93" s="19">
        <f t="shared" si="17"/>
        <v>2.0847810979847115E-2</v>
      </c>
      <c r="N93" s="16">
        <f t="shared" ca="1" si="18"/>
        <v>43.43333333333333</v>
      </c>
      <c r="O93" s="19">
        <f t="shared" ca="1" si="19"/>
        <v>1.0769659126711639E-2</v>
      </c>
      <c r="P93" t="str">
        <f t="shared" ca="1" si="20"/>
        <v>Desired Burn Rate</v>
      </c>
      <c r="Q93" s="16">
        <f t="shared" ca="1" si="21"/>
        <v>92.853449513525661</v>
      </c>
      <c r="R93" s="14">
        <f t="shared" ca="1" si="22"/>
        <v>44562</v>
      </c>
      <c r="S93" t="str">
        <f ca="1">TEXT(Table2[[#This Row],[Projected Limit Date]],"mmmm")</f>
        <v>January</v>
      </c>
      <c r="T93">
        <f t="shared" ca="1" si="23"/>
        <v>2022</v>
      </c>
      <c r="U93" t="s">
        <v>562</v>
      </c>
      <c r="V93" t="s">
        <v>672</v>
      </c>
      <c r="W93" t="str">
        <f t="shared" si="24"/>
        <v>Options</v>
      </c>
      <c r="X93" s="31" t="s">
        <v>907</v>
      </c>
      <c r="Z93" t="str">
        <f t="shared" ca="1" si="25"/>
        <v>Expiring &lt; 6 Months</v>
      </c>
      <c r="AA93">
        <f t="shared" ca="1" si="26"/>
        <v>1</v>
      </c>
      <c r="AB93">
        <f t="shared" ca="1" si="27"/>
        <v>0</v>
      </c>
      <c r="AC93">
        <f t="shared" ca="1" si="28"/>
        <v>0</v>
      </c>
      <c r="AD93" t="str">
        <f t="shared" si="29"/>
        <v>Safe</v>
      </c>
    </row>
    <row r="94" spans="1:30" hidden="1">
      <c r="A94" s="48" t="str">
        <f>TEXT(Table2[[#This Row],[MB END]],"mmmm")</f>
        <v>April</v>
      </c>
      <c r="B94" s="48" t="str">
        <f>TEXT(Table2[[#This Row],[MB END]],"yyyy")</f>
        <v>2018</v>
      </c>
      <c r="C94" s="117" t="s">
        <v>318</v>
      </c>
      <c r="D94" s="1" t="s">
        <v>7</v>
      </c>
      <c r="E94" s="2">
        <v>42125</v>
      </c>
      <c r="F94" s="28">
        <v>43220</v>
      </c>
      <c r="G94" s="1" t="s">
        <v>319</v>
      </c>
      <c r="H94" s="1" t="s">
        <v>320</v>
      </c>
      <c r="I94" s="5">
        <v>100000</v>
      </c>
      <c r="J94" s="5">
        <v>23280.84</v>
      </c>
      <c r="K94" s="19">
        <f t="shared" si="15"/>
        <v>0.2328084</v>
      </c>
      <c r="L94" s="16">
        <f t="shared" si="16"/>
        <v>35.966666666666669</v>
      </c>
      <c r="M94" s="19">
        <f t="shared" si="17"/>
        <v>2.780352177942539E-2</v>
      </c>
      <c r="N94" s="16">
        <f t="shared" ca="1" si="18"/>
        <v>31.433333333333334</v>
      </c>
      <c r="O94" s="19">
        <f t="shared" ca="1" si="19"/>
        <v>7.4064178154825029E-3</v>
      </c>
      <c r="P94" t="str">
        <f t="shared" ca="1" si="20"/>
        <v>Desired Burn Rate</v>
      </c>
      <c r="Q94" s="16">
        <f t="shared" ca="1" si="21"/>
        <v>135.01803772257932</v>
      </c>
      <c r="R94" s="14">
        <f t="shared" ca="1" si="22"/>
        <v>46235</v>
      </c>
      <c r="S94" t="str">
        <f ca="1">TEXT(Table2[[#This Row],[Projected Limit Date]],"mmmm")</f>
        <v>August</v>
      </c>
      <c r="T94">
        <f t="shared" ca="1" si="23"/>
        <v>2027</v>
      </c>
      <c r="U94" t="s">
        <v>562</v>
      </c>
      <c r="V94" t="s">
        <v>761</v>
      </c>
      <c r="W94" t="str">
        <f t="shared" si="24"/>
        <v>Options</v>
      </c>
      <c r="X94" s="31" t="s">
        <v>907</v>
      </c>
      <c r="Z94" t="str">
        <f t="shared" ca="1" si="25"/>
        <v>Expiring &lt; 6 Months</v>
      </c>
      <c r="AA94">
        <f t="shared" ca="1" si="26"/>
        <v>1</v>
      </c>
      <c r="AB94">
        <f t="shared" ca="1" si="27"/>
        <v>0</v>
      </c>
      <c r="AC94">
        <f t="shared" ca="1" si="28"/>
        <v>0</v>
      </c>
      <c r="AD94" t="str">
        <f t="shared" si="29"/>
        <v>Safe</v>
      </c>
    </row>
    <row r="95" spans="1:30" hidden="1">
      <c r="A95" s="48" t="str">
        <f>TEXT(Table2[[#This Row],[MB END]],"mmmm")</f>
        <v>May</v>
      </c>
      <c r="B95" s="48" t="str">
        <f>TEXT(Table2[[#This Row],[MB END]],"yyyy")</f>
        <v>2018</v>
      </c>
      <c r="C95" s="116" t="s">
        <v>673</v>
      </c>
      <c r="D95" s="27" t="s">
        <v>328</v>
      </c>
      <c r="E95" s="28">
        <v>42508</v>
      </c>
      <c r="F95" s="28">
        <v>43237</v>
      </c>
      <c r="G95" s="27" t="s">
        <v>674</v>
      </c>
      <c r="H95" s="27" t="s">
        <v>675</v>
      </c>
      <c r="I95" s="5">
        <v>80000</v>
      </c>
      <c r="J95" s="5">
        <v>35648.5</v>
      </c>
      <c r="K95" s="29">
        <f t="shared" si="15"/>
        <v>0.44560624999999998</v>
      </c>
      <c r="L95" s="23">
        <f t="shared" si="16"/>
        <v>23.966666666666665</v>
      </c>
      <c r="M95" s="30">
        <f t="shared" si="17"/>
        <v>4.1724617524339362E-2</v>
      </c>
      <c r="N95" s="24">
        <f t="shared" ca="1" si="18"/>
        <v>18.866666666666667</v>
      </c>
      <c r="O95" s="30">
        <f t="shared" ca="1" si="19"/>
        <v>2.3618705830388692E-2</v>
      </c>
      <c r="P95" s="26" t="str">
        <f t="shared" ca="1" si="20"/>
        <v>Desired Burn Rate</v>
      </c>
      <c r="Q95" s="24">
        <f t="shared" ca="1" si="21"/>
        <v>42.339322365129902</v>
      </c>
      <c r="R95" s="25">
        <f t="shared" ca="1" si="22"/>
        <v>43787</v>
      </c>
      <c r="S95" s="26" t="str">
        <f ca="1">TEXT(Table2[[#This Row],[Projected Limit Date]],"mmmm")</f>
        <v>November</v>
      </c>
      <c r="T95" s="26">
        <f t="shared" ca="1" si="23"/>
        <v>2020</v>
      </c>
      <c r="U95" s="31" t="s">
        <v>563</v>
      </c>
      <c r="V95" s="31" t="s">
        <v>676</v>
      </c>
      <c r="W95" s="32" t="str">
        <f t="shared" si="24"/>
        <v>Options</v>
      </c>
      <c r="X95" s="31"/>
      <c r="Y95" s="31"/>
      <c r="Z95" t="str">
        <f t="shared" ca="1" si="25"/>
        <v>Expiring &lt; 6 Months</v>
      </c>
      <c r="AA95">
        <f t="shared" ca="1" si="26"/>
        <v>1</v>
      </c>
      <c r="AB95">
        <f t="shared" ca="1" si="27"/>
        <v>0</v>
      </c>
      <c r="AC95">
        <f t="shared" ca="1" si="28"/>
        <v>0</v>
      </c>
      <c r="AD95" t="str">
        <f t="shared" si="29"/>
        <v>Safe</v>
      </c>
    </row>
    <row r="96" spans="1:30">
      <c r="A96" s="48" t="str">
        <f>TEXT(Table2[[#This Row],[MB END]],"mmmm")</f>
        <v>May</v>
      </c>
      <c r="B96" s="48" t="str">
        <f>TEXT(Table2[[#This Row],[MB END]],"yyyy")</f>
        <v>2018</v>
      </c>
      <c r="C96" s="116" t="s">
        <v>677</v>
      </c>
      <c r="D96" s="27" t="s">
        <v>328</v>
      </c>
      <c r="E96" s="28">
        <v>42508</v>
      </c>
      <c r="F96" s="28">
        <v>43237</v>
      </c>
      <c r="G96" s="27" t="s">
        <v>674</v>
      </c>
      <c r="H96" s="27" t="s">
        <v>678</v>
      </c>
      <c r="I96" s="5">
        <v>110000</v>
      </c>
      <c r="J96" s="5">
        <v>102645</v>
      </c>
      <c r="K96" s="29">
        <f t="shared" si="15"/>
        <v>0.93313636363636365</v>
      </c>
      <c r="L96" s="23">
        <f t="shared" si="16"/>
        <v>23.966666666666665</v>
      </c>
      <c r="M96" s="30">
        <f t="shared" si="17"/>
        <v>4.1724617524339362E-2</v>
      </c>
      <c r="N96" s="24">
        <f t="shared" ca="1" si="18"/>
        <v>18.866666666666667</v>
      </c>
      <c r="O96" s="30">
        <f t="shared" ca="1" si="19"/>
        <v>4.9459524574365567E-2</v>
      </c>
      <c r="P96" s="26" t="str">
        <f t="shared" ca="1" si="20"/>
        <v>High Burn Rate</v>
      </c>
      <c r="Q96" s="24">
        <f t="shared" ca="1" si="21"/>
        <v>20.218552616623636</v>
      </c>
      <c r="R96" s="25">
        <f t="shared" ca="1" si="22"/>
        <v>43118</v>
      </c>
      <c r="S96" s="26" t="str">
        <f ca="1">TEXT(Table2[[#This Row],[Projected Limit Date]],"mmmm")</f>
        <v>January</v>
      </c>
      <c r="T96" s="26">
        <f t="shared" ca="1" si="23"/>
        <v>2018</v>
      </c>
      <c r="U96" s="31" t="s">
        <v>563</v>
      </c>
      <c r="V96" s="31" t="s">
        <v>679</v>
      </c>
      <c r="W96" s="32" t="str">
        <f t="shared" si="24"/>
        <v>Options</v>
      </c>
      <c r="X96" s="31" t="s">
        <v>949</v>
      </c>
      <c r="Y96" s="31" t="s">
        <v>948</v>
      </c>
      <c r="Z96" t="str">
        <f t="shared" ca="1" si="25"/>
        <v>Expiring &lt; 6 Months</v>
      </c>
      <c r="AA96">
        <f t="shared" ca="1" si="26"/>
        <v>1</v>
      </c>
      <c r="AB96">
        <f t="shared" ca="1" si="27"/>
        <v>0</v>
      </c>
      <c r="AC96">
        <f t="shared" ca="1" si="28"/>
        <v>0</v>
      </c>
      <c r="AD96" t="str">
        <f t="shared" si="29"/>
        <v>Reaching Spending Limit</v>
      </c>
    </row>
    <row r="97" spans="1:30" hidden="1">
      <c r="A97" s="48" t="str">
        <f>TEXT(Table2[[#This Row],[MB END]],"mmmm")</f>
        <v>May</v>
      </c>
      <c r="B97" s="48" t="str">
        <f>TEXT(Table2[[#This Row],[MB END]],"yyyy")</f>
        <v>2018</v>
      </c>
      <c r="C97" s="117" t="s">
        <v>324</v>
      </c>
      <c r="D97" s="1" t="s">
        <v>7</v>
      </c>
      <c r="E97" s="2">
        <v>42151</v>
      </c>
      <c r="F97" s="28">
        <v>43246</v>
      </c>
      <c r="G97" s="1" t="s">
        <v>325</v>
      </c>
      <c r="H97" s="1" t="s">
        <v>326</v>
      </c>
      <c r="I97" s="5">
        <v>23200</v>
      </c>
      <c r="J97" s="5">
        <v>0</v>
      </c>
      <c r="K97" s="19">
        <f t="shared" si="15"/>
        <v>0</v>
      </c>
      <c r="L97" s="16">
        <f t="shared" si="16"/>
        <v>35.966666666666669</v>
      </c>
      <c r="M97" s="19">
        <f t="shared" si="17"/>
        <v>2.7803521779425393E-2</v>
      </c>
      <c r="N97" s="16">
        <f t="shared" ca="1" si="18"/>
        <v>30.566666666666666</v>
      </c>
      <c r="O97" s="19">
        <f t="shared" ca="1" si="19"/>
        <v>0</v>
      </c>
      <c r="P97" t="str">
        <f t="shared" ca="1" si="20"/>
        <v>Desired Burn Rate</v>
      </c>
      <c r="Q97" s="16" t="e">
        <f t="shared" ca="1" si="21"/>
        <v>#DIV/0!</v>
      </c>
      <c r="R97" s="14" t="e">
        <f t="shared" ca="1" si="22"/>
        <v>#DIV/0!</v>
      </c>
      <c r="S97" t="e">
        <f ca="1">TEXT(Table2[[#This Row],[Projected Limit Date]],"mmmm")</f>
        <v>#DIV/0!</v>
      </c>
      <c r="T97" t="e">
        <f t="shared" ca="1" si="23"/>
        <v>#DIV/0!</v>
      </c>
      <c r="U97" t="s">
        <v>562</v>
      </c>
      <c r="V97" t="s">
        <v>777</v>
      </c>
      <c r="W97" t="str">
        <f t="shared" si="24"/>
        <v>Options</v>
      </c>
      <c r="X97" s="31"/>
      <c r="Z97" t="str">
        <f t="shared" ca="1" si="25"/>
        <v>Expiring &lt; 6 Months</v>
      </c>
      <c r="AA97">
        <f t="shared" ca="1" si="26"/>
        <v>1</v>
      </c>
      <c r="AB97">
        <f t="shared" ca="1" si="27"/>
        <v>0</v>
      </c>
      <c r="AC97">
        <f t="shared" ca="1" si="28"/>
        <v>0</v>
      </c>
      <c r="AD97" t="str">
        <f t="shared" si="29"/>
        <v>Safe</v>
      </c>
    </row>
    <row r="98" spans="1:30" hidden="1">
      <c r="A98" s="48" t="str">
        <f>TEXT(Table2[[#This Row],[MB END]],"mmmm")</f>
        <v>May</v>
      </c>
      <c r="B98" s="48" t="str">
        <f>TEXT(Table2[[#This Row],[MB END]],"yyyy")</f>
        <v>2018</v>
      </c>
      <c r="C98" s="117" t="s">
        <v>139</v>
      </c>
      <c r="D98" s="1" t="s">
        <v>7</v>
      </c>
      <c r="E98" s="2">
        <v>41426</v>
      </c>
      <c r="F98" s="28">
        <v>43251</v>
      </c>
      <c r="G98" s="1" t="s">
        <v>140</v>
      </c>
      <c r="H98" s="1" t="s">
        <v>141</v>
      </c>
      <c r="I98" s="5">
        <v>75000</v>
      </c>
      <c r="J98" s="5">
        <v>3192.67</v>
      </c>
      <c r="K98" s="19">
        <f t="shared" si="15"/>
        <v>4.2568933333333336E-2</v>
      </c>
      <c r="L98" s="16">
        <f t="shared" si="16"/>
        <v>60</v>
      </c>
      <c r="M98" s="19">
        <f t="shared" si="17"/>
        <v>1.6666666666666666E-2</v>
      </c>
      <c r="N98" s="16">
        <f t="shared" ca="1" si="18"/>
        <v>54.43333333333333</v>
      </c>
      <c r="O98" s="19">
        <f t="shared" ca="1" si="19"/>
        <v>7.8203796693202703E-4</v>
      </c>
      <c r="P98" t="str">
        <f t="shared" ca="1" si="20"/>
        <v>Desired Burn Rate</v>
      </c>
      <c r="Q98" s="16">
        <f t="shared" ca="1" si="21"/>
        <v>1278.7102957712509</v>
      </c>
      <c r="R98" s="14">
        <f t="shared" ca="1" si="22"/>
        <v>80324</v>
      </c>
      <c r="S98" t="str">
        <f ca="1">TEXT(Table2[[#This Row],[Projected Limit Date]],"mmmm")</f>
        <v>December</v>
      </c>
      <c r="T98">
        <f t="shared" ca="1" si="23"/>
        <v>2120</v>
      </c>
      <c r="U98" t="s">
        <v>562</v>
      </c>
      <c r="V98" t="s">
        <v>758</v>
      </c>
      <c r="W98" t="str">
        <f t="shared" si="24"/>
        <v>Options</v>
      </c>
      <c r="Z98" t="str">
        <f t="shared" ca="1" si="25"/>
        <v>Expiring &lt; 6 Months</v>
      </c>
      <c r="AA98">
        <f t="shared" ca="1" si="26"/>
        <v>1</v>
      </c>
      <c r="AB98">
        <f t="shared" ca="1" si="27"/>
        <v>0</v>
      </c>
      <c r="AC98">
        <f t="shared" ca="1" si="28"/>
        <v>0</v>
      </c>
      <c r="AD98" t="str">
        <f t="shared" si="29"/>
        <v>Safe</v>
      </c>
    </row>
    <row r="99" spans="1:30" hidden="1">
      <c r="A99" s="48" t="str">
        <f>TEXT(Table2[[#This Row],[MB END]],"mmmm")</f>
        <v>May</v>
      </c>
      <c r="B99" s="48" t="str">
        <f>TEXT(Table2[[#This Row],[MB END]],"yyyy")</f>
        <v>2018</v>
      </c>
      <c r="C99" s="117" t="s">
        <v>182</v>
      </c>
      <c r="D99" s="1" t="s">
        <v>7</v>
      </c>
      <c r="E99" s="2">
        <v>41791</v>
      </c>
      <c r="F99" s="28">
        <v>43251</v>
      </c>
      <c r="G99" s="1" t="s">
        <v>183</v>
      </c>
      <c r="H99" s="1" t="s">
        <v>184</v>
      </c>
      <c r="I99" s="5">
        <v>250000</v>
      </c>
      <c r="J99" s="5">
        <v>94043.91</v>
      </c>
      <c r="K99" s="19">
        <f t="shared" si="15"/>
        <v>0.37617564000000003</v>
      </c>
      <c r="L99" s="16">
        <f t="shared" si="16"/>
        <v>48</v>
      </c>
      <c r="M99" s="19">
        <f t="shared" si="17"/>
        <v>2.0833333333333332E-2</v>
      </c>
      <c r="N99" s="16">
        <f t="shared" ca="1" si="18"/>
        <v>42.43333333333333</v>
      </c>
      <c r="O99" s="19">
        <f t="shared" ca="1" si="19"/>
        <v>8.8650975648075416E-3</v>
      </c>
      <c r="P99" t="str">
        <f t="shared" ca="1" si="20"/>
        <v>Desired Burn Rate</v>
      </c>
      <c r="Q99" s="16">
        <f t="shared" ca="1" si="21"/>
        <v>112.8019170335786</v>
      </c>
      <c r="R99" s="14">
        <f t="shared" ca="1" si="22"/>
        <v>45200</v>
      </c>
      <c r="S99" t="str">
        <f ca="1">TEXT(Table2[[#This Row],[Projected Limit Date]],"mmmm")</f>
        <v>October</v>
      </c>
      <c r="T99">
        <f t="shared" ca="1" si="23"/>
        <v>2024</v>
      </c>
      <c r="U99" t="s">
        <v>562</v>
      </c>
      <c r="V99" t="s">
        <v>654</v>
      </c>
      <c r="W99" t="str">
        <f t="shared" si="24"/>
        <v>Options</v>
      </c>
      <c r="Z99" t="str">
        <f t="shared" ca="1" si="25"/>
        <v>Expiring &lt; 6 Months</v>
      </c>
      <c r="AA99">
        <f t="shared" ca="1" si="26"/>
        <v>1</v>
      </c>
      <c r="AB99">
        <f t="shared" ca="1" si="27"/>
        <v>0</v>
      </c>
      <c r="AC99">
        <f t="shared" ca="1" si="28"/>
        <v>0</v>
      </c>
      <c r="AD99" t="str">
        <f t="shared" si="29"/>
        <v>Safe</v>
      </c>
    </row>
    <row r="100" spans="1:30" hidden="1">
      <c r="A100" s="48" t="str">
        <f>TEXT(Table2[[#This Row],[MB END]],"mmmm")</f>
        <v>May</v>
      </c>
      <c r="B100" s="48" t="str">
        <f>TEXT(Table2[[#This Row],[MB END]],"yyyy")</f>
        <v>2018</v>
      </c>
      <c r="C100" s="117" t="s">
        <v>187</v>
      </c>
      <c r="D100" s="1" t="s">
        <v>7</v>
      </c>
      <c r="E100" s="2">
        <v>41791</v>
      </c>
      <c r="F100" s="28">
        <v>43251</v>
      </c>
      <c r="G100" s="1" t="s">
        <v>185</v>
      </c>
      <c r="H100" s="1" t="s">
        <v>186</v>
      </c>
      <c r="I100" s="5">
        <v>800000</v>
      </c>
      <c r="J100" s="5">
        <v>225972.25</v>
      </c>
      <c r="K100" s="19">
        <f t="shared" si="15"/>
        <v>0.28246531250000001</v>
      </c>
      <c r="L100" s="16">
        <f t="shared" si="16"/>
        <v>48</v>
      </c>
      <c r="M100" s="19">
        <f t="shared" si="17"/>
        <v>2.0833333333333336E-2</v>
      </c>
      <c r="N100" s="16">
        <f t="shared" ca="1" si="18"/>
        <v>42.43333333333333</v>
      </c>
      <c r="O100" s="19">
        <f t="shared" ca="1" si="19"/>
        <v>6.6566845051060485E-3</v>
      </c>
      <c r="P100" t="str">
        <f t="shared" ca="1" si="20"/>
        <v>Desired Burn Rate</v>
      </c>
      <c r="Q100" s="16">
        <f t="shared" ca="1" si="21"/>
        <v>150.22493543639391</v>
      </c>
      <c r="R100" s="14">
        <f t="shared" ca="1" si="22"/>
        <v>46357</v>
      </c>
      <c r="S100" t="str">
        <f ca="1">TEXT(Table2[[#This Row],[Projected Limit Date]],"mmmm")</f>
        <v>December</v>
      </c>
      <c r="T100">
        <f t="shared" ca="1" si="23"/>
        <v>2027</v>
      </c>
      <c r="U100" t="s">
        <v>562</v>
      </c>
      <c r="V100" t="s">
        <v>573</v>
      </c>
      <c r="W100" t="str">
        <f t="shared" si="24"/>
        <v>Options</v>
      </c>
      <c r="Z100" t="str">
        <f t="shared" ca="1" si="25"/>
        <v>Expiring &lt; 6 Months</v>
      </c>
      <c r="AA100">
        <f t="shared" ca="1" si="26"/>
        <v>1</v>
      </c>
      <c r="AB100">
        <f t="shared" ca="1" si="27"/>
        <v>0</v>
      </c>
      <c r="AC100">
        <f t="shared" ca="1" si="28"/>
        <v>0</v>
      </c>
      <c r="AD100" t="str">
        <f t="shared" si="29"/>
        <v>Safe</v>
      </c>
    </row>
    <row r="101" spans="1:30" hidden="1">
      <c r="A101" s="48" t="str">
        <f>TEXT(Table2[[#This Row],[MB END]],"mmmm")</f>
        <v>May</v>
      </c>
      <c r="B101" s="48" t="str">
        <f>TEXT(Table2[[#This Row],[MB END]],"yyyy")</f>
        <v>2018</v>
      </c>
      <c r="C101" s="117" t="s">
        <v>188</v>
      </c>
      <c r="D101" s="1" t="s">
        <v>7</v>
      </c>
      <c r="E101" s="2">
        <v>41791</v>
      </c>
      <c r="F101" s="28">
        <v>43251</v>
      </c>
      <c r="G101" s="1" t="s">
        <v>189</v>
      </c>
      <c r="H101" s="1" t="s">
        <v>190</v>
      </c>
      <c r="I101" s="5">
        <v>1600000</v>
      </c>
      <c r="J101" s="5">
        <v>358527.61</v>
      </c>
      <c r="K101" s="19">
        <f t="shared" si="15"/>
        <v>0.22407975624999998</v>
      </c>
      <c r="L101" s="16">
        <f t="shared" si="16"/>
        <v>48</v>
      </c>
      <c r="M101" s="19">
        <f t="shared" si="17"/>
        <v>2.0833333333333336E-2</v>
      </c>
      <c r="N101" s="16">
        <f t="shared" ca="1" si="18"/>
        <v>42.43333333333333</v>
      </c>
      <c r="O101" s="19">
        <f t="shared" ca="1" si="19"/>
        <v>5.2807483798114696E-3</v>
      </c>
      <c r="P101" t="str">
        <f t="shared" ca="1" si="20"/>
        <v>Desired Burn Rate</v>
      </c>
      <c r="Q101" s="16">
        <f t="shared" ca="1" si="21"/>
        <v>189.36709876634976</v>
      </c>
      <c r="R101" s="14">
        <f t="shared" ca="1" si="22"/>
        <v>47543</v>
      </c>
      <c r="S101" t="str">
        <f ca="1">TEXT(Table2[[#This Row],[Projected Limit Date]],"mmmm")</f>
        <v>March</v>
      </c>
      <c r="T101">
        <f t="shared" ca="1" si="23"/>
        <v>2030</v>
      </c>
      <c r="U101" t="s">
        <v>562</v>
      </c>
      <c r="V101" t="s">
        <v>771</v>
      </c>
      <c r="W101" t="str">
        <f t="shared" si="24"/>
        <v>Options</v>
      </c>
      <c r="Z101" t="str">
        <f t="shared" ca="1" si="25"/>
        <v>Expiring &lt; 6 Months</v>
      </c>
      <c r="AA101">
        <f t="shared" ca="1" si="26"/>
        <v>1</v>
      </c>
      <c r="AB101">
        <f t="shared" ca="1" si="27"/>
        <v>0</v>
      </c>
      <c r="AC101">
        <f t="shared" ca="1" si="28"/>
        <v>0</v>
      </c>
      <c r="AD101" t="str">
        <f t="shared" si="29"/>
        <v>Safe</v>
      </c>
    </row>
    <row r="102" spans="1:30" hidden="1">
      <c r="A102" s="48" t="str">
        <f>TEXT(Table2[[#This Row],[MB END]],"mmmm")</f>
        <v>June</v>
      </c>
      <c r="B102" s="48" t="str">
        <f>TEXT(Table2[[#This Row],[MB END]],"yyyy")</f>
        <v>2018</v>
      </c>
      <c r="C102" s="117" t="s">
        <v>196</v>
      </c>
      <c r="D102" s="1" t="s">
        <v>7</v>
      </c>
      <c r="E102" s="2">
        <v>41791</v>
      </c>
      <c r="F102" s="28">
        <v>43255</v>
      </c>
      <c r="G102" s="1" t="s">
        <v>197</v>
      </c>
      <c r="H102" s="1" t="s">
        <v>198</v>
      </c>
      <c r="I102" s="5">
        <v>100000</v>
      </c>
      <c r="J102" s="5">
        <v>80541.509999999995</v>
      </c>
      <c r="K102" s="19">
        <f t="shared" si="15"/>
        <v>0.80541509999999994</v>
      </c>
      <c r="L102" s="16">
        <f t="shared" si="16"/>
        <v>48.1</v>
      </c>
      <c r="M102" s="19">
        <f t="shared" si="17"/>
        <v>2.0790020790020791E-2</v>
      </c>
      <c r="N102" s="16">
        <f t="shared" ca="1" si="18"/>
        <v>42.43333333333333</v>
      </c>
      <c r="O102" s="19">
        <f t="shared" ca="1" si="19"/>
        <v>1.8980717203456402E-2</v>
      </c>
      <c r="P102" t="str">
        <f t="shared" ca="1" si="20"/>
        <v>Desired Burn Rate</v>
      </c>
      <c r="Q102" s="16">
        <f t="shared" ca="1" si="21"/>
        <v>52.685048161293892</v>
      </c>
      <c r="R102" s="14">
        <f t="shared" ca="1" si="22"/>
        <v>43374</v>
      </c>
      <c r="S102" t="str">
        <f ca="1">TEXT(Table2[[#This Row],[Projected Limit Date]],"mmmm")</f>
        <v>October</v>
      </c>
      <c r="T102">
        <f t="shared" ca="1" si="23"/>
        <v>2019</v>
      </c>
      <c r="U102" t="s">
        <v>562</v>
      </c>
      <c r="V102" t="s">
        <v>758</v>
      </c>
      <c r="W102" t="str">
        <f t="shared" si="24"/>
        <v>Options</v>
      </c>
      <c r="Z102" t="str">
        <f t="shared" ca="1" si="25"/>
        <v>Expiring &lt; 6 Months</v>
      </c>
      <c r="AA102">
        <f t="shared" ca="1" si="26"/>
        <v>1</v>
      </c>
      <c r="AB102">
        <f t="shared" ca="1" si="27"/>
        <v>0</v>
      </c>
      <c r="AC102">
        <f t="shared" ca="1" si="28"/>
        <v>0</v>
      </c>
      <c r="AD102" t="str">
        <f t="shared" si="29"/>
        <v>Reaching Spending Limit</v>
      </c>
    </row>
    <row r="103" spans="1:30" hidden="1">
      <c r="A103" s="48" t="str">
        <f>TEXT(Table2[[#This Row],[MB END]],"mmmm")</f>
        <v>June</v>
      </c>
      <c r="B103" s="48" t="str">
        <f>TEXT(Table2[[#This Row],[MB END]],"yyyy")</f>
        <v>2018</v>
      </c>
      <c r="C103" s="117" t="s">
        <v>132</v>
      </c>
      <c r="D103" s="1" t="s">
        <v>7</v>
      </c>
      <c r="E103" s="2">
        <v>41430</v>
      </c>
      <c r="F103" s="28">
        <v>43255</v>
      </c>
      <c r="G103" s="1" t="s">
        <v>133</v>
      </c>
      <c r="H103" s="1" t="s">
        <v>134</v>
      </c>
      <c r="I103" s="5">
        <v>100000</v>
      </c>
      <c r="J103" s="5">
        <v>10456.11</v>
      </c>
      <c r="K103" s="19">
        <f t="shared" si="15"/>
        <v>0.1045611</v>
      </c>
      <c r="L103" s="16">
        <f t="shared" si="16"/>
        <v>59.966666666666669</v>
      </c>
      <c r="M103" s="19">
        <f t="shared" si="17"/>
        <v>1.6675931072818232E-2</v>
      </c>
      <c r="N103" s="16">
        <f t="shared" ca="1" si="18"/>
        <v>54.3</v>
      </c>
      <c r="O103" s="19">
        <f t="shared" ca="1" si="19"/>
        <v>1.9256187845303871E-3</v>
      </c>
      <c r="P103" t="str">
        <f t="shared" ca="1" si="20"/>
        <v>Desired Burn Rate</v>
      </c>
      <c r="Q103" s="16">
        <f t="shared" ca="1" si="21"/>
        <v>519.31358794044809</v>
      </c>
      <c r="R103" s="14">
        <f t="shared" ca="1" si="22"/>
        <v>57228</v>
      </c>
      <c r="S103" t="str">
        <f ca="1">TEXT(Table2[[#This Row],[Projected Limit Date]],"mmmm")</f>
        <v>September</v>
      </c>
      <c r="T103">
        <f t="shared" ca="1" si="23"/>
        <v>2057</v>
      </c>
      <c r="U103" t="s">
        <v>562</v>
      </c>
      <c r="V103" t="s">
        <v>565</v>
      </c>
      <c r="W103" t="str">
        <f t="shared" si="24"/>
        <v>No options</v>
      </c>
      <c r="Z103" t="str">
        <f t="shared" ca="1" si="25"/>
        <v>Expiring &lt; 6 Months</v>
      </c>
      <c r="AA103">
        <f t="shared" ca="1" si="26"/>
        <v>1</v>
      </c>
      <c r="AB103">
        <f t="shared" ca="1" si="27"/>
        <v>0</v>
      </c>
      <c r="AC103">
        <f t="shared" ca="1" si="28"/>
        <v>1</v>
      </c>
      <c r="AD103" t="str">
        <f t="shared" si="29"/>
        <v>Safe</v>
      </c>
    </row>
    <row r="104" spans="1:30" hidden="1">
      <c r="A104" s="48" t="str">
        <f>TEXT(Table2[[#This Row],[MB END]],"mmmm")</f>
        <v>June</v>
      </c>
      <c r="B104" s="48" t="str">
        <f>TEXT(Table2[[#This Row],[MB END]],"yyyy")</f>
        <v>2018</v>
      </c>
      <c r="C104" s="116" t="s">
        <v>590</v>
      </c>
      <c r="D104" s="27" t="s">
        <v>349</v>
      </c>
      <c r="E104" s="28">
        <v>41800</v>
      </c>
      <c r="F104" s="28">
        <v>43260</v>
      </c>
      <c r="G104" s="27" t="s">
        <v>588</v>
      </c>
      <c r="H104" s="27" t="s">
        <v>591</v>
      </c>
      <c r="I104" s="5">
        <v>14000</v>
      </c>
      <c r="J104" s="5">
        <v>8885.6200000000008</v>
      </c>
      <c r="K104" s="29">
        <f t="shared" si="15"/>
        <v>0.63468714285714289</v>
      </c>
      <c r="L104" s="23">
        <f t="shared" si="16"/>
        <v>47.966666666666669</v>
      </c>
      <c r="M104" s="30">
        <f t="shared" si="17"/>
        <v>2.0847810979847115E-2</v>
      </c>
      <c r="N104" s="24">
        <f t="shared" ca="1" si="18"/>
        <v>42.133333333333333</v>
      </c>
      <c r="O104" s="30">
        <f t="shared" ca="1" si="19"/>
        <v>1.5063777124773962E-2</v>
      </c>
      <c r="P104" s="26" t="str">
        <f t="shared" ca="1" si="20"/>
        <v>Desired Burn Rate</v>
      </c>
      <c r="Q104" s="24">
        <f t="shared" ca="1" si="21"/>
        <v>66.38441286783214</v>
      </c>
      <c r="R104" s="25">
        <f t="shared" ca="1" si="22"/>
        <v>43809</v>
      </c>
      <c r="S104" s="26" t="str">
        <f ca="1">TEXT(Table2[[#This Row],[Projected Limit Date]],"mmmm")</f>
        <v>December</v>
      </c>
      <c r="T104" s="26">
        <f t="shared" ca="1" si="23"/>
        <v>2020</v>
      </c>
      <c r="U104" s="31" t="s">
        <v>563</v>
      </c>
      <c r="V104" s="31" t="s">
        <v>776</v>
      </c>
      <c r="W104" s="32" t="str">
        <f t="shared" si="24"/>
        <v>Options</v>
      </c>
      <c r="X104" s="35"/>
      <c r="Y104" s="35"/>
      <c r="Z104" t="str">
        <f t="shared" ca="1" si="25"/>
        <v>Expiring &lt; 6 Months</v>
      </c>
      <c r="AA104">
        <f t="shared" ca="1" si="26"/>
        <v>1</v>
      </c>
      <c r="AB104">
        <f t="shared" ca="1" si="27"/>
        <v>0</v>
      </c>
      <c r="AC104">
        <f t="shared" ca="1" si="28"/>
        <v>0</v>
      </c>
      <c r="AD104" t="str">
        <f t="shared" si="29"/>
        <v>Safe</v>
      </c>
    </row>
    <row r="105" spans="1:30" hidden="1">
      <c r="A105" s="48" t="str">
        <f>TEXT(Table2[[#This Row],[MB END]],"mmmm")</f>
        <v>June</v>
      </c>
      <c r="B105" s="48" t="str">
        <f>TEXT(Table2[[#This Row],[MB END]],"yyyy")</f>
        <v>2018</v>
      </c>
      <c r="C105" s="117" t="s">
        <v>342</v>
      </c>
      <c r="D105" s="1" t="s">
        <v>7</v>
      </c>
      <c r="E105" s="2">
        <v>42179</v>
      </c>
      <c r="F105" s="28">
        <v>43274</v>
      </c>
      <c r="G105" s="1" t="s">
        <v>343</v>
      </c>
      <c r="H105" s="1" t="s">
        <v>344</v>
      </c>
      <c r="I105" s="5">
        <v>45000</v>
      </c>
      <c r="J105" s="5">
        <v>22423.32</v>
      </c>
      <c r="K105" s="19">
        <f t="shared" si="15"/>
        <v>0.49829600000000002</v>
      </c>
      <c r="L105" s="16">
        <f t="shared" si="16"/>
        <v>35.966666666666669</v>
      </c>
      <c r="M105" s="19">
        <f t="shared" si="17"/>
        <v>2.7803521779425393E-2</v>
      </c>
      <c r="N105" s="16">
        <f t="shared" ca="1" si="18"/>
        <v>29.666666666666668</v>
      </c>
      <c r="O105" s="19">
        <f t="shared" ca="1" si="19"/>
        <v>1.6796494382022471E-2</v>
      </c>
      <c r="P105" t="str">
        <f t="shared" ca="1" si="20"/>
        <v>Desired Burn Rate</v>
      </c>
      <c r="Q105" s="16">
        <f t="shared" ca="1" si="21"/>
        <v>59.536232814766059</v>
      </c>
      <c r="R105" s="14">
        <f t="shared" ca="1" si="22"/>
        <v>43975</v>
      </c>
      <c r="S105" t="str">
        <f ca="1">TEXT(Table2[[#This Row],[Projected Limit Date]],"mmmm")</f>
        <v>May</v>
      </c>
      <c r="T105">
        <f t="shared" ca="1" si="23"/>
        <v>2020</v>
      </c>
      <c r="U105" t="s">
        <v>562</v>
      </c>
      <c r="V105" t="s">
        <v>760</v>
      </c>
      <c r="W105" t="str">
        <f t="shared" si="24"/>
        <v>Options</v>
      </c>
      <c r="Z105" t="str">
        <f t="shared" ca="1" si="25"/>
        <v>Expiring &gt; 6 Months</v>
      </c>
      <c r="AA105">
        <f t="shared" ca="1" si="26"/>
        <v>0</v>
      </c>
      <c r="AB105">
        <f t="shared" ca="1" si="27"/>
        <v>0</v>
      </c>
      <c r="AC105">
        <f t="shared" ca="1" si="28"/>
        <v>0</v>
      </c>
      <c r="AD105" t="str">
        <f t="shared" si="29"/>
        <v>Safe</v>
      </c>
    </row>
    <row r="106" spans="1:30">
      <c r="A106" s="48" t="str">
        <f>TEXT(Table2[[#This Row],[MB END]],"mmmm")</f>
        <v>June</v>
      </c>
      <c r="B106" s="48" t="str">
        <f>TEXT(Table2[[#This Row],[MB END]],"yyyy")</f>
        <v>2018</v>
      </c>
      <c r="C106" s="116" t="s">
        <v>587</v>
      </c>
      <c r="D106" s="27" t="s">
        <v>349</v>
      </c>
      <c r="E106" s="28">
        <v>41800</v>
      </c>
      <c r="F106" s="28">
        <v>43278</v>
      </c>
      <c r="G106" s="27" t="s">
        <v>588</v>
      </c>
      <c r="H106" s="27" t="s">
        <v>589</v>
      </c>
      <c r="I106" s="5">
        <v>34900</v>
      </c>
      <c r="J106" s="5">
        <v>27998.12</v>
      </c>
      <c r="K106" s="29">
        <f t="shared" si="15"/>
        <v>0.8022383954154727</v>
      </c>
      <c r="L106" s="23">
        <f t="shared" si="16"/>
        <v>48.56666666666667</v>
      </c>
      <c r="M106" s="30">
        <f t="shared" si="17"/>
        <v>2.0590253946465339E-2</v>
      </c>
      <c r="N106" s="24">
        <f t="shared" ca="1" si="18"/>
        <v>42.133333333333333</v>
      </c>
      <c r="O106" s="30">
        <f t="shared" ca="1" si="19"/>
        <v>1.9040468245620397E-2</v>
      </c>
      <c r="P106" s="26" t="str">
        <f t="shared" ca="1" si="20"/>
        <v>Desired Burn Rate</v>
      </c>
      <c r="Q106" s="24">
        <f t="shared" ca="1" si="21"/>
        <v>52.519716800032761</v>
      </c>
      <c r="R106" s="25">
        <f t="shared" ca="1" si="22"/>
        <v>43383</v>
      </c>
      <c r="S106" s="26" t="str">
        <f ca="1">TEXT(Table2[[#This Row],[Projected Limit Date]],"mmmm")</f>
        <v>October</v>
      </c>
      <c r="T106" s="26">
        <f t="shared" ca="1" si="23"/>
        <v>2019</v>
      </c>
      <c r="U106" s="31" t="s">
        <v>563</v>
      </c>
      <c r="V106" s="31" t="s">
        <v>776</v>
      </c>
      <c r="W106" s="32" t="str">
        <f t="shared" si="24"/>
        <v>Options</v>
      </c>
      <c r="X106" s="35"/>
      <c r="Y106" s="35" t="s">
        <v>950</v>
      </c>
      <c r="Z106" t="str">
        <f t="shared" ca="1" si="25"/>
        <v>Expiring &gt; 6 Months</v>
      </c>
      <c r="AA106">
        <f t="shared" ca="1" si="26"/>
        <v>0</v>
      </c>
      <c r="AB106">
        <f t="shared" ca="1" si="27"/>
        <v>0</v>
      </c>
      <c r="AC106">
        <f t="shared" ca="1" si="28"/>
        <v>0</v>
      </c>
      <c r="AD106" t="str">
        <f t="shared" si="29"/>
        <v>Reaching Spending Limit</v>
      </c>
    </row>
    <row r="107" spans="1:30" hidden="1">
      <c r="A107" s="48" t="str">
        <f>TEXT(Table2[[#This Row],[MB END]],"mmmm")</f>
        <v>June</v>
      </c>
      <c r="B107" s="48" t="str">
        <f>TEXT(Table2[[#This Row],[MB END]],"yyyy")</f>
        <v>2018</v>
      </c>
      <c r="C107" s="116" t="s">
        <v>601</v>
      </c>
      <c r="D107" s="27" t="s">
        <v>349</v>
      </c>
      <c r="E107" s="28">
        <v>42549</v>
      </c>
      <c r="F107" s="28">
        <v>43278</v>
      </c>
      <c r="G107" s="27" t="s">
        <v>602</v>
      </c>
      <c r="H107" s="27" t="s">
        <v>603</v>
      </c>
      <c r="I107" s="5">
        <v>25000</v>
      </c>
      <c r="J107" s="5">
        <v>14732.53</v>
      </c>
      <c r="K107" s="29">
        <f t="shared" si="15"/>
        <v>0.58930120000000008</v>
      </c>
      <c r="L107" s="23">
        <f t="shared" si="16"/>
        <v>23.966666666666665</v>
      </c>
      <c r="M107" s="30">
        <f t="shared" si="17"/>
        <v>4.1724617524339362E-2</v>
      </c>
      <c r="N107" s="24">
        <f t="shared" ca="1" si="18"/>
        <v>17.533333333333335</v>
      </c>
      <c r="O107" s="30">
        <f t="shared" ca="1" si="19"/>
        <v>3.3610334600760454E-2</v>
      </c>
      <c r="P107" s="26" t="str">
        <f t="shared" ca="1" si="20"/>
        <v>Desired Burn Rate</v>
      </c>
      <c r="Q107" s="24">
        <f t="shared" ca="1" si="21"/>
        <v>29.752753487237651</v>
      </c>
      <c r="R107" s="25">
        <f t="shared" ca="1" si="22"/>
        <v>43432</v>
      </c>
      <c r="S107" s="26" t="str">
        <f ca="1">TEXT(Table2[[#This Row],[Projected Limit Date]],"mmmm")</f>
        <v>November</v>
      </c>
      <c r="T107" s="26">
        <f t="shared" ca="1" si="23"/>
        <v>2019</v>
      </c>
      <c r="U107" s="31" t="s">
        <v>563</v>
      </c>
      <c r="V107" s="31" t="s">
        <v>604</v>
      </c>
      <c r="W107" s="32" t="str">
        <f t="shared" si="24"/>
        <v>Options</v>
      </c>
      <c r="X107" s="35"/>
      <c r="Y107" s="35"/>
      <c r="Z107" t="str">
        <f t="shared" ca="1" si="25"/>
        <v>Expiring &gt; 6 Months</v>
      </c>
      <c r="AA107">
        <f t="shared" ca="1" si="26"/>
        <v>0</v>
      </c>
      <c r="AB107">
        <f t="shared" ca="1" si="27"/>
        <v>0</v>
      </c>
      <c r="AC107">
        <f t="shared" ca="1" si="28"/>
        <v>0</v>
      </c>
      <c r="AD107" t="str">
        <f t="shared" si="29"/>
        <v>Safe</v>
      </c>
    </row>
    <row r="108" spans="1:30" hidden="1">
      <c r="A108" s="48" t="str">
        <f>TEXT(Table2[[#This Row],[MB END]],"mmmm")</f>
        <v>June</v>
      </c>
      <c r="B108" s="48" t="str">
        <f>TEXT(Table2[[#This Row],[MB END]],"yyyy")</f>
        <v>2018</v>
      </c>
      <c r="C108" s="117" t="s">
        <v>135</v>
      </c>
      <c r="D108" s="1" t="s">
        <v>136</v>
      </c>
      <c r="E108" s="2">
        <v>41456</v>
      </c>
      <c r="F108" s="28">
        <v>43281</v>
      </c>
      <c r="G108" s="1" t="s">
        <v>137</v>
      </c>
      <c r="H108" s="1" t="s">
        <v>138</v>
      </c>
      <c r="I108" s="5">
        <v>1500000</v>
      </c>
      <c r="J108" s="5">
        <v>410000</v>
      </c>
      <c r="K108" s="19">
        <f t="shared" si="15"/>
        <v>0.27333333333333332</v>
      </c>
      <c r="L108" s="16">
        <f t="shared" si="16"/>
        <v>59.966666666666669</v>
      </c>
      <c r="M108" s="19">
        <f t="shared" si="17"/>
        <v>1.6675931072818232E-2</v>
      </c>
      <c r="N108" s="16">
        <f t="shared" ca="1" si="18"/>
        <v>53.43333333333333</v>
      </c>
      <c r="O108" s="19">
        <f t="shared" ca="1" si="19"/>
        <v>5.1154086088583909E-3</v>
      </c>
      <c r="P108" t="str">
        <f t="shared" ca="1" si="20"/>
        <v>Desired Burn Rate</v>
      </c>
      <c r="Q108" s="16">
        <f t="shared" ca="1" si="21"/>
        <v>195.48780487804876</v>
      </c>
      <c r="R108" s="14">
        <f t="shared" ca="1" si="22"/>
        <v>47392</v>
      </c>
      <c r="S108" t="str">
        <f ca="1">TEXT(Table2[[#This Row],[Projected Limit Date]],"mmmm")</f>
        <v>October</v>
      </c>
      <c r="T108">
        <f t="shared" ca="1" si="23"/>
        <v>2030</v>
      </c>
      <c r="U108" t="s">
        <v>562</v>
      </c>
      <c r="V108" t="s">
        <v>565</v>
      </c>
      <c r="W108" t="str">
        <f t="shared" si="24"/>
        <v>No options</v>
      </c>
      <c r="Z108" t="str">
        <f t="shared" ca="1" si="25"/>
        <v>Expiring &gt; 6 Months</v>
      </c>
      <c r="AA108">
        <f t="shared" ca="1" si="26"/>
        <v>0</v>
      </c>
      <c r="AB108">
        <f t="shared" ca="1" si="27"/>
        <v>0</v>
      </c>
      <c r="AC108">
        <f t="shared" ca="1" si="28"/>
        <v>0</v>
      </c>
      <c r="AD108" t="str">
        <f t="shared" si="29"/>
        <v>Safe</v>
      </c>
    </row>
    <row r="109" spans="1:30" hidden="1">
      <c r="A109" s="48" t="str">
        <f>TEXT(Table2[[#This Row],[MB END]],"mmmm")</f>
        <v>June</v>
      </c>
      <c r="B109" s="48" t="str">
        <f>TEXT(Table2[[#This Row],[MB END]],"yyyy")</f>
        <v>2018</v>
      </c>
      <c r="C109" s="117" t="s">
        <v>191</v>
      </c>
      <c r="D109" s="1" t="s">
        <v>7</v>
      </c>
      <c r="E109" s="2">
        <v>41821</v>
      </c>
      <c r="F109" s="28">
        <v>43281</v>
      </c>
      <c r="G109" s="1" t="s">
        <v>192</v>
      </c>
      <c r="H109" s="1" t="s">
        <v>26</v>
      </c>
      <c r="I109" s="5">
        <v>5000000</v>
      </c>
      <c r="J109" s="5">
        <v>3544031.72</v>
      </c>
      <c r="K109" s="19">
        <f t="shared" si="15"/>
        <v>0.70880634400000009</v>
      </c>
      <c r="L109" s="16">
        <f t="shared" si="16"/>
        <v>47.966666666666669</v>
      </c>
      <c r="M109" s="19">
        <f t="shared" si="17"/>
        <v>2.0847810979847115E-2</v>
      </c>
      <c r="N109" s="16">
        <f t="shared" ca="1" si="18"/>
        <v>41.43333333333333</v>
      </c>
      <c r="O109" s="19">
        <f t="shared" ca="1" si="19"/>
        <v>1.7107152308930011E-2</v>
      </c>
      <c r="P109" t="str">
        <f t="shared" ca="1" si="20"/>
        <v>Desired Burn Rate</v>
      </c>
      <c r="Q109" s="16">
        <f t="shared" ca="1" si="21"/>
        <v>58.455082525803867</v>
      </c>
      <c r="R109" s="14">
        <f t="shared" ca="1" si="22"/>
        <v>43586</v>
      </c>
      <c r="S109" t="str">
        <f ca="1">TEXT(Table2[[#This Row],[Projected Limit Date]],"mmmm")</f>
        <v>May</v>
      </c>
      <c r="T109">
        <f t="shared" ca="1" si="23"/>
        <v>2019</v>
      </c>
      <c r="U109" t="s">
        <v>562</v>
      </c>
      <c r="V109" t="s">
        <v>672</v>
      </c>
      <c r="W109" t="str">
        <f t="shared" si="24"/>
        <v>Options</v>
      </c>
      <c r="Z109" t="str">
        <f t="shared" ca="1" si="25"/>
        <v>Expiring &gt; 6 Months</v>
      </c>
      <c r="AA109">
        <f t="shared" ca="1" si="26"/>
        <v>0</v>
      </c>
      <c r="AB109">
        <f t="shared" ca="1" si="27"/>
        <v>0</v>
      </c>
      <c r="AC109">
        <f t="shared" ca="1" si="28"/>
        <v>0</v>
      </c>
      <c r="AD109" t="str">
        <f t="shared" si="29"/>
        <v>Safe</v>
      </c>
    </row>
    <row r="110" spans="1:30" hidden="1">
      <c r="A110" s="48" t="str">
        <f>TEXT(Table2[[#This Row],[MB END]],"mmmm")</f>
        <v>June</v>
      </c>
      <c r="B110" s="48" t="str">
        <f>TEXT(Table2[[#This Row],[MB END]],"yyyy")</f>
        <v>2018</v>
      </c>
      <c r="C110" s="117" t="s">
        <v>193</v>
      </c>
      <c r="D110" s="1" t="s">
        <v>7</v>
      </c>
      <c r="E110" s="2">
        <v>41821</v>
      </c>
      <c r="F110" s="28">
        <v>43281</v>
      </c>
      <c r="G110" s="1" t="s">
        <v>194</v>
      </c>
      <c r="H110" s="1" t="s">
        <v>195</v>
      </c>
      <c r="I110" s="5">
        <v>4000000</v>
      </c>
      <c r="J110" s="5">
        <v>147074.57</v>
      </c>
      <c r="K110" s="19">
        <f t="shared" si="15"/>
        <v>3.6768642500000004E-2</v>
      </c>
      <c r="L110" s="16">
        <f t="shared" si="16"/>
        <v>47.966666666666669</v>
      </c>
      <c r="M110" s="19">
        <f t="shared" si="17"/>
        <v>2.0847810979847115E-2</v>
      </c>
      <c r="N110" s="16">
        <f t="shared" ca="1" si="18"/>
        <v>41.43333333333333</v>
      </c>
      <c r="O110" s="19">
        <f t="shared" ca="1" si="19"/>
        <v>8.8741695494770731E-4</v>
      </c>
      <c r="P110" t="str">
        <f t="shared" ca="1" si="20"/>
        <v>Desired Burn Rate</v>
      </c>
      <c r="Q110" s="16">
        <f t="shared" ca="1" si="21"/>
        <v>1126.8660063621694</v>
      </c>
      <c r="R110" s="14">
        <f t="shared" ca="1" si="22"/>
        <v>76093</v>
      </c>
      <c r="S110" t="str">
        <f ca="1">TEXT(Table2[[#This Row],[Projected Limit Date]],"mmmm")</f>
        <v>May</v>
      </c>
      <c r="T110">
        <f t="shared" ca="1" si="23"/>
        <v>2108</v>
      </c>
      <c r="U110" t="s">
        <v>562</v>
      </c>
      <c r="V110" t="s">
        <v>822</v>
      </c>
      <c r="W110" t="str">
        <f t="shared" si="24"/>
        <v>Options</v>
      </c>
      <c r="Z110" t="str">
        <f t="shared" ca="1" si="25"/>
        <v>Expiring &gt; 6 Months</v>
      </c>
      <c r="AA110">
        <f t="shared" ca="1" si="26"/>
        <v>0</v>
      </c>
      <c r="AB110">
        <f t="shared" ca="1" si="27"/>
        <v>0</v>
      </c>
      <c r="AC110">
        <f t="shared" ca="1" si="28"/>
        <v>0</v>
      </c>
      <c r="AD110" t="str">
        <f t="shared" si="29"/>
        <v>Safe</v>
      </c>
    </row>
    <row r="111" spans="1:30" hidden="1">
      <c r="A111" s="48" t="str">
        <f>TEXT(Table2[[#This Row],[MB END]],"mmmm")</f>
        <v>June</v>
      </c>
      <c r="B111" s="48" t="str">
        <f>TEXT(Table2[[#This Row],[MB END]],"yyyy")</f>
        <v>2018</v>
      </c>
      <c r="C111" s="117" t="s">
        <v>199</v>
      </c>
      <c r="D111" s="1" t="s">
        <v>7</v>
      </c>
      <c r="E111" s="2">
        <v>41821</v>
      </c>
      <c r="F111" s="28">
        <v>43281</v>
      </c>
      <c r="G111" s="1" t="s">
        <v>200</v>
      </c>
      <c r="H111" s="1" t="s">
        <v>201</v>
      </c>
      <c r="I111" s="5">
        <v>237000</v>
      </c>
      <c r="J111" s="5">
        <v>180214.04</v>
      </c>
      <c r="K111" s="19">
        <f t="shared" si="15"/>
        <v>0.76039679324894516</v>
      </c>
      <c r="L111" s="16">
        <f t="shared" si="16"/>
        <v>47.966666666666669</v>
      </c>
      <c r="M111" s="19">
        <f t="shared" si="17"/>
        <v>2.0847810979847115E-2</v>
      </c>
      <c r="N111" s="16">
        <f t="shared" ca="1" si="18"/>
        <v>41.43333333333333</v>
      </c>
      <c r="O111" s="19">
        <f t="shared" ca="1" si="19"/>
        <v>1.835229589498661E-2</v>
      </c>
      <c r="P111" t="str">
        <f t="shared" ca="1" si="20"/>
        <v>Desired Burn Rate</v>
      </c>
      <c r="Q111" s="16">
        <f t="shared" ca="1" si="21"/>
        <v>54.489095300232982</v>
      </c>
      <c r="R111" s="14">
        <f t="shared" ca="1" si="22"/>
        <v>43466</v>
      </c>
      <c r="S111" t="str">
        <f ca="1">TEXT(Table2[[#This Row],[Projected Limit Date]],"mmmm")</f>
        <v>January</v>
      </c>
      <c r="T111">
        <f t="shared" ca="1" si="23"/>
        <v>2019</v>
      </c>
      <c r="U111" t="s">
        <v>562</v>
      </c>
      <c r="V111" t="s">
        <v>774</v>
      </c>
      <c r="W111" t="str">
        <f t="shared" si="24"/>
        <v>Options</v>
      </c>
      <c r="Z111" t="str">
        <f t="shared" ca="1" si="25"/>
        <v>Expiring &gt; 6 Months</v>
      </c>
      <c r="AA111">
        <f t="shared" ca="1" si="26"/>
        <v>0</v>
      </c>
      <c r="AB111">
        <f t="shared" ca="1" si="27"/>
        <v>0</v>
      </c>
      <c r="AC111">
        <f t="shared" ca="1" si="28"/>
        <v>0</v>
      </c>
      <c r="AD111" t="str">
        <f t="shared" si="29"/>
        <v>Reaching Spending Limit</v>
      </c>
    </row>
    <row r="112" spans="1:30" hidden="1">
      <c r="A112" s="48" t="str">
        <f>TEXT(Table2[[#This Row],[MB END]],"mmmm")</f>
        <v>June</v>
      </c>
      <c r="B112" s="48" t="str">
        <f>TEXT(Table2[[#This Row],[MB END]],"yyyy")</f>
        <v>2018</v>
      </c>
      <c r="C112" s="117" t="s">
        <v>202</v>
      </c>
      <c r="D112" s="1" t="s">
        <v>7</v>
      </c>
      <c r="E112" s="2">
        <v>41821</v>
      </c>
      <c r="F112" s="28">
        <v>43281</v>
      </c>
      <c r="G112" s="1" t="s">
        <v>203</v>
      </c>
      <c r="H112" s="1" t="s">
        <v>204</v>
      </c>
      <c r="I112" s="5">
        <v>200000</v>
      </c>
      <c r="J112" s="5">
        <v>28961.78</v>
      </c>
      <c r="K112" s="19">
        <f t="shared" si="15"/>
        <v>0.14480889999999999</v>
      </c>
      <c r="L112" s="16">
        <f t="shared" si="16"/>
        <v>47.966666666666669</v>
      </c>
      <c r="M112" s="19">
        <f t="shared" si="17"/>
        <v>2.0847810979847115E-2</v>
      </c>
      <c r="N112" s="16">
        <f t="shared" ca="1" si="18"/>
        <v>41.43333333333333</v>
      </c>
      <c r="O112" s="19">
        <f t="shared" ca="1" si="19"/>
        <v>3.4949855189058731E-3</v>
      </c>
      <c r="P112" t="str">
        <f t="shared" ca="1" si="20"/>
        <v>Desired Burn Rate</v>
      </c>
      <c r="Q112" s="16">
        <f t="shared" ca="1" si="21"/>
        <v>286.12421842395969</v>
      </c>
      <c r="R112" s="14">
        <f t="shared" ca="1" si="22"/>
        <v>50526</v>
      </c>
      <c r="S112" t="str">
        <f ca="1">TEXT(Table2[[#This Row],[Projected Limit Date]],"mmmm")</f>
        <v>May</v>
      </c>
      <c r="T112">
        <f t="shared" ca="1" si="23"/>
        <v>2038</v>
      </c>
      <c r="U112" t="s">
        <v>562</v>
      </c>
      <c r="V112" t="s">
        <v>825</v>
      </c>
      <c r="W112" t="str">
        <f t="shared" si="24"/>
        <v>Options</v>
      </c>
      <c r="Z112" t="str">
        <f t="shared" ca="1" si="25"/>
        <v>Expiring &gt; 6 Months</v>
      </c>
      <c r="AA112">
        <f t="shared" ca="1" si="26"/>
        <v>0</v>
      </c>
      <c r="AB112">
        <f t="shared" ca="1" si="27"/>
        <v>0</v>
      </c>
      <c r="AC112">
        <f t="shared" ca="1" si="28"/>
        <v>0</v>
      </c>
      <c r="AD112" t="str">
        <f t="shared" si="29"/>
        <v>Safe</v>
      </c>
    </row>
    <row r="113" spans="1:30" hidden="1">
      <c r="A113" s="48" t="str">
        <f>TEXT(Table2[[#This Row],[MB END]],"mmmm")</f>
        <v>June</v>
      </c>
      <c r="B113" s="48" t="str">
        <f>TEXT(Table2[[#This Row],[MB END]],"yyyy")</f>
        <v>2018</v>
      </c>
      <c r="C113" s="117" t="s">
        <v>335</v>
      </c>
      <c r="D113" s="1" t="s">
        <v>238</v>
      </c>
      <c r="E113" s="2">
        <v>42186</v>
      </c>
      <c r="F113" s="28">
        <v>43281</v>
      </c>
      <c r="G113" s="1" t="s">
        <v>336</v>
      </c>
      <c r="H113" s="1" t="s">
        <v>337</v>
      </c>
      <c r="I113" s="5">
        <v>16296</v>
      </c>
      <c r="J113" s="5">
        <v>4895</v>
      </c>
      <c r="K113" s="19">
        <f t="shared" si="15"/>
        <v>0.30038046146293568</v>
      </c>
      <c r="L113" s="16">
        <f t="shared" si="16"/>
        <v>35.966666666666669</v>
      </c>
      <c r="M113" s="19">
        <f t="shared" si="17"/>
        <v>2.7803521779425393E-2</v>
      </c>
      <c r="N113" s="16">
        <f t="shared" ca="1" si="18"/>
        <v>29.433333333333334</v>
      </c>
      <c r="O113" s="19">
        <f t="shared" ca="1" si="19"/>
        <v>1.0205451691832469E-2</v>
      </c>
      <c r="P113" t="str">
        <f t="shared" ca="1" si="20"/>
        <v>Desired Burn Rate</v>
      </c>
      <c r="Q113" s="16">
        <f t="shared" ca="1" si="21"/>
        <v>97.986843718079683</v>
      </c>
      <c r="R113" s="14">
        <f t="shared" ca="1" si="22"/>
        <v>45139</v>
      </c>
      <c r="S113" t="str">
        <f ca="1">TEXT(Table2[[#This Row],[Projected Limit Date]],"mmmm")</f>
        <v>August</v>
      </c>
      <c r="T113">
        <f t="shared" ca="1" si="23"/>
        <v>2024</v>
      </c>
      <c r="U113" t="s">
        <v>563</v>
      </c>
      <c r="V113" t="s">
        <v>823</v>
      </c>
      <c r="W113" t="str">
        <f t="shared" si="24"/>
        <v>Options</v>
      </c>
      <c r="Z113" t="str">
        <f t="shared" ca="1" si="25"/>
        <v>Expiring &gt; 6 Months</v>
      </c>
      <c r="AA113">
        <f t="shared" ca="1" si="26"/>
        <v>0</v>
      </c>
      <c r="AB113">
        <f t="shared" ca="1" si="27"/>
        <v>0</v>
      </c>
      <c r="AC113">
        <f t="shared" ca="1" si="28"/>
        <v>0</v>
      </c>
      <c r="AD113" t="str">
        <f t="shared" si="29"/>
        <v>Safe</v>
      </c>
    </row>
    <row r="114" spans="1:30" hidden="1">
      <c r="A114" s="48" t="str">
        <f>TEXT(Table2[[#This Row],[MB END]],"mmmm")</f>
        <v>June</v>
      </c>
      <c r="B114" s="48" t="str">
        <f>TEXT(Table2[[#This Row],[MB END]],"yyyy")</f>
        <v>2018</v>
      </c>
      <c r="C114" s="116" t="s">
        <v>609</v>
      </c>
      <c r="D114" s="27" t="s">
        <v>64</v>
      </c>
      <c r="E114" s="28">
        <v>42186</v>
      </c>
      <c r="F114" s="28">
        <v>43281</v>
      </c>
      <c r="G114" s="27" t="s">
        <v>610</v>
      </c>
      <c r="H114" s="27" t="s">
        <v>611</v>
      </c>
      <c r="I114" s="5">
        <v>450000</v>
      </c>
      <c r="J114" s="5">
        <v>253864.85</v>
      </c>
      <c r="K114" s="29">
        <f t="shared" si="15"/>
        <v>0.56414411111111118</v>
      </c>
      <c r="L114" s="23">
        <f t="shared" si="16"/>
        <v>35.966666666666669</v>
      </c>
      <c r="M114" s="30">
        <f t="shared" si="17"/>
        <v>2.780352177942539E-2</v>
      </c>
      <c r="N114" s="24">
        <f t="shared" ca="1" si="18"/>
        <v>29.433333333333334</v>
      </c>
      <c r="O114" s="30">
        <f t="shared" ca="1" si="19"/>
        <v>1.9166844092110231E-2</v>
      </c>
      <c r="P114" s="26" t="str">
        <f t="shared" ca="1" si="20"/>
        <v>Desired Burn Rate</v>
      </c>
      <c r="Q114" s="24">
        <f t="shared" ca="1" si="21"/>
        <v>52.173430075097045</v>
      </c>
      <c r="R114" s="25">
        <f t="shared" ca="1" si="22"/>
        <v>43770</v>
      </c>
      <c r="S114" s="26" t="str">
        <f ca="1">TEXT(Table2[[#This Row],[Projected Limit Date]],"mmmm")</f>
        <v>November</v>
      </c>
      <c r="T114" s="26">
        <f t="shared" ca="1" si="23"/>
        <v>2020</v>
      </c>
      <c r="U114" s="31" t="s">
        <v>563</v>
      </c>
      <c r="V114" s="31" t="s">
        <v>565</v>
      </c>
      <c r="W114" s="32" t="str">
        <f t="shared" si="24"/>
        <v>No options</v>
      </c>
      <c r="X114" s="35" t="s">
        <v>816</v>
      </c>
      <c r="Y114" s="35"/>
      <c r="Z114" t="str">
        <f t="shared" ca="1" si="25"/>
        <v>Expiring &gt; 6 Months</v>
      </c>
      <c r="AA114">
        <f t="shared" ca="1" si="26"/>
        <v>0</v>
      </c>
      <c r="AB114">
        <f t="shared" ca="1" si="27"/>
        <v>0</v>
      </c>
      <c r="AC114">
        <f t="shared" ca="1" si="28"/>
        <v>0</v>
      </c>
      <c r="AD114" t="str">
        <f t="shared" si="29"/>
        <v>Safe</v>
      </c>
    </row>
    <row r="115" spans="1:30" hidden="1">
      <c r="A115" s="48" t="str">
        <f>TEXT(Table2[[#This Row],[MB END]],"mmmm")</f>
        <v>June</v>
      </c>
      <c r="B115" s="48" t="str">
        <f>TEXT(Table2[[#This Row],[MB END]],"yyyy")</f>
        <v>2018</v>
      </c>
      <c r="C115" s="116" t="s">
        <v>680</v>
      </c>
      <c r="D115" s="27" t="s">
        <v>64</v>
      </c>
      <c r="E115" s="28">
        <v>41091</v>
      </c>
      <c r="F115" s="28">
        <v>43281</v>
      </c>
      <c r="G115" s="27" t="s">
        <v>681</v>
      </c>
      <c r="H115" s="27" t="s">
        <v>682</v>
      </c>
      <c r="I115" s="5">
        <v>172500</v>
      </c>
      <c r="J115" s="5">
        <v>80381.320000000007</v>
      </c>
      <c r="K115" s="29">
        <f t="shared" si="15"/>
        <v>0.46597866666666671</v>
      </c>
      <c r="L115" s="23">
        <f t="shared" si="16"/>
        <v>71.966666666666669</v>
      </c>
      <c r="M115" s="30">
        <f t="shared" si="17"/>
        <v>1.3895321908290875E-2</v>
      </c>
      <c r="N115" s="24">
        <f t="shared" ca="1" si="18"/>
        <v>65.433333333333337</v>
      </c>
      <c r="O115" s="30">
        <f t="shared" ca="1" si="19"/>
        <v>7.1214263881813553E-3</v>
      </c>
      <c r="P115" s="26" t="str">
        <f t="shared" ca="1" si="20"/>
        <v>Desired Burn Rate</v>
      </c>
      <c r="Q115" s="24">
        <f t="shared" ca="1" si="21"/>
        <v>140.42130684094266</v>
      </c>
      <c r="R115" s="25">
        <f t="shared" ca="1" si="22"/>
        <v>45352</v>
      </c>
      <c r="S115" s="26" t="str">
        <f ca="1">TEXT(Table2[[#This Row],[Projected Limit Date]],"mmmm")</f>
        <v>March</v>
      </c>
      <c r="T115" s="26">
        <f t="shared" ca="1" si="23"/>
        <v>2024</v>
      </c>
      <c r="U115" s="31" t="s">
        <v>563</v>
      </c>
      <c r="V115" s="31" t="s">
        <v>565</v>
      </c>
      <c r="W115" s="32" t="str">
        <f t="shared" si="24"/>
        <v>No options</v>
      </c>
      <c r="X115" s="31"/>
      <c r="Y115" s="31"/>
      <c r="Z115" t="str">
        <f t="shared" ca="1" si="25"/>
        <v>Expiring &gt; 6 Months</v>
      </c>
      <c r="AA115">
        <f t="shared" ca="1" si="26"/>
        <v>0</v>
      </c>
      <c r="AB115">
        <f t="shared" ca="1" si="27"/>
        <v>0</v>
      </c>
      <c r="AC115">
        <f t="shared" ca="1" si="28"/>
        <v>0</v>
      </c>
      <c r="AD115" t="str">
        <f t="shared" si="29"/>
        <v>Safe</v>
      </c>
    </row>
    <row r="116" spans="1:30" hidden="1">
      <c r="A116" s="48" t="str">
        <f>TEXT(Table2[[#This Row],[MB END]],"mmmm")</f>
        <v>June</v>
      </c>
      <c r="B116" s="48" t="str">
        <f>TEXT(Table2[[#This Row],[MB END]],"yyyy")</f>
        <v>2018</v>
      </c>
      <c r="C116" s="117" t="s">
        <v>384</v>
      </c>
      <c r="D116" s="1" t="s">
        <v>24</v>
      </c>
      <c r="E116" s="2">
        <v>42552</v>
      </c>
      <c r="F116" s="28">
        <v>43281</v>
      </c>
      <c r="G116" s="1" t="s">
        <v>385</v>
      </c>
      <c r="H116" s="1" t="s">
        <v>386</v>
      </c>
      <c r="I116" s="5">
        <v>20000</v>
      </c>
      <c r="J116" s="5">
        <v>682.1</v>
      </c>
      <c r="K116" s="19">
        <f t="shared" si="15"/>
        <v>3.4105000000000003E-2</v>
      </c>
      <c r="L116" s="16">
        <f t="shared" si="16"/>
        <v>23.966666666666665</v>
      </c>
      <c r="M116" s="19">
        <f t="shared" si="17"/>
        <v>4.1724617524339362E-2</v>
      </c>
      <c r="N116" s="16">
        <f t="shared" ca="1" si="18"/>
        <v>17.433333333333334</v>
      </c>
      <c r="O116" s="19">
        <f t="shared" ca="1" si="19"/>
        <v>1.9563097514340346E-3</v>
      </c>
      <c r="P116" t="str">
        <f t="shared" ca="1" si="20"/>
        <v>Desired Burn Rate</v>
      </c>
      <c r="Q116" s="16">
        <f t="shared" ca="1" si="21"/>
        <v>511.16649562625224</v>
      </c>
      <c r="R116" s="14">
        <f t="shared" ca="1" si="22"/>
        <v>58107</v>
      </c>
      <c r="S116" t="str">
        <f ca="1">TEXT(Table2[[#This Row],[Projected Limit Date]],"mmmm")</f>
        <v>February</v>
      </c>
      <c r="T116">
        <f t="shared" ca="1" si="23"/>
        <v>2059</v>
      </c>
      <c r="U116" t="s">
        <v>562</v>
      </c>
      <c r="V116" t="s">
        <v>761</v>
      </c>
      <c r="W116" t="str">
        <f t="shared" si="24"/>
        <v>Options</v>
      </c>
      <c r="Z116" t="str">
        <f t="shared" ca="1" si="25"/>
        <v>Expiring &gt; 6 Months</v>
      </c>
      <c r="AA116">
        <f t="shared" ca="1" si="26"/>
        <v>0</v>
      </c>
      <c r="AB116">
        <f t="shared" ca="1" si="27"/>
        <v>0</v>
      </c>
      <c r="AC116">
        <f t="shared" ca="1" si="28"/>
        <v>0</v>
      </c>
      <c r="AD116" t="str">
        <f t="shared" si="29"/>
        <v>Safe</v>
      </c>
    </row>
    <row r="117" spans="1:30" hidden="1">
      <c r="A117" s="48" t="str">
        <f>TEXT(Table2[[#This Row],[MB END]],"mmmm")</f>
        <v>June</v>
      </c>
      <c r="B117" s="48" t="str">
        <f>TEXT(Table2[[#This Row],[MB END]],"yyyy")</f>
        <v>2018</v>
      </c>
      <c r="C117" s="117" t="s">
        <v>396</v>
      </c>
      <c r="D117" s="1" t="s">
        <v>24</v>
      </c>
      <c r="E117" s="2">
        <v>42552</v>
      </c>
      <c r="F117" s="28">
        <v>43281</v>
      </c>
      <c r="G117" s="1" t="s">
        <v>397</v>
      </c>
      <c r="H117" s="1" t="s">
        <v>398</v>
      </c>
      <c r="I117" s="5">
        <v>5000</v>
      </c>
      <c r="J117" s="5">
        <v>1812.32</v>
      </c>
      <c r="K117" s="19">
        <f t="shared" si="15"/>
        <v>0.36246400000000001</v>
      </c>
      <c r="L117" s="16">
        <f t="shared" si="16"/>
        <v>23.966666666666665</v>
      </c>
      <c r="M117" s="19">
        <f t="shared" si="17"/>
        <v>4.1724617524339362E-2</v>
      </c>
      <c r="N117" s="16">
        <f t="shared" ca="1" si="18"/>
        <v>17.433333333333334</v>
      </c>
      <c r="O117" s="19">
        <f t="shared" ca="1" si="19"/>
        <v>2.0791434034416825E-2</v>
      </c>
      <c r="P117" t="str">
        <f t="shared" ca="1" si="20"/>
        <v>Desired Burn Rate</v>
      </c>
      <c r="Q117" s="16">
        <f t="shared" ca="1" si="21"/>
        <v>48.096730525882116</v>
      </c>
      <c r="R117" s="14">
        <f t="shared" ca="1" si="22"/>
        <v>44013</v>
      </c>
      <c r="S117" t="str">
        <f ca="1">TEXT(Table2[[#This Row],[Projected Limit Date]],"mmmm")</f>
        <v>July</v>
      </c>
      <c r="T117">
        <f t="shared" ca="1" si="23"/>
        <v>2021</v>
      </c>
      <c r="U117" t="s">
        <v>562</v>
      </c>
      <c r="V117" t="s">
        <v>778</v>
      </c>
      <c r="W117" t="str">
        <f t="shared" si="24"/>
        <v>Options</v>
      </c>
      <c r="Z117" t="str">
        <f t="shared" ca="1" si="25"/>
        <v>Expiring &gt; 6 Months</v>
      </c>
      <c r="AA117">
        <f t="shared" ca="1" si="26"/>
        <v>0</v>
      </c>
      <c r="AB117">
        <f t="shared" ca="1" si="27"/>
        <v>0</v>
      </c>
      <c r="AC117">
        <f t="shared" ca="1" si="28"/>
        <v>0</v>
      </c>
      <c r="AD117" t="str">
        <f t="shared" si="29"/>
        <v>Safe</v>
      </c>
    </row>
    <row r="118" spans="1:30" hidden="1">
      <c r="A118" s="48" t="str">
        <f>TEXT(Table2[[#This Row],[MB END]],"mmmm")</f>
        <v>July</v>
      </c>
      <c r="B118" s="48" t="str">
        <f>TEXT(Table2[[#This Row],[MB END]],"yyyy")</f>
        <v>2018</v>
      </c>
      <c r="C118" s="117" t="s">
        <v>205</v>
      </c>
      <c r="D118" s="1" t="s">
        <v>7</v>
      </c>
      <c r="E118" s="2">
        <v>41821</v>
      </c>
      <c r="F118" s="28">
        <v>43282</v>
      </c>
      <c r="G118" s="1" t="s">
        <v>206</v>
      </c>
      <c r="H118" s="1" t="s">
        <v>62</v>
      </c>
      <c r="I118" s="5">
        <v>2500000</v>
      </c>
      <c r="J118" s="5">
        <v>1693073.84</v>
      </c>
      <c r="K118" s="19">
        <f t="shared" si="15"/>
        <v>0.67722953600000002</v>
      </c>
      <c r="L118" s="16">
        <f t="shared" si="16"/>
        <v>48</v>
      </c>
      <c r="M118" s="19">
        <f t="shared" si="17"/>
        <v>2.0833333333333336E-2</v>
      </c>
      <c r="N118" s="16">
        <f t="shared" ca="1" si="18"/>
        <v>41.43333333333333</v>
      </c>
      <c r="O118" s="19">
        <f t="shared" ca="1" si="19"/>
        <v>1.6345041094127113E-2</v>
      </c>
      <c r="P118" t="str">
        <f t="shared" ca="1" si="20"/>
        <v>Desired Burn Rate</v>
      </c>
      <c r="Q118" s="16">
        <f t="shared" ca="1" si="21"/>
        <v>61.180635413593848</v>
      </c>
      <c r="R118" s="14">
        <f t="shared" ca="1" si="22"/>
        <v>43678</v>
      </c>
      <c r="S118" t="str">
        <f ca="1">TEXT(Table2[[#This Row],[Projected Limit Date]],"mmmm")</f>
        <v>August</v>
      </c>
      <c r="T118">
        <f t="shared" ca="1" si="23"/>
        <v>2020</v>
      </c>
      <c r="U118" t="s">
        <v>562</v>
      </c>
      <c r="V118" t="s">
        <v>822</v>
      </c>
      <c r="W118" t="str">
        <f t="shared" si="24"/>
        <v>Options</v>
      </c>
      <c r="Z118" t="str">
        <f t="shared" ca="1" si="25"/>
        <v>Expiring &gt; 6 Months</v>
      </c>
      <c r="AA118">
        <f t="shared" ca="1" si="26"/>
        <v>0</v>
      </c>
      <c r="AB118">
        <f t="shared" ca="1" si="27"/>
        <v>0</v>
      </c>
      <c r="AC118">
        <f t="shared" ca="1" si="28"/>
        <v>0</v>
      </c>
      <c r="AD118" t="str">
        <f t="shared" si="29"/>
        <v>Safe</v>
      </c>
    </row>
    <row r="119" spans="1:30" hidden="1">
      <c r="A119" s="48" t="str">
        <f>TEXT(Table2[[#This Row],[MB END]],"mmmm")</f>
        <v>July</v>
      </c>
      <c r="B119" s="48" t="str">
        <f>TEXT(Table2[[#This Row],[MB END]],"yyyy")</f>
        <v>2018</v>
      </c>
      <c r="C119" s="117" t="s">
        <v>338</v>
      </c>
      <c r="D119" s="1" t="s">
        <v>339</v>
      </c>
      <c r="E119" s="2">
        <v>42200</v>
      </c>
      <c r="F119" s="28">
        <v>43295</v>
      </c>
      <c r="G119" s="1" t="s">
        <v>340</v>
      </c>
      <c r="H119" s="1" t="s">
        <v>341</v>
      </c>
      <c r="I119" s="5">
        <v>10000</v>
      </c>
      <c r="J119" s="5">
        <v>0</v>
      </c>
      <c r="K119" s="19">
        <f t="shared" si="15"/>
        <v>0</v>
      </c>
      <c r="L119" s="16">
        <f t="shared" si="16"/>
        <v>35.966666666666669</v>
      </c>
      <c r="M119" s="19">
        <f t="shared" si="17"/>
        <v>2.7803521779425393E-2</v>
      </c>
      <c r="N119" s="16">
        <f t="shared" ca="1" si="18"/>
        <v>28.966666666666665</v>
      </c>
      <c r="O119" s="19">
        <f t="shared" ca="1" si="19"/>
        <v>0</v>
      </c>
      <c r="P119" t="str">
        <f t="shared" ca="1" si="20"/>
        <v>Desired Burn Rate</v>
      </c>
      <c r="Q119" s="16" t="e">
        <f t="shared" ca="1" si="21"/>
        <v>#DIV/0!</v>
      </c>
      <c r="R119" s="14" t="e">
        <f t="shared" ca="1" si="22"/>
        <v>#DIV/0!</v>
      </c>
      <c r="S119" t="e">
        <f ca="1">TEXT(Table2[[#This Row],[Projected Limit Date]],"mmmm")</f>
        <v>#DIV/0!</v>
      </c>
      <c r="T119" t="e">
        <f t="shared" ca="1" si="23"/>
        <v>#DIV/0!</v>
      </c>
      <c r="U119" t="s">
        <v>563</v>
      </c>
      <c r="V119" t="s">
        <v>672</v>
      </c>
      <c r="W119" t="str">
        <f t="shared" si="24"/>
        <v>Options</v>
      </c>
      <c r="Z119" t="str">
        <f t="shared" ca="1" si="25"/>
        <v>Expiring &gt; 6 Months</v>
      </c>
      <c r="AA119">
        <f t="shared" ca="1" si="26"/>
        <v>0</v>
      </c>
      <c r="AB119">
        <f t="shared" ca="1" si="27"/>
        <v>0</v>
      </c>
      <c r="AC119">
        <f t="shared" ca="1" si="28"/>
        <v>0</v>
      </c>
      <c r="AD119" t="str">
        <f t="shared" si="29"/>
        <v>Safe</v>
      </c>
    </row>
    <row r="120" spans="1:30">
      <c r="A120" s="48" t="str">
        <f>TEXT(Table2[[#This Row],[MB END]],"mmmm")</f>
        <v>July</v>
      </c>
      <c r="B120" s="48" t="str">
        <f>TEXT(Table2[[#This Row],[MB END]],"yyyy")</f>
        <v>2018</v>
      </c>
      <c r="C120" s="117" t="s">
        <v>435</v>
      </c>
      <c r="D120" s="1" t="s">
        <v>349</v>
      </c>
      <c r="E120" s="2">
        <v>42566</v>
      </c>
      <c r="F120" s="28">
        <v>43295</v>
      </c>
      <c r="G120" s="1" t="s">
        <v>436</v>
      </c>
      <c r="H120" s="1" t="s">
        <v>437</v>
      </c>
      <c r="I120" s="5">
        <v>266759.84000000003</v>
      </c>
      <c r="J120" s="5">
        <v>266759.84000000003</v>
      </c>
      <c r="K120" s="19">
        <f t="shared" si="15"/>
        <v>1</v>
      </c>
      <c r="L120" s="16">
        <f t="shared" si="16"/>
        <v>23.966666666666665</v>
      </c>
      <c r="M120" s="19">
        <f t="shared" si="17"/>
        <v>4.1724617524339362E-2</v>
      </c>
      <c r="N120" s="16">
        <f t="shared" ca="1" si="18"/>
        <v>16.966666666666665</v>
      </c>
      <c r="O120" s="19">
        <f t="shared" ca="1" si="19"/>
        <v>5.8939096267190579E-2</v>
      </c>
      <c r="P120" t="str">
        <f t="shared" ca="1" si="20"/>
        <v>High Burn Rate</v>
      </c>
      <c r="Q120" s="16">
        <f t="shared" ca="1" si="21"/>
        <v>16.966666666666665</v>
      </c>
      <c r="R120" s="14">
        <f t="shared" ca="1" si="22"/>
        <v>43054</v>
      </c>
      <c r="S120" t="str">
        <f ca="1">TEXT(Table2[[#This Row],[Projected Limit Date]],"mmmm")</f>
        <v>November</v>
      </c>
      <c r="T120">
        <f t="shared" ca="1" si="23"/>
        <v>2018</v>
      </c>
      <c r="U120" t="s">
        <v>563</v>
      </c>
      <c r="V120" t="s">
        <v>565</v>
      </c>
      <c r="W120" t="str">
        <f t="shared" si="24"/>
        <v>No options</v>
      </c>
      <c r="X120" t="s">
        <v>585</v>
      </c>
      <c r="Z120" t="str">
        <f t="shared" ca="1" si="25"/>
        <v>Expiring &gt; 6 Months</v>
      </c>
      <c r="AA120">
        <f t="shared" ca="1" si="26"/>
        <v>0</v>
      </c>
      <c r="AB120">
        <f t="shared" ca="1" si="27"/>
        <v>0</v>
      </c>
      <c r="AC120">
        <f t="shared" ca="1" si="28"/>
        <v>0</v>
      </c>
      <c r="AD120" t="str">
        <f t="shared" si="29"/>
        <v>Reaching Spending Limit</v>
      </c>
    </row>
    <row r="121" spans="1:30" hidden="1">
      <c r="A121" s="48" t="str">
        <f>TEXT(Table2[[#This Row],[MB END]],"mmmm")</f>
        <v>July</v>
      </c>
      <c r="B121" s="48" t="str">
        <f>TEXT(Table2[[#This Row],[MB END]],"yyyy")</f>
        <v>2018</v>
      </c>
      <c r="C121" s="116" t="s">
        <v>613</v>
      </c>
      <c r="D121" s="27" t="s">
        <v>349</v>
      </c>
      <c r="E121" s="28">
        <v>42569</v>
      </c>
      <c r="F121" s="28">
        <v>43298</v>
      </c>
      <c r="G121" s="27" t="s">
        <v>614</v>
      </c>
      <c r="H121" s="27" t="s">
        <v>615</v>
      </c>
      <c r="I121" s="5">
        <v>376999</v>
      </c>
      <c r="J121" s="5">
        <v>255529.97</v>
      </c>
      <c r="K121" s="29">
        <f t="shared" si="15"/>
        <v>0.67780012679078727</v>
      </c>
      <c r="L121" s="23">
        <f t="shared" si="16"/>
        <v>23.966666666666665</v>
      </c>
      <c r="M121" s="30">
        <f t="shared" si="17"/>
        <v>4.1724617524339362E-2</v>
      </c>
      <c r="N121" s="24">
        <f t="shared" ca="1" si="18"/>
        <v>16.866666666666667</v>
      </c>
      <c r="O121" s="30">
        <f t="shared" ca="1" si="19"/>
        <v>4.0185778268228493E-2</v>
      </c>
      <c r="P121" s="26" t="str">
        <f t="shared" ca="1" si="20"/>
        <v>Desired Burn Rate</v>
      </c>
      <c r="Q121" s="24">
        <f t="shared" ca="1" si="21"/>
        <v>24.884425363751529</v>
      </c>
      <c r="R121" s="25">
        <f t="shared" ca="1" si="22"/>
        <v>43299</v>
      </c>
      <c r="S121" s="26" t="str">
        <f ca="1">TEXT(Table2[[#This Row],[Projected Limit Date]],"mmmm")</f>
        <v>July</v>
      </c>
      <c r="T121" s="26">
        <f t="shared" ca="1" si="23"/>
        <v>2019</v>
      </c>
      <c r="U121" s="31" t="s">
        <v>563</v>
      </c>
      <c r="V121" s="31" t="s">
        <v>824</v>
      </c>
      <c r="W121" s="32" t="str">
        <f t="shared" si="24"/>
        <v>Options</v>
      </c>
      <c r="X121" s="31"/>
      <c r="Y121" s="31"/>
      <c r="Z121" t="str">
        <f t="shared" ca="1" si="25"/>
        <v>Expiring &gt; 6 Months</v>
      </c>
      <c r="AA121">
        <f t="shared" ca="1" si="26"/>
        <v>0</v>
      </c>
      <c r="AB121">
        <f t="shared" ca="1" si="27"/>
        <v>0</v>
      </c>
      <c r="AC121">
        <f t="shared" ca="1" si="28"/>
        <v>0</v>
      </c>
      <c r="AD121" t="str">
        <f t="shared" si="29"/>
        <v>Safe</v>
      </c>
    </row>
    <row r="122" spans="1:30" hidden="1">
      <c r="A122" s="48" t="str">
        <f>TEXT(Table2[[#This Row],[MB END]],"mmmm")</f>
        <v>July</v>
      </c>
      <c r="B122" s="48" t="str">
        <f>TEXT(Table2[[#This Row],[MB END]],"yyyy")</f>
        <v>2018</v>
      </c>
      <c r="C122" s="116" t="s">
        <v>845</v>
      </c>
      <c r="D122" s="27" t="s">
        <v>349</v>
      </c>
      <c r="E122" s="28">
        <v>42947</v>
      </c>
      <c r="F122" s="28">
        <v>43311</v>
      </c>
      <c r="G122" s="27" t="s">
        <v>846</v>
      </c>
      <c r="H122" s="27" t="s">
        <v>847</v>
      </c>
      <c r="I122" s="5">
        <v>24999</v>
      </c>
      <c r="J122" s="5">
        <v>4025.5</v>
      </c>
      <c r="K122" s="29">
        <f t="shared" si="15"/>
        <v>0.1610264410576423</v>
      </c>
      <c r="L122" s="23">
        <f t="shared" si="16"/>
        <v>12</v>
      </c>
      <c r="M122" s="113">
        <f t="shared" si="17"/>
        <v>8.3333333333333329E-2</v>
      </c>
      <c r="N122" s="24">
        <f t="shared" ca="1" si="18"/>
        <v>4.4666666666666668</v>
      </c>
      <c r="O122" s="113">
        <f t="shared" ca="1" si="19"/>
        <v>3.6050695759173648E-2</v>
      </c>
      <c r="P122" s="26" t="str">
        <f t="shared" ca="1" si="20"/>
        <v>Desired Burn Rate</v>
      </c>
      <c r="Q122" s="24">
        <f t="shared" ca="1" si="21"/>
        <v>27.738715687492238</v>
      </c>
      <c r="R122" s="25">
        <f t="shared" ca="1" si="22"/>
        <v>43769</v>
      </c>
      <c r="S122" s="26" t="str">
        <f ca="1">TEXT(Table2[[#This Row],[Projected Limit Date]],"mmmm")</f>
        <v>October</v>
      </c>
      <c r="T122" s="26">
        <f t="shared" ca="1" si="23"/>
        <v>2020</v>
      </c>
      <c r="U122" s="31" t="s">
        <v>563</v>
      </c>
      <c r="V122" s="31" t="s">
        <v>565</v>
      </c>
      <c r="W122" s="32" t="str">
        <f t="shared" si="24"/>
        <v>No options</v>
      </c>
      <c r="X122" s="31"/>
      <c r="Y122" s="31"/>
      <c r="Z122" s="102" t="str">
        <f t="shared" ca="1" si="25"/>
        <v>Expiring &gt; 6 Months</v>
      </c>
      <c r="AA122" s="102">
        <f t="shared" ca="1" si="26"/>
        <v>0</v>
      </c>
      <c r="AB122" s="102">
        <f t="shared" ca="1" si="27"/>
        <v>0</v>
      </c>
      <c r="AC122" s="102">
        <f t="shared" ca="1" si="28"/>
        <v>0</v>
      </c>
      <c r="AD122" s="102" t="str">
        <f t="shared" si="29"/>
        <v>Safe</v>
      </c>
    </row>
    <row r="123" spans="1:30" hidden="1">
      <c r="A123" s="48" t="str">
        <f>TEXT(Table2[[#This Row],[MB END]],"mmmm")</f>
        <v>July</v>
      </c>
      <c r="B123" s="48" t="str">
        <f>TEXT(Table2[[#This Row],[MB END]],"yyyy")</f>
        <v>2018</v>
      </c>
      <c r="C123" s="117" t="s">
        <v>234</v>
      </c>
      <c r="D123" s="1" t="s">
        <v>7</v>
      </c>
      <c r="E123" s="2">
        <v>41852</v>
      </c>
      <c r="F123" s="28">
        <v>43312</v>
      </c>
      <c r="G123" s="1" t="s">
        <v>235</v>
      </c>
      <c r="H123" s="1" t="s">
        <v>92</v>
      </c>
      <c r="I123" s="5">
        <v>3025000</v>
      </c>
      <c r="J123" s="5">
        <v>1831453.24</v>
      </c>
      <c r="K123" s="19">
        <f t="shared" si="15"/>
        <v>0.60543908760330578</v>
      </c>
      <c r="L123" s="16">
        <f t="shared" si="16"/>
        <v>48</v>
      </c>
      <c r="M123" s="19">
        <f t="shared" si="17"/>
        <v>2.0833333333333336E-2</v>
      </c>
      <c r="N123" s="16">
        <f t="shared" ca="1" si="18"/>
        <v>40.43333333333333</v>
      </c>
      <c r="O123" s="19">
        <f t="shared" ca="1" si="19"/>
        <v>1.4973761441136995E-2</v>
      </c>
      <c r="P123" t="str">
        <f t="shared" ca="1" si="20"/>
        <v>Desired Burn Rate</v>
      </c>
      <c r="Q123" s="16">
        <f t="shared" ca="1" si="21"/>
        <v>66.783486830017736</v>
      </c>
      <c r="R123" s="14">
        <f t="shared" ca="1" si="22"/>
        <v>43862</v>
      </c>
      <c r="S123" t="str">
        <f ca="1">TEXT(Table2[[#This Row],[Projected Limit Date]],"mmmm")</f>
        <v>February</v>
      </c>
      <c r="T123">
        <f t="shared" ca="1" si="23"/>
        <v>2020</v>
      </c>
      <c r="U123" t="s">
        <v>562</v>
      </c>
      <c r="V123" t="s">
        <v>774</v>
      </c>
      <c r="W123" t="str">
        <f t="shared" si="24"/>
        <v>Options</v>
      </c>
      <c r="Z123" t="str">
        <f t="shared" ca="1" si="25"/>
        <v>Expiring &gt; 6 Months</v>
      </c>
      <c r="AA123">
        <f t="shared" ca="1" si="26"/>
        <v>0</v>
      </c>
      <c r="AB123">
        <f t="shared" ca="1" si="27"/>
        <v>0</v>
      </c>
      <c r="AC123">
        <f t="shared" ca="1" si="28"/>
        <v>0</v>
      </c>
      <c r="AD123" t="str">
        <f t="shared" si="29"/>
        <v>Safe</v>
      </c>
    </row>
    <row r="124" spans="1:30" hidden="1">
      <c r="A124" s="48" t="str">
        <f>TEXT(Table2[[#This Row],[MB END]],"mmmm")</f>
        <v>July</v>
      </c>
      <c r="B124" s="48" t="str">
        <f>TEXT(Table2[[#This Row],[MB END]],"yyyy")</f>
        <v>2018</v>
      </c>
      <c r="C124" s="117" t="s">
        <v>236</v>
      </c>
      <c r="D124" s="1" t="s">
        <v>7</v>
      </c>
      <c r="E124" s="2">
        <v>41852</v>
      </c>
      <c r="F124" s="28">
        <v>43312</v>
      </c>
      <c r="G124" s="1" t="s">
        <v>237</v>
      </c>
      <c r="H124" s="1" t="s">
        <v>156</v>
      </c>
      <c r="I124" s="5">
        <v>1975000</v>
      </c>
      <c r="J124" s="5">
        <v>1010550.77</v>
      </c>
      <c r="K124" s="19">
        <f t="shared" si="15"/>
        <v>0.51167127594936712</v>
      </c>
      <c r="L124" s="16">
        <f t="shared" si="16"/>
        <v>48</v>
      </c>
      <c r="M124" s="19">
        <f t="shared" si="17"/>
        <v>2.0833333333333336E-2</v>
      </c>
      <c r="N124" s="16">
        <f t="shared" ca="1" si="18"/>
        <v>40.43333333333333</v>
      </c>
      <c r="O124" s="19">
        <f t="shared" ca="1" si="19"/>
        <v>1.2654689429910153E-2</v>
      </c>
      <c r="P124" t="str">
        <f t="shared" ca="1" si="20"/>
        <v>Desired Burn Rate</v>
      </c>
      <c r="Q124" s="16">
        <f t="shared" ca="1" si="21"/>
        <v>79.02208944270393</v>
      </c>
      <c r="R124" s="14">
        <f t="shared" ca="1" si="22"/>
        <v>44256</v>
      </c>
      <c r="S124" t="str">
        <f ca="1">TEXT(Table2[[#This Row],[Projected Limit Date]],"mmmm")</f>
        <v>March</v>
      </c>
      <c r="T124">
        <f t="shared" ca="1" si="23"/>
        <v>2021</v>
      </c>
      <c r="U124" t="s">
        <v>562</v>
      </c>
      <c r="V124" t="s">
        <v>822</v>
      </c>
      <c r="W124" t="str">
        <f t="shared" si="24"/>
        <v>Options</v>
      </c>
      <c r="Z124" t="str">
        <f t="shared" ca="1" si="25"/>
        <v>Expiring &gt; 6 Months</v>
      </c>
      <c r="AA124">
        <f t="shared" ca="1" si="26"/>
        <v>0</v>
      </c>
      <c r="AB124">
        <f t="shared" ca="1" si="27"/>
        <v>0</v>
      </c>
      <c r="AC124">
        <f t="shared" ca="1" si="28"/>
        <v>0</v>
      </c>
      <c r="AD124" t="str">
        <f t="shared" si="29"/>
        <v>Safe</v>
      </c>
    </row>
    <row r="125" spans="1:30" hidden="1">
      <c r="A125" s="48" t="str">
        <f>TEXT(Table2[[#This Row],[MB END]],"mmmm")</f>
        <v>July</v>
      </c>
      <c r="B125" s="48" t="str">
        <f>TEXT(Table2[[#This Row],[MB END]],"yyyy")</f>
        <v>2018</v>
      </c>
      <c r="C125" s="117" t="s">
        <v>212</v>
      </c>
      <c r="D125" s="1" t="s">
        <v>7</v>
      </c>
      <c r="E125" s="2">
        <v>41852</v>
      </c>
      <c r="F125" s="28">
        <v>43312</v>
      </c>
      <c r="G125" s="1" t="s">
        <v>213</v>
      </c>
      <c r="H125" s="1" t="s">
        <v>122</v>
      </c>
      <c r="I125" s="5">
        <v>166375</v>
      </c>
      <c r="J125" s="5">
        <v>88347.18</v>
      </c>
      <c r="K125" s="19">
        <f t="shared" si="15"/>
        <v>0.53101235161532678</v>
      </c>
      <c r="L125" s="16">
        <f t="shared" si="16"/>
        <v>48</v>
      </c>
      <c r="M125" s="19">
        <f t="shared" si="17"/>
        <v>2.0833333333333336E-2</v>
      </c>
      <c r="N125" s="16">
        <f t="shared" ca="1" si="18"/>
        <v>40.43333333333333</v>
      </c>
      <c r="O125" s="19">
        <f t="shared" ca="1" si="19"/>
        <v>1.3133034252646171E-2</v>
      </c>
      <c r="P125" t="str">
        <f t="shared" ca="1" si="20"/>
        <v>Desired Burn Rate</v>
      </c>
      <c r="Q125" s="16">
        <f t="shared" ca="1" si="21"/>
        <v>76.143865976631432</v>
      </c>
      <c r="R125" s="14">
        <f t="shared" ca="1" si="22"/>
        <v>44166</v>
      </c>
      <c r="S125" t="str">
        <f ca="1">TEXT(Table2[[#This Row],[Projected Limit Date]],"mmmm")</f>
        <v>December</v>
      </c>
      <c r="T125">
        <f t="shared" ca="1" si="23"/>
        <v>2021</v>
      </c>
      <c r="U125" t="s">
        <v>562</v>
      </c>
      <c r="V125" t="s">
        <v>672</v>
      </c>
      <c r="W125" t="str">
        <f t="shared" si="24"/>
        <v>Options</v>
      </c>
      <c r="Z125" t="str">
        <f t="shared" ca="1" si="25"/>
        <v>Expiring &gt; 6 Months</v>
      </c>
      <c r="AA125">
        <f t="shared" ca="1" si="26"/>
        <v>0</v>
      </c>
      <c r="AB125">
        <f t="shared" ca="1" si="27"/>
        <v>0</v>
      </c>
      <c r="AC125">
        <f t="shared" ca="1" si="28"/>
        <v>0</v>
      </c>
      <c r="AD125" t="str">
        <f t="shared" si="29"/>
        <v>Safe</v>
      </c>
    </row>
    <row r="126" spans="1:30" hidden="1">
      <c r="A126" s="48" t="str">
        <f>TEXT(Table2[[#This Row],[MB END]],"mmmm")</f>
        <v>July</v>
      </c>
      <c r="B126" s="48" t="str">
        <f>TEXT(Table2[[#This Row],[MB END]],"yyyy")</f>
        <v>2018</v>
      </c>
      <c r="C126" s="117" t="s">
        <v>219</v>
      </c>
      <c r="D126" s="1" t="s">
        <v>7</v>
      </c>
      <c r="E126" s="2">
        <v>41852</v>
      </c>
      <c r="F126" s="28">
        <v>43312</v>
      </c>
      <c r="G126" s="1" t="s">
        <v>220</v>
      </c>
      <c r="H126" s="1" t="s">
        <v>221</v>
      </c>
      <c r="I126" s="5">
        <v>366375</v>
      </c>
      <c r="J126" s="5">
        <v>256253.37</v>
      </c>
      <c r="K126" s="19">
        <f t="shared" si="15"/>
        <v>0.69942919140225179</v>
      </c>
      <c r="L126" s="16">
        <f t="shared" si="16"/>
        <v>48</v>
      </c>
      <c r="M126" s="19">
        <f t="shared" si="17"/>
        <v>2.0833333333333332E-2</v>
      </c>
      <c r="N126" s="16">
        <f t="shared" ca="1" si="18"/>
        <v>40.43333333333333</v>
      </c>
      <c r="O126" s="19">
        <f t="shared" ca="1" si="19"/>
        <v>1.7298331197087846E-2</v>
      </c>
      <c r="P126" t="str">
        <f t="shared" ca="1" si="20"/>
        <v>Desired Burn Rate</v>
      </c>
      <c r="Q126" s="16">
        <f t="shared" ca="1" si="21"/>
        <v>57.8090446186132</v>
      </c>
      <c r="R126" s="14">
        <f t="shared" ca="1" si="22"/>
        <v>43586</v>
      </c>
      <c r="S126" t="str">
        <f ca="1">TEXT(Table2[[#This Row],[Projected Limit Date]],"mmmm")</f>
        <v>May</v>
      </c>
      <c r="T126">
        <f t="shared" ca="1" si="23"/>
        <v>2019</v>
      </c>
      <c r="U126" t="s">
        <v>562</v>
      </c>
      <c r="V126" t="s">
        <v>672</v>
      </c>
      <c r="W126" t="str">
        <f t="shared" si="24"/>
        <v>Options</v>
      </c>
      <c r="Z126" t="str">
        <f t="shared" ca="1" si="25"/>
        <v>Expiring &gt; 6 Months</v>
      </c>
      <c r="AA126">
        <f t="shared" ca="1" si="26"/>
        <v>0</v>
      </c>
      <c r="AB126">
        <f t="shared" ca="1" si="27"/>
        <v>0</v>
      </c>
      <c r="AC126">
        <f t="shared" ca="1" si="28"/>
        <v>0</v>
      </c>
      <c r="AD126" t="str">
        <f t="shared" si="29"/>
        <v>Safe</v>
      </c>
    </row>
    <row r="127" spans="1:30" hidden="1">
      <c r="A127" s="48" t="str">
        <f>TEXT(Table2[[#This Row],[MB END]],"mmmm")</f>
        <v>July</v>
      </c>
      <c r="B127" s="48" t="str">
        <f>TEXT(Table2[[#This Row],[MB END]],"yyyy")</f>
        <v>2018</v>
      </c>
      <c r="C127" s="117" t="s">
        <v>222</v>
      </c>
      <c r="D127" s="1" t="s">
        <v>7</v>
      </c>
      <c r="E127" s="2">
        <v>41852</v>
      </c>
      <c r="F127" s="28">
        <v>43312</v>
      </c>
      <c r="G127" s="1" t="s">
        <v>223</v>
      </c>
      <c r="H127" s="1" t="s">
        <v>224</v>
      </c>
      <c r="I127" s="5">
        <v>575000</v>
      </c>
      <c r="J127" s="5">
        <v>292666.23999999999</v>
      </c>
      <c r="K127" s="19">
        <f t="shared" si="15"/>
        <v>0.50898476521739133</v>
      </c>
      <c r="L127" s="16">
        <f t="shared" si="16"/>
        <v>48</v>
      </c>
      <c r="M127" s="19">
        <f t="shared" si="17"/>
        <v>2.0833333333333332E-2</v>
      </c>
      <c r="N127" s="16">
        <f t="shared" ca="1" si="18"/>
        <v>40.43333333333333</v>
      </c>
      <c r="O127" s="19">
        <f t="shared" ca="1" si="19"/>
        <v>1.2588246460446611E-2</v>
      </c>
      <c r="P127" t="str">
        <f t="shared" ca="1" si="20"/>
        <v>Desired Burn Rate</v>
      </c>
      <c r="Q127" s="16">
        <f t="shared" ca="1" si="21"/>
        <v>79.439181870333485</v>
      </c>
      <c r="R127" s="14">
        <f t="shared" ca="1" si="22"/>
        <v>44256</v>
      </c>
      <c r="S127" t="str">
        <f ca="1">TEXT(Table2[[#This Row],[Projected Limit Date]],"mmmm")</f>
        <v>March</v>
      </c>
      <c r="T127">
        <f t="shared" ca="1" si="23"/>
        <v>2021</v>
      </c>
      <c r="U127" t="s">
        <v>562</v>
      </c>
      <c r="V127" t="s">
        <v>672</v>
      </c>
      <c r="W127" t="str">
        <f t="shared" si="24"/>
        <v>Options</v>
      </c>
      <c r="Z127" t="str">
        <f t="shared" ca="1" si="25"/>
        <v>Expiring &gt; 6 Months</v>
      </c>
      <c r="AA127">
        <f t="shared" ca="1" si="26"/>
        <v>0</v>
      </c>
      <c r="AB127">
        <f t="shared" ca="1" si="27"/>
        <v>0</v>
      </c>
      <c r="AC127">
        <f t="shared" ca="1" si="28"/>
        <v>0</v>
      </c>
      <c r="AD127" t="str">
        <f t="shared" si="29"/>
        <v>Safe</v>
      </c>
    </row>
    <row r="128" spans="1:30" hidden="1">
      <c r="A128" s="48" t="str">
        <f>TEXT(Table2[[#This Row],[MB END]],"mmmm")</f>
        <v>July</v>
      </c>
      <c r="B128" s="48" t="str">
        <f>TEXT(Table2[[#This Row],[MB END]],"yyyy")</f>
        <v>2018</v>
      </c>
      <c r="C128" s="117" t="s">
        <v>225</v>
      </c>
      <c r="D128" s="1" t="s">
        <v>7</v>
      </c>
      <c r="E128" s="2">
        <v>41852</v>
      </c>
      <c r="F128" s="28">
        <v>43312</v>
      </c>
      <c r="G128" s="1" t="s">
        <v>226</v>
      </c>
      <c r="H128" s="1" t="s">
        <v>36</v>
      </c>
      <c r="I128" s="5">
        <v>175000</v>
      </c>
      <c r="J128" s="5">
        <v>106696.75</v>
      </c>
      <c r="K128" s="19">
        <f t="shared" si="15"/>
        <v>0.60969571428571434</v>
      </c>
      <c r="L128" s="16">
        <f t="shared" si="16"/>
        <v>48</v>
      </c>
      <c r="M128" s="19">
        <f t="shared" si="17"/>
        <v>2.0833333333333336E-2</v>
      </c>
      <c r="N128" s="16">
        <f t="shared" ca="1" si="18"/>
        <v>40.43333333333333</v>
      </c>
      <c r="O128" s="19">
        <f t="shared" ca="1" si="19"/>
        <v>1.5079036627016843E-2</v>
      </c>
      <c r="P128" t="str">
        <f t="shared" ca="1" si="20"/>
        <v>Desired Burn Rate</v>
      </c>
      <c r="Q128" s="16">
        <f t="shared" ca="1" si="21"/>
        <v>66.317233967607564</v>
      </c>
      <c r="R128" s="14">
        <f t="shared" ca="1" si="22"/>
        <v>43862</v>
      </c>
      <c r="S128" t="str">
        <f ca="1">TEXT(Table2[[#This Row],[Projected Limit Date]],"mmmm")</f>
        <v>February</v>
      </c>
      <c r="T128">
        <f t="shared" ca="1" si="23"/>
        <v>2020</v>
      </c>
      <c r="U128" t="s">
        <v>562</v>
      </c>
      <c r="V128" t="s">
        <v>672</v>
      </c>
      <c r="W128" t="str">
        <f t="shared" si="24"/>
        <v>Options</v>
      </c>
      <c r="Z128" t="str">
        <f t="shared" ca="1" si="25"/>
        <v>Expiring &gt; 6 Months</v>
      </c>
      <c r="AA128">
        <f t="shared" ca="1" si="26"/>
        <v>0</v>
      </c>
      <c r="AB128">
        <f t="shared" ca="1" si="27"/>
        <v>0</v>
      </c>
      <c r="AC128">
        <f t="shared" ca="1" si="28"/>
        <v>0</v>
      </c>
      <c r="AD128" t="str">
        <f t="shared" si="29"/>
        <v>Safe</v>
      </c>
    </row>
    <row r="129" spans="1:30" hidden="1">
      <c r="A129" s="48" t="str">
        <f>TEXT(Table2[[#This Row],[MB END]],"mmmm")</f>
        <v>July</v>
      </c>
      <c r="B129" s="48" t="str">
        <f>TEXT(Table2[[#This Row],[MB END]],"yyyy")</f>
        <v>2018</v>
      </c>
      <c r="C129" s="117" t="s">
        <v>227</v>
      </c>
      <c r="D129" s="1" t="s">
        <v>7</v>
      </c>
      <c r="E129" s="2">
        <v>41852</v>
      </c>
      <c r="F129" s="28">
        <v>43312</v>
      </c>
      <c r="G129" s="1" t="s">
        <v>228</v>
      </c>
      <c r="H129" s="1" t="s">
        <v>36</v>
      </c>
      <c r="I129" s="5">
        <v>500000</v>
      </c>
      <c r="J129" s="5">
        <v>364249.79</v>
      </c>
      <c r="K129" s="19">
        <f t="shared" ref="K129:K192" si="30">J129/I129</f>
        <v>0.72849957999999992</v>
      </c>
      <c r="L129" s="16">
        <f t="shared" ref="L129:L192" si="31">DAYS360(E129,F129,FALSE)/30</f>
        <v>48</v>
      </c>
      <c r="M129" s="19">
        <f t="shared" ref="M129:M192" si="32">(I129/L129)/I129</f>
        <v>2.0833333333333332E-2</v>
      </c>
      <c r="N129" s="16">
        <f t="shared" ref="N129:N192" ca="1" si="33">DAYS360(E129,$AE$1,)/30</f>
        <v>40.43333333333333</v>
      </c>
      <c r="O129" s="19">
        <f t="shared" ref="O129:O192" ca="1" si="34">(J129/N129)/I129</f>
        <v>1.8017302061005772E-2</v>
      </c>
      <c r="P129" t="str">
        <f t="shared" ref="P129:P192" ca="1" si="35">IF(AND(O129&gt;M129,O129&lt;(2*M129)),"High Burn Rate",IF(O129&gt;=(2*M129),"Really High Burn Rate","Desired Burn Rate"))</f>
        <v>Desired Burn Rate</v>
      </c>
      <c r="Q129" s="16">
        <f t="shared" ref="Q129:Q192" ca="1" si="36">I129/(J129/N129)</f>
        <v>55.502205414220462</v>
      </c>
      <c r="R129" s="14">
        <f t="shared" ref="R129:R192" ca="1" si="37">EDATE(E129,Q129)</f>
        <v>43525</v>
      </c>
      <c r="S129" t="str">
        <f ca="1">TEXT(Table2[[#This Row],[Projected Limit Date]],"mmmm")</f>
        <v>March</v>
      </c>
      <c r="T129">
        <f t="shared" ref="T129:T192" ca="1" si="38">YEAR(DATE(YEAR(R129),MONTH(R129)+($AF$1-1),1))</f>
        <v>2019</v>
      </c>
      <c r="U129" t="s">
        <v>562</v>
      </c>
      <c r="V129" t="s">
        <v>672</v>
      </c>
      <c r="W129" t="str">
        <f t="shared" ref="W129:W192" si="39">IF(V129="No options","No options","Options")</f>
        <v>Options</v>
      </c>
      <c r="Z129" t="str">
        <f t="shared" ref="Z129:Z192" ca="1" si="40">IF((DAYS360($AE$1,F129,)/30)&lt;=6,"Expiring &lt; 6 Months","Expiring &gt; 6 Months")</f>
        <v>Expiring &gt; 6 Months</v>
      </c>
      <c r="AA129">
        <f t="shared" ref="AA129:AA192" ca="1" si="41">IF(Z129="Expiring &lt; 6 Months",1,0)</f>
        <v>0</v>
      </c>
      <c r="AB129">
        <f t="shared" ref="AB129:AB192" ca="1" si="42">IF(Z129="Expiring &gt; 12 Months",1,0)</f>
        <v>0</v>
      </c>
      <c r="AC129">
        <f t="shared" ref="AC129:AC192" ca="1" si="43">IF(AND(W129="No Options",AA129=1),1,0)</f>
        <v>0</v>
      </c>
      <c r="AD129" t="str">
        <f t="shared" ref="AD129:AD192" si="44">IF(K129&gt;=0.75,"Reaching Spending Limit","Safe")</f>
        <v>Safe</v>
      </c>
    </row>
    <row r="130" spans="1:30" hidden="1">
      <c r="A130" s="48" t="str">
        <f>TEXT(Table2[[#This Row],[MB END]],"mmmm")</f>
        <v>July</v>
      </c>
      <c r="B130" s="48" t="str">
        <f>TEXT(Table2[[#This Row],[MB END]],"yyyy")</f>
        <v>2018</v>
      </c>
      <c r="C130" s="117" t="s">
        <v>229</v>
      </c>
      <c r="D130" s="1" t="s">
        <v>58</v>
      </c>
      <c r="E130" s="2">
        <v>41852</v>
      </c>
      <c r="F130" s="28">
        <v>43312</v>
      </c>
      <c r="G130" s="1" t="s">
        <v>230</v>
      </c>
      <c r="H130" s="1" t="s">
        <v>36</v>
      </c>
      <c r="I130" s="5">
        <v>500000</v>
      </c>
      <c r="J130" s="5">
        <v>268884.77</v>
      </c>
      <c r="K130" s="19">
        <f t="shared" si="30"/>
        <v>0.53776953999999999</v>
      </c>
      <c r="L130" s="16">
        <f t="shared" si="31"/>
        <v>48</v>
      </c>
      <c r="M130" s="19">
        <f t="shared" si="32"/>
        <v>2.0833333333333332E-2</v>
      </c>
      <c r="N130" s="16">
        <f t="shared" ca="1" si="33"/>
        <v>40.43333333333333</v>
      </c>
      <c r="O130" s="19">
        <f t="shared" ca="1" si="34"/>
        <v>1.3300153503709812E-2</v>
      </c>
      <c r="P130" t="str">
        <f t="shared" ca="1" si="35"/>
        <v>Desired Burn Rate</v>
      </c>
      <c r="Q130" s="16">
        <f t="shared" ca="1" si="36"/>
        <v>75.187102142924132</v>
      </c>
      <c r="R130" s="14">
        <f t="shared" ca="1" si="37"/>
        <v>44136</v>
      </c>
      <c r="S130" t="str">
        <f ca="1">TEXT(Table2[[#This Row],[Projected Limit Date]],"mmmm")</f>
        <v>November</v>
      </c>
      <c r="T130">
        <f t="shared" ca="1" si="38"/>
        <v>2021</v>
      </c>
      <c r="U130" t="s">
        <v>562</v>
      </c>
      <c r="V130" t="s">
        <v>672</v>
      </c>
      <c r="W130" t="str">
        <f t="shared" si="39"/>
        <v>Options</v>
      </c>
      <c r="Z130" t="str">
        <f t="shared" ca="1" si="40"/>
        <v>Expiring &gt; 6 Months</v>
      </c>
      <c r="AA130">
        <f t="shared" ca="1" si="41"/>
        <v>0</v>
      </c>
      <c r="AB130">
        <f t="shared" ca="1" si="42"/>
        <v>0</v>
      </c>
      <c r="AC130">
        <f t="shared" ca="1" si="43"/>
        <v>0</v>
      </c>
      <c r="AD130" t="str">
        <f t="shared" si="44"/>
        <v>Safe</v>
      </c>
    </row>
    <row r="131" spans="1:30" hidden="1">
      <c r="A131" s="48" t="str">
        <f>TEXT(Table2[[#This Row],[MB END]],"mmmm")</f>
        <v>July</v>
      </c>
      <c r="B131" s="48" t="str">
        <f>TEXT(Table2[[#This Row],[MB END]],"yyyy")</f>
        <v>2018</v>
      </c>
      <c r="C131" s="117" t="s">
        <v>231</v>
      </c>
      <c r="D131" s="1" t="s">
        <v>58</v>
      </c>
      <c r="E131" s="2">
        <v>41852</v>
      </c>
      <c r="F131" s="28">
        <v>43312</v>
      </c>
      <c r="G131" s="1" t="s">
        <v>232</v>
      </c>
      <c r="H131" s="1" t="s">
        <v>233</v>
      </c>
      <c r="I131" s="5">
        <v>250000</v>
      </c>
      <c r="J131" s="5">
        <v>88533.77</v>
      </c>
      <c r="K131" s="19">
        <f t="shared" si="30"/>
        <v>0.35413507999999999</v>
      </c>
      <c r="L131" s="16">
        <f t="shared" si="31"/>
        <v>48</v>
      </c>
      <c r="M131" s="19">
        <f t="shared" si="32"/>
        <v>2.0833333333333332E-2</v>
      </c>
      <c r="N131" s="16">
        <f t="shared" ca="1" si="33"/>
        <v>40.43333333333333</v>
      </c>
      <c r="O131" s="19">
        <f t="shared" ca="1" si="34"/>
        <v>8.7584933223413038E-3</v>
      </c>
      <c r="P131" t="str">
        <f t="shared" ca="1" si="35"/>
        <v>Desired Burn Rate</v>
      </c>
      <c r="Q131" s="16">
        <f t="shared" ca="1" si="36"/>
        <v>114.17488867054155</v>
      </c>
      <c r="R131" s="14">
        <f t="shared" ca="1" si="37"/>
        <v>45323</v>
      </c>
      <c r="S131" t="str">
        <f ca="1">TEXT(Table2[[#This Row],[Projected Limit Date]],"mmmm")</f>
        <v>February</v>
      </c>
      <c r="T131">
        <f t="shared" ca="1" si="38"/>
        <v>2024</v>
      </c>
      <c r="U131" t="s">
        <v>562</v>
      </c>
      <c r="V131" t="s">
        <v>672</v>
      </c>
      <c r="W131" t="str">
        <f t="shared" si="39"/>
        <v>Options</v>
      </c>
      <c r="Z131" t="str">
        <f t="shared" ca="1" si="40"/>
        <v>Expiring &gt; 6 Months</v>
      </c>
      <c r="AA131">
        <f t="shared" ca="1" si="41"/>
        <v>0</v>
      </c>
      <c r="AB131">
        <f t="shared" ca="1" si="42"/>
        <v>0</v>
      </c>
      <c r="AC131">
        <f t="shared" ca="1" si="43"/>
        <v>0</v>
      </c>
      <c r="AD131" t="str">
        <f t="shared" si="44"/>
        <v>Safe</v>
      </c>
    </row>
    <row r="132" spans="1:30" hidden="1">
      <c r="A132" s="48" t="str">
        <f>TEXT(Table2[[#This Row],[MB END]],"mmmm")</f>
        <v>July</v>
      </c>
      <c r="B132" s="48" t="str">
        <f>TEXT(Table2[[#This Row],[MB END]],"yyyy")</f>
        <v>2018</v>
      </c>
      <c r="C132" s="116" t="s">
        <v>617</v>
      </c>
      <c r="D132" s="27" t="s">
        <v>349</v>
      </c>
      <c r="E132" s="28">
        <v>41487</v>
      </c>
      <c r="F132" s="28">
        <v>43312</v>
      </c>
      <c r="G132" s="27" t="s">
        <v>618</v>
      </c>
      <c r="H132" s="27" t="s">
        <v>619</v>
      </c>
      <c r="I132" s="5">
        <v>31877.5</v>
      </c>
      <c r="J132" s="5">
        <v>14108.2</v>
      </c>
      <c r="K132" s="29">
        <f t="shared" si="30"/>
        <v>0.44257548427574311</v>
      </c>
      <c r="L132" s="23">
        <f t="shared" si="31"/>
        <v>60</v>
      </c>
      <c r="M132" s="30">
        <f t="shared" si="32"/>
        <v>1.6666666666666666E-2</v>
      </c>
      <c r="N132" s="24">
        <f t="shared" ca="1" si="33"/>
        <v>52.43333333333333</v>
      </c>
      <c r="O132" s="30">
        <f t="shared" ca="1" si="34"/>
        <v>8.4407276085647128E-3</v>
      </c>
      <c r="P132" s="26" t="str">
        <f t="shared" ca="1" si="35"/>
        <v>Desired Burn Rate</v>
      </c>
      <c r="Q132" s="24">
        <f t="shared" ca="1" si="36"/>
        <v>118.47319880164254</v>
      </c>
      <c r="R132" s="25">
        <f t="shared" ca="1" si="37"/>
        <v>45078</v>
      </c>
      <c r="S132" s="26" t="str">
        <f ca="1">TEXT(Table2[[#This Row],[Projected Limit Date]],"mmmm")</f>
        <v>June</v>
      </c>
      <c r="T132" s="26">
        <f t="shared" ca="1" si="38"/>
        <v>2023</v>
      </c>
      <c r="U132" s="31" t="s">
        <v>562</v>
      </c>
      <c r="V132" s="31" t="s">
        <v>620</v>
      </c>
      <c r="W132" s="32" t="str">
        <f t="shared" si="39"/>
        <v>Options</v>
      </c>
      <c r="X132" t="s">
        <v>815</v>
      </c>
      <c r="Z132" t="str">
        <f t="shared" ca="1" si="40"/>
        <v>Expiring &gt; 6 Months</v>
      </c>
      <c r="AA132">
        <f t="shared" ca="1" si="41"/>
        <v>0</v>
      </c>
      <c r="AB132">
        <f t="shared" ca="1" si="42"/>
        <v>0</v>
      </c>
      <c r="AC132">
        <f t="shared" ca="1" si="43"/>
        <v>0</v>
      </c>
      <c r="AD132" t="str">
        <f t="shared" si="44"/>
        <v>Safe</v>
      </c>
    </row>
    <row r="133" spans="1:30">
      <c r="A133" s="48" t="str">
        <f>TEXT(Table2[[#This Row],[MB END]],"mmmm")</f>
        <v>August</v>
      </c>
      <c r="B133" s="48" t="str">
        <f>TEXT(Table2[[#This Row],[MB END]],"yyyy")</f>
        <v>2018</v>
      </c>
      <c r="C133" s="116" t="s">
        <v>841</v>
      </c>
      <c r="D133" s="27" t="s">
        <v>349</v>
      </c>
      <c r="E133" s="28">
        <v>42963</v>
      </c>
      <c r="F133" s="28">
        <v>43327</v>
      </c>
      <c r="G133" s="27" t="s">
        <v>842</v>
      </c>
      <c r="H133" s="27" t="s">
        <v>843</v>
      </c>
      <c r="I133" s="5">
        <v>36700.980000000003</v>
      </c>
      <c r="J133" s="5">
        <v>36700.980000000003</v>
      </c>
      <c r="K133" s="29">
        <f t="shared" si="30"/>
        <v>1</v>
      </c>
      <c r="L133" s="23">
        <f t="shared" si="31"/>
        <v>11.966666666666667</v>
      </c>
      <c r="M133" s="113">
        <f t="shared" si="32"/>
        <v>8.3565459610027856E-2</v>
      </c>
      <c r="N133" s="24">
        <f t="shared" ca="1" si="33"/>
        <v>3.9333333333333331</v>
      </c>
      <c r="O133" s="113">
        <f t="shared" ca="1" si="34"/>
        <v>0.25423728813559326</v>
      </c>
      <c r="P133" s="26" t="str">
        <f t="shared" ca="1" si="35"/>
        <v>Really High Burn Rate</v>
      </c>
      <c r="Q133" s="24">
        <f t="shared" ca="1" si="36"/>
        <v>3.9333333333333327</v>
      </c>
      <c r="R133" s="25">
        <f t="shared" ca="1" si="37"/>
        <v>43055</v>
      </c>
      <c r="S133" s="26" t="str">
        <f ca="1">TEXT(Table2[[#This Row],[Projected Limit Date]],"mmmm")</f>
        <v>November</v>
      </c>
      <c r="T133" s="26">
        <f t="shared" ca="1" si="38"/>
        <v>2018</v>
      </c>
      <c r="U133" s="31" t="s">
        <v>563</v>
      </c>
      <c r="V133" s="31" t="s">
        <v>565</v>
      </c>
      <c r="W133" s="32" t="str">
        <f t="shared" si="39"/>
        <v>No options</v>
      </c>
      <c r="X133" s="31" t="s">
        <v>781</v>
      </c>
      <c r="Y133" s="31"/>
      <c r="Z133" s="102" t="str">
        <f t="shared" ca="1" si="40"/>
        <v>Expiring &gt; 6 Months</v>
      </c>
      <c r="AA133" s="102">
        <f t="shared" ca="1" si="41"/>
        <v>0</v>
      </c>
      <c r="AB133" s="102">
        <f t="shared" ca="1" si="42"/>
        <v>0</v>
      </c>
      <c r="AC133" s="102">
        <f t="shared" ca="1" si="43"/>
        <v>0</v>
      </c>
      <c r="AD133" s="102" t="str">
        <f t="shared" si="44"/>
        <v>Reaching Spending Limit</v>
      </c>
    </row>
    <row r="134" spans="1:30" hidden="1">
      <c r="A134" s="48" t="str">
        <f>TEXT(Table2[[#This Row],[MB END]],"mmmm")</f>
        <v>August</v>
      </c>
      <c r="B134" s="48" t="str">
        <f>TEXT(Table2[[#This Row],[MB END]],"yyyy")</f>
        <v>2018</v>
      </c>
      <c r="C134" s="116" t="s">
        <v>683</v>
      </c>
      <c r="D134" s="27" t="s">
        <v>0</v>
      </c>
      <c r="E134" s="28">
        <v>42235</v>
      </c>
      <c r="F134" s="28">
        <v>43330</v>
      </c>
      <c r="G134" s="27" t="s">
        <v>684</v>
      </c>
      <c r="H134" s="27" t="s">
        <v>685</v>
      </c>
      <c r="I134" s="5">
        <v>2310800</v>
      </c>
      <c r="J134" s="5">
        <v>1063593.94</v>
      </c>
      <c r="K134" s="29">
        <f t="shared" si="30"/>
        <v>0.46027087588713861</v>
      </c>
      <c r="L134" s="23">
        <f t="shared" si="31"/>
        <v>35.966666666666669</v>
      </c>
      <c r="M134" s="30">
        <f t="shared" si="32"/>
        <v>2.7803521779425393E-2</v>
      </c>
      <c r="N134" s="24">
        <f t="shared" ca="1" si="33"/>
        <v>27.833333333333332</v>
      </c>
      <c r="O134" s="30">
        <f t="shared" ca="1" si="34"/>
        <v>1.6536678175585819E-2</v>
      </c>
      <c r="P134" s="26" t="str">
        <f t="shared" ca="1" si="35"/>
        <v>Desired Burn Rate</v>
      </c>
      <c r="Q134" s="24">
        <f t="shared" ca="1" si="36"/>
        <v>60.471637010894092</v>
      </c>
      <c r="R134" s="25">
        <f t="shared" ca="1" si="37"/>
        <v>44062</v>
      </c>
      <c r="S134" s="26" t="str">
        <f ca="1">TEXT(Table2[[#This Row],[Projected Limit Date]],"mmmm")</f>
        <v>August</v>
      </c>
      <c r="T134" s="26">
        <f t="shared" ca="1" si="38"/>
        <v>2021</v>
      </c>
      <c r="U134" s="31" t="s">
        <v>563</v>
      </c>
      <c r="V134" s="31" t="s">
        <v>604</v>
      </c>
      <c r="W134" s="32" t="str">
        <f t="shared" si="39"/>
        <v>Options</v>
      </c>
      <c r="X134" s="35" t="s">
        <v>816</v>
      </c>
      <c r="Y134" s="35"/>
      <c r="Z134" t="str">
        <f t="shared" ca="1" si="40"/>
        <v>Expiring &gt; 6 Months</v>
      </c>
      <c r="AA134">
        <f t="shared" ca="1" si="41"/>
        <v>0</v>
      </c>
      <c r="AB134">
        <f t="shared" ca="1" si="42"/>
        <v>0</v>
      </c>
      <c r="AC134">
        <f t="shared" ca="1" si="43"/>
        <v>0</v>
      </c>
      <c r="AD134" t="str">
        <f t="shared" si="44"/>
        <v>Safe</v>
      </c>
    </row>
    <row r="135" spans="1:30" hidden="1">
      <c r="A135" s="48" t="str">
        <f>TEXT(Table2[[#This Row],[MB END]],"mmmm")</f>
        <v>August</v>
      </c>
      <c r="B135" s="48" t="str">
        <f>TEXT(Table2[[#This Row],[MB END]],"yyyy")</f>
        <v>2018</v>
      </c>
      <c r="C135" s="116" t="s">
        <v>686</v>
      </c>
      <c r="D135" s="27" t="s">
        <v>0</v>
      </c>
      <c r="E135" s="28">
        <v>42235</v>
      </c>
      <c r="F135" s="28">
        <v>43331</v>
      </c>
      <c r="G135" s="27" t="s">
        <v>684</v>
      </c>
      <c r="H135" s="27" t="s">
        <v>687</v>
      </c>
      <c r="I135" s="5">
        <v>2570500</v>
      </c>
      <c r="J135" s="5">
        <v>1317811.3500000001</v>
      </c>
      <c r="K135" s="29">
        <f t="shared" si="30"/>
        <v>0.51266732153277572</v>
      </c>
      <c r="L135" s="23">
        <f t="shared" si="31"/>
        <v>36</v>
      </c>
      <c r="M135" s="30">
        <f t="shared" si="32"/>
        <v>2.777777777777778E-2</v>
      </c>
      <c r="N135" s="24">
        <f t="shared" ca="1" si="33"/>
        <v>27.833333333333332</v>
      </c>
      <c r="O135" s="30">
        <f t="shared" ca="1" si="34"/>
        <v>1.8419185204770389E-2</v>
      </c>
      <c r="P135" s="26" t="str">
        <f t="shared" ca="1" si="35"/>
        <v>Desired Burn Rate</v>
      </c>
      <c r="Q135" s="24">
        <f t="shared" ca="1" si="36"/>
        <v>54.29121803612734</v>
      </c>
      <c r="R135" s="25">
        <f t="shared" ca="1" si="37"/>
        <v>43880</v>
      </c>
      <c r="S135" s="26" t="str">
        <f ca="1">TEXT(Table2[[#This Row],[Projected Limit Date]],"mmmm")</f>
        <v>February</v>
      </c>
      <c r="T135" s="26">
        <f t="shared" ca="1" si="38"/>
        <v>2020</v>
      </c>
      <c r="U135" s="31" t="s">
        <v>563</v>
      </c>
      <c r="V135" s="31" t="s">
        <v>688</v>
      </c>
      <c r="W135" s="32" t="str">
        <f t="shared" si="39"/>
        <v>Options</v>
      </c>
      <c r="X135" s="35" t="s">
        <v>816</v>
      </c>
      <c r="Y135" s="35"/>
      <c r="Z135" t="str">
        <f t="shared" ca="1" si="40"/>
        <v>Expiring &gt; 6 Months</v>
      </c>
      <c r="AA135">
        <f t="shared" ca="1" si="41"/>
        <v>0</v>
      </c>
      <c r="AB135">
        <f t="shared" ca="1" si="42"/>
        <v>0</v>
      </c>
      <c r="AC135">
        <f t="shared" ca="1" si="43"/>
        <v>0</v>
      </c>
      <c r="AD135" t="str">
        <f t="shared" si="44"/>
        <v>Safe</v>
      </c>
    </row>
    <row r="136" spans="1:30" hidden="1">
      <c r="A136" s="48" t="str">
        <f>TEXT(Table2[[#This Row],[MB END]],"mmmm")</f>
        <v>August</v>
      </c>
      <c r="B136" s="48" t="str">
        <f>TEXT(Table2[[#This Row],[MB END]],"yyyy")</f>
        <v>2018</v>
      </c>
      <c r="C136" s="117" t="s">
        <v>373</v>
      </c>
      <c r="D136" s="1" t="s">
        <v>58</v>
      </c>
      <c r="E136" s="2">
        <v>42339</v>
      </c>
      <c r="F136" s="28">
        <v>43343</v>
      </c>
      <c r="G136" s="1" t="s">
        <v>374</v>
      </c>
      <c r="H136" s="1" t="s">
        <v>38</v>
      </c>
      <c r="I136" s="5">
        <v>416974.74</v>
      </c>
      <c r="J136" s="5">
        <v>307903.81</v>
      </c>
      <c r="K136" s="19">
        <f t="shared" si="30"/>
        <v>0.73842317162905358</v>
      </c>
      <c r="L136" s="16">
        <f t="shared" si="31"/>
        <v>33</v>
      </c>
      <c r="M136" s="19">
        <f t="shared" si="32"/>
        <v>3.03030303030303E-2</v>
      </c>
      <c r="N136" s="16">
        <f t="shared" ca="1" si="33"/>
        <v>24.433333333333334</v>
      </c>
      <c r="O136" s="19">
        <f t="shared" ca="1" si="34"/>
        <v>3.0221957911148168E-2</v>
      </c>
      <c r="P136" t="str">
        <f t="shared" ca="1" si="35"/>
        <v>Desired Burn Rate</v>
      </c>
      <c r="Q136" s="16">
        <f t="shared" ca="1" si="36"/>
        <v>33.088524672689175</v>
      </c>
      <c r="R136" s="14">
        <f t="shared" ca="1" si="37"/>
        <v>43344</v>
      </c>
      <c r="S136" t="str">
        <f ca="1">TEXT(Table2[[#This Row],[Projected Limit Date]],"mmmm")</f>
        <v>September</v>
      </c>
      <c r="T136">
        <f t="shared" ca="1" si="38"/>
        <v>2019</v>
      </c>
      <c r="U136" t="s">
        <v>562</v>
      </c>
      <c r="V136" t="s">
        <v>758</v>
      </c>
      <c r="W136" t="str">
        <f t="shared" si="39"/>
        <v>Options</v>
      </c>
      <c r="X136" t="s">
        <v>813</v>
      </c>
      <c r="Z136" t="str">
        <f t="shared" ca="1" si="40"/>
        <v>Expiring &gt; 6 Months</v>
      </c>
      <c r="AA136">
        <f t="shared" ca="1" si="41"/>
        <v>0</v>
      </c>
      <c r="AB136">
        <f t="shared" ca="1" si="42"/>
        <v>0</v>
      </c>
      <c r="AC136">
        <f t="shared" ca="1" si="43"/>
        <v>0</v>
      </c>
      <c r="AD136" t="str">
        <f t="shared" si="44"/>
        <v>Safe</v>
      </c>
    </row>
    <row r="137" spans="1:30" ht="60">
      <c r="A137" s="48" t="str">
        <f>TEXT(Table2[[#This Row],[MB END]],"mmmm")</f>
        <v>August</v>
      </c>
      <c r="B137" s="48" t="str">
        <f>TEXT(Table2[[#This Row],[MB END]],"yyyy")</f>
        <v>2018</v>
      </c>
      <c r="C137" s="116" t="s">
        <v>621</v>
      </c>
      <c r="D137" s="27" t="s">
        <v>52</v>
      </c>
      <c r="E137" s="28">
        <v>41518</v>
      </c>
      <c r="F137" s="28">
        <v>43343</v>
      </c>
      <c r="G137" s="27" t="s">
        <v>622</v>
      </c>
      <c r="H137" s="27" t="s">
        <v>623</v>
      </c>
      <c r="I137" s="5">
        <v>4412590</v>
      </c>
      <c r="J137" s="5">
        <v>3355050.65</v>
      </c>
      <c r="K137" s="29">
        <f t="shared" si="30"/>
        <v>0.7603359138283865</v>
      </c>
      <c r="L137" s="23">
        <f t="shared" si="31"/>
        <v>60</v>
      </c>
      <c r="M137" s="30">
        <f t="shared" si="32"/>
        <v>1.6666666666666666E-2</v>
      </c>
      <c r="N137" s="24">
        <f t="shared" ca="1" si="33"/>
        <v>51.43333333333333</v>
      </c>
      <c r="O137" s="30">
        <f t="shared" ca="1" si="34"/>
        <v>1.4782940644751521E-2</v>
      </c>
      <c r="P137" s="26" t="str">
        <f t="shared" ca="1" si="35"/>
        <v>Desired Burn Rate</v>
      </c>
      <c r="Q137" s="24">
        <f t="shared" ca="1" si="36"/>
        <v>67.645539817210604</v>
      </c>
      <c r="R137" s="25">
        <f t="shared" ca="1" si="37"/>
        <v>43556</v>
      </c>
      <c r="S137" s="26" t="str">
        <f ca="1">TEXT(Table2[[#This Row],[Projected Limit Date]],"mmmm")</f>
        <v>April</v>
      </c>
      <c r="T137" s="26">
        <f t="shared" ca="1" si="38"/>
        <v>2019</v>
      </c>
      <c r="U137" s="31" t="s">
        <v>563</v>
      </c>
      <c r="V137" s="31" t="s">
        <v>565</v>
      </c>
      <c r="W137" s="32" t="str">
        <f t="shared" si="39"/>
        <v>No options</v>
      </c>
      <c r="X137" s="31"/>
      <c r="Y137" s="35" t="s">
        <v>951</v>
      </c>
      <c r="Z137" t="str">
        <f t="shared" ca="1" si="40"/>
        <v>Expiring &gt; 6 Months</v>
      </c>
      <c r="AA137">
        <f t="shared" ca="1" si="41"/>
        <v>0</v>
      </c>
      <c r="AB137">
        <f t="shared" ca="1" si="42"/>
        <v>0</v>
      </c>
      <c r="AC137">
        <f t="shared" ca="1" si="43"/>
        <v>0</v>
      </c>
      <c r="AD137" t="str">
        <f t="shared" si="44"/>
        <v>Reaching Spending Limit</v>
      </c>
    </row>
    <row r="138" spans="1:30" hidden="1">
      <c r="A138" s="48" t="str">
        <f>TEXT(Table2[[#This Row],[MB END]],"mmmm")</f>
        <v>August</v>
      </c>
      <c r="B138" s="48" t="str">
        <f>TEXT(Table2[[#This Row],[MB END]],"yyyy")</f>
        <v>2018</v>
      </c>
      <c r="C138" s="117" t="s">
        <v>345</v>
      </c>
      <c r="D138" s="1" t="s">
        <v>136</v>
      </c>
      <c r="E138" s="2">
        <v>42248</v>
      </c>
      <c r="F138" s="28">
        <v>43343</v>
      </c>
      <c r="G138" s="1" t="s">
        <v>346</v>
      </c>
      <c r="H138" s="1" t="s">
        <v>347</v>
      </c>
      <c r="I138" s="5">
        <v>4000000</v>
      </c>
      <c r="J138" s="5">
        <v>652915.04</v>
      </c>
      <c r="K138" s="19">
        <f t="shared" si="30"/>
        <v>0.16322876</v>
      </c>
      <c r="L138" s="16">
        <f t="shared" si="31"/>
        <v>36</v>
      </c>
      <c r="M138" s="19">
        <f t="shared" si="32"/>
        <v>2.7777777777777776E-2</v>
      </c>
      <c r="N138" s="16">
        <f t="shared" ca="1" si="33"/>
        <v>27.433333333333334</v>
      </c>
      <c r="O138" s="19">
        <f t="shared" ca="1" si="34"/>
        <v>5.9500155528554068E-3</v>
      </c>
      <c r="P138" t="str">
        <f t="shared" ca="1" si="35"/>
        <v>Desired Burn Rate</v>
      </c>
      <c r="Q138" s="16">
        <f t="shared" ca="1" si="36"/>
        <v>168.0667875767318</v>
      </c>
      <c r="R138" s="14">
        <f t="shared" ca="1" si="37"/>
        <v>47362</v>
      </c>
      <c r="S138" t="str">
        <f ca="1">TEXT(Table2[[#This Row],[Projected Limit Date]],"mmmm")</f>
        <v>September</v>
      </c>
      <c r="T138">
        <f t="shared" ca="1" si="38"/>
        <v>2030</v>
      </c>
      <c r="U138" t="s">
        <v>562</v>
      </c>
      <c r="V138" t="s">
        <v>698</v>
      </c>
      <c r="W138" t="str">
        <f t="shared" si="39"/>
        <v>Options</v>
      </c>
      <c r="Z138" t="str">
        <f t="shared" ca="1" si="40"/>
        <v>Expiring &gt; 6 Months</v>
      </c>
      <c r="AA138">
        <f t="shared" ca="1" si="41"/>
        <v>0</v>
      </c>
      <c r="AB138">
        <f t="shared" ca="1" si="42"/>
        <v>0</v>
      </c>
      <c r="AC138">
        <f t="shared" ca="1" si="43"/>
        <v>0</v>
      </c>
      <c r="AD138" t="str">
        <f t="shared" si="44"/>
        <v>Safe</v>
      </c>
    </row>
    <row r="139" spans="1:30" hidden="1">
      <c r="A139" s="48" t="str">
        <f>TEXT(Table2[[#This Row],[MB END]],"mmmm")</f>
        <v>September</v>
      </c>
      <c r="B139" s="48" t="str">
        <f>TEXT(Table2[[#This Row],[MB END]],"yyyy")</f>
        <v>2018</v>
      </c>
      <c r="C139" s="117" t="s">
        <v>145</v>
      </c>
      <c r="D139" s="1" t="s">
        <v>7</v>
      </c>
      <c r="E139" s="2">
        <v>41520</v>
      </c>
      <c r="F139" s="28">
        <v>43345</v>
      </c>
      <c r="G139" s="1" t="s">
        <v>146</v>
      </c>
      <c r="H139" s="1" t="s">
        <v>147</v>
      </c>
      <c r="I139" s="5">
        <v>800000</v>
      </c>
      <c r="J139" s="5">
        <v>649885.42000000004</v>
      </c>
      <c r="K139" s="19">
        <f t="shared" si="30"/>
        <v>0.81235677500000003</v>
      </c>
      <c r="L139" s="16">
        <f t="shared" si="31"/>
        <v>59.966666666666669</v>
      </c>
      <c r="M139" s="19">
        <f t="shared" si="32"/>
        <v>1.6675931072818232E-2</v>
      </c>
      <c r="N139" s="16">
        <f t="shared" ca="1" si="33"/>
        <v>51.366666666666667</v>
      </c>
      <c r="O139" s="19">
        <f t="shared" ca="1" si="34"/>
        <v>1.5814862589227777E-2</v>
      </c>
      <c r="P139" t="str">
        <f t="shared" ca="1" si="35"/>
        <v>Desired Burn Rate</v>
      </c>
      <c r="Q139" s="16">
        <f t="shared" ca="1" si="36"/>
        <v>63.231659102820508</v>
      </c>
      <c r="R139" s="14">
        <f t="shared" ca="1" si="37"/>
        <v>43437</v>
      </c>
      <c r="S139" t="str">
        <f ca="1">TEXT(Table2[[#This Row],[Projected Limit Date]],"mmmm")</f>
        <v>December</v>
      </c>
      <c r="T139">
        <f t="shared" ca="1" si="38"/>
        <v>2019</v>
      </c>
      <c r="U139" t="s">
        <v>562</v>
      </c>
      <c r="V139" t="s">
        <v>565</v>
      </c>
      <c r="W139" t="str">
        <f t="shared" si="39"/>
        <v>No options</v>
      </c>
      <c r="Z139" t="str">
        <f t="shared" ca="1" si="40"/>
        <v>Expiring &gt; 6 Months</v>
      </c>
      <c r="AA139">
        <f t="shared" ca="1" si="41"/>
        <v>0</v>
      </c>
      <c r="AB139">
        <f t="shared" ca="1" si="42"/>
        <v>0</v>
      </c>
      <c r="AC139">
        <f t="shared" ca="1" si="43"/>
        <v>0</v>
      </c>
      <c r="AD139" t="str">
        <f t="shared" si="44"/>
        <v>Reaching Spending Limit</v>
      </c>
    </row>
    <row r="140" spans="1:30" hidden="1">
      <c r="A140" s="48" t="str">
        <f>TEXT(Table2[[#This Row],[MB END]],"mmmm")</f>
        <v>September</v>
      </c>
      <c r="B140" s="48" t="str">
        <f>TEXT(Table2[[#This Row],[MB END]],"yyyy")</f>
        <v>2018</v>
      </c>
      <c r="C140" s="116" t="s">
        <v>624</v>
      </c>
      <c r="D140" s="27" t="s">
        <v>349</v>
      </c>
      <c r="E140" s="28">
        <v>42621</v>
      </c>
      <c r="F140" s="28">
        <v>43350</v>
      </c>
      <c r="G140" s="27" t="s">
        <v>625</v>
      </c>
      <c r="H140" s="27" t="s">
        <v>626</v>
      </c>
      <c r="I140" s="5">
        <v>96080</v>
      </c>
      <c r="J140" s="5">
        <v>31080</v>
      </c>
      <c r="K140" s="29">
        <f t="shared" si="30"/>
        <v>0.32348043297252288</v>
      </c>
      <c r="L140" s="23">
        <f t="shared" si="31"/>
        <v>23.966666666666665</v>
      </c>
      <c r="M140" s="30">
        <f t="shared" si="32"/>
        <v>4.1724617524339362E-2</v>
      </c>
      <c r="N140" s="24">
        <f t="shared" ca="1" si="33"/>
        <v>15.2</v>
      </c>
      <c r="O140" s="30">
        <f t="shared" ca="1" si="34"/>
        <v>2.1281607432402823E-2</v>
      </c>
      <c r="P140" s="26" t="str">
        <f t="shared" ca="1" si="35"/>
        <v>Desired Burn Rate</v>
      </c>
      <c r="Q140" s="24">
        <f t="shared" ca="1" si="36"/>
        <v>46.988931788931787</v>
      </c>
      <c r="R140" s="25">
        <f t="shared" ca="1" si="37"/>
        <v>44020</v>
      </c>
      <c r="S140" s="26" t="str">
        <f ca="1">TEXT(Table2[[#This Row],[Projected Limit Date]],"mmmm")</f>
        <v>July</v>
      </c>
      <c r="T140" s="26">
        <f t="shared" ca="1" si="38"/>
        <v>2021</v>
      </c>
      <c r="U140" s="31" t="s">
        <v>563</v>
      </c>
      <c r="V140" s="31" t="s">
        <v>565</v>
      </c>
      <c r="W140" s="32" t="str">
        <f t="shared" si="39"/>
        <v>No options</v>
      </c>
      <c r="X140" t="s">
        <v>821</v>
      </c>
      <c r="Z140" t="str">
        <f t="shared" ca="1" si="40"/>
        <v>Expiring &gt; 6 Months</v>
      </c>
      <c r="AA140">
        <f t="shared" ca="1" si="41"/>
        <v>0</v>
      </c>
      <c r="AB140">
        <f t="shared" ca="1" si="42"/>
        <v>0</v>
      </c>
      <c r="AC140">
        <f t="shared" ca="1" si="43"/>
        <v>0</v>
      </c>
      <c r="AD140" t="str">
        <f t="shared" si="44"/>
        <v>Safe</v>
      </c>
    </row>
    <row r="141" spans="1:30" hidden="1">
      <c r="A141" s="48" t="str">
        <f>TEXT(Table2[[#This Row],[MB END]],"mmmm")</f>
        <v>September</v>
      </c>
      <c r="B141" s="48" t="str">
        <f>TEXT(Table2[[#This Row],[MB END]],"yyyy")</f>
        <v>2018</v>
      </c>
      <c r="C141" s="117" t="s">
        <v>244</v>
      </c>
      <c r="D141" s="1" t="s">
        <v>24</v>
      </c>
      <c r="E141" s="2">
        <v>41893</v>
      </c>
      <c r="F141" s="28">
        <v>43353</v>
      </c>
      <c r="G141" s="1" t="s">
        <v>245</v>
      </c>
      <c r="H141" s="1" t="s">
        <v>246</v>
      </c>
      <c r="I141" s="5">
        <v>20000</v>
      </c>
      <c r="J141" s="5">
        <v>155.69999999999999</v>
      </c>
      <c r="K141" s="19">
        <f t="shared" si="30"/>
        <v>7.7849999999999994E-3</v>
      </c>
      <c r="L141" s="16">
        <f t="shared" si="31"/>
        <v>47.966666666666669</v>
      </c>
      <c r="M141" s="19">
        <f t="shared" si="32"/>
        <v>2.0847810979847118E-2</v>
      </c>
      <c r="N141" s="16">
        <f t="shared" ca="1" si="33"/>
        <v>39.1</v>
      </c>
      <c r="O141" s="19">
        <f t="shared" ca="1" si="34"/>
        <v>1.9910485933503835E-4</v>
      </c>
      <c r="P141" t="str">
        <f t="shared" ca="1" si="35"/>
        <v>Desired Burn Rate</v>
      </c>
      <c r="Q141" s="16">
        <f t="shared" ca="1" si="36"/>
        <v>5022.4791265253698</v>
      </c>
      <c r="R141" s="14">
        <f t="shared" ca="1" si="37"/>
        <v>194746</v>
      </c>
      <c r="S141" t="str">
        <f ca="1">TEXT(Table2[[#This Row],[Projected Limit Date]],"mmmm")</f>
        <v>March</v>
      </c>
      <c r="T141">
        <f t="shared" ca="1" si="38"/>
        <v>2433</v>
      </c>
      <c r="U141" t="s">
        <v>562</v>
      </c>
      <c r="V141" t="s">
        <v>758</v>
      </c>
      <c r="W141" t="str">
        <f t="shared" si="39"/>
        <v>Options</v>
      </c>
      <c r="X141" t="s">
        <v>810</v>
      </c>
      <c r="Z141" t="str">
        <f t="shared" ca="1" si="40"/>
        <v>Expiring &gt; 6 Months</v>
      </c>
      <c r="AA141">
        <f t="shared" ca="1" si="41"/>
        <v>0</v>
      </c>
      <c r="AB141">
        <f t="shared" ca="1" si="42"/>
        <v>0</v>
      </c>
      <c r="AC141">
        <f t="shared" ca="1" si="43"/>
        <v>0</v>
      </c>
      <c r="AD141" t="str">
        <f t="shared" si="44"/>
        <v>Safe</v>
      </c>
    </row>
    <row r="142" spans="1:30" hidden="1">
      <c r="A142" s="106" t="str">
        <f>TEXT(Table2[[#This Row],[MB END]],"mmmm")</f>
        <v>September</v>
      </c>
      <c r="B142" s="106" t="str">
        <f>TEXT(Table2[[#This Row],[MB END]],"yyyy")</f>
        <v>2018</v>
      </c>
      <c r="C142" s="117" t="s">
        <v>829</v>
      </c>
      <c r="D142" s="1" t="s">
        <v>58</v>
      </c>
      <c r="E142" s="2">
        <v>42990</v>
      </c>
      <c r="F142" s="28">
        <v>43354</v>
      </c>
      <c r="G142" s="1" t="s">
        <v>242</v>
      </c>
      <c r="H142" s="1" t="s">
        <v>243</v>
      </c>
      <c r="I142" s="5">
        <v>4990</v>
      </c>
      <c r="J142" s="5">
        <v>0</v>
      </c>
      <c r="K142" s="19">
        <f t="shared" si="30"/>
        <v>0</v>
      </c>
      <c r="L142" s="16">
        <f t="shared" si="31"/>
        <v>11.966666666666667</v>
      </c>
      <c r="M142" s="105">
        <f t="shared" si="32"/>
        <v>8.3565459610027856E-2</v>
      </c>
      <c r="N142" s="16">
        <f t="shared" ca="1" si="33"/>
        <v>3.0666666666666669</v>
      </c>
      <c r="O142" s="105">
        <f t="shared" ca="1" si="34"/>
        <v>0</v>
      </c>
      <c r="P142" s="102" t="str">
        <f t="shared" ca="1" si="35"/>
        <v>Desired Burn Rate</v>
      </c>
      <c r="Q142" s="16" t="e">
        <f t="shared" ca="1" si="36"/>
        <v>#DIV/0!</v>
      </c>
      <c r="R142" s="14" t="e">
        <f t="shared" ca="1" si="37"/>
        <v>#DIV/0!</v>
      </c>
      <c r="S142" s="102" t="e">
        <f ca="1">TEXT(Table2[[#This Row],[Projected Limit Date]],"mmmm")</f>
        <v>#DIV/0!</v>
      </c>
      <c r="T142" s="102" t="e">
        <f t="shared" ca="1" si="38"/>
        <v>#DIV/0!</v>
      </c>
      <c r="U142" s="102" t="s">
        <v>562</v>
      </c>
      <c r="V142" s="102" t="s">
        <v>612</v>
      </c>
      <c r="W142" s="102" t="str">
        <f t="shared" si="39"/>
        <v>Options</v>
      </c>
      <c r="X142" s="112"/>
      <c r="Y142" s="112"/>
      <c r="Z142" s="102" t="str">
        <f t="shared" ca="1" si="40"/>
        <v>Expiring &gt; 6 Months</v>
      </c>
      <c r="AA142" s="102">
        <f t="shared" ca="1" si="41"/>
        <v>0</v>
      </c>
      <c r="AB142" s="102">
        <f t="shared" ca="1" si="42"/>
        <v>0</v>
      </c>
      <c r="AC142" s="102">
        <f t="shared" ca="1" si="43"/>
        <v>0</v>
      </c>
      <c r="AD142" s="102" t="str">
        <f t="shared" si="44"/>
        <v>Safe</v>
      </c>
    </row>
    <row r="143" spans="1:30" hidden="1">
      <c r="A143" s="106" t="str">
        <f>TEXT(Table2[[#This Row],[MB END]],"mmmm")</f>
        <v>September</v>
      </c>
      <c r="B143" s="106" t="str">
        <f>TEXT(Table2[[#This Row],[MB END]],"yyyy")</f>
        <v>2018</v>
      </c>
      <c r="C143" s="117" t="s">
        <v>826</v>
      </c>
      <c r="D143" s="1" t="s">
        <v>58</v>
      </c>
      <c r="E143" s="2">
        <v>42991</v>
      </c>
      <c r="F143" s="28">
        <v>43355</v>
      </c>
      <c r="G143" s="1" t="s">
        <v>831</v>
      </c>
      <c r="H143" s="1" t="s">
        <v>832</v>
      </c>
      <c r="I143" s="5">
        <v>955310</v>
      </c>
      <c r="J143" s="5">
        <v>0</v>
      </c>
      <c r="K143" s="19">
        <f t="shared" si="30"/>
        <v>0</v>
      </c>
      <c r="L143" s="16">
        <f t="shared" si="31"/>
        <v>11.966666666666667</v>
      </c>
      <c r="M143" s="105">
        <f t="shared" si="32"/>
        <v>8.3565459610027856E-2</v>
      </c>
      <c r="N143" s="16">
        <f t="shared" ca="1" si="33"/>
        <v>3.0333333333333332</v>
      </c>
      <c r="O143" s="105">
        <f t="shared" ca="1" si="34"/>
        <v>0</v>
      </c>
      <c r="P143" s="102" t="str">
        <f t="shared" ca="1" si="35"/>
        <v>Desired Burn Rate</v>
      </c>
      <c r="Q143" s="16" t="e">
        <f t="shared" ca="1" si="36"/>
        <v>#DIV/0!</v>
      </c>
      <c r="R143" s="14" t="e">
        <f t="shared" ca="1" si="37"/>
        <v>#DIV/0!</v>
      </c>
      <c r="S143" s="102" t="e">
        <f ca="1">TEXT(Table2[[#This Row],[Projected Limit Date]],"mmmm")</f>
        <v>#DIV/0!</v>
      </c>
      <c r="T143" s="102" t="e">
        <f t="shared" ca="1" si="38"/>
        <v>#DIV/0!</v>
      </c>
      <c r="U143" s="102" t="s">
        <v>562</v>
      </c>
      <c r="V143" s="102" t="s">
        <v>565</v>
      </c>
      <c r="W143" s="102" t="str">
        <f t="shared" si="39"/>
        <v>No options</v>
      </c>
      <c r="X143" s="112" t="s">
        <v>570</v>
      </c>
      <c r="Y143" s="112"/>
      <c r="Z143" s="102" t="str">
        <f t="shared" ca="1" si="40"/>
        <v>Expiring &gt; 6 Months</v>
      </c>
      <c r="AA143" s="102">
        <f t="shared" ca="1" si="41"/>
        <v>0</v>
      </c>
      <c r="AB143" s="102">
        <f t="shared" ca="1" si="42"/>
        <v>0</v>
      </c>
      <c r="AC143" s="102">
        <f t="shared" ca="1" si="43"/>
        <v>0</v>
      </c>
      <c r="AD143" s="102" t="str">
        <f t="shared" si="44"/>
        <v>Safe</v>
      </c>
    </row>
    <row r="144" spans="1:30" hidden="1">
      <c r="A144" s="106" t="str">
        <f>TEXT(Table2[[#This Row],[MB END]],"mmmm")</f>
        <v>September</v>
      </c>
      <c r="B144" s="106" t="str">
        <f>TEXT(Table2[[#This Row],[MB END]],"yyyy")</f>
        <v>2018</v>
      </c>
      <c r="C144" s="117" t="s">
        <v>827</v>
      </c>
      <c r="D144" s="1" t="s">
        <v>58</v>
      </c>
      <c r="E144" s="2">
        <v>42991</v>
      </c>
      <c r="F144" s="28">
        <v>43355</v>
      </c>
      <c r="G144" s="1" t="s">
        <v>833</v>
      </c>
      <c r="H144" s="1" t="s">
        <v>834</v>
      </c>
      <c r="I144" s="5">
        <v>834824</v>
      </c>
      <c r="J144" s="5">
        <v>834824</v>
      </c>
      <c r="K144" s="19">
        <f t="shared" si="30"/>
        <v>1</v>
      </c>
      <c r="L144" s="16">
        <f t="shared" si="31"/>
        <v>11.966666666666667</v>
      </c>
      <c r="M144" s="105">
        <f t="shared" si="32"/>
        <v>8.3565459610027856E-2</v>
      </c>
      <c r="N144" s="16">
        <f t="shared" ca="1" si="33"/>
        <v>3.0333333333333332</v>
      </c>
      <c r="O144" s="105">
        <f t="shared" ca="1" si="34"/>
        <v>0.32967032967032966</v>
      </c>
      <c r="P144" s="102" t="str">
        <f t="shared" ca="1" si="35"/>
        <v>Really High Burn Rate</v>
      </c>
      <c r="Q144" s="16">
        <f t="shared" ca="1" si="36"/>
        <v>3.0333333333333337</v>
      </c>
      <c r="R144" s="14">
        <f t="shared" ca="1" si="37"/>
        <v>43082</v>
      </c>
      <c r="S144" s="102" t="str">
        <f ca="1">TEXT(Table2[[#This Row],[Projected Limit Date]],"mmmm")</f>
        <v>December</v>
      </c>
      <c r="T144" s="102">
        <f t="shared" ca="1" si="38"/>
        <v>2018</v>
      </c>
      <c r="U144" s="102" t="s">
        <v>562</v>
      </c>
      <c r="V144" s="102" t="s">
        <v>565</v>
      </c>
      <c r="W144" s="102" t="str">
        <f t="shared" si="39"/>
        <v>No options</v>
      </c>
      <c r="X144" s="112" t="s">
        <v>570</v>
      </c>
      <c r="Y144" s="112"/>
      <c r="Z144" s="102" t="str">
        <f t="shared" ca="1" si="40"/>
        <v>Expiring &gt; 6 Months</v>
      </c>
      <c r="AA144" s="102">
        <f t="shared" ca="1" si="41"/>
        <v>0</v>
      </c>
      <c r="AB144" s="102">
        <f t="shared" ca="1" si="42"/>
        <v>0</v>
      </c>
      <c r="AC144" s="102">
        <f t="shared" ca="1" si="43"/>
        <v>0</v>
      </c>
      <c r="AD144" s="102" t="str">
        <f t="shared" si="44"/>
        <v>Reaching Spending Limit</v>
      </c>
    </row>
    <row r="145" spans="1:30" hidden="1">
      <c r="A145" s="106" t="str">
        <f>TEXT(Table2[[#This Row],[MB END]],"mmmm")</f>
        <v>September</v>
      </c>
      <c r="B145" s="106" t="str">
        <f>TEXT(Table2[[#This Row],[MB END]],"yyyy")</f>
        <v>2018</v>
      </c>
      <c r="C145" s="117" t="s">
        <v>828</v>
      </c>
      <c r="D145" s="1" t="s">
        <v>58</v>
      </c>
      <c r="E145" s="2">
        <v>42991</v>
      </c>
      <c r="F145" s="28">
        <v>43355</v>
      </c>
      <c r="G145" s="1" t="s">
        <v>833</v>
      </c>
      <c r="H145" s="1" t="s">
        <v>156</v>
      </c>
      <c r="I145" s="5">
        <v>846125</v>
      </c>
      <c r="J145" s="5">
        <v>846125</v>
      </c>
      <c r="K145" s="19">
        <f t="shared" si="30"/>
        <v>1</v>
      </c>
      <c r="L145" s="16">
        <f t="shared" si="31"/>
        <v>11.966666666666667</v>
      </c>
      <c r="M145" s="105">
        <f t="shared" si="32"/>
        <v>8.3565459610027856E-2</v>
      </c>
      <c r="N145" s="16">
        <f t="shared" ca="1" si="33"/>
        <v>3.0333333333333332</v>
      </c>
      <c r="O145" s="105">
        <f t="shared" ca="1" si="34"/>
        <v>0.32967032967032966</v>
      </c>
      <c r="P145" s="102" t="str">
        <f t="shared" ca="1" si="35"/>
        <v>Really High Burn Rate</v>
      </c>
      <c r="Q145" s="16">
        <f t="shared" ca="1" si="36"/>
        <v>3.0333333333333332</v>
      </c>
      <c r="R145" s="14">
        <f t="shared" ca="1" si="37"/>
        <v>43082</v>
      </c>
      <c r="S145" s="102" t="str">
        <f ca="1">TEXT(Table2[[#This Row],[Projected Limit Date]],"mmmm")</f>
        <v>December</v>
      </c>
      <c r="T145" s="102">
        <f t="shared" ca="1" si="38"/>
        <v>2018</v>
      </c>
      <c r="U145" s="102" t="s">
        <v>562</v>
      </c>
      <c r="V145" s="102" t="s">
        <v>565</v>
      </c>
      <c r="W145" s="102" t="str">
        <f t="shared" si="39"/>
        <v>No options</v>
      </c>
      <c r="X145" s="112" t="s">
        <v>570</v>
      </c>
      <c r="Y145" s="112"/>
      <c r="Z145" s="102" t="str">
        <f t="shared" ca="1" si="40"/>
        <v>Expiring &gt; 6 Months</v>
      </c>
      <c r="AA145" s="102">
        <f t="shared" ca="1" si="41"/>
        <v>0</v>
      </c>
      <c r="AB145" s="102">
        <f t="shared" ca="1" si="42"/>
        <v>0</v>
      </c>
      <c r="AC145" s="102">
        <f t="shared" ca="1" si="43"/>
        <v>0</v>
      </c>
      <c r="AD145" s="102" t="str">
        <f t="shared" si="44"/>
        <v>Reaching Spending Limit</v>
      </c>
    </row>
    <row r="146" spans="1:30" hidden="1">
      <c r="A146" s="106" t="str">
        <f>TEXT(Table2[[#This Row],[MB END]],"mmmm")</f>
        <v>September</v>
      </c>
      <c r="B146" s="106" t="str">
        <f>TEXT(Table2[[#This Row],[MB END]],"yyyy")</f>
        <v>2018</v>
      </c>
      <c r="C146" s="117" t="s">
        <v>839</v>
      </c>
      <c r="D146" s="1" t="s">
        <v>349</v>
      </c>
      <c r="E146" s="2">
        <v>42998</v>
      </c>
      <c r="F146" s="28">
        <v>43362</v>
      </c>
      <c r="G146" s="1" t="s">
        <v>840</v>
      </c>
      <c r="H146" s="1" t="s">
        <v>351</v>
      </c>
      <c r="I146" s="5">
        <v>24984</v>
      </c>
      <c r="J146" s="5">
        <v>0</v>
      </c>
      <c r="K146" s="19">
        <f t="shared" si="30"/>
        <v>0</v>
      </c>
      <c r="L146" s="16">
        <f t="shared" si="31"/>
        <v>11.966666666666667</v>
      </c>
      <c r="M146" s="105">
        <f t="shared" si="32"/>
        <v>8.3565459610027856E-2</v>
      </c>
      <c r="N146" s="16">
        <f t="shared" ca="1" si="33"/>
        <v>2.8</v>
      </c>
      <c r="O146" s="105">
        <f t="shared" ca="1" si="34"/>
        <v>0</v>
      </c>
      <c r="P146" s="102" t="str">
        <f t="shared" ca="1" si="35"/>
        <v>Desired Burn Rate</v>
      </c>
      <c r="Q146" s="16" t="e">
        <f t="shared" ca="1" si="36"/>
        <v>#DIV/0!</v>
      </c>
      <c r="R146" s="14" t="e">
        <f t="shared" ca="1" si="37"/>
        <v>#DIV/0!</v>
      </c>
      <c r="S146" s="102" t="e">
        <f ca="1">TEXT(Table2[[#This Row],[Projected Limit Date]],"mmmm")</f>
        <v>#DIV/0!</v>
      </c>
      <c r="T146" s="102" t="e">
        <f t="shared" ca="1" si="38"/>
        <v>#DIV/0!</v>
      </c>
      <c r="U146" s="102" t="s">
        <v>563</v>
      </c>
      <c r="V146" s="102" t="s">
        <v>565</v>
      </c>
      <c r="W146" s="102" t="str">
        <f t="shared" si="39"/>
        <v>No options</v>
      </c>
      <c r="X146" s="112"/>
      <c r="Y146" s="112"/>
      <c r="Z146" s="102" t="str">
        <f t="shared" ca="1" si="40"/>
        <v>Expiring &gt; 6 Months</v>
      </c>
      <c r="AA146" s="102">
        <f t="shared" ca="1" si="41"/>
        <v>0</v>
      </c>
      <c r="AB146" s="102">
        <f t="shared" ca="1" si="42"/>
        <v>0</v>
      </c>
      <c r="AC146" s="102">
        <f t="shared" ca="1" si="43"/>
        <v>0</v>
      </c>
      <c r="AD146" s="102" t="str">
        <f t="shared" si="44"/>
        <v>Safe</v>
      </c>
    </row>
    <row r="147" spans="1:30" hidden="1">
      <c r="A147" s="48" t="str">
        <f>TEXT(Table2[[#This Row],[MB END]],"mmmm")</f>
        <v>September</v>
      </c>
      <c r="B147" s="48" t="str">
        <f>TEXT(Table2[[#This Row],[MB END]],"yyyy")</f>
        <v>2018</v>
      </c>
      <c r="C147" s="116" t="s">
        <v>689</v>
      </c>
      <c r="D147" s="27" t="s">
        <v>349</v>
      </c>
      <c r="E147" s="28">
        <v>42270</v>
      </c>
      <c r="F147" s="28">
        <v>43365</v>
      </c>
      <c r="G147" s="27" t="s">
        <v>690</v>
      </c>
      <c r="H147" s="27" t="s">
        <v>691</v>
      </c>
      <c r="I147" s="5">
        <v>620036</v>
      </c>
      <c r="J147" s="5">
        <v>431741.12</v>
      </c>
      <c r="K147" s="29">
        <f t="shared" si="30"/>
        <v>0.69631621389725762</v>
      </c>
      <c r="L147" s="23">
        <f t="shared" si="31"/>
        <v>35.966666666666669</v>
      </c>
      <c r="M147" s="30">
        <f t="shared" si="32"/>
        <v>2.7803521779425393E-2</v>
      </c>
      <c r="N147" s="24">
        <f t="shared" ca="1" si="33"/>
        <v>26.7</v>
      </c>
      <c r="O147" s="30">
        <f t="shared" ca="1" si="34"/>
        <v>2.6079258947462831E-2</v>
      </c>
      <c r="P147" s="26" t="str">
        <f t="shared" ca="1" si="35"/>
        <v>Desired Burn Rate</v>
      </c>
      <c r="Q147" s="24">
        <f t="shared" ca="1" si="36"/>
        <v>38.344647829699426</v>
      </c>
      <c r="R147" s="25">
        <f t="shared" ca="1" si="37"/>
        <v>43427</v>
      </c>
      <c r="S147" s="26" t="str">
        <f ca="1">TEXT(Table2[[#This Row],[Projected Limit Date]],"mmmm")</f>
        <v>November</v>
      </c>
      <c r="T147" s="26">
        <f t="shared" ca="1" si="38"/>
        <v>2019</v>
      </c>
      <c r="U147" s="31" t="s">
        <v>563</v>
      </c>
      <c r="V147" s="31" t="s">
        <v>565</v>
      </c>
      <c r="W147" s="32" t="str">
        <f t="shared" si="39"/>
        <v>No options</v>
      </c>
      <c r="X147" s="31"/>
      <c r="Y147" s="31"/>
      <c r="Z147" t="str">
        <f t="shared" ca="1" si="40"/>
        <v>Expiring &gt; 6 Months</v>
      </c>
      <c r="AA147">
        <f t="shared" ca="1" si="41"/>
        <v>0</v>
      </c>
      <c r="AB147">
        <f t="shared" ca="1" si="42"/>
        <v>0</v>
      </c>
      <c r="AC147">
        <f t="shared" ca="1" si="43"/>
        <v>0</v>
      </c>
      <c r="AD147" t="str">
        <f t="shared" si="44"/>
        <v>Safe</v>
      </c>
    </row>
    <row r="148" spans="1:30" hidden="1">
      <c r="A148" s="48" t="str">
        <f>TEXT(Table2[[#This Row],[MB END]],"mmmm")</f>
        <v>September</v>
      </c>
      <c r="B148" s="48" t="str">
        <f>TEXT(Table2[[#This Row],[MB END]],"yyyy")</f>
        <v>2018</v>
      </c>
      <c r="C148" s="116" t="s">
        <v>627</v>
      </c>
      <c r="D148" s="27" t="s">
        <v>48</v>
      </c>
      <c r="E148" s="28">
        <v>41548</v>
      </c>
      <c r="F148" s="28">
        <v>43373</v>
      </c>
      <c r="G148" s="27" t="s">
        <v>628</v>
      </c>
      <c r="H148" s="27" t="s">
        <v>629</v>
      </c>
      <c r="I148" s="5">
        <v>3425000</v>
      </c>
      <c r="J148" s="5">
        <v>2614879.64</v>
      </c>
      <c r="K148" s="29">
        <f t="shared" si="30"/>
        <v>0.76346850802919708</v>
      </c>
      <c r="L148" s="23">
        <f t="shared" si="31"/>
        <v>59.966666666666669</v>
      </c>
      <c r="M148" s="30">
        <f t="shared" si="32"/>
        <v>1.6675931072818232E-2</v>
      </c>
      <c r="N148" s="24">
        <f t="shared" ca="1" si="33"/>
        <v>50.43333333333333</v>
      </c>
      <c r="O148" s="30">
        <f t="shared" ca="1" si="34"/>
        <v>1.5138172664161214E-2</v>
      </c>
      <c r="P148" s="26" t="str">
        <f t="shared" ca="1" si="35"/>
        <v>Desired Burn Rate</v>
      </c>
      <c r="Q148" s="24">
        <f t="shared" ca="1" si="36"/>
        <v>66.058171100627263</v>
      </c>
      <c r="R148" s="25">
        <f t="shared" ca="1" si="37"/>
        <v>43556</v>
      </c>
      <c r="S148" s="26" t="str">
        <f ca="1">TEXT(Table2[[#This Row],[Projected Limit Date]],"mmmm")</f>
        <v>April</v>
      </c>
      <c r="T148" s="26">
        <f t="shared" ca="1" si="38"/>
        <v>2019</v>
      </c>
      <c r="U148" s="31" t="s">
        <v>562</v>
      </c>
      <c r="V148" s="31" t="s">
        <v>565</v>
      </c>
      <c r="W148" s="32" t="str">
        <f t="shared" si="39"/>
        <v>No options</v>
      </c>
      <c r="X148" s="110" t="s">
        <v>853</v>
      </c>
      <c r="Y148" s="110"/>
      <c r="Z148" t="str">
        <f t="shared" ca="1" si="40"/>
        <v>Expiring &gt; 6 Months</v>
      </c>
      <c r="AA148">
        <f t="shared" ca="1" si="41"/>
        <v>0</v>
      </c>
      <c r="AB148">
        <f t="shared" ca="1" si="42"/>
        <v>0</v>
      </c>
      <c r="AC148">
        <f t="shared" ca="1" si="43"/>
        <v>0</v>
      </c>
      <c r="AD148" t="str">
        <f t="shared" si="44"/>
        <v>Reaching Spending Limit</v>
      </c>
    </row>
    <row r="149" spans="1:30" hidden="1">
      <c r="A149" s="48" t="str">
        <f>TEXT(Table2[[#This Row],[MB END]],"mmmm")</f>
        <v>September</v>
      </c>
      <c r="B149" s="48" t="str">
        <f>TEXT(Table2[[#This Row],[MB END]],"yyyy")</f>
        <v>2018</v>
      </c>
      <c r="C149" s="116" t="s">
        <v>630</v>
      </c>
      <c r="D149" s="27" t="s">
        <v>48</v>
      </c>
      <c r="E149" s="28">
        <v>41548</v>
      </c>
      <c r="F149" s="28">
        <v>43373</v>
      </c>
      <c r="G149" s="27" t="s">
        <v>628</v>
      </c>
      <c r="H149" s="27" t="s">
        <v>364</v>
      </c>
      <c r="I149" s="5">
        <v>4826000</v>
      </c>
      <c r="J149" s="5">
        <v>2811665.39</v>
      </c>
      <c r="K149" s="29">
        <f t="shared" si="30"/>
        <v>0.58260783050145049</v>
      </c>
      <c r="L149" s="23">
        <f t="shared" si="31"/>
        <v>59.966666666666669</v>
      </c>
      <c r="M149" s="30">
        <f t="shared" si="32"/>
        <v>1.6675931072818232E-2</v>
      </c>
      <c r="N149" s="24">
        <f t="shared" ca="1" si="33"/>
        <v>50.43333333333333</v>
      </c>
      <c r="O149" s="30">
        <f t="shared" ca="1" si="34"/>
        <v>1.1552038939222417E-2</v>
      </c>
      <c r="P149" s="26" t="str">
        <f t="shared" ca="1" si="35"/>
        <v>Desired Burn Rate</v>
      </c>
      <c r="Q149" s="24">
        <f t="shared" ca="1" si="36"/>
        <v>86.564805162205531</v>
      </c>
      <c r="R149" s="25">
        <f t="shared" ca="1" si="37"/>
        <v>44166</v>
      </c>
      <c r="S149" s="26" t="str">
        <f ca="1">TEXT(Table2[[#This Row],[Projected Limit Date]],"mmmm")</f>
        <v>December</v>
      </c>
      <c r="T149" s="26">
        <f t="shared" ca="1" si="38"/>
        <v>2021</v>
      </c>
      <c r="U149" s="31" t="s">
        <v>562</v>
      </c>
      <c r="V149" s="31" t="s">
        <v>565</v>
      </c>
      <c r="W149" s="32" t="str">
        <f t="shared" si="39"/>
        <v>No options</v>
      </c>
      <c r="X149" s="110" t="s">
        <v>854</v>
      </c>
      <c r="Y149" s="110"/>
      <c r="Z149" t="str">
        <f t="shared" ca="1" si="40"/>
        <v>Expiring &gt; 6 Months</v>
      </c>
      <c r="AA149">
        <f t="shared" ca="1" si="41"/>
        <v>0</v>
      </c>
      <c r="AB149">
        <f t="shared" ca="1" si="42"/>
        <v>0</v>
      </c>
      <c r="AC149">
        <f t="shared" ca="1" si="43"/>
        <v>0</v>
      </c>
      <c r="AD149" t="str">
        <f t="shared" si="44"/>
        <v>Safe</v>
      </c>
    </row>
    <row r="150" spans="1:30" hidden="1">
      <c r="A150" s="48" t="str">
        <f>TEXT(Table2[[#This Row],[MB END]],"mmmm")</f>
        <v>September</v>
      </c>
      <c r="B150" s="48" t="str">
        <f>TEXT(Table2[[#This Row],[MB END]],"yyyy")</f>
        <v>2018</v>
      </c>
      <c r="C150" s="117" t="s">
        <v>142</v>
      </c>
      <c r="D150" s="1" t="s">
        <v>7</v>
      </c>
      <c r="E150" s="2">
        <v>41548</v>
      </c>
      <c r="F150" s="28">
        <v>43373</v>
      </c>
      <c r="G150" s="1" t="s">
        <v>143</v>
      </c>
      <c r="H150" s="1" t="s">
        <v>144</v>
      </c>
      <c r="I150" s="5">
        <v>560000</v>
      </c>
      <c r="J150" s="5">
        <v>387058.69</v>
      </c>
      <c r="K150" s="19">
        <f t="shared" si="30"/>
        <v>0.69117623214285717</v>
      </c>
      <c r="L150" s="16">
        <f t="shared" si="31"/>
        <v>59.966666666666669</v>
      </c>
      <c r="M150" s="19">
        <f t="shared" si="32"/>
        <v>1.6675931072818232E-2</v>
      </c>
      <c r="N150" s="16">
        <f t="shared" ca="1" si="33"/>
        <v>50.43333333333333</v>
      </c>
      <c r="O150" s="19">
        <f t="shared" ca="1" si="34"/>
        <v>1.3704750141629687E-2</v>
      </c>
      <c r="P150" t="str">
        <f t="shared" ca="1" si="35"/>
        <v>Desired Burn Rate</v>
      </c>
      <c r="Q150" s="16">
        <f t="shared" ca="1" si="36"/>
        <v>72.967401059169262</v>
      </c>
      <c r="R150" s="14">
        <f t="shared" ca="1" si="37"/>
        <v>43739</v>
      </c>
      <c r="S150" t="str">
        <f ca="1">TEXT(Table2[[#This Row],[Projected Limit Date]],"mmmm")</f>
        <v>October</v>
      </c>
      <c r="T150">
        <f t="shared" ca="1" si="38"/>
        <v>2020</v>
      </c>
      <c r="U150" t="s">
        <v>562</v>
      </c>
      <c r="V150" t="s">
        <v>565</v>
      </c>
      <c r="W150" t="str">
        <f t="shared" si="39"/>
        <v>No options</v>
      </c>
      <c r="Z150" t="str">
        <f t="shared" ca="1" si="40"/>
        <v>Expiring &gt; 6 Months</v>
      </c>
      <c r="AA150">
        <f t="shared" ca="1" si="41"/>
        <v>0</v>
      </c>
      <c r="AB150">
        <f t="shared" ca="1" si="42"/>
        <v>0</v>
      </c>
      <c r="AC150">
        <f t="shared" ca="1" si="43"/>
        <v>0</v>
      </c>
      <c r="AD150" t="str">
        <f t="shared" si="44"/>
        <v>Safe</v>
      </c>
    </row>
    <row r="151" spans="1:30" hidden="1">
      <c r="A151" s="48" t="str">
        <f>TEXT(Table2[[#This Row],[MB END]],"mmmm")</f>
        <v>September</v>
      </c>
      <c r="B151" s="48" t="str">
        <f>TEXT(Table2[[#This Row],[MB END]],"yyyy")</f>
        <v>2018</v>
      </c>
      <c r="C151" s="117" t="s">
        <v>167</v>
      </c>
      <c r="D151" s="1" t="s">
        <v>7</v>
      </c>
      <c r="E151" s="2">
        <v>41548</v>
      </c>
      <c r="F151" s="28">
        <v>43373</v>
      </c>
      <c r="G151" s="1" t="s">
        <v>168</v>
      </c>
      <c r="H151" s="1" t="s">
        <v>169</v>
      </c>
      <c r="I151" s="5">
        <v>500000</v>
      </c>
      <c r="J151" s="5">
        <v>288400.46999999997</v>
      </c>
      <c r="K151" s="19">
        <f t="shared" si="30"/>
        <v>0.57680093999999993</v>
      </c>
      <c r="L151" s="16">
        <f t="shared" si="31"/>
        <v>59.966666666666669</v>
      </c>
      <c r="M151" s="19">
        <f t="shared" si="32"/>
        <v>1.6675931072818232E-2</v>
      </c>
      <c r="N151" s="16">
        <f t="shared" ca="1" si="33"/>
        <v>50.43333333333333</v>
      </c>
      <c r="O151" s="19">
        <f t="shared" ca="1" si="34"/>
        <v>1.1436899008592202E-2</v>
      </c>
      <c r="P151" t="str">
        <f t="shared" ca="1" si="35"/>
        <v>Desired Burn Rate</v>
      </c>
      <c r="Q151" s="16">
        <f t="shared" ca="1" si="36"/>
        <v>87.436288389775044</v>
      </c>
      <c r="R151" s="14">
        <f t="shared" ca="1" si="37"/>
        <v>44197</v>
      </c>
      <c r="S151" t="str">
        <f ca="1">TEXT(Table2[[#This Row],[Projected Limit Date]],"mmmm")</f>
        <v>January</v>
      </c>
      <c r="T151">
        <f t="shared" ca="1" si="38"/>
        <v>2021</v>
      </c>
      <c r="U151" t="s">
        <v>562</v>
      </c>
      <c r="V151" t="s">
        <v>850</v>
      </c>
      <c r="W151" t="str">
        <f t="shared" si="39"/>
        <v>Options</v>
      </c>
      <c r="X151" t="s">
        <v>812</v>
      </c>
      <c r="Z151" t="str">
        <f t="shared" ca="1" si="40"/>
        <v>Expiring &gt; 6 Months</v>
      </c>
      <c r="AA151">
        <f t="shared" ca="1" si="41"/>
        <v>0</v>
      </c>
      <c r="AB151">
        <f t="shared" ca="1" si="42"/>
        <v>0</v>
      </c>
      <c r="AC151">
        <f t="shared" ca="1" si="43"/>
        <v>0</v>
      </c>
      <c r="AD151" t="str">
        <f t="shared" si="44"/>
        <v>Safe</v>
      </c>
    </row>
    <row r="152" spans="1:30" hidden="1">
      <c r="A152" s="48" t="str">
        <f>TEXT(Table2[[#This Row],[MB END]],"mmmm")</f>
        <v>September</v>
      </c>
      <c r="B152" s="48" t="str">
        <f>TEXT(Table2[[#This Row],[MB END]],"yyyy")</f>
        <v>2018</v>
      </c>
      <c r="C152" s="117" t="s">
        <v>352</v>
      </c>
      <c r="D152" s="1" t="s">
        <v>7</v>
      </c>
      <c r="E152" s="2">
        <v>42278</v>
      </c>
      <c r="F152" s="28">
        <v>43373</v>
      </c>
      <c r="G152" s="1" t="s">
        <v>353</v>
      </c>
      <c r="H152" s="1" t="s">
        <v>354</v>
      </c>
      <c r="I152" s="5">
        <v>24000</v>
      </c>
      <c r="J152" s="5">
        <v>12260.75</v>
      </c>
      <c r="K152" s="19">
        <f t="shared" si="30"/>
        <v>0.51086458333333329</v>
      </c>
      <c r="L152" s="16">
        <f t="shared" si="31"/>
        <v>35.966666666666669</v>
      </c>
      <c r="M152" s="19">
        <f t="shared" si="32"/>
        <v>2.780352177942539E-2</v>
      </c>
      <c r="N152" s="16">
        <f t="shared" ca="1" si="33"/>
        <v>26.433333333333334</v>
      </c>
      <c r="O152" s="19">
        <f t="shared" ca="1" si="34"/>
        <v>1.9326529003783101E-2</v>
      </c>
      <c r="P152" t="str">
        <f t="shared" ca="1" si="35"/>
        <v>Desired Burn Rate</v>
      </c>
      <c r="Q152" s="16">
        <f t="shared" ca="1" si="36"/>
        <v>51.742348551271334</v>
      </c>
      <c r="R152" s="14">
        <f t="shared" ca="1" si="37"/>
        <v>43831</v>
      </c>
      <c r="S152" t="str">
        <f ca="1">TEXT(Table2[[#This Row],[Projected Limit Date]],"mmmm")</f>
        <v>January</v>
      </c>
      <c r="T152">
        <f t="shared" ca="1" si="38"/>
        <v>2020</v>
      </c>
      <c r="U152" t="s">
        <v>562</v>
      </c>
      <c r="V152" t="s">
        <v>565</v>
      </c>
      <c r="W152" t="str">
        <f t="shared" si="39"/>
        <v>No options</v>
      </c>
      <c r="X152" s="110" t="s">
        <v>810</v>
      </c>
      <c r="Y152" s="110"/>
      <c r="Z152" t="str">
        <f t="shared" ca="1" si="40"/>
        <v>Expiring &gt; 6 Months</v>
      </c>
      <c r="AA152">
        <f t="shared" ca="1" si="41"/>
        <v>0</v>
      </c>
      <c r="AB152">
        <f t="shared" ca="1" si="42"/>
        <v>0</v>
      </c>
      <c r="AC152">
        <f t="shared" ca="1" si="43"/>
        <v>0</v>
      </c>
      <c r="AD152" t="str">
        <f t="shared" si="44"/>
        <v>Safe</v>
      </c>
    </row>
    <row r="153" spans="1:30" hidden="1">
      <c r="A153" s="48" t="str">
        <f>TEXT(Table2[[#This Row],[MB END]],"mmmm")</f>
        <v>September</v>
      </c>
      <c r="B153" s="48" t="str">
        <f>TEXT(Table2[[#This Row],[MB END]],"yyyy")</f>
        <v>2018</v>
      </c>
      <c r="C153" s="117" t="s">
        <v>534</v>
      </c>
      <c r="D153" s="1" t="s">
        <v>58</v>
      </c>
      <c r="E153" s="2">
        <v>42816</v>
      </c>
      <c r="F153" s="28">
        <v>43373</v>
      </c>
      <c r="G153" s="1" t="s">
        <v>535</v>
      </c>
      <c r="H153" s="1" t="s">
        <v>147</v>
      </c>
      <c r="I153" s="5">
        <v>1782624</v>
      </c>
      <c r="J153" s="5">
        <v>1782624</v>
      </c>
      <c r="K153" s="19">
        <f t="shared" si="30"/>
        <v>1</v>
      </c>
      <c r="L153" s="16">
        <f t="shared" si="31"/>
        <v>18.266666666666666</v>
      </c>
      <c r="M153" s="19">
        <f t="shared" si="32"/>
        <v>5.4744525547445258E-2</v>
      </c>
      <c r="N153" s="16">
        <f t="shared" ca="1" si="33"/>
        <v>8.7333333333333325</v>
      </c>
      <c r="O153" s="19">
        <f t="shared" ca="1" si="34"/>
        <v>0.11450381679389314</v>
      </c>
      <c r="P153" t="str">
        <f t="shared" ca="1" si="35"/>
        <v>Really High Burn Rate</v>
      </c>
      <c r="Q153" s="16">
        <f t="shared" ca="1" si="36"/>
        <v>8.7333333333333325</v>
      </c>
      <c r="R153" s="14">
        <f t="shared" ca="1" si="37"/>
        <v>43061</v>
      </c>
      <c r="S153" t="str">
        <f ca="1">TEXT(Table2[[#This Row],[Projected Limit Date]],"mmmm")</f>
        <v>November</v>
      </c>
      <c r="T153">
        <f t="shared" ca="1" si="38"/>
        <v>2018</v>
      </c>
      <c r="U153" t="s">
        <v>562</v>
      </c>
      <c r="V153" t="s">
        <v>565</v>
      </c>
      <c r="W153" t="str">
        <f t="shared" si="39"/>
        <v>No options</v>
      </c>
      <c r="X153" t="s">
        <v>570</v>
      </c>
      <c r="Z153" t="str">
        <f t="shared" ca="1" si="40"/>
        <v>Expiring &gt; 6 Months</v>
      </c>
      <c r="AA153">
        <f t="shared" ca="1" si="41"/>
        <v>0</v>
      </c>
      <c r="AB153">
        <f t="shared" ca="1" si="42"/>
        <v>0</v>
      </c>
      <c r="AC153">
        <f t="shared" ca="1" si="43"/>
        <v>0</v>
      </c>
      <c r="AD153" t="str">
        <f t="shared" si="44"/>
        <v>Reaching Spending Limit</v>
      </c>
    </row>
    <row r="154" spans="1:30" hidden="1">
      <c r="A154" s="48" t="str">
        <f>TEXT(Table2[[#This Row],[MB END]],"mmmm")</f>
        <v>October</v>
      </c>
      <c r="B154" s="48" t="str">
        <f>TEXT(Table2[[#This Row],[MB END]],"yyyy")</f>
        <v>2018</v>
      </c>
      <c r="C154" s="117" t="s">
        <v>256</v>
      </c>
      <c r="D154" s="1" t="s">
        <v>7</v>
      </c>
      <c r="E154" s="2">
        <v>41920</v>
      </c>
      <c r="F154" s="28">
        <v>43380</v>
      </c>
      <c r="G154" s="1" t="s">
        <v>257</v>
      </c>
      <c r="H154" s="1" t="s">
        <v>258</v>
      </c>
      <c r="I154" s="5">
        <v>910000</v>
      </c>
      <c r="J154" s="5">
        <v>594267.99</v>
      </c>
      <c r="K154" s="19">
        <f t="shared" si="30"/>
        <v>0.65304174725274722</v>
      </c>
      <c r="L154" s="16">
        <f t="shared" si="31"/>
        <v>47.966666666666669</v>
      </c>
      <c r="M154" s="19">
        <f t="shared" si="32"/>
        <v>2.0847810979847115E-2</v>
      </c>
      <c r="N154" s="16">
        <f t="shared" ca="1" si="33"/>
        <v>38.200000000000003</v>
      </c>
      <c r="O154" s="19">
        <f t="shared" ca="1" si="34"/>
        <v>1.7095333697715896E-2</v>
      </c>
      <c r="P154" t="str">
        <f t="shared" ca="1" si="35"/>
        <v>Desired Burn Rate</v>
      </c>
      <c r="Q154" s="16">
        <f t="shared" ca="1" si="36"/>
        <v>58.49549460000361</v>
      </c>
      <c r="R154" s="14">
        <f t="shared" ca="1" si="37"/>
        <v>43685</v>
      </c>
      <c r="S154" t="str">
        <f ca="1">TEXT(Table2[[#This Row],[Projected Limit Date]],"mmmm")</f>
        <v>August</v>
      </c>
      <c r="T154">
        <f t="shared" ca="1" si="38"/>
        <v>2020</v>
      </c>
      <c r="U154" t="s">
        <v>562</v>
      </c>
      <c r="V154" t="s">
        <v>851</v>
      </c>
      <c r="W154" t="str">
        <f t="shared" si="39"/>
        <v>Options</v>
      </c>
      <c r="X154" s="110" t="s">
        <v>814</v>
      </c>
      <c r="Y154" s="110"/>
      <c r="Z154" t="str">
        <f t="shared" ca="1" si="40"/>
        <v>Expiring &gt; 6 Months</v>
      </c>
      <c r="AA154">
        <f t="shared" ca="1" si="41"/>
        <v>0</v>
      </c>
      <c r="AB154">
        <f t="shared" ca="1" si="42"/>
        <v>0</v>
      </c>
      <c r="AC154">
        <f t="shared" ca="1" si="43"/>
        <v>0</v>
      </c>
      <c r="AD154" t="str">
        <f t="shared" si="44"/>
        <v>Safe</v>
      </c>
    </row>
    <row r="155" spans="1:30" hidden="1">
      <c r="A155" s="48" t="str">
        <f>TEXT(Table2[[#This Row],[MB END]],"mmmm")</f>
        <v>October</v>
      </c>
      <c r="B155" s="48" t="str">
        <f>TEXT(Table2[[#This Row],[MB END]],"yyyy")</f>
        <v>2018</v>
      </c>
      <c r="C155" s="117" t="s">
        <v>272</v>
      </c>
      <c r="D155" s="1" t="s">
        <v>136</v>
      </c>
      <c r="E155" s="2">
        <v>41920</v>
      </c>
      <c r="F155" s="28">
        <v>43380</v>
      </c>
      <c r="G155" s="1" t="s">
        <v>273</v>
      </c>
      <c r="H155" s="1" t="s">
        <v>274</v>
      </c>
      <c r="I155" s="5">
        <v>50000</v>
      </c>
      <c r="J155" s="5">
        <v>35915.53</v>
      </c>
      <c r="K155" s="19">
        <f t="shared" si="30"/>
        <v>0.71831060000000002</v>
      </c>
      <c r="L155" s="16">
        <f t="shared" si="31"/>
        <v>47.966666666666669</v>
      </c>
      <c r="M155" s="19">
        <f t="shared" si="32"/>
        <v>2.0847810979847115E-2</v>
      </c>
      <c r="N155" s="16">
        <f t="shared" ca="1" si="33"/>
        <v>38.200000000000003</v>
      </c>
      <c r="O155" s="19">
        <f t="shared" ca="1" si="34"/>
        <v>1.8803942408376961E-2</v>
      </c>
      <c r="P155" t="str">
        <f t="shared" ca="1" si="35"/>
        <v>Desired Burn Rate</v>
      </c>
      <c r="Q155" s="16">
        <f t="shared" ca="1" si="36"/>
        <v>53.180337308122702</v>
      </c>
      <c r="R155" s="14">
        <f t="shared" ca="1" si="37"/>
        <v>43532</v>
      </c>
      <c r="S155" t="str">
        <f ca="1">TEXT(Table2[[#This Row],[Projected Limit Date]],"mmmm")</f>
        <v>March</v>
      </c>
      <c r="T155">
        <f t="shared" ca="1" si="38"/>
        <v>2019</v>
      </c>
      <c r="U155" t="s">
        <v>563</v>
      </c>
      <c r="V155" t="s">
        <v>657</v>
      </c>
      <c r="W155" t="str">
        <f t="shared" si="39"/>
        <v>Options</v>
      </c>
      <c r="X155" s="110" t="s">
        <v>811</v>
      </c>
      <c r="Y155" s="110"/>
      <c r="Z155" t="str">
        <f t="shared" ca="1" si="40"/>
        <v>Expiring &gt; 6 Months</v>
      </c>
      <c r="AA155">
        <f t="shared" ca="1" si="41"/>
        <v>0</v>
      </c>
      <c r="AB155">
        <f t="shared" ca="1" si="42"/>
        <v>0</v>
      </c>
      <c r="AC155">
        <f t="shared" ca="1" si="43"/>
        <v>0</v>
      </c>
      <c r="AD155" t="str">
        <f t="shared" si="44"/>
        <v>Safe</v>
      </c>
    </row>
    <row r="156" spans="1:30" hidden="1">
      <c r="A156" s="48" t="str">
        <f>TEXT(Table2[[#This Row],[MB END]],"mmmm")</f>
        <v>October</v>
      </c>
      <c r="B156" s="48" t="str">
        <f>TEXT(Table2[[#This Row],[MB END]],"yyyy")</f>
        <v>2018</v>
      </c>
      <c r="C156" s="117" t="s">
        <v>275</v>
      </c>
      <c r="D156" s="1" t="s">
        <v>136</v>
      </c>
      <c r="E156" s="2">
        <v>41920</v>
      </c>
      <c r="F156" s="28">
        <v>43380</v>
      </c>
      <c r="G156" s="1" t="s">
        <v>273</v>
      </c>
      <c r="H156" s="1" t="s">
        <v>276</v>
      </c>
      <c r="I156" s="5">
        <v>50000</v>
      </c>
      <c r="J156" s="5">
        <v>35956.800000000003</v>
      </c>
      <c r="K156" s="19">
        <f t="shared" si="30"/>
        <v>0.71913600000000011</v>
      </c>
      <c r="L156" s="16">
        <f t="shared" si="31"/>
        <v>47.966666666666669</v>
      </c>
      <c r="M156" s="19">
        <f t="shared" si="32"/>
        <v>2.0847810979847115E-2</v>
      </c>
      <c r="N156" s="16">
        <f t="shared" ca="1" si="33"/>
        <v>38.200000000000003</v>
      </c>
      <c r="O156" s="19">
        <f t="shared" ca="1" si="34"/>
        <v>1.8825549738219895E-2</v>
      </c>
      <c r="P156" t="str">
        <f t="shared" ca="1" si="35"/>
        <v>Desired Burn Rate</v>
      </c>
      <c r="Q156" s="16">
        <f t="shared" ca="1" si="36"/>
        <v>53.119298714012373</v>
      </c>
      <c r="R156" s="14">
        <f t="shared" ca="1" si="37"/>
        <v>43532</v>
      </c>
      <c r="S156" t="str">
        <f ca="1">TEXT(Table2[[#This Row],[Projected Limit Date]],"mmmm")</f>
        <v>March</v>
      </c>
      <c r="T156">
        <f t="shared" ca="1" si="38"/>
        <v>2019</v>
      </c>
      <c r="U156" t="s">
        <v>563</v>
      </c>
      <c r="V156" t="s">
        <v>657</v>
      </c>
      <c r="W156" t="str">
        <f t="shared" si="39"/>
        <v>Options</v>
      </c>
      <c r="X156" s="110" t="s">
        <v>811</v>
      </c>
      <c r="Y156" s="110"/>
      <c r="Z156" t="str">
        <f t="shared" ca="1" si="40"/>
        <v>Expiring &gt; 6 Months</v>
      </c>
      <c r="AA156">
        <f t="shared" ca="1" si="41"/>
        <v>0</v>
      </c>
      <c r="AB156">
        <f t="shared" ca="1" si="42"/>
        <v>0</v>
      </c>
      <c r="AC156">
        <f t="shared" ca="1" si="43"/>
        <v>0</v>
      </c>
      <c r="AD156" t="str">
        <f t="shared" si="44"/>
        <v>Safe</v>
      </c>
    </row>
    <row r="157" spans="1:30" hidden="1">
      <c r="A157" s="48" t="str">
        <f>TEXT(Table2[[#This Row],[MB END]],"mmmm")</f>
        <v>October</v>
      </c>
      <c r="B157" s="48" t="str">
        <f>TEXT(Table2[[#This Row],[MB END]],"yyyy")</f>
        <v>2018</v>
      </c>
      <c r="C157" s="117" t="s">
        <v>277</v>
      </c>
      <c r="D157" s="1" t="s">
        <v>136</v>
      </c>
      <c r="E157" s="2">
        <v>41920</v>
      </c>
      <c r="F157" s="28">
        <v>43380</v>
      </c>
      <c r="G157" s="1" t="s">
        <v>273</v>
      </c>
      <c r="H157" s="1" t="s">
        <v>278</v>
      </c>
      <c r="I157" s="5">
        <v>50000</v>
      </c>
      <c r="J157" s="5">
        <v>21700.61</v>
      </c>
      <c r="K157" s="19">
        <f t="shared" si="30"/>
        <v>0.43401220000000001</v>
      </c>
      <c r="L157" s="16">
        <f t="shared" si="31"/>
        <v>47.966666666666669</v>
      </c>
      <c r="M157" s="19">
        <f t="shared" si="32"/>
        <v>2.0847810979847115E-2</v>
      </c>
      <c r="N157" s="16">
        <f t="shared" ca="1" si="33"/>
        <v>38.200000000000003</v>
      </c>
      <c r="O157" s="19">
        <f t="shared" ca="1" si="34"/>
        <v>1.1361575916230365E-2</v>
      </c>
      <c r="P157" t="str">
        <f t="shared" ca="1" si="35"/>
        <v>Desired Burn Rate</v>
      </c>
      <c r="Q157" s="16">
        <f t="shared" ca="1" si="36"/>
        <v>88.015958998387617</v>
      </c>
      <c r="R157" s="14">
        <f t="shared" ca="1" si="37"/>
        <v>44600</v>
      </c>
      <c r="S157" t="str">
        <f ca="1">TEXT(Table2[[#This Row],[Projected Limit Date]],"mmmm")</f>
        <v>February</v>
      </c>
      <c r="T157">
        <f t="shared" ca="1" si="38"/>
        <v>2022</v>
      </c>
      <c r="U157" t="s">
        <v>563</v>
      </c>
      <c r="V157" t="s">
        <v>657</v>
      </c>
      <c r="W157" t="str">
        <f t="shared" si="39"/>
        <v>Options</v>
      </c>
      <c r="X157" s="110" t="s">
        <v>811</v>
      </c>
      <c r="Y157" s="110"/>
      <c r="Z157" t="str">
        <f t="shared" ca="1" si="40"/>
        <v>Expiring &gt; 6 Months</v>
      </c>
      <c r="AA157">
        <f t="shared" ca="1" si="41"/>
        <v>0</v>
      </c>
      <c r="AB157">
        <f t="shared" ca="1" si="42"/>
        <v>0</v>
      </c>
      <c r="AC157">
        <f t="shared" ca="1" si="43"/>
        <v>0</v>
      </c>
      <c r="AD157" t="str">
        <f t="shared" si="44"/>
        <v>Safe</v>
      </c>
    </row>
    <row r="158" spans="1:30" hidden="1">
      <c r="A158" s="48" t="str">
        <f>TEXT(Table2[[#This Row],[MB END]],"mmmm")</f>
        <v>October</v>
      </c>
      <c r="B158" s="48" t="str">
        <f>TEXT(Table2[[#This Row],[MB END]],"yyyy")</f>
        <v>2018</v>
      </c>
      <c r="C158" s="117" t="s">
        <v>271</v>
      </c>
      <c r="D158" s="1" t="s">
        <v>7</v>
      </c>
      <c r="E158" s="2">
        <v>41944</v>
      </c>
      <c r="F158" s="28">
        <v>43404</v>
      </c>
      <c r="G158" s="1" t="s">
        <v>270</v>
      </c>
      <c r="H158" s="1" t="s">
        <v>258</v>
      </c>
      <c r="I158" s="5">
        <v>140100</v>
      </c>
      <c r="J158" s="5">
        <v>67656.72</v>
      </c>
      <c r="K158" s="19">
        <f t="shared" si="30"/>
        <v>0.48291734475374731</v>
      </c>
      <c r="L158" s="16">
        <f t="shared" si="31"/>
        <v>48</v>
      </c>
      <c r="M158" s="19">
        <f t="shared" si="32"/>
        <v>2.0833333333333332E-2</v>
      </c>
      <c r="N158" s="16">
        <f t="shared" ca="1" si="33"/>
        <v>37.43333333333333</v>
      </c>
      <c r="O158" s="19">
        <f t="shared" ca="1" si="34"/>
        <v>1.2900730492085861E-2</v>
      </c>
      <c r="P158" t="str">
        <f t="shared" ca="1" si="35"/>
        <v>Desired Burn Rate</v>
      </c>
      <c r="Q158" s="16">
        <f t="shared" ca="1" si="36"/>
        <v>77.514990380852041</v>
      </c>
      <c r="R158" s="14">
        <f t="shared" ca="1" si="37"/>
        <v>44287</v>
      </c>
      <c r="S158" t="str">
        <f ca="1">TEXT(Table2[[#This Row],[Projected Limit Date]],"mmmm")</f>
        <v>April</v>
      </c>
      <c r="T158">
        <f t="shared" ca="1" si="38"/>
        <v>2021</v>
      </c>
      <c r="U158" t="s">
        <v>562</v>
      </c>
      <c r="V158" t="s">
        <v>569</v>
      </c>
      <c r="W158" t="str">
        <f t="shared" si="39"/>
        <v>Options</v>
      </c>
      <c r="Z158" t="str">
        <f t="shared" ca="1" si="40"/>
        <v>Expiring &gt; 6 Months</v>
      </c>
      <c r="AA158">
        <f t="shared" ca="1" si="41"/>
        <v>0</v>
      </c>
      <c r="AB158">
        <f t="shared" ca="1" si="42"/>
        <v>0</v>
      </c>
      <c r="AC158">
        <f t="shared" ca="1" si="43"/>
        <v>0</v>
      </c>
      <c r="AD158" t="str">
        <f t="shared" si="44"/>
        <v>Safe</v>
      </c>
    </row>
    <row r="159" spans="1:30" hidden="1">
      <c r="A159" s="48" t="str">
        <f>TEXT(Table2[[#This Row],[MB END]],"mmmm")</f>
        <v>October</v>
      </c>
      <c r="B159" s="48" t="str">
        <f>TEXT(Table2[[#This Row],[MB END]],"yyyy")</f>
        <v>2018</v>
      </c>
      <c r="C159" s="117" t="s">
        <v>269</v>
      </c>
      <c r="D159" s="1" t="s">
        <v>7</v>
      </c>
      <c r="E159" s="2">
        <v>41944</v>
      </c>
      <c r="F159" s="28">
        <v>43404</v>
      </c>
      <c r="G159" s="1" t="s">
        <v>270</v>
      </c>
      <c r="H159" s="1" t="s">
        <v>92</v>
      </c>
      <c r="I159" s="5">
        <v>159900</v>
      </c>
      <c r="J159" s="5">
        <v>80914.58</v>
      </c>
      <c r="K159" s="19">
        <f t="shared" si="30"/>
        <v>0.50603239524702937</v>
      </c>
      <c r="L159" s="16">
        <f t="shared" si="31"/>
        <v>48</v>
      </c>
      <c r="M159" s="19">
        <f t="shared" si="32"/>
        <v>2.0833333333333332E-2</v>
      </c>
      <c r="N159" s="16">
        <f t="shared" ca="1" si="33"/>
        <v>37.43333333333333</v>
      </c>
      <c r="O159" s="19">
        <f t="shared" ca="1" si="34"/>
        <v>1.3518229614791525E-2</v>
      </c>
      <c r="P159" t="str">
        <f t="shared" ca="1" si="35"/>
        <v>Desired Burn Rate</v>
      </c>
      <c r="Q159" s="16">
        <f t="shared" ca="1" si="36"/>
        <v>73.97418363909199</v>
      </c>
      <c r="R159" s="14">
        <f t="shared" ca="1" si="37"/>
        <v>44166</v>
      </c>
      <c r="S159" t="str">
        <f ca="1">TEXT(Table2[[#This Row],[Projected Limit Date]],"mmmm")</f>
        <v>December</v>
      </c>
      <c r="T159">
        <f t="shared" ca="1" si="38"/>
        <v>2021</v>
      </c>
      <c r="U159" t="s">
        <v>562</v>
      </c>
      <c r="V159" t="s">
        <v>565</v>
      </c>
      <c r="W159" t="str">
        <f t="shared" si="39"/>
        <v>No options</v>
      </c>
      <c r="Z159" t="str">
        <f t="shared" ca="1" si="40"/>
        <v>Expiring &gt; 6 Months</v>
      </c>
      <c r="AA159">
        <f t="shared" ca="1" si="41"/>
        <v>0</v>
      </c>
      <c r="AB159">
        <f t="shared" ca="1" si="42"/>
        <v>0</v>
      </c>
      <c r="AC159">
        <f t="shared" ca="1" si="43"/>
        <v>0</v>
      </c>
      <c r="AD159" t="str">
        <f t="shared" si="44"/>
        <v>Safe</v>
      </c>
    </row>
    <row r="160" spans="1:30" hidden="1">
      <c r="A160" s="48" t="str">
        <f>TEXT(Table2[[#This Row],[MB END]],"mmmm")</f>
        <v>October</v>
      </c>
      <c r="B160" s="48" t="str">
        <f>TEXT(Table2[[#This Row],[MB END]],"yyyy")</f>
        <v>2018</v>
      </c>
      <c r="C160" s="117" t="s">
        <v>57</v>
      </c>
      <c r="D160" s="1" t="s">
        <v>58</v>
      </c>
      <c r="E160" s="2">
        <v>40848</v>
      </c>
      <c r="F160" s="28">
        <v>43404</v>
      </c>
      <c r="G160" s="1" t="s">
        <v>59</v>
      </c>
      <c r="H160" s="1" t="s">
        <v>60</v>
      </c>
      <c r="I160" s="5">
        <v>350000</v>
      </c>
      <c r="J160" s="5">
        <v>0</v>
      </c>
      <c r="K160" s="19">
        <f t="shared" si="30"/>
        <v>0</v>
      </c>
      <c r="L160" s="16">
        <f t="shared" si="31"/>
        <v>84</v>
      </c>
      <c r="M160" s="19">
        <f t="shared" si="32"/>
        <v>1.1904761904761906E-2</v>
      </c>
      <c r="N160" s="16">
        <f t="shared" ca="1" si="33"/>
        <v>73.433333333333337</v>
      </c>
      <c r="O160" s="19">
        <f t="shared" ca="1" si="34"/>
        <v>0</v>
      </c>
      <c r="P160" t="str">
        <f t="shared" ca="1" si="35"/>
        <v>Desired Burn Rate</v>
      </c>
      <c r="Q160" s="16" t="e">
        <f t="shared" ca="1" si="36"/>
        <v>#DIV/0!</v>
      </c>
      <c r="R160" s="14" t="e">
        <f t="shared" ca="1" si="37"/>
        <v>#DIV/0!</v>
      </c>
      <c r="S160" t="e">
        <f ca="1">TEXT(Table2[[#This Row],[Projected Limit Date]],"mmmm")</f>
        <v>#DIV/0!</v>
      </c>
      <c r="T160" t="e">
        <f t="shared" ca="1" si="38"/>
        <v>#DIV/0!</v>
      </c>
      <c r="U160" t="s">
        <v>562</v>
      </c>
      <c r="V160" t="s">
        <v>779</v>
      </c>
      <c r="W160" t="str">
        <f t="shared" si="39"/>
        <v>Options</v>
      </c>
      <c r="X160" t="s">
        <v>783</v>
      </c>
      <c r="Z160" t="str">
        <f t="shared" ca="1" si="40"/>
        <v>Expiring &gt; 6 Months</v>
      </c>
      <c r="AA160">
        <f t="shared" ca="1" si="41"/>
        <v>0</v>
      </c>
      <c r="AB160">
        <f t="shared" ca="1" si="42"/>
        <v>0</v>
      </c>
      <c r="AC160">
        <f t="shared" ca="1" si="43"/>
        <v>0</v>
      </c>
      <c r="AD160" t="str">
        <f t="shared" si="44"/>
        <v>Safe</v>
      </c>
    </row>
    <row r="161" spans="1:30" hidden="1">
      <c r="A161" s="48" t="str">
        <f>TEXT(Table2[[#This Row],[MB END]],"mmmm")</f>
        <v>October</v>
      </c>
      <c r="B161" s="48" t="str">
        <f>TEXT(Table2[[#This Row],[MB END]],"yyyy")</f>
        <v>2018</v>
      </c>
      <c r="C161" s="117" t="s">
        <v>61</v>
      </c>
      <c r="D161" s="1" t="s">
        <v>58</v>
      </c>
      <c r="E161" s="2">
        <v>40848</v>
      </c>
      <c r="F161" s="28">
        <v>43404</v>
      </c>
      <c r="G161" s="1" t="s">
        <v>59</v>
      </c>
      <c r="H161" s="1" t="s">
        <v>62</v>
      </c>
      <c r="I161" s="5">
        <v>3650000</v>
      </c>
      <c r="J161" s="5">
        <v>2798277.87</v>
      </c>
      <c r="K161" s="19">
        <f t="shared" si="30"/>
        <v>0.76665147123287669</v>
      </c>
      <c r="L161" s="16">
        <f t="shared" si="31"/>
        <v>84</v>
      </c>
      <c r="M161" s="19">
        <f t="shared" si="32"/>
        <v>1.1904761904761906E-2</v>
      </c>
      <c r="N161" s="16">
        <f t="shared" ca="1" si="33"/>
        <v>73.433333333333337</v>
      </c>
      <c r="O161" s="19">
        <f t="shared" ca="1" si="34"/>
        <v>1.0440101741709623E-2</v>
      </c>
      <c r="P161" t="str">
        <f t="shared" ca="1" si="35"/>
        <v>Desired Burn Rate</v>
      </c>
      <c r="Q161" s="16">
        <f t="shared" ca="1" si="36"/>
        <v>95.784507157134712</v>
      </c>
      <c r="R161" s="14">
        <f t="shared" ca="1" si="37"/>
        <v>43739</v>
      </c>
      <c r="S161" t="str">
        <f ca="1">TEXT(Table2[[#This Row],[Projected Limit Date]],"mmmm")</f>
        <v>October</v>
      </c>
      <c r="T161">
        <f t="shared" ca="1" si="38"/>
        <v>2020</v>
      </c>
      <c r="U161" t="s">
        <v>562</v>
      </c>
      <c r="V161" t="s">
        <v>779</v>
      </c>
      <c r="W161" t="str">
        <f t="shared" si="39"/>
        <v>Options</v>
      </c>
      <c r="X161" t="s">
        <v>783</v>
      </c>
      <c r="Z161" t="str">
        <f t="shared" ca="1" si="40"/>
        <v>Expiring &gt; 6 Months</v>
      </c>
      <c r="AA161">
        <f t="shared" ca="1" si="41"/>
        <v>0</v>
      </c>
      <c r="AB161">
        <f t="shared" ca="1" si="42"/>
        <v>0</v>
      </c>
      <c r="AC161">
        <f t="shared" ca="1" si="43"/>
        <v>0</v>
      </c>
      <c r="AD161" t="str">
        <f t="shared" si="44"/>
        <v>Reaching Spending Limit</v>
      </c>
    </row>
    <row r="162" spans="1:30" hidden="1">
      <c r="A162" s="48" t="str">
        <f>TEXT(Table2[[#This Row],[MB END]],"mmmm")</f>
        <v>October</v>
      </c>
      <c r="B162" s="48" t="str">
        <f>TEXT(Table2[[#This Row],[MB END]],"yyyy")</f>
        <v>2018</v>
      </c>
      <c r="C162" s="116" t="s">
        <v>692</v>
      </c>
      <c r="D162" s="27" t="s">
        <v>3</v>
      </c>
      <c r="E162" s="28">
        <v>42309</v>
      </c>
      <c r="F162" s="28">
        <v>43404</v>
      </c>
      <c r="G162" s="27" t="s">
        <v>693</v>
      </c>
      <c r="H162" s="27" t="s">
        <v>694</v>
      </c>
      <c r="I162" s="5">
        <v>300000</v>
      </c>
      <c r="J162" s="5">
        <v>101059.43</v>
      </c>
      <c r="K162" s="29">
        <f t="shared" si="30"/>
        <v>0.33686476666666665</v>
      </c>
      <c r="L162" s="23">
        <f t="shared" si="31"/>
        <v>36</v>
      </c>
      <c r="M162" s="30">
        <f t="shared" si="32"/>
        <v>2.777777777777778E-2</v>
      </c>
      <c r="N162" s="24">
        <f t="shared" ca="1" si="33"/>
        <v>25.433333333333334</v>
      </c>
      <c r="O162" s="30">
        <f t="shared" ca="1" si="34"/>
        <v>1.3245010484927915E-2</v>
      </c>
      <c r="P162" s="26" t="str">
        <f t="shared" ca="1" si="35"/>
        <v>Desired Burn Rate</v>
      </c>
      <c r="Q162" s="24">
        <f t="shared" ca="1" si="36"/>
        <v>75.50012898351001</v>
      </c>
      <c r="R162" s="25">
        <f t="shared" ca="1" si="37"/>
        <v>44593</v>
      </c>
      <c r="S162" s="26" t="str">
        <f ca="1">TEXT(Table2[[#This Row],[Projected Limit Date]],"mmmm")</f>
        <v>February</v>
      </c>
      <c r="T162" s="26">
        <f t="shared" ca="1" si="38"/>
        <v>2022</v>
      </c>
      <c r="U162" s="31" t="s">
        <v>562</v>
      </c>
      <c r="V162" s="31" t="s">
        <v>573</v>
      </c>
      <c r="W162" s="32" t="str">
        <f t="shared" si="39"/>
        <v>Options</v>
      </c>
      <c r="X162" s="31"/>
      <c r="Y162" s="31"/>
      <c r="Z162" t="str">
        <f t="shared" ca="1" si="40"/>
        <v>Expiring &gt; 6 Months</v>
      </c>
      <c r="AA162">
        <f t="shared" ca="1" si="41"/>
        <v>0</v>
      </c>
      <c r="AB162">
        <f t="shared" ca="1" si="42"/>
        <v>0</v>
      </c>
      <c r="AC162">
        <f t="shared" ca="1" si="43"/>
        <v>0</v>
      </c>
      <c r="AD162" t="str">
        <f t="shared" si="44"/>
        <v>Safe</v>
      </c>
    </row>
    <row r="163" spans="1:30" hidden="1">
      <c r="A163" s="48" t="str">
        <f>TEXT(Table2[[#This Row],[MB END]],"mmmm")</f>
        <v>November</v>
      </c>
      <c r="B163" s="48" t="str">
        <f>TEXT(Table2[[#This Row],[MB END]],"yyyy")</f>
        <v>2018</v>
      </c>
      <c r="C163" s="117" t="s">
        <v>444</v>
      </c>
      <c r="D163" s="1" t="s">
        <v>349</v>
      </c>
      <c r="E163" s="2">
        <v>42676</v>
      </c>
      <c r="F163" s="28">
        <v>43405</v>
      </c>
      <c r="G163" s="1" t="s">
        <v>445</v>
      </c>
      <c r="H163" s="1" t="s">
        <v>446</v>
      </c>
      <c r="I163" s="5">
        <v>80000</v>
      </c>
      <c r="J163" s="5">
        <v>37088</v>
      </c>
      <c r="K163" s="19">
        <f t="shared" si="30"/>
        <v>0.46360000000000001</v>
      </c>
      <c r="L163" s="16">
        <f t="shared" si="31"/>
        <v>23.966666666666665</v>
      </c>
      <c r="M163" s="19">
        <f t="shared" si="32"/>
        <v>4.1724617524339362E-2</v>
      </c>
      <c r="N163" s="16">
        <f t="shared" ca="1" si="33"/>
        <v>13.4</v>
      </c>
      <c r="O163" s="19">
        <f t="shared" ca="1" si="34"/>
        <v>3.4597014925373135E-2</v>
      </c>
      <c r="P163" t="str">
        <f t="shared" ca="1" si="35"/>
        <v>Desired Burn Rate</v>
      </c>
      <c r="Q163" s="16">
        <f t="shared" ca="1" si="36"/>
        <v>28.904227782571184</v>
      </c>
      <c r="R163" s="14">
        <f t="shared" ca="1" si="37"/>
        <v>43526</v>
      </c>
      <c r="S163" t="str">
        <f ca="1">TEXT(Table2[[#This Row],[Projected Limit Date]],"mmmm")</f>
        <v>March</v>
      </c>
      <c r="T163">
        <f t="shared" ca="1" si="38"/>
        <v>2019</v>
      </c>
      <c r="U163" t="s">
        <v>563</v>
      </c>
      <c r="V163" t="s">
        <v>604</v>
      </c>
      <c r="W163" t="str">
        <f t="shared" si="39"/>
        <v>Options</v>
      </c>
      <c r="X163" s="110" t="s">
        <v>817</v>
      </c>
      <c r="Y163" s="110"/>
      <c r="Z163" t="str">
        <f t="shared" ca="1" si="40"/>
        <v>Expiring &gt; 6 Months</v>
      </c>
      <c r="AA163">
        <f t="shared" ca="1" si="41"/>
        <v>0</v>
      </c>
      <c r="AB163">
        <f t="shared" ca="1" si="42"/>
        <v>0</v>
      </c>
      <c r="AC163">
        <f t="shared" ca="1" si="43"/>
        <v>0</v>
      </c>
      <c r="AD163" t="str">
        <f t="shared" si="44"/>
        <v>Safe</v>
      </c>
    </row>
    <row r="164" spans="1:30" hidden="1">
      <c r="A164" s="48" t="str">
        <f>TEXT(Table2[[#This Row],[MB END]],"mmmm")</f>
        <v>November</v>
      </c>
      <c r="B164" s="48" t="str">
        <f>TEXT(Table2[[#This Row],[MB END]],"yyyy")</f>
        <v>2018</v>
      </c>
      <c r="C164" s="117" t="s">
        <v>2</v>
      </c>
      <c r="D164" s="1" t="s">
        <v>3</v>
      </c>
      <c r="E164" s="2">
        <v>40391</v>
      </c>
      <c r="F164" s="28">
        <v>43434</v>
      </c>
      <c r="G164" s="1" t="s">
        <v>4</v>
      </c>
      <c r="H164" s="1" t="s">
        <v>5</v>
      </c>
      <c r="I164" s="5">
        <v>3782000</v>
      </c>
      <c r="J164" s="5">
        <v>3538730.66</v>
      </c>
      <c r="K164" s="19">
        <f t="shared" si="30"/>
        <v>0.93567706504494985</v>
      </c>
      <c r="L164" s="16">
        <f t="shared" si="31"/>
        <v>99.966666666666669</v>
      </c>
      <c r="M164" s="19">
        <f t="shared" si="32"/>
        <v>1.0003334444814937E-2</v>
      </c>
      <c r="N164" s="16">
        <f t="shared" ca="1" si="33"/>
        <v>88.433333333333337</v>
      </c>
      <c r="O164" s="19">
        <f t="shared" ca="1" si="34"/>
        <v>1.0580592518412551E-2</v>
      </c>
      <c r="P164" t="str">
        <f t="shared" ca="1" si="35"/>
        <v>High Burn Rate</v>
      </c>
      <c r="Q164" s="16">
        <f t="shared" ca="1" si="36"/>
        <v>94.512665359693315</v>
      </c>
      <c r="R164" s="14">
        <f t="shared" ca="1" si="37"/>
        <v>43252</v>
      </c>
      <c r="S164" t="str">
        <f ca="1">TEXT(Table2[[#This Row],[Projected Limit Date]],"mmmm")</f>
        <v>June</v>
      </c>
      <c r="T164">
        <f t="shared" ca="1" si="38"/>
        <v>2018</v>
      </c>
      <c r="U164" t="s">
        <v>562</v>
      </c>
      <c r="V164" t="s">
        <v>565</v>
      </c>
      <c r="W164" t="str">
        <f t="shared" si="39"/>
        <v>No options</v>
      </c>
      <c r="X164" t="s">
        <v>859</v>
      </c>
      <c r="Z164" t="str">
        <f t="shared" ca="1" si="40"/>
        <v>Expiring &gt; 6 Months</v>
      </c>
      <c r="AA164">
        <f t="shared" ca="1" si="41"/>
        <v>0</v>
      </c>
      <c r="AB164">
        <f t="shared" ca="1" si="42"/>
        <v>0</v>
      </c>
      <c r="AC164">
        <f t="shared" ca="1" si="43"/>
        <v>0</v>
      </c>
      <c r="AD164" t="str">
        <f t="shared" si="44"/>
        <v>Reaching Spending Limit</v>
      </c>
    </row>
    <row r="165" spans="1:30" hidden="1">
      <c r="A165" s="48" t="str">
        <f>TEXT(Table2[[#This Row],[MB END]],"mmmm")</f>
        <v>November</v>
      </c>
      <c r="B165" s="48" t="str">
        <f>TEXT(Table2[[#This Row],[MB END]],"yyyy")</f>
        <v>2018</v>
      </c>
      <c r="C165" s="117" t="s">
        <v>6</v>
      </c>
      <c r="D165" s="1" t="s">
        <v>7</v>
      </c>
      <c r="E165" s="2">
        <v>40391</v>
      </c>
      <c r="F165" s="28">
        <v>43434</v>
      </c>
      <c r="G165" s="1" t="s">
        <v>4</v>
      </c>
      <c r="H165" s="1" t="s">
        <v>8</v>
      </c>
      <c r="I165" s="5">
        <v>666000</v>
      </c>
      <c r="J165" s="5">
        <v>610132.51</v>
      </c>
      <c r="K165" s="19">
        <f t="shared" si="30"/>
        <v>0.91611487987987994</v>
      </c>
      <c r="L165" s="16">
        <f t="shared" si="31"/>
        <v>99.966666666666669</v>
      </c>
      <c r="M165" s="19">
        <f t="shared" si="32"/>
        <v>1.0003334444814937E-2</v>
      </c>
      <c r="N165" s="16">
        <f t="shared" ca="1" si="33"/>
        <v>88.433333333333337</v>
      </c>
      <c r="O165" s="19">
        <f t="shared" ca="1" si="34"/>
        <v>1.0359384242893477E-2</v>
      </c>
      <c r="P165" t="str">
        <f t="shared" ca="1" si="35"/>
        <v>High Burn Rate</v>
      </c>
      <c r="Q165" s="16">
        <f t="shared" ca="1" si="36"/>
        <v>96.530833933107417</v>
      </c>
      <c r="R165" s="14">
        <f t="shared" ca="1" si="37"/>
        <v>43313</v>
      </c>
      <c r="S165" t="str">
        <f ca="1">TEXT(Table2[[#This Row],[Projected Limit Date]],"mmmm")</f>
        <v>August</v>
      </c>
      <c r="T165">
        <f t="shared" ca="1" si="38"/>
        <v>2019</v>
      </c>
      <c r="U165" t="s">
        <v>562</v>
      </c>
      <c r="V165" t="s">
        <v>565</v>
      </c>
      <c r="W165" t="str">
        <f t="shared" si="39"/>
        <v>No options</v>
      </c>
      <c r="X165" t="s">
        <v>859</v>
      </c>
      <c r="Z165" t="str">
        <f t="shared" ca="1" si="40"/>
        <v>Expiring &gt; 6 Months</v>
      </c>
      <c r="AA165">
        <f t="shared" ca="1" si="41"/>
        <v>0</v>
      </c>
      <c r="AB165">
        <f t="shared" ca="1" si="42"/>
        <v>0</v>
      </c>
      <c r="AC165">
        <f t="shared" ca="1" si="43"/>
        <v>0</v>
      </c>
      <c r="AD165" t="str">
        <f t="shared" si="44"/>
        <v>Reaching Spending Limit</v>
      </c>
    </row>
    <row r="166" spans="1:30" hidden="1">
      <c r="A166" s="48" t="str">
        <f>TEXT(Table2[[#This Row],[MB END]],"mmmm")</f>
        <v>November</v>
      </c>
      <c r="B166" s="48" t="str">
        <f>TEXT(Table2[[#This Row],[MB END]],"yyyy")</f>
        <v>2018</v>
      </c>
      <c r="C166" s="117" t="s">
        <v>9</v>
      </c>
      <c r="D166" s="1" t="s">
        <v>7</v>
      </c>
      <c r="E166" s="2">
        <v>40391</v>
      </c>
      <c r="F166" s="28">
        <v>43434</v>
      </c>
      <c r="G166" s="1" t="s">
        <v>4</v>
      </c>
      <c r="H166" s="1" t="s">
        <v>10</v>
      </c>
      <c r="I166" s="5">
        <v>1899000</v>
      </c>
      <c r="J166" s="5">
        <v>1505733.64</v>
      </c>
      <c r="K166" s="19">
        <f t="shared" si="30"/>
        <v>0.79290870984728801</v>
      </c>
      <c r="L166" s="16">
        <f t="shared" si="31"/>
        <v>99.966666666666669</v>
      </c>
      <c r="M166" s="19">
        <f t="shared" si="32"/>
        <v>1.0003334444814937E-2</v>
      </c>
      <c r="N166" s="16">
        <f t="shared" ca="1" si="33"/>
        <v>88.433333333333337</v>
      </c>
      <c r="O166" s="19">
        <f t="shared" ca="1" si="34"/>
        <v>8.9661746307646596E-3</v>
      </c>
      <c r="P166" t="str">
        <f t="shared" ca="1" si="35"/>
        <v>Desired Burn Rate</v>
      </c>
      <c r="Q166" s="16">
        <f t="shared" ca="1" si="36"/>
        <v>111.53028366956057</v>
      </c>
      <c r="R166" s="14">
        <f t="shared" ca="1" si="37"/>
        <v>43770</v>
      </c>
      <c r="S166" t="str">
        <f ca="1">TEXT(Table2[[#This Row],[Projected Limit Date]],"mmmm")</f>
        <v>November</v>
      </c>
      <c r="T166">
        <f t="shared" ca="1" si="38"/>
        <v>2020</v>
      </c>
      <c r="U166" t="s">
        <v>562</v>
      </c>
      <c r="V166" t="s">
        <v>565</v>
      </c>
      <c r="W166" t="str">
        <f t="shared" si="39"/>
        <v>No options</v>
      </c>
      <c r="X166" t="s">
        <v>859</v>
      </c>
      <c r="Z166" t="str">
        <f t="shared" ca="1" si="40"/>
        <v>Expiring &gt; 6 Months</v>
      </c>
      <c r="AA166">
        <f t="shared" ca="1" si="41"/>
        <v>0</v>
      </c>
      <c r="AB166">
        <f t="shared" ca="1" si="42"/>
        <v>0</v>
      </c>
      <c r="AC166">
        <f t="shared" ca="1" si="43"/>
        <v>0</v>
      </c>
      <c r="AD166" t="str">
        <f t="shared" si="44"/>
        <v>Reaching Spending Limit</v>
      </c>
    </row>
    <row r="167" spans="1:30" hidden="1">
      <c r="A167" s="48" t="str">
        <f>TEXT(Table2[[#This Row],[MB END]],"mmmm")</f>
        <v>November</v>
      </c>
      <c r="B167" s="48" t="str">
        <f>TEXT(Table2[[#This Row],[MB END]],"yyyy")</f>
        <v>2018</v>
      </c>
      <c r="C167" s="117" t="s">
        <v>11</v>
      </c>
      <c r="D167" s="1" t="s">
        <v>7</v>
      </c>
      <c r="E167" s="2">
        <v>40391</v>
      </c>
      <c r="F167" s="28">
        <v>43434</v>
      </c>
      <c r="G167" s="1" t="s">
        <v>4</v>
      </c>
      <c r="H167" s="1" t="s">
        <v>12</v>
      </c>
      <c r="I167" s="5">
        <v>35000</v>
      </c>
      <c r="J167" s="5">
        <v>14717.26</v>
      </c>
      <c r="K167" s="19">
        <f t="shared" si="30"/>
        <v>0.42049314285714284</v>
      </c>
      <c r="L167" s="16">
        <f t="shared" si="31"/>
        <v>99.966666666666669</v>
      </c>
      <c r="M167" s="19">
        <f t="shared" si="32"/>
        <v>1.0003334444814937E-2</v>
      </c>
      <c r="N167" s="16">
        <f t="shared" ca="1" si="33"/>
        <v>88.433333333333337</v>
      </c>
      <c r="O167" s="19">
        <f t="shared" ca="1" si="34"/>
        <v>4.7549168057724415E-3</v>
      </c>
      <c r="P167" t="str">
        <f t="shared" ca="1" si="35"/>
        <v>Desired Burn Rate</v>
      </c>
      <c r="Q167" s="16">
        <f t="shared" ca="1" si="36"/>
        <v>210.30862175885093</v>
      </c>
      <c r="R167" s="14">
        <f t="shared" ca="1" si="37"/>
        <v>46784</v>
      </c>
      <c r="S167" t="str">
        <f ca="1">TEXT(Table2[[#This Row],[Projected Limit Date]],"mmmm")</f>
        <v>February</v>
      </c>
      <c r="T167">
        <f t="shared" ca="1" si="38"/>
        <v>2028</v>
      </c>
      <c r="U167" t="s">
        <v>562</v>
      </c>
      <c r="V167" t="s">
        <v>565</v>
      </c>
      <c r="W167" t="str">
        <f t="shared" si="39"/>
        <v>No options</v>
      </c>
      <c r="X167" t="s">
        <v>859</v>
      </c>
      <c r="Z167" t="str">
        <f t="shared" ca="1" si="40"/>
        <v>Expiring &gt; 6 Months</v>
      </c>
      <c r="AA167">
        <f t="shared" ca="1" si="41"/>
        <v>0</v>
      </c>
      <c r="AB167">
        <f t="shared" ca="1" si="42"/>
        <v>0</v>
      </c>
      <c r="AC167">
        <f t="shared" ca="1" si="43"/>
        <v>0</v>
      </c>
      <c r="AD167" t="str">
        <f t="shared" si="44"/>
        <v>Safe</v>
      </c>
    </row>
    <row r="168" spans="1:30" hidden="1">
      <c r="A168" s="48" t="str">
        <f>TEXT(Table2[[#This Row],[MB END]],"mmmm")</f>
        <v>November</v>
      </c>
      <c r="B168" s="48" t="str">
        <f>TEXT(Table2[[#This Row],[MB END]],"yyyy")</f>
        <v>2018</v>
      </c>
      <c r="C168" s="117" t="s">
        <v>13</v>
      </c>
      <c r="D168" s="1" t="s">
        <v>7</v>
      </c>
      <c r="E168" s="2">
        <v>40391</v>
      </c>
      <c r="F168" s="28">
        <v>43434</v>
      </c>
      <c r="G168" s="1" t="s">
        <v>4</v>
      </c>
      <c r="H168" s="1" t="s">
        <v>14</v>
      </c>
      <c r="I168" s="5">
        <v>353000</v>
      </c>
      <c r="J168" s="5">
        <v>249519.72</v>
      </c>
      <c r="K168" s="19">
        <f t="shared" si="30"/>
        <v>0.70685473087818695</v>
      </c>
      <c r="L168" s="16">
        <f t="shared" si="31"/>
        <v>99.966666666666669</v>
      </c>
      <c r="M168" s="19">
        <f t="shared" si="32"/>
        <v>1.0003334444814939E-2</v>
      </c>
      <c r="N168" s="16">
        <f t="shared" ca="1" si="33"/>
        <v>88.433333333333337</v>
      </c>
      <c r="O168" s="19">
        <f t="shared" ca="1" si="34"/>
        <v>7.9930802587054681E-3</v>
      </c>
      <c r="P168" t="str">
        <f t="shared" ca="1" si="35"/>
        <v>Desired Burn Rate</v>
      </c>
      <c r="Q168" s="16">
        <f t="shared" ca="1" si="36"/>
        <v>125.10821455982185</v>
      </c>
      <c r="R168" s="14">
        <f t="shared" ca="1" si="37"/>
        <v>44197</v>
      </c>
      <c r="S168" t="str">
        <f ca="1">TEXT(Table2[[#This Row],[Projected Limit Date]],"mmmm")</f>
        <v>January</v>
      </c>
      <c r="T168">
        <f t="shared" ca="1" si="38"/>
        <v>2021</v>
      </c>
      <c r="U168" t="s">
        <v>562</v>
      </c>
      <c r="V168" t="s">
        <v>565</v>
      </c>
      <c r="W168" t="str">
        <f t="shared" si="39"/>
        <v>No options</v>
      </c>
      <c r="X168" t="s">
        <v>859</v>
      </c>
      <c r="Z168" t="str">
        <f t="shared" ca="1" si="40"/>
        <v>Expiring &gt; 6 Months</v>
      </c>
      <c r="AA168">
        <f t="shared" ca="1" si="41"/>
        <v>0</v>
      </c>
      <c r="AB168">
        <f t="shared" ca="1" si="42"/>
        <v>0</v>
      </c>
      <c r="AC168">
        <f t="shared" ca="1" si="43"/>
        <v>0</v>
      </c>
      <c r="AD168" t="str">
        <f t="shared" si="44"/>
        <v>Safe</v>
      </c>
    </row>
    <row r="169" spans="1:30" hidden="1">
      <c r="A169" s="48" t="str">
        <f>TEXT(Table2[[#This Row],[MB END]],"mmmm")</f>
        <v>November</v>
      </c>
      <c r="B169" s="48" t="str">
        <f>TEXT(Table2[[#This Row],[MB END]],"yyyy")</f>
        <v>2018</v>
      </c>
      <c r="C169" s="117" t="s">
        <v>15</v>
      </c>
      <c r="D169" s="1" t="s">
        <v>7</v>
      </c>
      <c r="E169" s="2">
        <v>40391</v>
      </c>
      <c r="F169" s="28">
        <v>43434</v>
      </c>
      <c r="G169" s="1" t="s">
        <v>4</v>
      </c>
      <c r="H169" s="1" t="s">
        <v>16</v>
      </c>
      <c r="I169" s="5">
        <v>211000</v>
      </c>
      <c r="J169" s="5">
        <v>126725.54</v>
      </c>
      <c r="K169" s="19">
        <f t="shared" si="30"/>
        <v>0.60059497630331748</v>
      </c>
      <c r="L169" s="16">
        <f t="shared" si="31"/>
        <v>99.966666666666669</v>
      </c>
      <c r="M169" s="19">
        <f t="shared" si="32"/>
        <v>1.0003334444814937E-2</v>
      </c>
      <c r="N169" s="16">
        <f t="shared" ca="1" si="33"/>
        <v>88.433333333333337</v>
      </c>
      <c r="O169" s="19">
        <f t="shared" ca="1" si="34"/>
        <v>6.7914999205049096E-3</v>
      </c>
      <c r="P169" t="str">
        <f t="shared" ca="1" si="35"/>
        <v>Desired Burn Rate</v>
      </c>
      <c r="Q169" s="16">
        <f t="shared" ca="1" si="36"/>
        <v>147.24287884930956</v>
      </c>
      <c r="R169" s="14">
        <f t="shared" ca="1" si="37"/>
        <v>44866</v>
      </c>
      <c r="S169" t="str">
        <f ca="1">TEXT(Table2[[#This Row],[Projected Limit Date]],"mmmm")</f>
        <v>November</v>
      </c>
      <c r="T169">
        <f t="shared" ca="1" si="38"/>
        <v>2023</v>
      </c>
      <c r="U169" t="s">
        <v>562</v>
      </c>
      <c r="V169" t="s">
        <v>565</v>
      </c>
      <c r="W169" t="str">
        <f t="shared" si="39"/>
        <v>No options</v>
      </c>
      <c r="X169" t="s">
        <v>859</v>
      </c>
      <c r="Z169" t="str">
        <f t="shared" ca="1" si="40"/>
        <v>Expiring &gt; 6 Months</v>
      </c>
      <c r="AA169">
        <f t="shared" ca="1" si="41"/>
        <v>0</v>
      </c>
      <c r="AB169">
        <f t="shared" ca="1" si="42"/>
        <v>0</v>
      </c>
      <c r="AC169">
        <f t="shared" ca="1" si="43"/>
        <v>0</v>
      </c>
      <c r="AD169" t="str">
        <f t="shared" si="44"/>
        <v>Safe</v>
      </c>
    </row>
    <row r="170" spans="1:30" hidden="1">
      <c r="A170" s="48" t="str">
        <f>TEXT(Table2[[#This Row],[MB END]],"mmmm")</f>
        <v>November</v>
      </c>
      <c r="B170" s="48" t="str">
        <f>TEXT(Table2[[#This Row],[MB END]],"yyyy")</f>
        <v>2018</v>
      </c>
      <c r="C170" s="117" t="s">
        <v>17</v>
      </c>
      <c r="D170" s="1" t="s">
        <v>7</v>
      </c>
      <c r="E170" s="2">
        <v>40391</v>
      </c>
      <c r="F170" s="28">
        <v>43434</v>
      </c>
      <c r="G170" s="1" t="s">
        <v>4</v>
      </c>
      <c r="H170" s="1" t="s">
        <v>18</v>
      </c>
      <c r="I170" s="5">
        <v>700000</v>
      </c>
      <c r="J170" s="5">
        <v>553321.32999999996</v>
      </c>
      <c r="K170" s="19">
        <f t="shared" si="30"/>
        <v>0.79045904285714275</v>
      </c>
      <c r="L170" s="16">
        <f t="shared" si="31"/>
        <v>99.966666666666669</v>
      </c>
      <c r="M170" s="19">
        <f t="shared" si="32"/>
        <v>1.0003334444814937E-2</v>
      </c>
      <c r="N170" s="16">
        <f t="shared" ca="1" si="33"/>
        <v>88.433333333333337</v>
      </c>
      <c r="O170" s="19">
        <f t="shared" ca="1" si="34"/>
        <v>8.938473910936405E-3</v>
      </c>
      <c r="P170" t="str">
        <f t="shared" ca="1" si="35"/>
        <v>Desired Burn Rate</v>
      </c>
      <c r="Q170" s="16">
        <f t="shared" ca="1" si="36"/>
        <v>111.875920874645</v>
      </c>
      <c r="R170" s="14">
        <f t="shared" ca="1" si="37"/>
        <v>43770</v>
      </c>
      <c r="S170" t="str">
        <f ca="1">TEXT(Table2[[#This Row],[Projected Limit Date]],"mmmm")</f>
        <v>November</v>
      </c>
      <c r="T170">
        <f t="shared" ca="1" si="38"/>
        <v>2020</v>
      </c>
      <c r="U170" t="s">
        <v>562</v>
      </c>
      <c r="V170" t="s">
        <v>565</v>
      </c>
      <c r="W170" t="str">
        <f t="shared" si="39"/>
        <v>No options</v>
      </c>
      <c r="X170" t="s">
        <v>859</v>
      </c>
      <c r="Z170" t="str">
        <f t="shared" ca="1" si="40"/>
        <v>Expiring &gt; 6 Months</v>
      </c>
      <c r="AA170">
        <f t="shared" ca="1" si="41"/>
        <v>0</v>
      </c>
      <c r="AB170">
        <f t="shared" ca="1" si="42"/>
        <v>0</v>
      </c>
      <c r="AC170">
        <f t="shared" ca="1" si="43"/>
        <v>0</v>
      </c>
      <c r="AD170" t="str">
        <f t="shared" si="44"/>
        <v>Reaching Spending Limit</v>
      </c>
    </row>
    <row r="171" spans="1:30" hidden="1">
      <c r="A171" s="48" t="str">
        <f>TEXT(Table2[[#This Row],[MB END]],"mmmm")</f>
        <v>November</v>
      </c>
      <c r="B171" s="48" t="str">
        <f>TEXT(Table2[[#This Row],[MB END]],"yyyy")</f>
        <v>2018</v>
      </c>
      <c r="C171" s="117" t="s">
        <v>19</v>
      </c>
      <c r="D171" s="1" t="s">
        <v>7</v>
      </c>
      <c r="E171" s="2">
        <v>40391</v>
      </c>
      <c r="F171" s="28">
        <v>43434</v>
      </c>
      <c r="G171" s="1" t="s">
        <v>4</v>
      </c>
      <c r="H171" s="1" t="s">
        <v>20</v>
      </c>
      <c r="I171" s="5">
        <v>166000</v>
      </c>
      <c r="J171" s="5">
        <v>136051.85</v>
      </c>
      <c r="K171" s="19">
        <f t="shared" si="30"/>
        <v>0.81958945783132531</v>
      </c>
      <c r="L171" s="16">
        <f t="shared" si="31"/>
        <v>99.966666666666669</v>
      </c>
      <c r="M171" s="19">
        <f t="shared" si="32"/>
        <v>1.0003334444814937E-2</v>
      </c>
      <c r="N171" s="16">
        <f t="shared" ca="1" si="33"/>
        <v>88.433333333333337</v>
      </c>
      <c r="O171" s="19">
        <f t="shared" ca="1" si="34"/>
        <v>9.2678792819222613E-3</v>
      </c>
      <c r="P171" t="str">
        <f t="shared" ca="1" si="35"/>
        <v>Desired Burn Rate</v>
      </c>
      <c r="Q171" s="16">
        <f t="shared" ca="1" si="36"/>
        <v>107.89954957123577</v>
      </c>
      <c r="R171" s="14">
        <f t="shared" ca="1" si="37"/>
        <v>43647</v>
      </c>
      <c r="S171" t="str">
        <f ca="1">TEXT(Table2[[#This Row],[Projected Limit Date]],"mmmm")</f>
        <v>July</v>
      </c>
      <c r="T171">
        <f t="shared" ca="1" si="38"/>
        <v>2020</v>
      </c>
      <c r="U171" t="s">
        <v>562</v>
      </c>
      <c r="V171" t="s">
        <v>565</v>
      </c>
      <c r="W171" t="str">
        <f t="shared" si="39"/>
        <v>No options</v>
      </c>
      <c r="X171" t="s">
        <v>859</v>
      </c>
      <c r="Z171" t="str">
        <f t="shared" ca="1" si="40"/>
        <v>Expiring &gt; 6 Months</v>
      </c>
      <c r="AA171">
        <f t="shared" ca="1" si="41"/>
        <v>0</v>
      </c>
      <c r="AB171">
        <f t="shared" ca="1" si="42"/>
        <v>0</v>
      </c>
      <c r="AC171">
        <f t="shared" ca="1" si="43"/>
        <v>0</v>
      </c>
      <c r="AD171" t="str">
        <f t="shared" si="44"/>
        <v>Reaching Spending Limit</v>
      </c>
    </row>
    <row r="172" spans="1:30" hidden="1">
      <c r="A172" s="48" t="str">
        <f>TEXT(Table2[[#This Row],[MB END]],"mmmm")</f>
        <v>November</v>
      </c>
      <c r="B172" s="48" t="str">
        <f>TEXT(Table2[[#This Row],[MB END]],"yyyy")</f>
        <v>2018</v>
      </c>
      <c r="C172" s="117" t="s">
        <v>21</v>
      </c>
      <c r="D172" s="1" t="s">
        <v>7</v>
      </c>
      <c r="E172" s="2">
        <v>40391</v>
      </c>
      <c r="F172" s="28">
        <v>43434</v>
      </c>
      <c r="G172" s="1" t="s">
        <v>4</v>
      </c>
      <c r="H172" s="1" t="s">
        <v>22</v>
      </c>
      <c r="I172" s="5">
        <v>4000</v>
      </c>
      <c r="J172" s="5">
        <v>895.37</v>
      </c>
      <c r="K172" s="19">
        <f t="shared" si="30"/>
        <v>0.2238425</v>
      </c>
      <c r="L172" s="16">
        <f t="shared" si="31"/>
        <v>99.966666666666669</v>
      </c>
      <c r="M172" s="19">
        <f t="shared" si="32"/>
        <v>1.0003334444814937E-2</v>
      </c>
      <c r="N172" s="16">
        <f t="shared" ca="1" si="33"/>
        <v>88.433333333333337</v>
      </c>
      <c r="O172" s="19">
        <f t="shared" ca="1" si="34"/>
        <v>2.5312005277044855E-3</v>
      </c>
      <c r="P172" t="str">
        <f t="shared" ca="1" si="35"/>
        <v>Desired Burn Rate</v>
      </c>
      <c r="Q172" s="16">
        <f t="shared" ca="1" si="36"/>
        <v>395.06944987360902</v>
      </c>
      <c r="R172" s="14">
        <f t="shared" ca="1" si="37"/>
        <v>52413</v>
      </c>
      <c r="S172" t="str">
        <f ca="1">TEXT(Table2[[#This Row],[Projected Limit Date]],"mmmm")</f>
        <v>July</v>
      </c>
      <c r="T172">
        <f t="shared" ca="1" si="38"/>
        <v>2044</v>
      </c>
      <c r="U172" t="s">
        <v>562</v>
      </c>
      <c r="V172" t="s">
        <v>565</v>
      </c>
      <c r="W172" t="str">
        <f t="shared" si="39"/>
        <v>No options</v>
      </c>
      <c r="X172" t="s">
        <v>859</v>
      </c>
      <c r="Z172" t="str">
        <f t="shared" ca="1" si="40"/>
        <v>Expiring &gt; 6 Months</v>
      </c>
      <c r="AA172">
        <f t="shared" ca="1" si="41"/>
        <v>0</v>
      </c>
      <c r="AB172">
        <f t="shared" ca="1" si="42"/>
        <v>0</v>
      </c>
      <c r="AC172">
        <f t="shared" ca="1" si="43"/>
        <v>0</v>
      </c>
      <c r="AD172" t="str">
        <f t="shared" si="44"/>
        <v>Safe</v>
      </c>
    </row>
    <row r="173" spans="1:30" hidden="1">
      <c r="A173" s="48" t="str">
        <f>TEXT(Table2[[#This Row],[MB END]],"mmmm")</f>
        <v>November</v>
      </c>
      <c r="B173" s="48" t="str">
        <f>TEXT(Table2[[#This Row],[MB END]],"yyyy")</f>
        <v>2018</v>
      </c>
      <c r="C173" s="116" t="s">
        <v>648</v>
      </c>
      <c r="D173" s="27" t="s">
        <v>649</v>
      </c>
      <c r="E173" s="28">
        <v>42339</v>
      </c>
      <c r="F173" s="28">
        <v>43434</v>
      </c>
      <c r="G173" s="27" t="s">
        <v>650</v>
      </c>
      <c r="H173" s="27" t="s">
        <v>651</v>
      </c>
      <c r="I173" s="5">
        <v>860000</v>
      </c>
      <c r="J173" s="5">
        <v>578110.1</v>
      </c>
      <c r="K173" s="29">
        <f t="shared" si="30"/>
        <v>0.67222104651162784</v>
      </c>
      <c r="L173" s="23">
        <f t="shared" si="31"/>
        <v>35.966666666666669</v>
      </c>
      <c r="M173" s="30">
        <f t="shared" si="32"/>
        <v>2.780352177942539E-2</v>
      </c>
      <c r="N173" s="24">
        <f t="shared" ca="1" si="33"/>
        <v>24.433333333333334</v>
      </c>
      <c r="O173" s="30">
        <f t="shared" ca="1" si="34"/>
        <v>2.7512457565278085E-2</v>
      </c>
      <c r="P173" s="26" t="str">
        <f t="shared" ca="1" si="35"/>
        <v>Desired Burn Rate</v>
      </c>
      <c r="Q173" s="24">
        <f t="shared" ca="1" si="36"/>
        <v>36.347171008890292</v>
      </c>
      <c r="R173" s="25">
        <f t="shared" ca="1" si="37"/>
        <v>43435</v>
      </c>
      <c r="S173" s="26" t="str">
        <f ca="1">TEXT(Table2[[#This Row],[Projected Limit Date]],"mmmm")</f>
        <v>December</v>
      </c>
      <c r="T173" s="26">
        <f t="shared" ca="1" si="38"/>
        <v>2019</v>
      </c>
      <c r="U173" s="31" t="s">
        <v>563</v>
      </c>
      <c r="V173" s="31" t="s">
        <v>565</v>
      </c>
      <c r="W173" s="32" t="str">
        <f t="shared" si="39"/>
        <v>No options</v>
      </c>
      <c r="X173" s="35" t="s">
        <v>816</v>
      </c>
      <c r="Y173" s="35"/>
      <c r="Z173" t="str">
        <f t="shared" ca="1" si="40"/>
        <v>Expiring &gt; 6 Months</v>
      </c>
      <c r="AA173">
        <f t="shared" ca="1" si="41"/>
        <v>0</v>
      </c>
      <c r="AB173">
        <f t="shared" ca="1" si="42"/>
        <v>0</v>
      </c>
      <c r="AC173">
        <f t="shared" ca="1" si="43"/>
        <v>0</v>
      </c>
      <c r="AD173" t="str">
        <f t="shared" si="44"/>
        <v>Safe</v>
      </c>
    </row>
    <row r="174" spans="1:30" hidden="1">
      <c r="A174" s="48" t="str">
        <f>TEXT(Table2[[#This Row],[MB END]],"mmmm")</f>
        <v>November</v>
      </c>
      <c r="B174" s="48" t="str">
        <f>TEXT(Table2[[#This Row],[MB END]],"yyyy")</f>
        <v>2018</v>
      </c>
      <c r="C174" s="117" t="s">
        <v>157</v>
      </c>
      <c r="D174" s="1" t="s">
        <v>7</v>
      </c>
      <c r="E174" s="2">
        <v>41609</v>
      </c>
      <c r="F174" s="28">
        <v>43434</v>
      </c>
      <c r="G174" s="1" t="s">
        <v>158</v>
      </c>
      <c r="H174" s="1" t="s">
        <v>159</v>
      </c>
      <c r="I174" s="5">
        <v>300000</v>
      </c>
      <c r="J174" s="5">
        <v>38846.639999999999</v>
      </c>
      <c r="K174" s="19">
        <f t="shared" si="30"/>
        <v>0.12948879999999999</v>
      </c>
      <c r="L174" s="16">
        <f t="shared" si="31"/>
        <v>59.966666666666669</v>
      </c>
      <c r="M174" s="19">
        <f t="shared" si="32"/>
        <v>1.6675931072818232E-2</v>
      </c>
      <c r="N174" s="16">
        <f t="shared" ca="1" si="33"/>
        <v>48.43333333333333</v>
      </c>
      <c r="O174" s="19">
        <f t="shared" ca="1" si="34"/>
        <v>2.6735471438403308E-3</v>
      </c>
      <c r="P174" t="str">
        <f t="shared" ca="1" si="35"/>
        <v>Desired Burn Rate</v>
      </c>
      <c r="Q174" s="16">
        <f t="shared" ca="1" si="36"/>
        <v>374.03492296888481</v>
      </c>
      <c r="R174" s="14">
        <f t="shared" ca="1" si="37"/>
        <v>52994</v>
      </c>
      <c r="S174" t="str">
        <f ca="1">TEXT(Table2[[#This Row],[Projected Limit Date]],"mmmm")</f>
        <v>February</v>
      </c>
      <c r="T174">
        <f t="shared" ca="1" si="38"/>
        <v>2045</v>
      </c>
      <c r="U174" t="s">
        <v>562</v>
      </c>
      <c r="V174" t="s">
        <v>569</v>
      </c>
      <c r="W174" t="str">
        <f t="shared" si="39"/>
        <v>Options</v>
      </c>
      <c r="X174" s="110" t="s">
        <v>855</v>
      </c>
      <c r="Y174" s="110"/>
      <c r="Z174" t="str">
        <f t="shared" ca="1" si="40"/>
        <v>Expiring &gt; 6 Months</v>
      </c>
      <c r="AA174">
        <f t="shared" ca="1" si="41"/>
        <v>0</v>
      </c>
      <c r="AB174">
        <f t="shared" ca="1" si="42"/>
        <v>0</v>
      </c>
      <c r="AC174">
        <f t="shared" ca="1" si="43"/>
        <v>0</v>
      </c>
      <c r="AD174" t="str">
        <f t="shared" si="44"/>
        <v>Safe</v>
      </c>
    </row>
    <row r="175" spans="1:30" hidden="1">
      <c r="A175" s="48" t="str">
        <f>TEXT(Table2[[#This Row],[MB END]],"mmmm")</f>
        <v>November</v>
      </c>
      <c r="B175" s="48" t="str">
        <f>TEXT(Table2[[#This Row],[MB END]],"yyyy")</f>
        <v>2018</v>
      </c>
      <c r="C175" s="117" t="s">
        <v>252</v>
      </c>
      <c r="D175" s="1" t="s">
        <v>7</v>
      </c>
      <c r="E175" s="2">
        <v>41974</v>
      </c>
      <c r="F175" s="28">
        <v>43434</v>
      </c>
      <c r="G175" s="1" t="s">
        <v>253</v>
      </c>
      <c r="H175" s="1" t="s">
        <v>254</v>
      </c>
      <c r="I175" s="5">
        <v>20000</v>
      </c>
      <c r="J175" s="5">
        <v>1074.5999999999999</v>
      </c>
      <c r="K175" s="19">
        <f t="shared" si="30"/>
        <v>5.3729999999999993E-2</v>
      </c>
      <c r="L175" s="16">
        <f t="shared" si="31"/>
        <v>47.966666666666669</v>
      </c>
      <c r="M175" s="19">
        <f t="shared" si="32"/>
        <v>2.0847810979847118E-2</v>
      </c>
      <c r="N175" s="16">
        <f t="shared" ca="1" si="33"/>
        <v>36.43333333333333</v>
      </c>
      <c r="O175" s="19">
        <f t="shared" ca="1" si="34"/>
        <v>1.4747483989021044E-3</v>
      </c>
      <c r="P175" t="str">
        <f t="shared" ca="1" si="35"/>
        <v>Desired Burn Rate</v>
      </c>
      <c r="Q175" s="16">
        <f t="shared" ca="1" si="36"/>
        <v>678.08176685898627</v>
      </c>
      <c r="R175" s="14">
        <f t="shared" ca="1" si="37"/>
        <v>62610</v>
      </c>
      <c r="S175" t="str">
        <f ca="1">TEXT(Table2[[#This Row],[Projected Limit Date]],"mmmm")</f>
        <v>June</v>
      </c>
      <c r="T175">
        <f t="shared" ca="1" si="38"/>
        <v>2071</v>
      </c>
      <c r="U175" t="s">
        <v>562</v>
      </c>
      <c r="V175" t="s">
        <v>569</v>
      </c>
      <c r="W175" t="str">
        <f t="shared" si="39"/>
        <v>Options</v>
      </c>
      <c r="X175" s="110" t="s">
        <v>856</v>
      </c>
      <c r="Y175" s="110"/>
      <c r="Z175" t="str">
        <f t="shared" ca="1" si="40"/>
        <v>Expiring &gt; 6 Months</v>
      </c>
      <c r="AA175">
        <f t="shared" ca="1" si="41"/>
        <v>0</v>
      </c>
      <c r="AB175">
        <f t="shared" ca="1" si="42"/>
        <v>0</v>
      </c>
      <c r="AC175">
        <f t="shared" ca="1" si="43"/>
        <v>0</v>
      </c>
      <c r="AD175" t="str">
        <f t="shared" si="44"/>
        <v>Safe</v>
      </c>
    </row>
    <row r="176" spans="1:30" hidden="1">
      <c r="A176" s="48" t="str">
        <f>TEXT(Table2[[#This Row],[MB END]],"mmmm")</f>
        <v>November</v>
      </c>
      <c r="B176" s="48" t="str">
        <f>TEXT(Table2[[#This Row],[MB END]],"yyyy")</f>
        <v>2018</v>
      </c>
      <c r="C176" s="117" t="s">
        <v>255</v>
      </c>
      <c r="D176" s="1" t="s">
        <v>7</v>
      </c>
      <c r="E176" s="2">
        <v>41974</v>
      </c>
      <c r="F176" s="28">
        <v>43434</v>
      </c>
      <c r="G176" s="1" t="s">
        <v>253</v>
      </c>
      <c r="H176" s="1" t="s">
        <v>122</v>
      </c>
      <c r="I176" s="5">
        <v>80000</v>
      </c>
      <c r="J176" s="5">
        <v>23239.38</v>
      </c>
      <c r="K176" s="19">
        <f t="shared" si="30"/>
        <v>0.29049225000000001</v>
      </c>
      <c r="L176" s="16">
        <f t="shared" si="31"/>
        <v>47.966666666666669</v>
      </c>
      <c r="M176" s="19">
        <f t="shared" si="32"/>
        <v>2.0847810979847118E-2</v>
      </c>
      <c r="N176" s="16">
        <f t="shared" ca="1" si="33"/>
        <v>36.43333333333333</v>
      </c>
      <c r="O176" s="19">
        <f t="shared" ca="1" si="34"/>
        <v>7.9732548032936876E-3</v>
      </c>
      <c r="P176" t="str">
        <f t="shared" ca="1" si="35"/>
        <v>Desired Burn Rate</v>
      </c>
      <c r="Q176" s="16">
        <f t="shared" ca="1" si="36"/>
        <v>125.41929546600066</v>
      </c>
      <c r="R176" s="14">
        <f t="shared" ca="1" si="37"/>
        <v>45778</v>
      </c>
      <c r="S176" t="str">
        <f ca="1">TEXT(Table2[[#This Row],[Projected Limit Date]],"mmmm")</f>
        <v>May</v>
      </c>
      <c r="T176">
        <f t="shared" ca="1" si="38"/>
        <v>2025</v>
      </c>
      <c r="U176" t="s">
        <v>562</v>
      </c>
      <c r="V176" t="s">
        <v>569</v>
      </c>
      <c r="W176" t="str">
        <f t="shared" si="39"/>
        <v>Options</v>
      </c>
      <c r="X176" s="110" t="s">
        <v>856</v>
      </c>
      <c r="Y176" s="110"/>
      <c r="Z176" t="str">
        <f t="shared" ca="1" si="40"/>
        <v>Expiring &gt; 6 Months</v>
      </c>
      <c r="AA176">
        <f t="shared" ca="1" si="41"/>
        <v>0</v>
      </c>
      <c r="AB176">
        <f t="shared" ca="1" si="42"/>
        <v>0</v>
      </c>
      <c r="AC176">
        <f t="shared" ca="1" si="43"/>
        <v>0</v>
      </c>
      <c r="AD176" t="str">
        <f t="shared" si="44"/>
        <v>Safe</v>
      </c>
    </row>
    <row r="177" spans="1:30" hidden="1">
      <c r="A177" s="48" t="str">
        <f>TEXT(Table2[[#This Row],[MB END]],"mmmm")</f>
        <v>November</v>
      </c>
      <c r="B177" s="48" t="str">
        <f>TEXT(Table2[[#This Row],[MB END]],"yyyy")</f>
        <v>2018</v>
      </c>
      <c r="C177" s="117" t="s">
        <v>282</v>
      </c>
      <c r="D177" s="1" t="s">
        <v>24</v>
      </c>
      <c r="E177" s="2">
        <v>41974</v>
      </c>
      <c r="F177" s="28">
        <v>43434</v>
      </c>
      <c r="G177" s="1" t="s">
        <v>283</v>
      </c>
      <c r="H177" s="1" t="s">
        <v>36</v>
      </c>
      <c r="I177" s="5">
        <v>2750000</v>
      </c>
      <c r="J177" s="5">
        <v>1115614.22</v>
      </c>
      <c r="K177" s="19">
        <f t="shared" si="30"/>
        <v>0.40567789818181815</v>
      </c>
      <c r="L177" s="16">
        <f t="shared" si="31"/>
        <v>47.966666666666669</v>
      </c>
      <c r="M177" s="19">
        <f t="shared" si="32"/>
        <v>2.0847810979847118E-2</v>
      </c>
      <c r="N177" s="16">
        <f t="shared" ca="1" si="33"/>
        <v>36.43333333333333</v>
      </c>
      <c r="O177" s="19">
        <f t="shared" ca="1" si="34"/>
        <v>1.1134800499043499E-2</v>
      </c>
      <c r="P177" t="str">
        <f t="shared" ca="1" si="35"/>
        <v>Desired Burn Rate</v>
      </c>
      <c r="Q177" s="16">
        <f t="shared" ca="1" si="36"/>
        <v>89.808524192768587</v>
      </c>
      <c r="R177" s="14">
        <f t="shared" ca="1" si="37"/>
        <v>44682</v>
      </c>
      <c r="S177" t="str">
        <f ca="1">TEXT(Table2[[#This Row],[Projected Limit Date]],"mmmm")</f>
        <v>May</v>
      </c>
      <c r="T177">
        <f t="shared" ca="1" si="38"/>
        <v>2022</v>
      </c>
      <c r="U177" t="s">
        <v>562</v>
      </c>
      <c r="V177" t="s">
        <v>569</v>
      </c>
      <c r="W177" t="str">
        <f t="shared" si="39"/>
        <v>Options</v>
      </c>
      <c r="X177" s="110"/>
      <c r="Y177" s="110"/>
      <c r="Z177" t="str">
        <f t="shared" ca="1" si="40"/>
        <v>Expiring &gt; 6 Months</v>
      </c>
      <c r="AA177">
        <f t="shared" ca="1" si="41"/>
        <v>0</v>
      </c>
      <c r="AB177">
        <f t="shared" ca="1" si="42"/>
        <v>0</v>
      </c>
      <c r="AC177">
        <f t="shared" ca="1" si="43"/>
        <v>0</v>
      </c>
      <c r="AD177" t="str">
        <f t="shared" si="44"/>
        <v>Safe</v>
      </c>
    </row>
    <row r="178" spans="1:30" hidden="1">
      <c r="A178" s="48" t="str">
        <f>TEXT(Table2[[#This Row],[MB END]],"mmmm")</f>
        <v>November</v>
      </c>
      <c r="B178" s="48" t="str">
        <f>TEXT(Table2[[#This Row],[MB END]],"yyyy")</f>
        <v>2018</v>
      </c>
      <c r="C178" s="117" t="s">
        <v>284</v>
      </c>
      <c r="D178" s="1" t="s">
        <v>24</v>
      </c>
      <c r="E178" s="2">
        <v>41974</v>
      </c>
      <c r="F178" s="28">
        <v>43434</v>
      </c>
      <c r="G178" s="1" t="s">
        <v>283</v>
      </c>
      <c r="H178" s="1" t="s">
        <v>258</v>
      </c>
      <c r="I178" s="5">
        <v>250000</v>
      </c>
      <c r="J178" s="5">
        <v>81122.649999999994</v>
      </c>
      <c r="K178" s="19">
        <f t="shared" si="30"/>
        <v>0.32449059999999996</v>
      </c>
      <c r="L178" s="16">
        <f t="shared" si="31"/>
        <v>47.966666666666669</v>
      </c>
      <c r="M178" s="19">
        <f t="shared" si="32"/>
        <v>2.0847810979847115E-2</v>
      </c>
      <c r="N178" s="16">
        <f t="shared" ca="1" si="33"/>
        <v>36.43333333333333</v>
      </c>
      <c r="O178" s="19">
        <f t="shared" ca="1" si="34"/>
        <v>8.9064208600182996E-3</v>
      </c>
      <c r="P178" t="str">
        <f t="shared" ca="1" si="35"/>
        <v>Desired Burn Rate</v>
      </c>
      <c r="Q178" s="16">
        <f t="shared" ca="1" si="36"/>
        <v>112.27854777097805</v>
      </c>
      <c r="R178" s="14">
        <f t="shared" ca="1" si="37"/>
        <v>45383</v>
      </c>
      <c r="S178" t="str">
        <f ca="1">TEXT(Table2[[#This Row],[Projected Limit Date]],"mmmm")</f>
        <v>April</v>
      </c>
      <c r="T178">
        <f t="shared" ca="1" si="38"/>
        <v>2024</v>
      </c>
      <c r="U178" t="s">
        <v>562</v>
      </c>
      <c r="V178" t="s">
        <v>569</v>
      </c>
      <c r="W178" t="str">
        <f t="shared" si="39"/>
        <v>Options</v>
      </c>
      <c r="Z178" t="str">
        <f t="shared" ca="1" si="40"/>
        <v>Expiring &gt; 6 Months</v>
      </c>
      <c r="AA178">
        <f t="shared" ca="1" si="41"/>
        <v>0</v>
      </c>
      <c r="AB178">
        <f t="shared" ca="1" si="42"/>
        <v>0</v>
      </c>
      <c r="AC178">
        <f t="shared" ca="1" si="43"/>
        <v>0</v>
      </c>
      <c r="AD178" t="str">
        <f t="shared" si="44"/>
        <v>Safe</v>
      </c>
    </row>
    <row r="179" spans="1:30" hidden="1">
      <c r="A179" s="48" t="str">
        <f>TEXT(Table2[[#This Row],[MB END]],"mmmm")</f>
        <v>November</v>
      </c>
      <c r="B179" s="48" t="str">
        <f>TEXT(Table2[[#This Row],[MB END]],"yyyy")</f>
        <v>2018</v>
      </c>
      <c r="C179" s="117" t="s">
        <v>285</v>
      </c>
      <c r="D179" s="1" t="s">
        <v>7</v>
      </c>
      <c r="E179" s="2">
        <v>41974</v>
      </c>
      <c r="F179" s="28">
        <v>43434</v>
      </c>
      <c r="G179" s="1" t="s">
        <v>286</v>
      </c>
      <c r="H179" s="1" t="s">
        <v>287</v>
      </c>
      <c r="I179" s="5">
        <v>425000</v>
      </c>
      <c r="J179" s="5">
        <v>202756.93</v>
      </c>
      <c r="K179" s="19">
        <f t="shared" si="30"/>
        <v>0.47707512941176466</v>
      </c>
      <c r="L179" s="16">
        <f t="shared" si="31"/>
        <v>47.966666666666669</v>
      </c>
      <c r="M179" s="19">
        <f t="shared" si="32"/>
        <v>2.0847810979847115E-2</v>
      </c>
      <c r="N179" s="16">
        <f t="shared" ca="1" si="33"/>
        <v>36.43333333333333</v>
      </c>
      <c r="O179" s="19">
        <f t="shared" ca="1" si="34"/>
        <v>1.3094468327861796E-2</v>
      </c>
      <c r="P179" t="str">
        <f t="shared" ca="1" si="35"/>
        <v>Desired Burn Rate</v>
      </c>
      <c r="Q179" s="16">
        <f t="shared" ca="1" si="36"/>
        <v>76.368125452810247</v>
      </c>
      <c r="R179" s="14">
        <f t="shared" ca="1" si="37"/>
        <v>44287</v>
      </c>
      <c r="S179" t="str">
        <f ca="1">TEXT(Table2[[#This Row],[Projected Limit Date]],"mmmm")</f>
        <v>April</v>
      </c>
      <c r="T179">
        <f t="shared" ca="1" si="38"/>
        <v>2021</v>
      </c>
      <c r="U179" t="s">
        <v>562</v>
      </c>
      <c r="V179" t="s">
        <v>569</v>
      </c>
      <c r="W179" t="str">
        <f t="shared" si="39"/>
        <v>Options</v>
      </c>
      <c r="X179" t="s">
        <v>857</v>
      </c>
      <c r="Z179" t="str">
        <f t="shared" ca="1" si="40"/>
        <v>Expiring &gt; 6 Months</v>
      </c>
      <c r="AA179">
        <f t="shared" ca="1" si="41"/>
        <v>0</v>
      </c>
      <c r="AB179">
        <f t="shared" ca="1" si="42"/>
        <v>0</v>
      </c>
      <c r="AC179">
        <f t="shared" ca="1" si="43"/>
        <v>0</v>
      </c>
      <c r="AD179" t="str">
        <f t="shared" si="44"/>
        <v>Safe</v>
      </c>
    </row>
    <row r="180" spans="1:30" hidden="1">
      <c r="A180" s="48" t="str">
        <f>TEXT(Table2[[#This Row],[MB END]],"mmmm")</f>
        <v>November</v>
      </c>
      <c r="B180" s="48" t="str">
        <f>TEXT(Table2[[#This Row],[MB END]],"yyyy")</f>
        <v>2018</v>
      </c>
      <c r="C180" s="117" t="s">
        <v>358</v>
      </c>
      <c r="D180" s="1" t="s">
        <v>24</v>
      </c>
      <c r="E180" s="2">
        <v>42339</v>
      </c>
      <c r="F180" s="28">
        <v>43434</v>
      </c>
      <c r="G180" s="1" t="s">
        <v>359</v>
      </c>
      <c r="H180" s="1" t="s">
        <v>360</v>
      </c>
      <c r="I180" s="5">
        <v>25000</v>
      </c>
      <c r="J180" s="5">
        <v>1949.99</v>
      </c>
      <c r="K180" s="19">
        <f t="shared" si="30"/>
        <v>7.7999600000000002E-2</v>
      </c>
      <c r="L180" s="16">
        <f t="shared" si="31"/>
        <v>35.966666666666669</v>
      </c>
      <c r="M180" s="19">
        <f t="shared" si="32"/>
        <v>2.780352177942539E-2</v>
      </c>
      <c r="N180" s="16">
        <f t="shared" ca="1" si="33"/>
        <v>24.433333333333334</v>
      </c>
      <c r="O180" s="19">
        <f t="shared" ca="1" si="34"/>
        <v>3.192343792633015E-3</v>
      </c>
      <c r="P180" t="str">
        <f t="shared" ca="1" si="35"/>
        <v>Desired Burn Rate</v>
      </c>
      <c r="Q180" s="16">
        <f t="shared" ca="1" si="36"/>
        <v>313.24946965539993</v>
      </c>
      <c r="R180" s="14">
        <f t="shared" ca="1" si="37"/>
        <v>51867</v>
      </c>
      <c r="S180" t="str">
        <f ca="1">TEXT(Table2[[#This Row],[Projected Limit Date]],"mmmm")</f>
        <v>January</v>
      </c>
      <c r="T180">
        <f t="shared" ca="1" si="38"/>
        <v>2042</v>
      </c>
      <c r="U180" t="s">
        <v>562</v>
      </c>
      <c r="V180" t="s">
        <v>724</v>
      </c>
      <c r="W180" t="str">
        <f t="shared" si="39"/>
        <v>Options</v>
      </c>
      <c r="Z180" t="str">
        <f t="shared" ca="1" si="40"/>
        <v>Expiring &gt; 6 Months</v>
      </c>
      <c r="AA180">
        <f t="shared" ca="1" si="41"/>
        <v>0</v>
      </c>
      <c r="AB180">
        <f t="shared" ca="1" si="42"/>
        <v>0</v>
      </c>
      <c r="AC180">
        <f t="shared" ca="1" si="43"/>
        <v>0</v>
      </c>
      <c r="AD180" t="str">
        <f t="shared" si="44"/>
        <v>Safe</v>
      </c>
    </row>
    <row r="181" spans="1:30" hidden="1">
      <c r="A181" s="48" t="str">
        <f>TEXT(Table2[[#This Row],[MB END]],"mmmm")</f>
        <v>November</v>
      </c>
      <c r="B181" s="48" t="str">
        <f>TEXT(Table2[[#This Row],[MB END]],"yyyy")</f>
        <v>2018</v>
      </c>
      <c r="C181" s="117" t="s">
        <v>361</v>
      </c>
      <c r="D181" s="1" t="s">
        <v>24</v>
      </c>
      <c r="E181" s="2">
        <v>42339</v>
      </c>
      <c r="F181" s="28">
        <v>43434</v>
      </c>
      <c r="G181" s="1" t="s">
        <v>359</v>
      </c>
      <c r="H181" s="1" t="s">
        <v>88</v>
      </c>
      <c r="I181" s="5">
        <v>10000</v>
      </c>
      <c r="J181" s="5">
        <v>0</v>
      </c>
      <c r="K181" s="19">
        <f t="shared" si="30"/>
        <v>0</v>
      </c>
      <c r="L181" s="16">
        <f t="shared" si="31"/>
        <v>35.966666666666669</v>
      </c>
      <c r="M181" s="19">
        <f t="shared" si="32"/>
        <v>2.7803521779425393E-2</v>
      </c>
      <c r="N181" s="16">
        <f t="shared" ca="1" si="33"/>
        <v>24.433333333333334</v>
      </c>
      <c r="O181" s="19">
        <f t="shared" ca="1" si="34"/>
        <v>0</v>
      </c>
      <c r="P181" t="str">
        <f t="shared" ca="1" si="35"/>
        <v>Desired Burn Rate</v>
      </c>
      <c r="Q181" s="16" t="e">
        <f t="shared" ca="1" si="36"/>
        <v>#DIV/0!</v>
      </c>
      <c r="R181" s="14" t="e">
        <f t="shared" ca="1" si="37"/>
        <v>#DIV/0!</v>
      </c>
      <c r="S181" t="e">
        <f ca="1">TEXT(Table2[[#This Row],[Projected Limit Date]],"mmmm")</f>
        <v>#DIV/0!</v>
      </c>
      <c r="T181" t="e">
        <f t="shared" ca="1" si="38"/>
        <v>#DIV/0!</v>
      </c>
      <c r="U181" t="s">
        <v>562</v>
      </c>
      <c r="V181" t="s">
        <v>724</v>
      </c>
      <c r="W181" t="str">
        <f t="shared" si="39"/>
        <v>Options</v>
      </c>
      <c r="Z181" t="str">
        <f t="shared" ca="1" si="40"/>
        <v>Expiring &gt; 6 Months</v>
      </c>
      <c r="AA181">
        <f t="shared" ca="1" si="41"/>
        <v>0</v>
      </c>
      <c r="AB181">
        <f t="shared" ca="1" si="42"/>
        <v>0</v>
      </c>
      <c r="AC181">
        <f t="shared" ca="1" si="43"/>
        <v>0</v>
      </c>
      <c r="AD181" t="str">
        <f t="shared" si="44"/>
        <v>Safe</v>
      </c>
    </row>
    <row r="182" spans="1:30" hidden="1">
      <c r="A182" s="48" t="str">
        <f>TEXT(Table2[[#This Row],[MB END]],"mmmm")</f>
        <v>December</v>
      </c>
      <c r="B182" s="48" t="str">
        <f>TEXT(Table2[[#This Row],[MB END]],"yyyy")</f>
        <v>2018</v>
      </c>
      <c r="C182" s="116" t="s">
        <v>695</v>
      </c>
      <c r="D182" s="27" t="s">
        <v>349</v>
      </c>
      <c r="E182" s="28">
        <v>42354</v>
      </c>
      <c r="F182" s="28">
        <v>43449</v>
      </c>
      <c r="G182" s="27" t="s">
        <v>696</v>
      </c>
      <c r="H182" s="27" t="s">
        <v>697</v>
      </c>
      <c r="I182" s="5">
        <v>1800000</v>
      </c>
      <c r="J182" s="5">
        <v>1032857.6</v>
      </c>
      <c r="K182" s="29">
        <f t="shared" si="30"/>
        <v>0.57380977777777775</v>
      </c>
      <c r="L182" s="23">
        <f t="shared" si="31"/>
        <v>35.966666666666669</v>
      </c>
      <c r="M182" s="30">
        <f t="shared" si="32"/>
        <v>2.780352177942539E-2</v>
      </c>
      <c r="N182" s="24">
        <f t="shared" ca="1" si="33"/>
        <v>23.933333333333334</v>
      </c>
      <c r="O182" s="30">
        <f t="shared" ca="1" si="34"/>
        <v>2.3975338904363975E-2</v>
      </c>
      <c r="P182" s="26" t="str">
        <f t="shared" ca="1" si="35"/>
        <v>Desired Burn Rate</v>
      </c>
      <c r="Q182" s="24">
        <f t="shared" ca="1" si="36"/>
        <v>41.709525107817377</v>
      </c>
      <c r="R182" s="25">
        <f t="shared" ca="1" si="37"/>
        <v>43601</v>
      </c>
      <c r="S182" s="26" t="str">
        <f ca="1">TEXT(Table2[[#This Row],[Projected Limit Date]],"mmmm")</f>
        <v>May</v>
      </c>
      <c r="T182" s="26">
        <f t="shared" ca="1" si="38"/>
        <v>2019</v>
      </c>
      <c r="U182" s="31" t="s">
        <v>563</v>
      </c>
      <c r="V182" s="31" t="s">
        <v>698</v>
      </c>
      <c r="W182" s="32" t="str">
        <f t="shared" si="39"/>
        <v>Options</v>
      </c>
      <c r="X182" s="31"/>
      <c r="Y182" s="31"/>
      <c r="Z182" t="str">
        <f t="shared" ca="1" si="40"/>
        <v>Expiring &gt; 6 Months</v>
      </c>
      <c r="AA182">
        <f t="shared" ca="1" si="41"/>
        <v>0</v>
      </c>
      <c r="AB182">
        <f t="shared" ca="1" si="42"/>
        <v>0</v>
      </c>
      <c r="AC182">
        <f t="shared" ca="1" si="43"/>
        <v>0</v>
      </c>
      <c r="AD182" t="str">
        <f t="shared" si="44"/>
        <v>Safe</v>
      </c>
    </row>
    <row r="183" spans="1:30" hidden="1">
      <c r="A183" s="48" t="str">
        <f>TEXT(Table2[[#This Row],[MB END]],"mmmm")</f>
        <v>December</v>
      </c>
      <c r="B183" s="48" t="str">
        <f>TEXT(Table2[[#This Row],[MB END]],"yyyy")</f>
        <v>2018</v>
      </c>
      <c r="C183" s="116" t="s">
        <v>701</v>
      </c>
      <c r="D183" s="27" t="s">
        <v>349</v>
      </c>
      <c r="E183" s="28">
        <v>42361</v>
      </c>
      <c r="F183" s="28">
        <v>43456</v>
      </c>
      <c r="G183" s="27" t="s">
        <v>700</v>
      </c>
      <c r="H183" s="27" t="s">
        <v>702</v>
      </c>
      <c r="I183" s="5">
        <v>75000</v>
      </c>
      <c r="J183" s="5">
        <v>17933</v>
      </c>
      <c r="K183" s="29">
        <f t="shared" si="30"/>
        <v>0.23910666666666666</v>
      </c>
      <c r="L183" s="23">
        <f t="shared" si="31"/>
        <v>35.966666666666669</v>
      </c>
      <c r="M183" s="30">
        <f t="shared" si="32"/>
        <v>2.780352177942539E-2</v>
      </c>
      <c r="N183" s="24">
        <f t="shared" ca="1" si="33"/>
        <v>23.7</v>
      </c>
      <c r="O183" s="30">
        <f t="shared" ca="1" si="34"/>
        <v>1.008888888888889E-2</v>
      </c>
      <c r="P183" s="26" t="str">
        <f t="shared" ca="1" si="35"/>
        <v>Desired Burn Rate</v>
      </c>
      <c r="Q183" s="24">
        <f t="shared" ca="1" si="36"/>
        <v>99.118942731277528</v>
      </c>
      <c r="R183" s="25">
        <f t="shared" ca="1" si="37"/>
        <v>45374</v>
      </c>
      <c r="S183" s="26" t="str">
        <f ca="1">TEXT(Table2[[#This Row],[Projected Limit Date]],"mmmm")</f>
        <v>March</v>
      </c>
      <c r="T183" s="26">
        <f t="shared" ca="1" si="38"/>
        <v>2024</v>
      </c>
      <c r="U183" t="s">
        <v>563</v>
      </c>
      <c r="V183" s="31" t="s">
        <v>565</v>
      </c>
      <c r="W183" s="32" t="str">
        <f t="shared" si="39"/>
        <v>No options</v>
      </c>
      <c r="X183" s="31"/>
      <c r="Y183" s="31"/>
      <c r="Z183" t="str">
        <f t="shared" ca="1" si="40"/>
        <v>Expiring &gt; 6 Months</v>
      </c>
      <c r="AA183">
        <f t="shared" ca="1" si="41"/>
        <v>0</v>
      </c>
      <c r="AB183">
        <f t="shared" ca="1" si="42"/>
        <v>0</v>
      </c>
      <c r="AC183">
        <f t="shared" ca="1" si="43"/>
        <v>0</v>
      </c>
      <c r="AD183" t="str">
        <f t="shared" si="44"/>
        <v>Safe</v>
      </c>
    </row>
    <row r="184" spans="1:30" hidden="1">
      <c r="A184" s="48" t="str">
        <f>TEXT(Table2[[#This Row],[MB END]],"mmmm")</f>
        <v>December</v>
      </c>
      <c r="B184" s="48" t="str">
        <f>TEXT(Table2[[#This Row],[MB END]],"yyyy")</f>
        <v>2018</v>
      </c>
      <c r="C184" s="116" t="s">
        <v>699</v>
      </c>
      <c r="D184" s="27" t="s">
        <v>349</v>
      </c>
      <c r="E184" s="28">
        <v>42361</v>
      </c>
      <c r="F184" s="28">
        <v>43456</v>
      </c>
      <c r="G184" s="27" t="s">
        <v>700</v>
      </c>
      <c r="H184" s="27" t="s">
        <v>633</v>
      </c>
      <c r="I184" s="5">
        <v>625000</v>
      </c>
      <c r="J184" s="5">
        <v>249804.02</v>
      </c>
      <c r="K184" s="29">
        <f t="shared" si="30"/>
        <v>0.39968643199999998</v>
      </c>
      <c r="L184" s="23">
        <f t="shared" si="31"/>
        <v>35.966666666666669</v>
      </c>
      <c r="M184" s="30">
        <f t="shared" si="32"/>
        <v>2.780352177942539E-2</v>
      </c>
      <c r="N184" s="24">
        <f t="shared" ca="1" si="33"/>
        <v>23.7</v>
      </c>
      <c r="O184" s="30">
        <f t="shared" ca="1" si="34"/>
        <v>1.6864406413502109E-2</v>
      </c>
      <c r="P184" s="26" t="str">
        <f t="shared" ca="1" si="35"/>
        <v>Desired Burn Rate</v>
      </c>
      <c r="Q184" s="24">
        <f t="shared" ca="1" si="36"/>
        <v>59.296483699501714</v>
      </c>
      <c r="R184" s="25">
        <f t="shared" ca="1" si="37"/>
        <v>44158</v>
      </c>
      <c r="S184" s="26" t="str">
        <f ca="1">TEXT(Table2[[#This Row],[Projected Limit Date]],"mmmm")</f>
        <v>November</v>
      </c>
      <c r="T184" s="26">
        <f t="shared" ca="1" si="38"/>
        <v>2021</v>
      </c>
      <c r="U184" s="31" t="s">
        <v>563</v>
      </c>
      <c r="V184" s="31" t="s">
        <v>573</v>
      </c>
      <c r="W184" s="32" t="str">
        <f t="shared" si="39"/>
        <v>Options</v>
      </c>
      <c r="X184" s="31"/>
      <c r="Y184" s="31"/>
      <c r="Z184" t="str">
        <f t="shared" ca="1" si="40"/>
        <v>Expiring &gt; 6 Months</v>
      </c>
      <c r="AA184">
        <f t="shared" ca="1" si="41"/>
        <v>0</v>
      </c>
      <c r="AB184">
        <f t="shared" ca="1" si="42"/>
        <v>0</v>
      </c>
      <c r="AC184">
        <f t="shared" ca="1" si="43"/>
        <v>0</v>
      </c>
      <c r="AD184" t="str">
        <f t="shared" si="44"/>
        <v>Safe</v>
      </c>
    </row>
    <row r="185" spans="1:30" hidden="1">
      <c r="A185" s="48" t="str">
        <f>TEXT(Table2[[#This Row],[MB END]],"mmmm")</f>
        <v>December</v>
      </c>
      <c r="B185" s="48" t="str">
        <f>TEXT(Table2[[#This Row],[MB END]],"yyyy")</f>
        <v>2018</v>
      </c>
      <c r="C185" s="117" t="s">
        <v>290</v>
      </c>
      <c r="D185" s="1" t="s">
        <v>7</v>
      </c>
      <c r="E185" s="2">
        <v>42005</v>
      </c>
      <c r="F185" s="28">
        <v>43465</v>
      </c>
      <c r="G185" s="1" t="s">
        <v>291</v>
      </c>
      <c r="H185" s="1" t="s">
        <v>292</v>
      </c>
      <c r="I185" s="5">
        <v>300000</v>
      </c>
      <c r="J185" s="5">
        <v>188747.29</v>
      </c>
      <c r="K185" s="19">
        <f t="shared" si="30"/>
        <v>0.62915763333333341</v>
      </c>
      <c r="L185" s="16">
        <f t="shared" si="31"/>
        <v>48</v>
      </c>
      <c r="M185" s="19">
        <f t="shared" si="32"/>
        <v>2.0833333333333332E-2</v>
      </c>
      <c r="N185" s="16">
        <f t="shared" ca="1" si="33"/>
        <v>35.43333333333333</v>
      </c>
      <c r="O185" s="19">
        <f t="shared" ca="1" si="34"/>
        <v>1.775609501411101E-2</v>
      </c>
      <c r="P185" t="str">
        <f t="shared" ca="1" si="35"/>
        <v>Desired Burn Rate</v>
      </c>
      <c r="Q185" s="16">
        <f t="shared" ca="1" si="36"/>
        <v>56.31868939681199</v>
      </c>
      <c r="R185" s="14">
        <f t="shared" ca="1" si="37"/>
        <v>43709</v>
      </c>
      <c r="S185" t="str">
        <f ca="1">TEXT(Table2[[#This Row],[Projected Limit Date]],"mmmm")</f>
        <v>September</v>
      </c>
      <c r="T185">
        <f t="shared" ca="1" si="38"/>
        <v>2020</v>
      </c>
      <c r="U185" t="s">
        <v>562</v>
      </c>
      <c r="V185" t="s">
        <v>573</v>
      </c>
      <c r="W185" t="str">
        <f t="shared" si="39"/>
        <v>Options</v>
      </c>
      <c r="Z185" t="str">
        <f t="shared" ca="1" si="40"/>
        <v>Expiring &gt; 6 Months</v>
      </c>
      <c r="AA185">
        <f t="shared" ca="1" si="41"/>
        <v>0</v>
      </c>
      <c r="AB185">
        <f t="shared" ca="1" si="42"/>
        <v>0</v>
      </c>
      <c r="AC185">
        <f t="shared" ca="1" si="43"/>
        <v>0</v>
      </c>
      <c r="AD185" t="str">
        <f t="shared" si="44"/>
        <v>Safe</v>
      </c>
    </row>
    <row r="186" spans="1:30" hidden="1">
      <c r="A186" s="48" t="str">
        <f>TEXT(Table2[[#This Row],[MB END]],"mmmm")</f>
        <v>January</v>
      </c>
      <c r="B186" s="48" t="str">
        <f>TEXT(Table2[[#This Row],[MB END]],"yyyy")</f>
        <v>2019</v>
      </c>
      <c r="C186" s="117" t="s">
        <v>367</v>
      </c>
      <c r="D186" s="1" t="s">
        <v>24</v>
      </c>
      <c r="E186" s="2">
        <v>42389</v>
      </c>
      <c r="F186" s="28">
        <v>43484</v>
      </c>
      <c r="G186" s="1" t="s">
        <v>368</v>
      </c>
      <c r="H186" s="1" t="s">
        <v>369</v>
      </c>
      <c r="I186" s="5">
        <v>20000</v>
      </c>
      <c r="J186" s="5">
        <v>0</v>
      </c>
      <c r="K186" s="19">
        <f t="shared" si="30"/>
        <v>0</v>
      </c>
      <c r="L186" s="16">
        <f t="shared" si="31"/>
        <v>35.966666666666669</v>
      </c>
      <c r="M186" s="19">
        <f t="shared" si="32"/>
        <v>2.7803521779425393E-2</v>
      </c>
      <c r="N186" s="16">
        <f t="shared" ca="1" si="33"/>
        <v>22.8</v>
      </c>
      <c r="O186" s="19">
        <f t="shared" ca="1" si="34"/>
        <v>0</v>
      </c>
      <c r="P186" t="str">
        <f t="shared" ca="1" si="35"/>
        <v>Desired Burn Rate</v>
      </c>
      <c r="Q186" s="16" t="e">
        <f t="shared" ca="1" si="36"/>
        <v>#DIV/0!</v>
      </c>
      <c r="R186" s="14" t="e">
        <f t="shared" ca="1" si="37"/>
        <v>#DIV/0!</v>
      </c>
      <c r="S186" t="e">
        <f ca="1">TEXT(Table2[[#This Row],[Projected Limit Date]],"mmmm")</f>
        <v>#DIV/0!</v>
      </c>
      <c r="T186" t="e">
        <f t="shared" ca="1" si="38"/>
        <v>#DIV/0!</v>
      </c>
      <c r="U186" t="s">
        <v>562</v>
      </c>
      <c r="V186" t="s">
        <v>765</v>
      </c>
      <c r="W186" t="str">
        <f t="shared" si="39"/>
        <v>Options</v>
      </c>
      <c r="Z186" t="str">
        <f t="shared" ca="1" si="40"/>
        <v>Expiring &gt; 6 Months</v>
      </c>
      <c r="AA186">
        <f t="shared" ca="1" si="41"/>
        <v>0</v>
      </c>
      <c r="AB186">
        <f t="shared" ca="1" si="42"/>
        <v>0</v>
      </c>
      <c r="AC186">
        <f t="shared" ca="1" si="43"/>
        <v>0</v>
      </c>
      <c r="AD186" t="str">
        <f t="shared" si="44"/>
        <v>Safe</v>
      </c>
    </row>
    <row r="187" spans="1:30" hidden="1">
      <c r="A187" s="48" t="str">
        <f>TEXT(Table2[[#This Row],[MB END]],"mmmm")</f>
        <v>January</v>
      </c>
      <c r="B187" s="48" t="str">
        <f>TEXT(Table2[[#This Row],[MB END]],"yyyy")</f>
        <v>2019</v>
      </c>
      <c r="C187" s="117" t="s">
        <v>370</v>
      </c>
      <c r="D187" s="1" t="s">
        <v>7</v>
      </c>
      <c r="E187" s="2">
        <v>42389</v>
      </c>
      <c r="F187" s="28">
        <v>43484</v>
      </c>
      <c r="G187" s="1" t="s">
        <v>371</v>
      </c>
      <c r="H187" s="1" t="s">
        <v>372</v>
      </c>
      <c r="I187" s="5">
        <v>2500000</v>
      </c>
      <c r="J187" s="5">
        <v>1411391.18</v>
      </c>
      <c r="K187" s="19">
        <f t="shared" si="30"/>
        <v>0.56455647199999992</v>
      </c>
      <c r="L187" s="16">
        <f t="shared" si="31"/>
        <v>35.966666666666669</v>
      </c>
      <c r="M187" s="19">
        <f t="shared" si="32"/>
        <v>2.780352177942539E-2</v>
      </c>
      <c r="N187" s="16">
        <f t="shared" ca="1" si="33"/>
        <v>22.8</v>
      </c>
      <c r="O187" s="19">
        <f t="shared" ca="1" si="34"/>
        <v>2.4761248771929822E-2</v>
      </c>
      <c r="P187" t="str">
        <f t="shared" ca="1" si="35"/>
        <v>Desired Burn Rate</v>
      </c>
      <c r="Q187" s="16">
        <f t="shared" ca="1" si="36"/>
        <v>40.385685278265662</v>
      </c>
      <c r="R187" s="14">
        <f t="shared" ca="1" si="37"/>
        <v>43605</v>
      </c>
      <c r="S187" t="str">
        <f ca="1">TEXT(Table2[[#This Row],[Projected Limit Date]],"mmmm")</f>
        <v>May</v>
      </c>
      <c r="T187">
        <f t="shared" ca="1" si="38"/>
        <v>2019</v>
      </c>
      <c r="U187" t="s">
        <v>562</v>
      </c>
      <c r="V187" t="s">
        <v>736</v>
      </c>
      <c r="W187" t="str">
        <f t="shared" si="39"/>
        <v>Options</v>
      </c>
      <c r="Z187" t="str">
        <f t="shared" ca="1" si="40"/>
        <v>Expiring &gt; 6 Months</v>
      </c>
      <c r="AA187">
        <f t="shared" ca="1" si="41"/>
        <v>0</v>
      </c>
      <c r="AB187">
        <f t="shared" ca="1" si="42"/>
        <v>0</v>
      </c>
      <c r="AC187">
        <f t="shared" ca="1" si="43"/>
        <v>0</v>
      </c>
      <c r="AD187" t="str">
        <f t="shared" si="44"/>
        <v>Safe</v>
      </c>
    </row>
    <row r="188" spans="1:30" hidden="1">
      <c r="A188" s="48" t="str">
        <f>TEXT(Table2[[#This Row],[MB END]],"mmmm")</f>
        <v>January</v>
      </c>
      <c r="B188" s="48" t="str">
        <f>TEXT(Table2[[#This Row],[MB END]],"yyyy")</f>
        <v>2019</v>
      </c>
      <c r="C188" s="116" t="s">
        <v>703</v>
      </c>
      <c r="D188" s="27" t="s">
        <v>52</v>
      </c>
      <c r="E188" s="28">
        <v>41664</v>
      </c>
      <c r="F188" s="28">
        <v>43489</v>
      </c>
      <c r="G188" s="27" t="s">
        <v>704</v>
      </c>
      <c r="H188" s="27" t="s">
        <v>600</v>
      </c>
      <c r="I188" s="5">
        <v>9000000</v>
      </c>
      <c r="J188" s="5">
        <v>5795484.4400000004</v>
      </c>
      <c r="K188" s="29">
        <f t="shared" si="30"/>
        <v>0.6439427155555556</v>
      </c>
      <c r="L188" s="23">
        <f t="shared" si="31"/>
        <v>59.966666666666669</v>
      </c>
      <c r="M188" s="30">
        <f t="shared" si="32"/>
        <v>1.6675931072818232E-2</v>
      </c>
      <c r="N188" s="24">
        <f t="shared" ca="1" si="33"/>
        <v>46.633333333333333</v>
      </c>
      <c r="O188" s="30">
        <f t="shared" ca="1" si="34"/>
        <v>1.3808635787467239E-2</v>
      </c>
      <c r="P188" s="26" t="str">
        <f t="shared" ca="1" si="35"/>
        <v>Desired Burn Rate</v>
      </c>
      <c r="Q188" s="24">
        <f t="shared" ca="1" si="36"/>
        <v>72.418449975167206</v>
      </c>
      <c r="R188" s="25">
        <f t="shared" ca="1" si="37"/>
        <v>43855</v>
      </c>
      <c r="S188" s="26" t="str">
        <f ca="1">TEXT(Table2[[#This Row],[Projected Limit Date]],"mmmm")</f>
        <v>January</v>
      </c>
      <c r="T188" s="26">
        <f t="shared" ca="1" si="38"/>
        <v>2020</v>
      </c>
      <c r="U188" s="31" t="s">
        <v>563</v>
      </c>
      <c r="V188" s="31" t="s">
        <v>565</v>
      </c>
      <c r="W188" s="32" t="str">
        <f t="shared" si="39"/>
        <v>No options</v>
      </c>
      <c r="X188" s="35" t="s">
        <v>705</v>
      </c>
      <c r="Y188" s="35"/>
      <c r="Z188" t="str">
        <f t="shared" ca="1" si="40"/>
        <v>Expiring &gt; 6 Months</v>
      </c>
      <c r="AA188">
        <f t="shared" ca="1" si="41"/>
        <v>0</v>
      </c>
      <c r="AB188">
        <f t="shared" ca="1" si="42"/>
        <v>0</v>
      </c>
      <c r="AC188">
        <f t="shared" ca="1" si="43"/>
        <v>0</v>
      </c>
      <c r="AD188" t="str">
        <f t="shared" si="44"/>
        <v>Safe</v>
      </c>
    </row>
    <row r="189" spans="1:30" ht="45" hidden="1">
      <c r="A189" s="48" t="str">
        <f>TEXT(Table2[[#This Row],[MB END]],"mmmm")</f>
        <v>January</v>
      </c>
      <c r="B189" s="48" t="str">
        <f>TEXT(Table2[[#This Row],[MB END]],"yyyy")</f>
        <v>2019</v>
      </c>
      <c r="C189" s="116" t="s">
        <v>706</v>
      </c>
      <c r="D189" s="27" t="s">
        <v>52</v>
      </c>
      <c r="E189" s="28">
        <v>41664</v>
      </c>
      <c r="F189" s="28">
        <v>43489</v>
      </c>
      <c r="G189" s="27" t="s">
        <v>707</v>
      </c>
      <c r="H189" s="27" t="s">
        <v>116</v>
      </c>
      <c r="I189" s="5">
        <v>1000000</v>
      </c>
      <c r="J189" s="5">
        <v>257885.35</v>
      </c>
      <c r="K189" s="29">
        <f t="shared" si="30"/>
        <v>0.25788535000000001</v>
      </c>
      <c r="L189" s="23">
        <f t="shared" si="31"/>
        <v>59.966666666666669</v>
      </c>
      <c r="M189" s="30">
        <f t="shared" si="32"/>
        <v>1.6675931072818232E-2</v>
      </c>
      <c r="N189" s="24">
        <f t="shared" ca="1" si="33"/>
        <v>46.633333333333333</v>
      </c>
      <c r="O189" s="30">
        <f t="shared" ca="1" si="34"/>
        <v>5.5300646890636173E-3</v>
      </c>
      <c r="P189" s="26" t="str">
        <f t="shared" ca="1" si="35"/>
        <v>Desired Burn Rate</v>
      </c>
      <c r="Q189" s="24">
        <f t="shared" ca="1" si="36"/>
        <v>180.8297110841439</v>
      </c>
      <c r="R189" s="25">
        <f t="shared" ca="1" si="37"/>
        <v>47143</v>
      </c>
      <c r="S189" s="26" t="str">
        <f ca="1">TEXT(Table2[[#This Row],[Projected Limit Date]],"mmmm")</f>
        <v>January</v>
      </c>
      <c r="T189" s="26">
        <f t="shared" ca="1" si="38"/>
        <v>2029</v>
      </c>
      <c r="U189" s="31" t="s">
        <v>563</v>
      </c>
      <c r="V189" s="31" t="s">
        <v>565</v>
      </c>
      <c r="W189" s="32" t="str">
        <f t="shared" si="39"/>
        <v>No options</v>
      </c>
      <c r="X189" s="35" t="s">
        <v>708</v>
      </c>
      <c r="Y189" s="35"/>
      <c r="Z189" t="str">
        <f t="shared" ca="1" si="40"/>
        <v>Expiring &gt; 6 Months</v>
      </c>
      <c r="AA189">
        <f t="shared" ca="1" si="41"/>
        <v>0</v>
      </c>
      <c r="AB189">
        <f t="shared" ca="1" si="42"/>
        <v>0</v>
      </c>
      <c r="AC189">
        <f t="shared" ca="1" si="43"/>
        <v>0</v>
      </c>
      <c r="AD189" t="str">
        <f t="shared" si="44"/>
        <v>Safe</v>
      </c>
    </row>
    <row r="190" spans="1:30" hidden="1">
      <c r="A190" s="48" t="str">
        <f>TEXT(Table2[[#This Row],[MB END]],"mmmm")</f>
        <v>January</v>
      </c>
      <c r="B190" s="48" t="str">
        <f>TEXT(Table2[[#This Row],[MB END]],"yyyy")</f>
        <v>2019</v>
      </c>
      <c r="C190" s="116" t="s">
        <v>709</v>
      </c>
      <c r="D190" s="27" t="s">
        <v>52</v>
      </c>
      <c r="E190" s="28">
        <v>41664</v>
      </c>
      <c r="F190" s="28">
        <v>43489</v>
      </c>
      <c r="G190" s="27" t="s">
        <v>710</v>
      </c>
      <c r="H190" s="27" t="s">
        <v>711</v>
      </c>
      <c r="I190" s="5">
        <v>2000000</v>
      </c>
      <c r="J190" s="5">
        <v>991656.79</v>
      </c>
      <c r="K190" s="29">
        <f t="shared" si="30"/>
        <v>0.49582839500000003</v>
      </c>
      <c r="L190" s="23">
        <f t="shared" si="31"/>
        <v>59.966666666666669</v>
      </c>
      <c r="M190" s="30">
        <f t="shared" si="32"/>
        <v>1.6675931072818232E-2</v>
      </c>
      <c r="N190" s="24">
        <f t="shared" ca="1" si="33"/>
        <v>46.633333333333333</v>
      </c>
      <c r="O190" s="30">
        <f t="shared" ca="1" si="34"/>
        <v>1.0632488813438172E-2</v>
      </c>
      <c r="P190" s="26" t="str">
        <f t="shared" ca="1" si="35"/>
        <v>Desired Burn Rate</v>
      </c>
      <c r="Q190" s="24">
        <f t="shared" ca="1" si="36"/>
        <v>94.051356887967927</v>
      </c>
      <c r="R190" s="25">
        <f t="shared" ca="1" si="37"/>
        <v>44525</v>
      </c>
      <c r="S190" s="26" t="str">
        <f ca="1">TEXT(Table2[[#This Row],[Projected Limit Date]],"mmmm")</f>
        <v>November</v>
      </c>
      <c r="T190" s="26">
        <f t="shared" ca="1" si="38"/>
        <v>2022</v>
      </c>
      <c r="U190" s="31" t="s">
        <v>563</v>
      </c>
      <c r="V190" s="31" t="s">
        <v>565</v>
      </c>
      <c r="W190" s="32" t="str">
        <f t="shared" si="39"/>
        <v>No options</v>
      </c>
      <c r="X190" s="35" t="s">
        <v>712</v>
      </c>
      <c r="Y190" s="35"/>
      <c r="Z190" t="str">
        <f t="shared" ca="1" si="40"/>
        <v>Expiring &gt; 6 Months</v>
      </c>
      <c r="AA190">
        <f t="shared" ca="1" si="41"/>
        <v>0</v>
      </c>
      <c r="AB190">
        <f t="shared" ca="1" si="42"/>
        <v>0</v>
      </c>
      <c r="AC190">
        <f t="shared" ca="1" si="43"/>
        <v>0</v>
      </c>
      <c r="AD190" t="str">
        <f t="shared" si="44"/>
        <v>Safe</v>
      </c>
    </row>
    <row r="191" spans="1:30" ht="30">
      <c r="A191" s="48" t="str">
        <f>TEXT(Table2[[#This Row],[MB END]],"mmmm")</f>
        <v>January</v>
      </c>
      <c r="B191" s="48" t="str">
        <f>TEXT(Table2[[#This Row],[MB END]],"yyyy")</f>
        <v>2019</v>
      </c>
      <c r="C191" s="116" t="s">
        <v>713</v>
      </c>
      <c r="D191" s="27" t="s">
        <v>52</v>
      </c>
      <c r="E191" s="28">
        <v>41668</v>
      </c>
      <c r="F191" s="28">
        <v>43493</v>
      </c>
      <c r="G191" s="27" t="s">
        <v>714</v>
      </c>
      <c r="H191" s="27" t="s">
        <v>600</v>
      </c>
      <c r="I191" s="5">
        <v>6500000</v>
      </c>
      <c r="J191" s="5">
        <v>5655960.0700000003</v>
      </c>
      <c r="K191" s="29">
        <f t="shared" si="30"/>
        <v>0.87014770307692313</v>
      </c>
      <c r="L191" s="23">
        <f t="shared" si="31"/>
        <v>59.966666666666669</v>
      </c>
      <c r="M191" s="30">
        <f t="shared" si="32"/>
        <v>1.6675931072818232E-2</v>
      </c>
      <c r="N191" s="24">
        <f t="shared" ca="1" si="33"/>
        <v>46.5</v>
      </c>
      <c r="O191" s="30">
        <f t="shared" ca="1" si="34"/>
        <v>1.8712853829611249E-2</v>
      </c>
      <c r="P191" s="26" t="str">
        <f t="shared" ca="1" si="35"/>
        <v>High Burn Rate</v>
      </c>
      <c r="Q191" s="24">
        <f t="shared" ca="1" si="36"/>
        <v>53.43920329338534</v>
      </c>
      <c r="R191" s="25">
        <f t="shared" ca="1" si="37"/>
        <v>43280</v>
      </c>
      <c r="S191" s="26" t="str">
        <f ca="1">TEXT(Table2[[#This Row],[Projected Limit Date]],"mmmm")</f>
        <v>June</v>
      </c>
      <c r="T191" s="26">
        <f t="shared" ca="1" si="38"/>
        <v>2018</v>
      </c>
      <c r="U191" s="31" t="s">
        <v>563</v>
      </c>
      <c r="V191" s="31" t="s">
        <v>574</v>
      </c>
      <c r="W191" s="32" t="str">
        <f t="shared" si="39"/>
        <v>Options</v>
      </c>
      <c r="X191" s="35"/>
      <c r="Y191" s="35" t="s">
        <v>952</v>
      </c>
      <c r="Z191" t="str">
        <f t="shared" ca="1" si="40"/>
        <v>Expiring &gt; 6 Months</v>
      </c>
      <c r="AA191">
        <f t="shared" ca="1" si="41"/>
        <v>0</v>
      </c>
      <c r="AB191">
        <f t="shared" ca="1" si="42"/>
        <v>0</v>
      </c>
      <c r="AC191">
        <f t="shared" ca="1" si="43"/>
        <v>0</v>
      </c>
      <c r="AD191" t="str">
        <f t="shared" si="44"/>
        <v>Reaching Spending Limit</v>
      </c>
    </row>
    <row r="192" spans="1:30" ht="30" hidden="1">
      <c r="A192" s="48" t="str">
        <f>TEXT(Table2[[#This Row],[MB END]],"mmmm")</f>
        <v>January</v>
      </c>
      <c r="B192" s="48" t="str">
        <f>TEXT(Table2[[#This Row],[MB END]],"yyyy")</f>
        <v>2019</v>
      </c>
      <c r="C192" s="116" t="s">
        <v>715</v>
      </c>
      <c r="D192" s="27" t="s">
        <v>52</v>
      </c>
      <c r="E192" s="28">
        <v>41668</v>
      </c>
      <c r="F192" s="28">
        <v>43493</v>
      </c>
      <c r="G192" s="27" t="s">
        <v>716</v>
      </c>
      <c r="H192" s="27" t="s">
        <v>116</v>
      </c>
      <c r="I192" s="5">
        <v>500000</v>
      </c>
      <c r="J192" s="5">
        <v>365842.61</v>
      </c>
      <c r="K192" s="29">
        <f t="shared" si="30"/>
        <v>0.73168522000000003</v>
      </c>
      <c r="L192" s="23">
        <f t="shared" si="31"/>
        <v>59.966666666666669</v>
      </c>
      <c r="M192" s="30">
        <f t="shared" si="32"/>
        <v>1.6675931072818232E-2</v>
      </c>
      <c r="N192" s="24">
        <f t="shared" ca="1" si="33"/>
        <v>46.5</v>
      </c>
      <c r="O192" s="30">
        <f t="shared" ca="1" si="34"/>
        <v>1.5735166021505376E-2</v>
      </c>
      <c r="P192" s="26" t="str">
        <f t="shared" ca="1" si="35"/>
        <v>Desired Burn Rate</v>
      </c>
      <c r="Q192" s="24">
        <f t="shared" ca="1" si="36"/>
        <v>63.55191922559267</v>
      </c>
      <c r="R192" s="25">
        <f t="shared" ca="1" si="37"/>
        <v>43584</v>
      </c>
      <c r="S192" s="26" t="str">
        <f ca="1">TEXT(Table2[[#This Row],[Projected Limit Date]],"mmmm")</f>
        <v>April</v>
      </c>
      <c r="T192" s="26">
        <f t="shared" ca="1" si="38"/>
        <v>2019</v>
      </c>
      <c r="U192" s="31" t="s">
        <v>563</v>
      </c>
      <c r="V192" s="31" t="s">
        <v>594</v>
      </c>
      <c r="W192" s="32" t="str">
        <f t="shared" si="39"/>
        <v>Options</v>
      </c>
      <c r="X192" s="35" t="s">
        <v>717</v>
      </c>
      <c r="Y192" s="35"/>
      <c r="Z192" t="str">
        <f t="shared" ca="1" si="40"/>
        <v>Expiring &gt; 6 Months</v>
      </c>
      <c r="AA192">
        <f t="shared" ca="1" si="41"/>
        <v>0</v>
      </c>
      <c r="AB192">
        <f t="shared" ca="1" si="42"/>
        <v>0</v>
      </c>
      <c r="AC192">
        <f t="shared" ca="1" si="43"/>
        <v>0</v>
      </c>
      <c r="AD192" t="str">
        <f t="shared" si="44"/>
        <v>Safe</v>
      </c>
    </row>
    <row r="193" spans="1:30" ht="30">
      <c r="A193" s="48" t="str">
        <f>TEXT(Table2[[#This Row],[MB END]],"mmmm")</f>
        <v>January</v>
      </c>
      <c r="B193" s="48" t="str">
        <f>TEXT(Table2[[#This Row],[MB END]],"yyyy")</f>
        <v>2019</v>
      </c>
      <c r="C193" s="116" t="s">
        <v>718</v>
      </c>
      <c r="D193" s="27" t="s">
        <v>52</v>
      </c>
      <c r="E193" s="28">
        <v>41668</v>
      </c>
      <c r="F193" s="28">
        <v>43493</v>
      </c>
      <c r="G193" s="27" t="s">
        <v>719</v>
      </c>
      <c r="H193" s="27" t="s">
        <v>597</v>
      </c>
      <c r="I193" s="5">
        <v>2000000</v>
      </c>
      <c r="J193" s="5">
        <v>1722849.85</v>
      </c>
      <c r="K193" s="29">
        <f t="shared" ref="K193:K207" si="45">J193/I193</f>
        <v>0.86142492500000001</v>
      </c>
      <c r="L193" s="23">
        <f t="shared" ref="L193:L238" si="46">DAYS360(E193,F193,FALSE)/30</f>
        <v>59.966666666666669</v>
      </c>
      <c r="M193" s="30">
        <f t="shared" ref="M193:M238" si="47">(I193/L193)/I193</f>
        <v>1.6675931072818232E-2</v>
      </c>
      <c r="N193" s="24">
        <f t="shared" ref="N193:N238" ca="1" si="48">DAYS360(E193,$AE$1,)/30</f>
        <v>46.5</v>
      </c>
      <c r="O193" s="30">
        <f t="shared" ref="O193:O238" ca="1" si="49">(J193/N193)/I193</f>
        <v>1.8525267204301074E-2</v>
      </c>
      <c r="P193" s="26" t="str">
        <f t="shared" ref="P193:P238" ca="1" si="50">IF(AND(O193&gt;M193,O193&lt;(2*M193)),"High Burn Rate",IF(O193&gt;=(2*M193),"Really High Burn Rate","Desired Burn Rate"))</f>
        <v>High Burn Rate</v>
      </c>
      <c r="Q193" s="24">
        <f t="shared" ref="Q193:Q238" ca="1" si="51">I193/(J193/N193)</f>
        <v>53.980328001305509</v>
      </c>
      <c r="R193" s="25">
        <f t="shared" ref="R193:R238" ca="1" si="52">EDATE(E193,Q193)</f>
        <v>43280</v>
      </c>
      <c r="S193" s="26" t="str">
        <f ca="1">TEXT(Table2[[#This Row],[Projected Limit Date]],"mmmm")</f>
        <v>June</v>
      </c>
      <c r="T193" s="26">
        <f t="shared" ref="T193:T238" ca="1" si="53">YEAR(DATE(YEAR(R193),MONTH(R193)+($AF$1-1),1))</f>
        <v>2018</v>
      </c>
      <c r="U193" s="31" t="s">
        <v>563</v>
      </c>
      <c r="V193" s="31" t="s">
        <v>574</v>
      </c>
      <c r="W193" s="32" t="str">
        <f t="shared" ref="W193:W238" si="54">IF(V193="No options","No options","Options")</f>
        <v>Options</v>
      </c>
      <c r="X193" s="35"/>
      <c r="Y193" s="35" t="s">
        <v>953</v>
      </c>
      <c r="Z193" t="str">
        <f t="shared" ref="Z193:Z238" ca="1" si="55">IF((DAYS360($AE$1,F193,)/30)&lt;=6,"Expiring &lt; 6 Months","Expiring &gt; 6 Months")</f>
        <v>Expiring &gt; 6 Months</v>
      </c>
      <c r="AA193">
        <f t="shared" ref="AA193:AA238" ca="1" si="56">IF(Z193="Expiring &lt; 6 Months",1,0)</f>
        <v>0</v>
      </c>
      <c r="AB193">
        <f t="shared" ref="AB193:AB238" ca="1" si="57">IF(Z193="Expiring &gt; 12 Months",1,0)</f>
        <v>0</v>
      </c>
      <c r="AC193">
        <f t="shared" ref="AC193:AC238" ca="1" si="58">IF(AND(W193="No Options",AA193=1),1,0)</f>
        <v>0</v>
      </c>
      <c r="AD193" t="str">
        <f t="shared" ref="AD193:AD238" si="59">IF(K193&gt;=0.75,"Reaching Spending Limit","Safe")</f>
        <v>Reaching Spending Limit</v>
      </c>
    </row>
    <row r="194" spans="1:30" hidden="1">
      <c r="A194" s="48" t="str">
        <f>TEXT(Table2[[#This Row],[MB END]],"mmmm")</f>
        <v>January</v>
      </c>
      <c r="B194" s="48" t="str">
        <f>TEXT(Table2[[#This Row],[MB END]],"yyyy")</f>
        <v>2019</v>
      </c>
      <c r="C194" s="117" t="s">
        <v>362</v>
      </c>
      <c r="D194" s="1" t="s">
        <v>7</v>
      </c>
      <c r="E194" s="2">
        <v>42401</v>
      </c>
      <c r="F194" s="28">
        <v>43496</v>
      </c>
      <c r="G194" s="1" t="s">
        <v>363</v>
      </c>
      <c r="H194" s="1" t="s">
        <v>364</v>
      </c>
      <c r="I194" s="5">
        <v>200000</v>
      </c>
      <c r="J194" s="5">
        <v>47306.86</v>
      </c>
      <c r="K194" s="19">
        <f t="shared" si="45"/>
        <v>0.2365343</v>
      </c>
      <c r="L194" s="16">
        <f t="shared" si="46"/>
        <v>36</v>
      </c>
      <c r="M194" s="19">
        <f t="shared" si="47"/>
        <v>2.777777777777778E-2</v>
      </c>
      <c r="N194" s="16">
        <f t="shared" ca="1" si="48"/>
        <v>22.433333333333334</v>
      </c>
      <c r="O194" s="19">
        <f t="shared" ca="1" si="49"/>
        <v>1.0543876671619615E-2</v>
      </c>
      <c r="P194" t="str">
        <f t="shared" ca="1" si="50"/>
        <v>Desired Burn Rate</v>
      </c>
      <c r="Q194" s="16">
        <f t="shared" ca="1" si="51"/>
        <v>94.841776999502116</v>
      </c>
      <c r="R194" s="14">
        <f t="shared" ca="1" si="52"/>
        <v>45261</v>
      </c>
      <c r="S194" t="str">
        <f ca="1">TEXT(Table2[[#This Row],[Projected Limit Date]],"mmmm")</f>
        <v>December</v>
      </c>
      <c r="T194">
        <f t="shared" ca="1" si="53"/>
        <v>2024</v>
      </c>
      <c r="U194" t="s">
        <v>562</v>
      </c>
      <c r="V194" t="s">
        <v>765</v>
      </c>
      <c r="W194" t="str">
        <f t="shared" si="54"/>
        <v>Options</v>
      </c>
      <c r="Z194" t="str">
        <f t="shared" ca="1" si="55"/>
        <v>Expiring &gt; 6 Months</v>
      </c>
      <c r="AA194">
        <f t="shared" ca="1" si="56"/>
        <v>0</v>
      </c>
      <c r="AB194">
        <f t="shared" ca="1" si="57"/>
        <v>0</v>
      </c>
      <c r="AC194">
        <f t="shared" ca="1" si="58"/>
        <v>0</v>
      </c>
      <c r="AD194" t="str">
        <f t="shared" si="59"/>
        <v>Safe</v>
      </c>
    </row>
    <row r="195" spans="1:30" hidden="1">
      <c r="A195" s="48" t="str">
        <f>TEXT(Table2[[#This Row],[MB END]],"mmmm")</f>
        <v>January</v>
      </c>
      <c r="B195" s="48" t="str">
        <f>TEXT(Table2[[#This Row],[MB END]],"yyyy")</f>
        <v>2019</v>
      </c>
      <c r="C195" s="117" t="s">
        <v>365</v>
      </c>
      <c r="D195" s="1" t="s">
        <v>7</v>
      </c>
      <c r="E195" s="2">
        <v>42401</v>
      </c>
      <c r="F195" s="28">
        <v>43496</v>
      </c>
      <c r="G195" s="1" t="s">
        <v>366</v>
      </c>
      <c r="H195" s="1" t="s">
        <v>92</v>
      </c>
      <c r="I195" s="5">
        <v>4000000</v>
      </c>
      <c r="J195" s="5">
        <v>1709896.61</v>
      </c>
      <c r="K195" s="19">
        <f t="shared" si="45"/>
        <v>0.42747415250000004</v>
      </c>
      <c r="L195" s="16">
        <f t="shared" si="46"/>
        <v>36</v>
      </c>
      <c r="M195" s="19">
        <f t="shared" si="47"/>
        <v>2.7777777777777776E-2</v>
      </c>
      <c r="N195" s="16">
        <f t="shared" ca="1" si="48"/>
        <v>22.433333333333334</v>
      </c>
      <c r="O195" s="19">
        <f t="shared" ca="1" si="49"/>
        <v>1.9055311404160474E-2</v>
      </c>
      <c r="P195" t="str">
        <f t="shared" ca="1" si="50"/>
        <v>Desired Burn Rate</v>
      </c>
      <c r="Q195" s="16">
        <f t="shared" ca="1" si="51"/>
        <v>52.478806501249998</v>
      </c>
      <c r="R195" s="14">
        <f t="shared" ca="1" si="52"/>
        <v>43983</v>
      </c>
      <c r="S195" t="str">
        <f ca="1">TEXT(Table2[[#This Row],[Projected Limit Date]],"mmmm")</f>
        <v>June</v>
      </c>
      <c r="T195">
        <f t="shared" ca="1" si="53"/>
        <v>2020</v>
      </c>
      <c r="U195" t="s">
        <v>562</v>
      </c>
      <c r="V195" t="s">
        <v>736</v>
      </c>
      <c r="W195" t="str">
        <f t="shared" si="54"/>
        <v>Options</v>
      </c>
      <c r="Z195" t="str">
        <f t="shared" ca="1" si="55"/>
        <v>Expiring &gt; 6 Months</v>
      </c>
      <c r="AA195">
        <f t="shared" ca="1" si="56"/>
        <v>0</v>
      </c>
      <c r="AB195">
        <f t="shared" ca="1" si="57"/>
        <v>0</v>
      </c>
      <c r="AC195">
        <f t="shared" ca="1" si="58"/>
        <v>0</v>
      </c>
      <c r="AD195" t="str">
        <f t="shared" si="59"/>
        <v>Safe</v>
      </c>
    </row>
    <row r="196" spans="1:30" hidden="1">
      <c r="A196" s="48" t="str">
        <f>TEXT(Table2[[#This Row],[MB END]],"mmmm")</f>
        <v>January</v>
      </c>
      <c r="B196" s="48" t="str">
        <f>TEXT(Table2[[#This Row],[MB END]],"yyyy")</f>
        <v>2019</v>
      </c>
      <c r="C196" s="116" t="s">
        <v>720</v>
      </c>
      <c r="D196" s="27" t="s">
        <v>52</v>
      </c>
      <c r="E196" s="28">
        <v>42401</v>
      </c>
      <c r="F196" s="28">
        <v>43496</v>
      </c>
      <c r="G196" s="27" t="s">
        <v>721</v>
      </c>
      <c r="H196" s="27" t="s">
        <v>487</v>
      </c>
      <c r="I196" s="5">
        <v>2203333</v>
      </c>
      <c r="J196" s="5">
        <v>1403062.59</v>
      </c>
      <c r="K196" s="29">
        <f t="shared" si="45"/>
        <v>0.63679098438592807</v>
      </c>
      <c r="L196" s="23">
        <f t="shared" si="46"/>
        <v>36</v>
      </c>
      <c r="M196" s="30">
        <f t="shared" si="47"/>
        <v>2.777777777777778E-2</v>
      </c>
      <c r="N196" s="24">
        <f t="shared" ca="1" si="48"/>
        <v>22.433333333333334</v>
      </c>
      <c r="O196" s="30">
        <f t="shared" ca="1" si="49"/>
        <v>2.8385927981542113E-2</v>
      </c>
      <c r="P196" s="26" t="str">
        <f t="shared" ca="1" si="50"/>
        <v>High Burn Rate</v>
      </c>
      <c r="Q196" s="24">
        <f t="shared" ca="1" si="51"/>
        <v>35.22872321279219</v>
      </c>
      <c r="R196" s="25">
        <f t="shared" ca="1" si="52"/>
        <v>43466</v>
      </c>
      <c r="S196" s="26" t="str">
        <f ca="1">TEXT(Table2[[#This Row],[Projected Limit Date]],"mmmm")</f>
        <v>January</v>
      </c>
      <c r="T196" s="26">
        <f t="shared" ca="1" si="53"/>
        <v>2019</v>
      </c>
      <c r="U196" s="31" t="s">
        <v>563</v>
      </c>
      <c r="V196" s="31" t="s">
        <v>565</v>
      </c>
      <c r="W196" s="32" t="str">
        <f t="shared" si="54"/>
        <v>No options</v>
      </c>
      <c r="X196" s="31"/>
      <c r="Y196" s="31"/>
      <c r="Z196" t="str">
        <f t="shared" ca="1" si="55"/>
        <v>Expiring &gt; 6 Months</v>
      </c>
      <c r="AA196">
        <f t="shared" ca="1" si="56"/>
        <v>0</v>
      </c>
      <c r="AB196">
        <f t="shared" ca="1" si="57"/>
        <v>0</v>
      </c>
      <c r="AC196">
        <f t="shared" ca="1" si="58"/>
        <v>0</v>
      </c>
      <c r="AD196" t="str">
        <f t="shared" si="59"/>
        <v>Safe</v>
      </c>
    </row>
    <row r="197" spans="1:30" hidden="1">
      <c r="A197" s="48" t="str">
        <f>TEXT(Table2[[#This Row],[MB END]],"mmmm")</f>
        <v>January</v>
      </c>
      <c r="B197" s="48" t="str">
        <f>TEXT(Table2[[#This Row],[MB END]],"yyyy")</f>
        <v>2019</v>
      </c>
      <c r="C197" s="116" t="s">
        <v>722</v>
      </c>
      <c r="D197" s="27" t="s">
        <v>52</v>
      </c>
      <c r="E197" s="28">
        <v>42401</v>
      </c>
      <c r="F197" s="28">
        <v>43496</v>
      </c>
      <c r="G197" s="27" t="s">
        <v>721</v>
      </c>
      <c r="H197" s="27" t="s">
        <v>723</v>
      </c>
      <c r="I197" s="5">
        <v>433333</v>
      </c>
      <c r="J197" s="5">
        <v>243551</v>
      </c>
      <c r="K197" s="29">
        <f t="shared" si="45"/>
        <v>0.56204120157015502</v>
      </c>
      <c r="L197" s="23">
        <f t="shared" si="46"/>
        <v>36</v>
      </c>
      <c r="M197" s="30">
        <f t="shared" si="47"/>
        <v>2.7777777777777776E-2</v>
      </c>
      <c r="N197" s="24">
        <f t="shared" ca="1" si="48"/>
        <v>22.433333333333334</v>
      </c>
      <c r="O197" s="30">
        <f t="shared" ca="1" si="49"/>
        <v>2.5053842566277341E-2</v>
      </c>
      <c r="P197" s="26" t="str">
        <f t="shared" ca="1" si="50"/>
        <v>Desired Burn Rate</v>
      </c>
      <c r="Q197" s="24">
        <f t="shared" ca="1" si="51"/>
        <v>39.914037032626979</v>
      </c>
      <c r="R197" s="25">
        <f t="shared" ca="1" si="52"/>
        <v>43586</v>
      </c>
      <c r="S197" s="26" t="str">
        <f ca="1">TEXT(Table2[[#This Row],[Projected Limit Date]],"mmmm")</f>
        <v>May</v>
      </c>
      <c r="T197" s="26">
        <f t="shared" ca="1" si="53"/>
        <v>2019</v>
      </c>
      <c r="U197" s="31" t="s">
        <v>563</v>
      </c>
      <c r="V197" s="31" t="s">
        <v>724</v>
      </c>
      <c r="W197" s="32" t="str">
        <f t="shared" si="54"/>
        <v>Options</v>
      </c>
      <c r="X197" s="31"/>
      <c r="Y197" s="31"/>
      <c r="Z197" t="str">
        <f t="shared" ca="1" si="55"/>
        <v>Expiring &gt; 6 Months</v>
      </c>
      <c r="AA197">
        <f t="shared" ca="1" si="56"/>
        <v>0</v>
      </c>
      <c r="AB197">
        <f t="shared" ca="1" si="57"/>
        <v>0</v>
      </c>
      <c r="AC197">
        <f t="shared" ca="1" si="58"/>
        <v>0</v>
      </c>
      <c r="AD197" t="str">
        <f t="shared" si="59"/>
        <v>Safe</v>
      </c>
    </row>
    <row r="198" spans="1:30" hidden="1">
      <c r="A198" s="48" t="str">
        <f>TEXT(Table2[[#This Row],[MB END]],"mmmm")</f>
        <v>January</v>
      </c>
      <c r="B198" s="48" t="str">
        <f>TEXT(Table2[[#This Row],[MB END]],"yyyy")</f>
        <v>2019</v>
      </c>
      <c r="C198" s="116" t="s">
        <v>725</v>
      </c>
      <c r="D198" s="27" t="s">
        <v>52</v>
      </c>
      <c r="E198" s="28">
        <v>42370</v>
      </c>
      <c r="F198" s="28">
        <v>43496</v>
      </c>
      <c r="G198" s="27" t="s">
        <v>721</v>
      </c>
      <c r="H198" s="27" t="s">
        <v>726</v>
      </c>
      <c r="I198" s="5">
        <v>463333</v>
      </c>
      <c r="J198" s="5">
        <v>330028.05</v>
      </c>
      <c r="K198" s="29">
        <f t="shared" si="45"/>
        <v>0.7122912678354445</v>
      </c>
      <c r="L198" s="23">
        <f t="shared" si="46"/>
        <v>37</v>
      </c>
      <c r="M198" s="30">
        <f t="shared" si="47"/>
        <v>2.7027027027027025E-2</v>
      </c>
      <c r="N198" s="24">
        <f t="shared" ca="1" si="48"/>
        <v>23.433333333333334</v>
      </c>
      <c r="O198" s="30">
        <f t="shared" ca="1" si="49"/>
        <v>3.0396497916164059E-2</v>
      </c>
      <c r="P198" s="26" t="str">
        <f t="shared" ca="1" si="50"/>
        <v>High Burn Rate</v>
      </c>
      <c r="Q198" s="24">
        <f t="shared" ca="1" si="51"/>
        <v>32.898526756538828</v>
      </c>
      <c r="R198" s="25">
        <f t="shared" ca="1" si="52"/>
        <v>43344</v>
      </c>
      <c r="S198" s="26" t="str">
        <f ca="1">TEXT(Table2[[#This Row],[Projected Limit Date]],"mmmm")</f>
        <v>September</v>
      </c>
      <c r="T198" s="26">
        <f t="shared" ca="1" si="53"/>
        <v>2019</v>
      </c>
      <c r="U198" s="31" t="s">
        <v>563</v>
      </c>
      <c r="V198" s="31" t="s">
        <v>727</v>
      </c>
      <c r="W198" s="32" t="str">
        <f t="shared" si="54"/>
        <v>Options</v>
      </c>
      <c r="X198" s="31"/>
      <c r="Y198" s="31"/>
      <c r="Z198" t="str">
        <f t="shared" ca="1" si="55"/>
        <v>Expiring &gt; 6 Months</v>
      </c>
      <c r="AA198">
        <f t="shared" ca="1" si="56"/>
        <v>0</v>
      </c>
      <c r="AB198">
        <f t="shared" ca="1" si="57"/>
        <v>0</v>
      </c>
      <c r="AC198">
        <f t="shared" ca="1" si="58"/>
        <v>0</v>
      </c>
      <c r="AD198" t="str">
        <f t="shared" si="59"/>
        <v>Safe</v>
      </c>
    </row>
    <row r="199" spans="1:30" hidden="1">
      <c r="A199" s="48" t="str">
        <f>TEXT(Table2[[#This Row],[MB END]],"mmmm")</f>
        <v>February</v>
      </c>
      <c r="B199" s="48" t="str">
        <f>TEXT(Table2[[#This Row],[MB END]],"yyyy")</f>
        <v>2019</v>
      </c>
      <c r="C199" s="117" t="s">
        <v>375</v>
      </c>
      <c r="D199" s="1" t="s">
        <v>7</v>
      </c>
      <c r="E199" s="2">
        <v>42430</v>
      </c>
      <c r="F199" s="28">
        <v>43524</v>
      </c>
      <c r="G199" s="1" t="s">
        <v>376</v>
      </c>
      <c r="H199" s="1" t="s">
        <v>377</v>
      </c>
      <c r="I199" s="5">
        <v>120000</v>
      </c>
      <c r="J199" s="5">
        <v>24612.94</v>
      </c>
      <c r="K199" s="19">
        <f t="shared" si="45"/>
        <v>0.20510783333333332</v>
      </c>
      <c r="L199" s="16">
        <f t="shared" si="46"/>
        <v>35.9</v>
      </c>
      <c r="M199" s="19">
        <f t="shared" si="47"/>
        <v>2.7855153203342621E-2</v>
      </c>
      <c r="N199" s="16">
        <f t="shared" ca="1" si="48"/>
        <v>21.433333333333334</v>
      </c>
      <c r="O199" s="19">
        <f t="shared" ca="1" si="49"/>
        <v>9.569572317262829E-3</v>
      </c>
      <c r="P199" t="str">
        <f t="shared" ca="1" si="50"/>
        <v>Desired Burn Rate</v>
      </c>
      <c r="Q199" s="16">
        <f t="shared" ca="1" si="51"/>
        <v>104.49787794550348</v>
      </c>
      <c r="R199" s="14">
        <f t="shared" ca="1" si="52"/>
        <v>45597</v>
      </c>
      <c r="S199" t="str">
        <f ca="1">TEXT(Table2[[#This Row],[Projected Limit Date]],"mmmm")</f>
        <v>November</v>
      </c>
      <c r="T199">
        <f t="shared" ca="1" si="53"/>
        <v>2025</v>
      </c>
      <c r="U199" t="s">
        <v>562</v>
      </c>
      <c r="V199" t="s">
        <v>761</v>
      </c>
      <c r="W199" t="str">
        <f t="shared" si="54"/>
        <v>Options</v>
      </c>
      <c r="Z199" t="str">
        <f t="shared" ca="1" si="55"/>
        <v>Expiring &gt; 6 Months</v>
      </c>
      <c r="AA199">
        <f t="shared" ca="1" si="56"/>
        <v>0</v>
      </c>
      <c r="AB199">
        <f t="shared" ca="1" si="57"/>
        <v>0</v>
      </c>
      <c r="AC199">
        <f t="shared" ca="1" si="58"/>
        <v>0</v>
      </c>
      <c r="AD199" t="str">
        <f t="shared" si="59"/>
        <v>Safe</v>
      </c>
    </row>
    <row r="200" spans="1:30" hidden="1">
      <c r="A200" s="48" t="str">
        <f>TEXT(Table2[[#This Row],[MB END]],"mmmm")</f>
        <v>April</v>
      </c>
      <c r="B200" s="48" t="str">
        <f>TEXT(Table2[[#This Row],[MB END]],"yyyy")</f>
        <v>2019</v>
      </c>
      <c r="C200" s="117" t="s">
        <v>378</v>
      </c>
      <c r="D200" s="1" t="s">
        <v>24</v>
      </c>
      <c r="E200" s="2">
        <v>42491</v>
      </c>
      <c r="F200" s="28">
        <v>43585</v>
      </c>
      <c r="G200" s="1" t="s">
        <v>379</v>
      </c>
      <c r="H200" s="1" t="s">
        <v>380</v>
      </c>
      <c r="I200" s="5">
        <v>150000</v>
      </c>
      <c r="J200" s="5">
        <v>0</v>
      </c>
      <c r="K200" s="19">
        <f t="shared" si="45"/>
        <v>0</v>
      </c>
      <c r="L200" s="16">
        <f t="shared" si="46"/>
        <v>35.966666666666669</v>
      </c>
      <c r="M200" s="19">
        <f t="shared" si="47"/>
        <v>2.780352177942539E-2</v>
      </c>
      <c r="N200" s="16">
        <f t="shared" ca="1" si="48"/>
        <v>19.433333333333334</v>
      </c>
      <c r="O200" s="19">
        <f t="shared" ca="1" si="49"/>
        <v>0</v>
      </c>
      <c r="P200" t="str">
        <f t="shared" ca="1" si="50"/>
        <v>Desired Burn Rate</v>
      </c>
      <c r="Q200" s="16" t="e">
        <f t="shared" ca="1" si="51"/>
        <v>#DIV/0!</v>
      </c>
      <c r="R200" s="14" t="e">
        <f t="shared" ca="1" si="52"/>
        <v>#DIV/0!</v>
      </c>
      <c r="S200" t="e">
        <f ca="1">TEXT(Table2[[#This Row],[Projected Limit Date]],"mmmm")</f>
        <v>#DIV/0!</v>
      </c>
      <c r="T200" t="e">
        <f t="shared" ca="1" si="53"/>
        <v>#DIV/0!</v>
      </c>
      <c r="U200" t="s">
        <v>562</v>
      </c>
      <c r="V200" t="s">
        <v>761</v>
      </c>
      <c r="W200" t="str">
        <f t="shared" si="54"/>
        <v>Options</v>
      </c>
      <c r="Z200" t="str">
        <f t="shared" ca="1" si="55"/>
        <v>Expiring &gt; 6 Months</v>
      </c>
      <c r="AA200">
        <f t="shared" ca="1" si="56"/>
        <v>0</v>
      </c>
      <c r="AB200">
        <f t="shared" ca="1" si="57"/>
        <v>0</v>
      </c>
      <c r="AC200">
        <f t="shared" ca="1" si="58"/>
        <v>0</v>
      </c>
      <c r="AD200" t="str">
        <f t="shared" si="59"/>
        <v>Safe</v>
      </c>
    </row>
    <row r="201" spans="1:30" hidden="1">
      <c r="A201" s="48" t="str">
        <f>TEXT(Table2[[#This Row],[MB END]],"mmmm")</f>
        <v>April</v>
      </c>
      <c r="B201" s="48" t="str">
        <f>TEXT(Table2[[#This Row],[MB END]],"yyyy")</f>
        <v>2019</v>
      </c>
      <c r="C201" s="117" t="s">
        <v>485</v>
      </c>
      <c r="D201" s="1" t="s">
        <v>136</v>
      </c>
      <c r="E201" s="2">
        <v>42746</v>
      </c>
      <c r="F201" s="28">
        <v>43585</v>
      </c>
      <c r="G201" s="1" t="s">
        <v>486</v>
      </c>
      <c r="H201" s="1" t="s">
        <v>487</v>
      </c>
      <c r="I201" s="5">
        <v>221700</v>
      </c>
      <c r="J201" s="5">
        <v>47965.5</v>
      </c>
      <c r="K201" s="19">
        <f t="shared" si="45"/>
        <v>0.2163531799729364</v>
      </c>
      <c r="L201" s="16">
        <f t="shared" si="46"/>
        <v>27.633333333333333</v>
      </c>
      <c r="M201" s="19">
        <f t="shared" si="47"/>
        <v>3.6188178528347409E-2</v>
      </c>
      <c r="N201" s="16">
        <f t="shared" ca="1" si="48"/>
        <v>11.1</v>
      </c>
      <c r="O201" s="19">
        <f t="shared" ca="1" si="49"/>
        <v>1.9491277475039318E-2</v>
      </c>
      <c r="P201" t="str">
        <f t="shared" ca="1" si="50"/>
        <v>Desired Burn Rate</v>
      </c>
      <c r="Q201" s="16">
        <f t="shared" ca="1" si="51"/>
        <v>51.305000469087148</v>
      </c>
      <c r="R201" s="14">
        <f t="shared" ca="1" si="52"/>
        <v>44297</v>
      </c>
      <c r="S201" t="str">
        <f ca="1">TEXT(Table2[[#This Row],[Projected Limit Date]],"mmmm")</f>
        <v>April</v>
      </c>
      <c r="T201">
        <f t="shared" ca="1" si="53"/>
        <v>2021</v>
      </c>
      <c r="U201" t="s">
        <v>563</v>
      </c>
      <c r="V201" t="s">
        <v>698</v>
      </c>
      <c r="W201" t="str">
        <f t="shared" si="54"/>
        <v>Options</v>
      </c>
      <c r="Z201" t="str">
        <f t="shared" ca="1" si="55"/>
        <v>Expiring &gt; 6 Months</v>
      </c>
      <c r="AA201">
        <f t="shared" ca="1" si="56"/>
        <v>0</v>
      </c>
      <c r="AB201">
        <f t="shared" ca="1" si="57"/>
        <v>0</v>
      </c>
      <c r="AC201">
        <f t="shared" ca="1" si="58"/>
        <v>0</v>
      </c>
      <c r="AD201" t="str">
        <f t="shared" si="59"/>
        <v>Safe</v>
      </c>
    </row>
    <row r="202" spans="1:30" hidden="1">
      <c r="A202" s="48" t="str">
        <f>TEXT(Table2[[#This Row],[MB END]],"mmmm")</f>
        <v>May</v>
      </c>
      <c r="B202" s="48" t="str">
        <f>TEXT(Table2[[#This Row],[MB END]],"yyyy")</f>
        <v>2019</v>
      </c>
      <c r="C202" s="116" t="s">
        <v>728</v>
      </c>
      <c r="D202" s="27" t="s">
        <v>136</v>
      </c>
      <c r="E202" s="28">
        <v>42592</v>
      </c>
      <c r="F202" s="28">
        <v>43616</v>
      </c>
      <c r="G202" s="27" t="s">
        <v>729</v>
      </c>
      <c r="H202" s="27" t="s">
        <v>730</v>
      </c>
      <c r="I202" s="5">
        <v>300000</v>
      </c>
      <c r="J202" s="5">
        <v>109590.64</v>
      </c>
      <c r="K202" s="29">
        <f t="shared" si="45"/>
        <v>0.36530213333333333</v>
      </c>
      <c r="L202" s="23">
        <f t="shared" si="46"/>
        <v>33.700000000000003</v>
      </c>
      <c r="M202" s="30">
        <f t="shared" si="47"/>
        <v>2.9673590504451033E-2</v>
      </c>
      <c r="N202" s="24">
        <f t="shared" ca="1" si="48"/>
        <v>16.133333333333333</v>
      </c>
      <c r="O202" s="30">
        <f t="shared" ca="1" si="49"/>
        <v>2.2642694214876035E-2</v>
      </c>
      <c r="P202" s="26" t="str">
        <f t="shared" ca="1" si="50"/>
        <v>Desired Burn Rate</v>
      </c>
      <c r="Q202" s="24">
        <f t="shared" ca="1" si="51"/>
        <v>44.164355642051177</v>
      </c>
      <c r="R202" s="25">
        <f t="shared" ca="1" si="52"/>
        <v>43931</v>
      </c>
      <c r="S202" s="26" t="str">
        <f ca="1">TEXT(Table2[[#This Row],[Projected Limit Date]],"mmmm")</f>
        <v>April</v>
      </c>
      <c r="T202" s="26">
        <f t="shared" ca="1" si="53"/>
        <v>2020</v>
      </c>
      <c r="U202" s="31" t="s">
        <v>563</v>
      </c>
      <c r="V202" s="31" t="s">
        <v>565</v>
      </c>
      <c r="W202" s="32" t="str">
        <f t="shared" si="54"/>
        <v>No options</v>
      </c>
      <c r="X202" s="31"/>
      <c r="Y202" s="31"/>
      <c r="Z202" t="str">
        <f t="shared" ca="1" si="55"/>
        <v>Expiring &gt; 6 Months</v>
      </c>
      <c r="AA202">
        <f t="shared" ca="1" si="56"/>
        <v>0</v>
      </c>
      <c r="AB202">
        <f t="shared" ca="1" si="57"/>
        <v>0</v>
      </c>
      <c r="AC202">
        <f t="shared" ca="1" si="58"/>
        <v>0</v>
      </c>
      <c r="AD202" t="str">
        <f t="shared" si="59"/>
        <v>Safe</v>
      </c>
    </row>
    <row r="203" spans="1:30" hidden="1">
      <c r="A203" s="48" t="str">
        <f>TEXT(Table2[[#This Row],[MB END]],"mmmm")</f>
        <v>June</v>
      </c>
      <c r="B203" s="48" t="str">
        <f>TEXT(Table2[[#This Row],[MB END]],"yyyy")</f>
        <v>2019</v>
      </c>
      <c r="C203" s="117" t="s">
        <v>387</v>
      </c>
      <c r="D203" s="1" t="s">
        <v>7</v>
      </c>
      <c r="E203" s="2">
        <v>42529</v>
      </c>
      <c r="F203" s="28">
        <v>43623</v>
      </c>
      <c r="G203" s="1" t="s">
        <v>388</v>
      </c>
      <c r="H203" s="1" t="s">
        <v>389</v>
      </c>
      <c r="I203" s="5">
        <v>18499.5</v>
      </c>
      <c r="J203" s="5">
        <v>1176.94</v>
      </c>
      <c r="K203" s="19">
        <f t="shared" si="45"/>
        <v>6.3620097840482184E-2</v>
      </c>
      <c r="L203" s="16">
        <f t="shared" si="46"/>
        <v>35.966666666666669</v>
      </c>
      <c r="M203" s="19">
        <f t="shared" si="47"/>
        <v>2.7803521779425393E-2</v>
      </c>
      <c r="N203" s="16">
        <f t="shared" ca="1" si="48"/>
        <v>18.2</v>
      </c>
      <c r="O203" s="19">
        <f t="shared" ca="1" si="49"/>
        <v>3.4956097714550645E-3</v>
      </c>
      <c r="P203" t="str">
        <f t="shared" ca="1" si="50"/>
        <v>Desired Burn Rate</v>
      </c>
      <c r="Q203" s="16">
        <f t="shared" ca="1" si="51"/>
        <v>286.07312182439205</v>
      </c>
      <c r="R203" s="14">
        <f t="shared" ca="1" si="52"/>
        <v>51234</v>
      </c>
      <c r="S203" t="str">
        <f ca="1">TEXT(Table2[[#This Row],[Projected Limit Date]],"mmmm")</f>
        <v>April</v>
      </c>
      <c r="T203">
        <f t="shared" ca="1" si="53"/>
        <v>2040</v>
      </c>
      <c r="U203" t="s">
        <v>562</v>
      </c>
      <c r="V203" t="s">
        <v>761</v>
      </c>
      <c r="W203" t="str">
        <f t="shared" si="54"/>
        <v>Options</v>
      </c>
      <c r="Z203" t="str">
        <f t="shared" ca="1" si="55"/>
        <v>Expiring &gt; 6 Months</v>
      </c>
      <c r="AA203">
        <f t="shared" ca="1" si="56"/>
        <v>0</v>
      </c>
      <c r="AB203">
        <f t="shared" ca="1" si="57"/>
        <v>0</v>
      </c>
      <c r="AC203">
        <f t="shared" ca="1" si="58"/>
        <v>0</v>
      </c>
      <c r="AD203" t="str">
        <f t="shared" si="59"/>
        <v>Safe</v>
      </c>
    </row>
    <row r="204" spans="1:30" hidden="1">
      <c r="A204" s="48" t="str">
        <f>TEXT(Table2[[#This Row],[MB END]],"mmmm")</f>
        <v>June</v>
      </c>
      <c r="B204" s="48" t="str">
        <f>TEXT(Table2[[#This Row],[MB END]],"yyyy")</f>
        <v>2019</v>
      </c>
      <c r="C204" s="117" t="s">
        <v>393</v>
      </c>
      <c r="D204" s="1" t="s">
        <v>7</v>
      </c>
      <c r="E204" s="2">
        <v>42529</v>
      </c>
      <c r="F204" s="28">
        <v>43623</v>
      </c>
      <c r="G204" s="1" t="s">
        <v>394</v>
      </c>
      <c r="H204" s="1" t="s">
        <v>395</v>
      </c>
      <c r="I204" s="5">
        <v>200000</v>
      </c>
      <c r="J204" s="5">
        <v>8460.2099999999991</v>
      </c>
      <c r="K204" s="19">
        <f t="shared" si="45"/>
        <v>4.2301049999999993E-2</v>
      </c>
      <c r="L204" s="16">
        <f t="shared" si="46"/>
        <v>35.966666666666669</v>
      </c>
      <c r="M204" s="19">
        <f t="shared" si="47"/>
        <v>2.780352177942539E-2</v>
      </c>
      <c r="N204" s="16">
        <f t="shared" ca="1" si="48"/>
        <v>18.2</v>
      </c>
      <c r="O204" s="19">
        <f t="shared" ca="1" si="49"/>
        <v>2.3242335164835163E-3</v>
      </c>
      <c r="P204" t="str">
        <f t="shared" ca="1" si="50"/>
        <v>Desired Burn Rate</v>
      </c>
      <c r="Q204" s="16">
        <f t="shared" ca="1" si="51"/>
        <v>430.24936733248944</v>
      </c>
      <c r="R204" s="14">
        <f t="shared" ca="1" si="52"/>
        <v>55617</v>
      </c>
      <c r="S204" t="str">
        <f ca="1">TEXT(Table2[[#This Row],[Projected Limit Date]],"mmmm")</f>
        <v>April</v>
      </c>
      <c r="T204">
        <f t="shared" ca="1" si="53"/>
        <v>2052</v>
      </c>
      <c r="U204" t="s">
        <v>562</v>
      </c>
      <c r="V204" t="s">
        <v>573</v>
      </c>
      <c r="W204" t="str">
        <f t="shared" si="54"/>
        <v>Options</v>
      </c>
      <c r="Z204" t="str">
        <f t="shared" ca="1" si="55"/>
        <v>Expiring &gt; 6 Months</v>
      </c>
      <c r="AA204">
        <f t="shared" ca="1" si="56"/>
        <v>0</v>
      </c>
      <c r="AB204">
        <f t="shared" ca="1" si="57"/>
        <v>0</v>
      </c>
      <c r="AC204">
        <f t="shared" ca="1" si="58"/>
        <v>0</v>
      </c>
      <c r="AD204" t="str">
        <f t="shared" si="59"/>
        <v>Safe</v>
      </c>
    </row>
    <row r="205" spans="1:30" hidden="1">
      <c r="A205" s="48" t="str">
        <f>TEXT(Table2[[#This Row],[MB END]],"mmmm")</f>
        <v>June</v>
      </c>
      <c r="B205" s="48" t="str">
        <f>TEXT(Table2[[#This Row],[MB END]],"yyyy")</f>
        <v>2019</v>
      </c>
      <c r="C205" s="116" t="s">
        <v>592</v>
      </c>
      <c r="D205" s="27" t="s">
        <v>52</v>
      </c>
      <c r="E205" s="28">
        <v>41815</v>
      </c>
      <c r="F205" s="28">
        <v>43640</v>
      </c>
      <c r="G205" s="27" t="s">
        <v>593</v>
      </c>
      <c r="H205" s="27" t="s">
        <v>116</v>
      </c>
      <c r="I205" s="5">
        <v>1000000</v>
      </c>
      <c r="J205" s="5">
        <v>21337.759999999998</v>
      </c>
      <c r="K205" s="29">
        <f t="shared" si="45"/>
        <v>2.1337759999999997E-2</v>
      </c>
      <c r="L205" s="23">
        <f t="shared" si="46"/>
        <v>59.966666666666669</v>
      </c>
      <c r="M205" s="30">
        <f t="shared" si="47"/>
        <v>1.6675931072818232E-2</v>
      </c>
      <c r="N205" s="24">
        <f t="shared" ca="1" si="48"/>
        <v>41.633333333333333</v>
      </c>
      <c r="O205" s="30">
        <f t="shared" ca="1" si="49"/>
        <v>5.1251625300240188E-4</v>
      </c>
      <c r="P205" s="26" t="str">
        <f t="shared" ca="1" si="50"/>
        <v>Desired Burn Rate</v>
      </c>
      <c r="Q205" s="24">
        <f t="shared" ca="1" si="51"/>
        <v>1951.1576347907812</v>
      </c>
      <c r="R205" s="25">
        <f t="shared" ca="1" si="52"/>
        <v>101199</v>
      </c>
      <c r="S205" s="26" t="str">
        <f ca="1">TEXT(Table2[[#This Row],[Projected Limit Date]],"mmmm")</f>
        <v>January</v>
      </c>
      <c r="T205" s="26">
        <f t="shared" ca="1" si="53"/>
        <v>2177</v>
      </c>
      <c r="U205" s="31" t="s">
        <v>563</v>
      </c>
      <c r="V205" s="31" t="s">
        <v>594</v>
      </c>
      <c r="W205" s="32" t="str">
        <f t="shared" si="54"/>
        <v>Options</v>
      </c>
      <c r="X205" s="35"/>
      <c r="Y205" s="35"/>
      <c r="Z205" t="str">
        <f t="shared" ca="1" si="55"/>
        <v>Expiring &gt; 6 Months</v>
      </c>
      <c r="AA205">
        <f t="shared" ca="1" si="56"/>
        <v>0</v>
      </c>
      <c r="AB205">
        <f t="shared" ca="1" si="57"/>
        <v>0</v>
      </c>
      <c r="AC205">
        <f t="shared" ca="1" si="58"/>
        <v>0</v>
      </c>
      <c r="AD205" t="str">
        <f t="shared" si="59"/>
        <v>Safe</v>
      </c>
    </row>
    <row r="206" spans="1:30" hidden="1">
      <c r="A206" s="48" t="str">
        <f>TEXT(Table2[[#This Row],[MB END]],"mmmm")</f>
        <v>June</v>
      </c>
      <c r="B206" s="48" t="str">
        <f>TEXT(Table2[[#This Row],[MB END]],"yyyy")</f>
        <v>2019</v>
      </c>
      <c r="C206" s="116" t="s">
        <v>595</v>
      </c>
      <c r="D206" s="27" t="s">
        <v>52</v>
      </c>
      <c r="E206" s="28">
        <v>41815</v>
      </c>
      <c r="F206" s="28">
        <v>43640</v>
      </c>
      <c r="G206" s="27" t="s">
        <v>596</v>
      </c>
      <c r="H206" s="27" t="s">
        <v>597</v>
      </c>
      <c r="I206" s="5">
        <v>1000000</v>
      </c>
      <c r="J206" s="5">
        <v>175410.41</v>
      </c>
      <c r="K206" s="29">
        <f t="shared" si="45"/>
        <v>0.17541041000000002</v>
      </c>
      <c r="L206" s="23">
        <f t="shared" si="46"/>
        <v>59.966666666666669</v>
      </c>
      <c r="M206" s="30">
        <f t="shared" si="47"/>
        <v>1.6675931072818232E-2</v>
      </c>
      <c r="N206" s="24">
        <f t="shared" ca="1" si="48"/>
        <v>41.633333333333333</v>
      </c>
      <c r="O206" s="30">
        <f t="shared" ca="1" si="49"/>
        <v>4.2132204163330663E-3</v>
      </c>
      <c r="P206" s="26" t="str">
        <f t="shared" ca="1" si="50"/>
        <v>Desired Burn Rate</v>
      </c>
      <c r="Q206" s="24">
        <f t="shared" ca="1" si="51"/>
        <v>237.34813306310232</v>
      </c>
      <c r="R206" s="25">
        <f t="shared" ca="1" si="52"/>
        <v>49028</v>
      </c>
      <c r="S206" s="26" t="str">
        <f ca="1">TEXT(Table2[[#This Row],[Projected Limit Date]],"mmmm")</f>
        <v>March</v>
      </c>
      <c r="T206" s="26">
        <f t="shared" ca="1" si="53"/>
        <v>2034</v>
      </c>
      <c r="U206" s="31" t="s">
        <v>563</v>
      </c>
      <c r="V206" s="31" t="s">
        <v>594</v>
      </c>
      <c r="W206" s="32" t="str">
        <f t="shared" si="54"/>
        <v>Options</v>
      </c>
      <c r="X206" s="35"/>
      <c r="Y206" s="35"/>
      <c r="Z206" t="str">
        <f t="shared" ca="1" si="55"/>
        <v>Expiring &gt; 6 Months</v>
      </c>
      <c r="AA206">
        <f t="shared" ca="1" si="56"/>
        <v>0</v>
      </c>
      <c r="AB206">
        <f t="shared" ca="1" si="57"/>
        <v>0</v>
      </c>
      <c r="AC206">
        <f t="shared" ca="1" si="58"/>
        <v>0</v>
      </c>
      <c r="AD206" t="str">
        <f t="shared" si="59"/>
        <v>Safe</v>
      </c>
    </row>
    <row r="207" spans="1:30">
      <c r="A207" s="48" t="str">
        <f>TEXT(Table2[[#This Row],[MB END]],"mmmm")</f>
        <v>June</v>
      </c>
      <c r="B207" s="48" t="str">
        <f>TEXT(Table2[[#This Row],[MB END]],"yyyy")</f>
        <v>2019</v>
      </c>
      <c r="C207" s="116" t="s">
        <v>598</v>
      </c>
      <c r="D207" s="27" t="s">
        <v>52</v>
      </c>
      <c r="E207" s="28">
        <v>41815</v>
      </c>
      <c r="F207" s="28">
        <v>43640</v>
      </c>
      <c r="G207" s="27" t="s">
        <v>599</v>
      </c>
      <c r="H207" s="27" t="s">
        <v>600</v>
      </c>
      <c r="I207" s="5">
        <v>1000000</v>
      </c>
      <c r="J207" s="5">
        <v>883217.99</v>
      </c>
      <c r="K207" s="29">
        <f t="shared" si="45"/>
        <v>0.88321799000000001</v>
      </c>
      <c r="L207" s="23">
        <f t="shared" si="46"/>
        <v>59.966666666666669</v>
      </c>
      <c r="M207" s="30">
        <f t="shared" si="47"/>
        <v>1.6675931072818232E-2</v>
      </c>
      <c r="N207" s="24">
        <f t="shared" ca="1" si="48"/>
        <v>41.633333333333333</v>
      </c>
      <c r="O207" s="30">
        <f t="shared" ca="1" si="49"/>
        <v>2.1214203122497999E-2</v>
      </c>
      <c r="P207" s="26" t="str">
        <f t="shared" ca="1" si="50"/>
        <v>High Burn Rate</v>
      </c>
      <c r="Q207" s="24">
        <f t="shared" ca="1" si="51"/>
        <v>47.138230657341268</v>
      </c>
      <c r="R207" s="25">
        <f t="shared" ca="1" si="52"/>
        <v>43245</v>
      </c>
      <c r="S207" s="26" t="str">
        <f ca="1">TEXT(Table2[[#This Row],[Projected Limit Date]],"mmmm")</f>
        <v>May</v>
      </c>
      <c r="T207" s="26">
        <f t="shared" ca="1" si="53"/>
        <v>2018</v>
      </c>
      <c r="U207" s="31" t="s">
        <v>563</v>
      </c>
      <c r="V207" s="31" t="s">
        <v>594</v>
      </c>
      <c r="W207" s="32" t="str">
        <f t="shared" si="54"/>
        <v>Options</v>
      </c>
      <c r="X207" s="35"/>
      <c r="Y207" s="35"/>
      <c r="Z207" t="str">
        <f t="shared" ca="1" si="55"/>
        <v>Expiring &gt; 6 Months</v>
      </c>
      <c r="AA207">
        <f t="shared" ca="1" si="56"/>
        <v>0</v>
      </c>
      <c r="AB207">
        <f t="shared" ca="1" si="57"/>
        <v>0</v>
      </c>
      <c r="AC207">
        <f t="shared" ca="1" si="58"/>
        <v>0</v>
      </c>
      <c r="AD207" t="str">
        <f t="shared" si="59"/>
        <v>Reaching Spending Limit</v>
      </c>
    </row>
    <row r="208" spans="1:30" hidden="1">
      <c r="A208" s="48" t="str">
        <f>TEXT(Table2[[#This Row],[MB END]],"mmmm")</f>
        <v>June</v>
      </c>
      <c r="B208" s="48" t="str">
        <f>TEXT(Table2[[#This Row],[MB END]],"yyyy")</f>
        <v>2019</v>
      </c>
      <c r="C208" s="116" t="s">
        <v>731</v>
      </c>
      <c r="D208" s="27" t="s">
        <v>315</v>
      </c>
      <c r="E208" s="28">
        <v>42471</v>
      </c>
      <c r="F208" s="28">
        <v>43646</v>
      </c>
      <c r="G208" s="27" t="s">
        <v>732</v>
      </c>
      <c r="H208" s="27" t="s">
        <v>638</v>
      </c>
      <c r="I208" s="5">
        <v>306504.58</v>
      </c>
      <c r="J208" s="5">
        <v>227287.87</v>
      </c>
      <c r="K208" s="29">
        <f t="shared" ref="K208:K238" si="60">J208/I208</f>
        <v>0.74154803820549753</v>
      </c>
      <c r="L208" s="23">
        <f t="shared" si="46"/>
        <v>38.633333333333333</v>
      </c>
      <c r="M208" s="30">
        <f t="shared" si="47"/>
        <v>2.5884383088869714E-2</v>
      </c>
      <c r="N208" s="24">
        <f t="shared" ca="1" si="48"/>
        <v>20.100000000000001</v>
      </c>
      <c r="O208" s="30">
        <f t="shared" ca="1" si="49"/>
        <v>3.6892937224154106E-2</v>
      </c>
      <c r="P208" s="26" t="str">
        <f t="shared" ca="1" si="50"/>
        <v>High Burn Rate</v>
      </c>
      <c r="Q208" s="24">
        <f t="shared" ca="1" si="51"/>
        <v>27.105459072672911</v>
      </c>
      <c r="R208" s="25">
        <f t="shared" ca="1" si="52"/>
        <v>43292</v>
      </c>
      <c r="S208" s="26" t="str">
        <f ca="1">TEXT(Table2[[#This Row],[Projected Limit Date]],"mmmm")</f>
        <v>July</v>
      </c>
      <c r="T208" s="26">
        <f t="shared" ca="1" si="53"/>
        <v>2019</v>
      </c>
      <c r="U208" s="31" t="s">
        <v>563</v>
      </c>
      <c r="V208" s="31" t="s">
        <v>565</v>
      </c>
      <c r="W208" s="32" t="str">
        <f t="shared" si="54"/>
        <v>No options</v>
      </c>
      <c r="X208" s="31"/>
      <c r="Y208" s="31"/>
      <c r="Z208" t="str">
        <f t="shared" ca="1" si="55"/>
        <v>Expiring &gt; 6 Months</v>
      </c>
      <c r="AA208">
        <f t="shared" ca="1" si="56"/>
        <v>0</v>
      </c>
      <c r="AB208">
        <f t="shared" ca="1" si="57"/>
        <v>0</v>
      </c>
      <c r="AC208">
        <f t="shared" ca="1" si="58"/>
        <v>0</v>
      </c>
      <c r="AD208" t="str">
        <f t="shared" si="59"/>
        <v>Safe</v>
      </c>
    </row>
    <row r="209" spans="1:30" hidden="1">
      <c r="A209" s="48" t="str">
        <f>TEXT(Table2[[#This Row],[MB END]],"mmmm")</f>
        <v>July</v>
      </c>
      <c r="B209" s="48" t="str">
        <f>TEXT(Table2[[#This Row],[MB END]],"yyyy")</f>
        <v>2019</v>
      </c>
      <c r="C209" s="117" t="s">
        <v>411</v>
      </c>
      <c r="D209" s="1" t="s">
        <v>7</v>
      </c>
      <c r="E209" s="2">
        <v>42583</v>
      </c>
      <c r="F209" s="28">
        <v>43677</v>
      </c>
      <c r="G209" s="1" t="s">
        <v>412</v>
      </c>
      <c r="H209" s="1" t="s">
        <v>186</v>
      </c>
      <c r="I209" s="5">
        <v>100000</v>
      </c>
      <c r="J209" s="5">
        <v>11163.99</v>
      </c>
      <c r="K209" s="19">
        <f t="shared" si="60"/>
        <v>0.1116399</v>
      </c>
      <c r="L209" s="16">
        <f t="shared" si="46"/>
        <v>36</v>
      </c>
      <c r="M209" s="19">
        <f t="shared" si="47"/>
        <v>2.777777777777778E-2</v>
      </c>
      <c r="N209" s="16">
        <f t="shared" ca="1" si="48"/>
        <v>16.433333333333334</v>
      </c>
      <c r="O209" s="19">
        <f t="shared" ca="1" si="49"/>
        <v>6.7935030425963485E-3</v>
      </c>
      <c r="P209" t="str">
        <f t="shared" ca="1" si="50"/>
        <v>Desired Burn Rate</v>
      </c>
      <c r="Q209" s="16">
        <f t="shared" ca="1" si="51"/>
        <v>147.19946303546791</v>
      </c>
      <c r="R209" s="14">
        <f t="shared" ca="1" si="52"/>
        <v>47058</v>
      </c>
      <c r="S209" t="str">
        <f ca="1">TEXT(Table2[[#This Row],[Projected Limit Date]],"mmmm")</f>
        <v>November</v>
      </c>
      <c r="T209">
        <f t="shared" ca="1" si="53"/>
        <v>2029</v>
      </c>
      <c r="U209" t="s">
        <v>562</v>
      </c>
      <c r="V209" t="s">
        <v>573</v>
      </c>
      <c r="W209" t="str">
        <f t="shared" si="54"/>
        <v>Options</v>
      </c>
      <c r="Z209" t="str">
        <f t="shared" ca="1" si="55"/>
        <v>Expiring &gt; 6 Months</v>
      </c>
      <c r="AA209">
        <f t="shared" ca="1" si="56"/>
        <v>0</v>
      </c>
      <c r="AB209">
        <f t="shared" ca="1" si="57"/>
        <v>0</v>
      </c>
      <c r="AC209">
        <f t="shared" ca="1" si="58"/>
        <v>0</v>
      </c>
      <c r="AD209" t="str">
        <f t="shared" si="59"/>
        <v>Safe</v>
      </c>
    </row>
    <row r="210" spans="1:30" hidden="1">
      <c r="A210" s="48" t="str">
        <f>TEXT(Table2[[#This Row],[MB END]],"mmmm")</f>
        <v>August</v>
      </c>
      <c r="B210" s="48" t="str">
        <f>TEXT(Table2[[#This Row],[MB END]],"yyyy")</f>
        <v>2019</v>
      </c>
      <c r="C210" s="117" t="s">
        <v>449</v>
      </c>
      <c r="D210" s="1" t="s">
        <v>349</v>
      </c>
      <c r="E210" s="2">
        <v>42592</v>
      </c>
      <c r="F210" s="28">
        <v>43686</v>
      </c>
      <c r="G210" s="1" t="s">
        <v>450</v>
      </c>
      <c r="H210" s="1" t="s">
        <v>332</v>
      </c>
      <c r="I210" s="5">
        <v>186930</v>
      </c>
      <c r="J210" s="5">
        <v>120566.33</v>
      </c>
      <c r="K210" s="19">
        <f t="shared" si="60"/>
        <v>0.64498116942170869</v>
      </c>
      <c r="L210" s="16">
        <f t="shared" si="46"/>
        <v>35.966666666666669</v>
      </c>
      <c r="M210" s="19">
        <f t="shared" si="47"/>
        <v>2.7803521779425393E-2</v>
      </c>
      <c r="N210" s="16">
        <f t="shared" ca="1" si="48"/>
        <v>16.133333333333333</v>
      </c>
      <c r="O210" s="19">
        <f t="shared" ca="1" si="49"/>
        <v>3.9978171658370372E-2</v>
      </c>
      <c r="P210" t="str">
        <f t="shared" ca="1" si="50"/>
        <v>High Burn Rate</v>
      </c>
      <c r="Q210" s="16">
        <f t="shared" ca="1" si="51"/>
        <v>25.013650162528794</v>
      </c>
      <c r="R210" s="14">
        <f t="shared" ca="1" si="52"/>
        <v>43353</v>
      </c>
      <c r="S210" t="str">
        <f ca="1">TEXT(Table2[[#This Row],[Projected Limit Date]],"mmmm")</f>
        <v>September</v>
      </c>
      <c r="T210">
        <f t="shared" ca="1" si="53"/>
        <v>2019</v>
      </c>
      <c r="U210" t="s">
        <v>562</v>
      </c>
      <c r="V210" t="s">
        <v>654</v>
      </c>
      <c r="W210" t="str">
        <f t="shared" si="54"/>
        <v>Options</v>
      </c>
      <c r="Z210" t="str">
        <f t="shared" ca="1" si="55"/>
        <v>Expiring &gt; 6 Months</v>
      </c>
      <c r="AA210">
        <f t="shared" ca="1" si="56"/>
        <v>0</v>
      </c>
      <c r="AB210">
        <f t="shared" ca="1" si="57"/>
        <v>0</v>
      </c>
      <c r="AC210">
        <f t="shared" ca="1" si="58"/>
        <v>0</v>
      </c>
      <c r="AD210" t="str">
        <f t="shared" si="59"/>
        <v>Safe</v>
      </c>
    </row>
    <row r="211" spans="1:30" hidden="1">
      <c r="A211" s="48" t="str">
        <f>TEXT(Table2[[#This Row],[MB END]],"mmmm")</f>
        <v>September</v>
      </c>
      <c r="B211" s="48" t="str">
        <f>TEXT(Table2[[#This Row],[MB END]],"yyyy")</f>
        <v>2019</v>
      </c>
      <c r="C211" s="116" t="s">
        <v>733</v>
      </c>
      <c r="D211" s="27" t="s">
        <v>52</v>
      </c>
      <c r="E211" s="28">
        <v>42627</v>
      </c>
      <c r="F211" s="28">
        <v>43721</v>
      </c>
      <c r="G211" s="27" t="s">
        <v>734</v>
      </c>
      <c r="H211" s="27" t="s">
        <v>735</v>
      </c>
      <c r="I211" s="5">
        <v>300000</v>
      </c>
      <c r="J211" s="5">
        <v>39142.120000000003</v>
      </c>
      <c r="K211" s="29">
        <f t="shared" si="60"/>
        <v>0.13047373333333334</v>
      </c>
      <c r="L211" s="23">
        <f t="shared" si="46"/>
        <v>35.966666666666669</v>
      </c>
      <c r="M211" s="30">
        <f t="shared" si="47"/>
        <v>2.780352177942539E-2</v>
      </c>
      <c r="N211" s="24">
        <f t="shared" ca="1" si="48"/>
        <v>15</v>
      </c>
      <c r="O211" s="30">
        <f t="shared" ca="1" si="49"/>
        <v>8.69824888888889E-3</v>
      </c>
      <c r="P211" s="26" t="str">
        <f t="shared" ca="1" si="50"/>
        <v>Desired Burn Rate</v>
      </c>
      <c r="Q211" s="24">
        <f t="shared" ca="1" si="51"/>
        <v>114.96566869653456</v>
      </c>
      <c r="R211" s="25">
        <f t="shared" ca="1" si="52"/>
        <v>46095</v>
      </c>
      <c r="S211" s="26" t="str">
        <f ca="1">TEXT(Table2[[#This Row],[Projected Limit Date]],"mmmm")</f>
        <v>March</v>
      </c>
      <c r="T211" s="26">
        <f t="shared" ca="1" si="53"/>
        <v>2026</v>
      </c>
      <c r="U211" s="31" t="s">
        <v>563</v>
      </c>
      <c r="V211" s="31" t="s">
        <v>736</v>
      </c>
      <c r="W211" s="32" t="str">
        <f t="shared" si="54"/>
        <v>Options</v>
      </c>
      <c r="X211" s="31"/>
      <c r="Y211" s="31"/>
      <c r="Z211" t="str">
        <f t="shared" ca="1" si="55"/>
        <v>Expiring &gt; 6 Months</v>
      </c>
      <c r="AA211">
        <f t="shared" ca="1" si="56"/>
        <v>0</v>
      </c>
      <c r="AB211">
        <f t="shared" ca="1" si="57"/>
        <v>0</v>
      </c>
      <c r="AC211">
        <f t="shared" ca="1" si="58"/>
        <v>0</v>
      </c>
      <c r="AD211" t="str">
        <f t="shared" si="59"/>
        <v>Safe</v>
      </c>
    </row>
    <row r="212" spans="1:30" hidden="1">
      <c r="A212" s="48" t="str">
        <f>TEXT(Table2[[#This Row],[MB END]],"mmmm")</f>
        <v>September</v>
      </c>
      <c r="B212" s="48" t="str">
        <f>TEXT(Table2[[#This Row],[MB END]],"yyyy")</f>
        <v>2019</v>
      </c>
      <c r="C212" s="117" t="s">
        <v>441</v>
      </c>
      <c r="D212" s="1" t="s">
        <v>58</v>
      </c>
      <c r="E212" s="2">
        <v>42644</v>
      </c>
      <c r="F212" s="28">
        <v>43738</v>
      </c>
      <c r="G212" s="1" t="s">
        <v>442</v>
      </c>
      <c r="H212" s="1" t="s">
        <v>443</v>
      </c>
      <c r="I212" s="5">
        <v>3000000</v>
      </c>
      <c r="J212" s="5">
        <v>680700.11</v>
      </c>
      <c r="K212" s="19">
        <f t="shared" si="60"/>
        <v>0.22690003666666667</v>
      </c>
      <c r="L212" s="16">
        <f t="shared" si="46"/>
        <v>35.966666666666669</v>
      </c>
      <c r="M212" s="19">
        <f t="shared" si="47"/>
        <v>2.7803521779425393E-2</v>
      </c>
      <c r="N212" s="16">
        <f t="shared" ca="1" si="48"/>
        <v>14.433333333333334</v>
      </c>
      <c r="O212" s="19">
        <f t="shared" ca="1" si="49"/>
        <v>1.5720556812933027E-2</v>
      </c>
      <c r="P212" t="str">
        <f t="shared" ca="1" si="50"/>
        <v>Desired Burn Rate</v>
      </c>
      <c r="Q212" s="16">
        <f t="shared" ca="1" si="51"/>
        <v>63.610978408685732</v>
      </c>
      <c r="R212" s="14">
        <f t="shared" ca="1" si="52"/>
        <v>44562</v>
      </c>
      <c r="S212" t="str">
        <f ca="1">TEXT(Table2[[#This Row],[Projected Limit Date]],"mmmm")</f>
        <v>January</v>
      </c>
      <c r="T212">
        <f t="shared" ca="1" si="53"/>
        <v>2022</v>
      </c>
      <c r="U212" t="s">
        <v>562</v>
      </c>
      <c r="V212" t="s">
        <v>573</v>
      </c>
      <c r="W212" t="str">
        <f t="shared" si="54"/>
        <v>Options</v>
      </c>
      <c r="Z212" t="str">
        <f t="shared" ca="1" si="55"/>
        <v>Expiring &gt; 6 Months</v>
      </c>
      <c r="AA212">
        <f t="shared" ca="1" si="56"/>
        <v>0</v>
      </c>
      <c r="AB212">
        <f t="shared" ca="1" si="57"/>
        <v>0</v>
      </c>
      <c r="AC212">
        <f t="shared" ca="1" si="58"/>
        <v>0</v>
      </c>
      <c r="AD212" t="str">
        <f t="shared" si="59"/>
        <v>Safe</v>
      </c>
    </row>
    <row r="213" spans="1:30">
      <c r="A213" s="48" t="str">
        <f>TEXT(Table2[[#This Row],[MB END]],"mmmm")</f>
        <v>September</v>
      </c>
      <c r="B213" s="48" t="str">
        <f>TEXT(Table2[[#This Row],[MB END]],"yyyy")</f>
        <v>2019</v>
      </c>
      <c r="C213" s="116" t="s">
        <v>737</v>
      </c>
      <c r="D213" s="27" t="s">
        <v>315</v>
      </c>
      <c r="E213" s="28">
        <v>42644</v>
      </c>
      <c r="F213" s="28">
        <v>43738</v>
      </c>
      <c r="G213" s="27" t="s">
        <v>738</v>
      </c>
      <c r="H213" s="27" t="s">
        <v>739</v>
      </c>
      <c r="I213" s="5">
        <v>200000</v>
      </c>
      <c r="J213" s="5">
        <v>179510.83</v>
      </c>
      <c r="K213" s="29">
        <f t="shared" si="60"/>
        <v>0.89755414999999994</v>
      </c>
      <c r="L213" s="23">
        <f t="shared" si="46"/>
        <v>35.966666666666669</v>
      </c>
      <c r="M213" s="30">
        <f t="shared" si="47"/>
        <v>2.780352177942539E-2</v>
      </c>
      <c r="N213" s="24">
        <f t="shared" ca="1" si="48"/>
        <v>14.433333333333334</v>
      </c>
      <c r="O213" s="30">
        <f t="shared" ca="1" si="49"/>
        <v>6.218619976905311E-2</v>
      </c>
      <c r="P213" s="26" t="str">
        <f t="shared" ca="1" si="50"/>
        <v>Really High Burn Rate</v>
      </c>
      <c r="Q213" s="24">
        <f t="shared" ca="1" si="51"/>
        <v>16.080738229925554</v>
      </c>
      <c r="R213" s="25">
        <f t="shared" ca="1" si="52"/>
        <v>43132</v>
      </c>
      <c r="S213" s="26" t="str">
        <f ca="1">TEXT(Table2[[#This Row],[Projected Limit Date]],"mmmm")</f>
        <v>February</v>
      </c>
      <c r="T213" s="26">
        <f t="shared" ca="1" si="53"/>
        <v>2018</v>
      </c>
      <c r="U213" s="31" t="s">
        <v>563</v>
      </c>
      <c r="V213" s="31" t="s">
        <v>565</v>
      </c>
      <c r="W213" s="32" t="str">
        <f t="shared" si="54"/>
        <v>No options</v>
      </c>
      <c r="X213" s="31"/>
      <c r="Y213" s="31" t="s">
        <v>934</v>
      </c>
      <c r="Z213" t="str">
        <f t="shared" ca="1" si="55"/>
        <v>Expiring &gt; 6 Months</v>
      </c>
      <c r="AA213">
        <f t="shared" ca="1" si="56"/>
        <v>0</v>
      </c>
      <c r="AB213">
        <f t="shared" ca="1" si="57"/>
        <v>0</v>
      </c>
      <c r="AC213">
        <f t="shared" ca="1" si="58"/>
        <v>0</v>
      </c>
      <c r="AD213" t="str">
        <f t="shared" si="59"/>
        <v>Reaching Spending Limit</v>
      </c>
    </row>
    <row r="214" spans="1:30" hidden="1">
      <c r="A214" s="48" t="str">
        <f>TEXT(Table2[[#This Row],[MB END]],"mmmm")</f>
        <v>September</v>
      </c>
      <c r="B214" s="48" t="str">
        <f>TEXT(Table2[[#This Row],[MB END]],"yyyy")</f>
        <v>2019</v>
      </c>
      <c r="C214" s="116" t="s">
        <v>740</v>
      </c>
      <c r="D214" s="27" t="s">
        <v>315</v>
      </c>
      <c r="E214" s="28">
        <v>42644</v>
      </c>
      <c r="F214" s="28">
        <v>43738</v>
      </c>
      <c r="G214" s="27" t="s">
        <v>741</v>
      </c>
      <c r="H214" s="27" t="s">
        <v>742</v>
      </c>
      <c r="I214" s="5">
        <v>149000</v>
      </c>
      <c r="J214" s="5">
        <v>93587.34</v>
      </c>
      <c r="K214" s="29">
        <f t="shared" si="60"/>
        <v>0.62810295302013419</v>
      </c>
      <c r="L214" s="23">
        <f t="shared" si="46"/>
        <v>35.966666666666669</v>
      </c>
      <c r="M214" s="30">
        <f t="shared" si="47"/>
        <v>2.7803521779425393E-2</v>
      </c>
      <c r="N214" s="24">
        <f t="shared" ca="1" si="48"/>
        <v>14.433333333333334</v>
      </c>
      <c r="O214" s="30">
        <f t="shared" ca="1" si="49"/>
        <v>4.3517525613404218E-2</v>
      </c>
      <c r="P214" s="26" t="str">
        <f t="shared" ca="1" si="50"/>
        <v>High Burn Rate</v>
      </c>
      <c r="Q214" s="24">
        <f t="shared" ca="1" si="51"/>
        <v>22.979247691692773</v>
      </c>
      <c r="R214" s="25">
        <f t="shared" ca="1" si="52"/>
        <v>43313</v>
      </c>
      <c r="S214" s="26" t="str">
        <f ca="1">TEXT(Table2[[#This Row],[Projected Limit Date]],"mmmm")</f>
        <v>August</v>
      </c>
      <c r="T214" s="26">
        <f t="shared" ca="1" si="53"/>
        <v>2019</v>
      </c>
      <c r="U214" s="31" t="s">
        <v>563</v>
      </c>
      <c r="V214" s="31" t="s">
        <v>604</v>
      </c>
      <c r="W214" s="32" t="str">
        <f t="shared" si="54"/>
        <v>Options</v>
      </c>
      <c r="X214" s="31"/>
      <c r="Y214" s="31"/>
      <c r="Z214" t="str">
        <f t="shared" ca="1" si="55"/>
        <v>Expiring &gt; 6 Months</v>
      </c>
      <c r="AA214">
        <f t="shared" ca="1" si="56"/>
        <v>0</v>
      </c>
      <c r="AB214">
        <f t="shared" ca="1" si="57"/>
        <v>0</v>
      </c>
      <c r="AC214">
        <f t="shared" ca="1" si="58"/>
        <v>0</v>
      </c>
      <c r="AD214" t="str">
        <f t="shared" si="59"/>
        <v>Safe</v>
      </c>
    </row>
    <row r="215" spans="1:30" hidden="1">
      <c r="A215" s="48" t="str">
        <f>TEXT(Table2[[#This Row],[MB END]],"mmmm")</f>
        <v>November</v>
      </c>
      <c r="B215" s="48" t="str">
        <f>TEXT(Table2[[#This Row],[MB END]],"yyyy")</f>
        <v>2019</v>
      </c>
      <c r="C215" s="116" t="s">
        <v>743</v>
      </c>
      <c r="D215" s="36" t="s">
        <v>48</v>
      </c>
      <c r="E215" s="40">
        <v>42705</v>
      </c>
      <c r="F215" s="28">
        <v>43799</v>
      </c>
      <c r="G215" s="36" t="s">
        <v>744</v>
      </c>
      <c r="H215" s="36" t="s">
        <v>745</v>
      </c>
      <c r="I215" s="5">
        <v>811980</v>
      </c>
      <c r="J215" s="5">
        <v>428800</v>
      </c>
      <c r="K215" s="41">
        <f t="shared" si="60"/>
        <v>0.52809182492179607</v>
      </c>
      <c r="L215" s="37">
        <f t="shared" si="46"/>
        <v>35.966666666666669</v>
      </c>
      <c r="M215" s="42">
        <f t="shared" si="47"/>
        <v>2.7803521779425393E-2</v>
      </c>
      <c r="N215" s="38">
        <f t="shared" ca="1" si="48"/>
        <v>12.433333333333334</v>
      </c>
      <c r="O215" s="42">
        <f t="shared" ca="1" si="49"/>
        <v>4.2473873318106925E-2</v>
      </c>
      <c r="P215" s="43" t="str">
        <f t="shared" ca="1" si="50"/>
        <v>High Burn Rate</v>
      </c>
      <c r="Q215" s="38">
        <f t="shared" ca="1" si="51"/>
        <v>23.543885261194031</v>
      </c>
      <c r="R215" s="39">
        <f t="shared" ca="1" si="52"/>
        <v>43405</v>
      </c>
      <c r="S215" s="44" t="str">
        <f ca="1">TEXT(Table2[[#This Row],[Projected Limit Date]],"mmmm")</f>
        <v>November</v>
      </c>
      <c r="T215" s="44">
        <f t="shared" ca="1" si="53"/>
        <v>2019</v>
      </c>
      <c r="U215" s="31" t="s">
        <v>563</v>
      </c>
      <c r="V215" s="31" t="s">
        <v>565</v>
      </c>
      <c r="W215" s="45" t="str">
        <f t="shared" si="54"/>
        <v>No options</v>
      </c>
      <c r="X215" s="46"/>
      <c r="Y215" s="46"/>
      <c r="Z215" t="str">
        <f t="shared" ca="1" si="55"/>
        <v>Expiring &gt; 6 Months</v>
      </c>
      <c r="AA215">
        <f t="shared" ca="1" si="56"/>
        <v>0</v>
      </c>
      <c r="AB215">
        <f t="shared" ca="1" si="57"/>
        <v>0</v>
      </c>
      <c r="AC215">
        <f t="shared" ca="1" si="58"/>
        <v>0</v>
      </c>
      <c r="AD215" t="str">
        <f t="shared" si="59"/>
        <v>Safe</v>
      </c>
    </row>
    <row r="216" spans="1:30" hidden="1">
      <c r="A216" s="48" t="str">
        <f>TEXT(Table2[[#This Row],[MB END]],"mmmm")</f>
        <v>December</v>
      </c>
      <c r="B216" s="48" t="str">
        <f>TEXT(Table2[[#This Row],[MB END]],"yyyy")</f>
        <v>2019</v>
      </c>
      <c r="C216" s="117" t="s">
        <v>479</v>
      </c>
      <c r="D216" s="1" t="s">
        <v>7</v>
      </c>
      <c r="E216" s="2">
        <v>42725</v>
      </c>
      <c r="F216" s="28">
        <v>43819</v>
      </c>
      <c r="G216" s="1" t="s">
        <v>480</v>
      </c>
      <c r="H216" s="1" t="s">
        <v>246</v>
      </c>
      <c r="I216" s="5">
        <v>99500</v>
      </c>
      <c r="J216" s="5">
        <v>0</v>
      </c>
      <c r="K216" s="19">
        <f t="shared" si="60"/>
        <v>0</v>
      </c>
      <c r="L216" s="16">
        <f t="shared" si="46"/>
        <v>35.966666666666669</v>
      </c>
      <c r="M216" s="19">
        <f t="shared" si="47"/>
        <v>2.7803521779425393E-2</v>
      </c>
      <c r="N216" s="16">
        <f t="shared" ca="1" si="48"/>
        <v>11.766666666666667</v>
      </c>
      <c r="O216" s="19">
        <f t="shared" ca="1" si="49"/>
        <v>0</v>
      </c>
      <c r="P216" t="str">
        <f t="shared" ca="1" si="50"/>
        <v>Desired Burn Rate</v>
      </c>
      <c r="Q216" s="16" t="e">
        <f t="shared" ca="1" si="51"/>
        <v>#DIV/0!</v>
      </c>
      <c r="R216" s="14" t="e">
        <f t="shared" ca="1" si="52"/>
        <v>#DIV/0!</v>
      </c>
      <c r="S216" t="e">
        <f ca="1">TEXT(Table2[[#This Row],[Projected Limit Date]],"mmmm")</f>
        <v>#DIV/0!</v>
      </c>
      <c r="T216" t="e">
        <f t="shared" ca="1" si="53"/>
        <v>#DIV/0!</v>
      </c>
      <c r="U216" t="s">
        <v>562</v>
      </c>
      <c r="V216" t="s">
        <v>654</v>
      </c>
      <c r="W216" t="str">
        <f t="shared" si="54"/>
        <v>Options</v>
      </c>
      <c r="Z216" t="str">
        <f t="shared" ca="1" si="55"/>
        <v>Expiring &gt; 6 Months</v>
      </c>
      <c r="AA216">
        <f t="shared" ca="1" si="56"/>
        <v>0</v>
      </c>
      <c r="AB216">
        <f t="shared" ca="1" si="57"/>
        <v>0</v>
      </c>
      <c r="AC216">
        <f t="shared" ca="1" si="58"/>
        <v>0</v>
      </c>
      <c r="AD216" t="str">
        <f t="shared" si="59"/>
        <v>Safe</v>
      </c>
    </row>
    <row r="217" spans="1:30" hidden="1">
      <c r="A217" s="48" t="str">
        <f>TEXT(Table2[[#This Row],[MB END]],"mmmm")</f>
        <v>December</v>
      </c>
      <c r="B217" s="48" t="str">
        <f>TEXT(Table2[[#This Row],[MB END]],"yyyy")</f>
        <v>2019</v>
      </c>
      <c r="C217" s="117" t="s">
        <v>481</v>
      </c>
      <c r="D217" s="1" t="s">
        <v>7</v>
      </c>
      <c r="E217" s="2">
        <v>42725</v>
      </c>
      <c r="F217" s="28">
        <v>43819</v>
      </c>
      <c r="G217" s="1" t="s">
        <v>480</v>
      </c>
      <c r="H217" s="1" t="s">
        <v>482</v>
      </c>
      <c r="I217" s="5">
        <v>20000</v>
      </c>
      <c r="J217" s="5">
        <v>19691.84</v>
      </c>
      <c r="K217" s="19">
        <f t="shared" si="60"/>
        <v>0.98459200000000002</v>
      </c>
      <c r="L217" s="16">
        <f t="shared" si="46"/>
        <v>35.966666666666669</v>
      </c>
      <c r="M217" s="19">
        <f t="shared" si="47"/>
        <v>2.7803521779425393E-2</v>
      </c>
      <c r="N217" s="16">
        <f t="shared" ca="1" si="48"/>
        <v>11.766666666666667</v>
      </c>
      <c r="O217" s="19">
        <f t="shared" ca="1" si="49"/>
        <v>8.3676373937677045E-2</v>
      </c>
      <c r="P217" t="str">
        <f t="shared" ca="1" si="50"/>
        <v>Really High Burn Rate</v>
      </c>
      <c r="Q217" s="16">
        <f t="shared" ca="1" si="51"/>
        <v>11.950804664944128</v>
      </c>
      <c r="R217" s="14">
        <f t="shared" ca="1" si="52"/>
        <v>43060</v>
      </c>
      <c r="S217" t="str">
        <f ca="1">TEXT(Table2[[#This Row],[Projected Limit Date]],"mmmm")</f>
        <v>November</v>
      </c>
      <c r="T217">
        <f t="shared" ca="1" si="53"/>
        <v>2018</v>
      </c>
      <c r="U217" t="s">
        <v>562</v>
      </c>
      <c r="V217" t="s">
        <v>654</v>
      </c>
      <c r="W217" t="str">
        <f t="shared" si="54"/>
        <v>Options</v>
      </c>
      <c r="Z217" t="str">
        <f t="shared" ca="1" si="55"/>
        <v>Expiring &gt; 6 Months</v>
      </c>
      <c r="AA217">
        <f t="shared" ca="1" si="56"/>
        <v>0</v>
      </c>
      <c r="AB217">
        <f t="shared" ca="1" si="57"/>
        <v>0</v>
      </c>
      <c r="AC217">
        <f t="shared" ca="1" si="58"/>
        <v>0</v>
      </c>
      <c r="AD217" t="str">
        <f t="shared" si="59"/>
        <v>Reaching Spending Limit</v>
      </c>
    </row>
    <row r="218" spans="1:30" hidden="1">
      <c r="A218" s="48" t="str">
        <f>TEXT(Table2[[#This Row],[MB END]],"mmmm")</f>
        <v>December</v>
      </c>
      <c r="B218" s="48" t="str">
        <f>TEXT(Table2[[#This Row],[MB END]],"yyyy")</f>
        <v>2019</v>
      </c>
      <c r="C218" s="117" t="s">
        <v>483</v>
      </c>
      <c r="D218" s="1" t="s">
        <v>7</v>
      </c>
      <c r="E218" s="2">
        <v>42736</v>
      </c>
      <c r="F218" s="28">
        <v>43830</v>
      </c>
      <c r="G218" s="1" t="s">
        <v>484</v>
      </c>
      <c r="H218" s="1" t="s">
        <v>92</v>
      </c>
      <c r="I218" s="5">
        <v>262500</v>
      </c>
      <c r="J218" s="5">
        <v>15370.69</v>
      </c>
      <c r="K218" s="19">
        <f t="shared" si="60"/>
        <v>5.8555009523809529E-2</v>
      </c>
      <c r="L218" s="16">
        <f t="shared" si="46"/>
        <v>36</v>
      </c>
      <c r="M218" s="19">
        <f t="shared" si="47"/>
        <v>2.777777777777778E-2</v>
      </c>
      <c r="N218" s="16">
        <f t="shared" ca="1" si="48"/>
        <v>11.433333333333334</v>
      </c>
      <c r="O218" s="19">
        <f t="shared" ca="1" si="49"/>
        <v>5.1214294044148274E-3</v>
      </c>
      <c r="P218" t="str">
        <f t="shared" ca="1" si="50"/>
        <v>Desired Burn Rate</v>
      </c>
      <c r="Q218" s="16">
        <f t="shared" ca="1" si="51"/>
        <v>195.25798776762787</v>
      </c>
      <c r="R218" s="14">
        <f t="shared" ca="1" si="52"/>
        <v>48670</v>
      </c>
      <c r="S218" t="str">
        <f ca="1">TEXT(Table2[[#This Row],[Projected Limit Date]],"mmmm")</f>
        <v>April</v>
      </c>
      <c r="T218">
        <f t="shared" ca="1" si="53"/>
        <v>2033</v>
      </c>
      <c r="U218" t="s">
        <v>562</v>
      </c>
      <c r="V218" t="s">
        <v>654</v>
      </c>
      <c r="W218" t="str">
        <f t="shared" si="54"/>
        <v>Options</v>
      </c>
      <c r="Z218" t="str">
        <f t="shared" ca="1" si="55"/>
        <v>Expiring &gt; 6 Months</v>
      </c>
      <c r="AA218">
        <f t="shared" ca="1" si="56"/>
        <v>0</v>
      </c>
      <c r="AB218">
        <f t="shared" ca="1" si="57"/>
        <v>0</v>
      </c>
      <c r="AC218">
        <f t="shared" ca="1" si="58"/>
        <v>0</v>
      </c>
      <c r="AD218" t="str">
        <f t="shared" si="59"/>
        <v>Safe</v>
      </c>
    </row>
    <row r="219" spans="1:30" hidden="1">
      <c r="A219" s="48" t="str">
        <f>TEXT(Table2[[#This Row],[MB END]],"mmmm")</f>
        <v>December</v>
      </c>
      <c r="B219" s="48" t="str">
        <f>TEXT(Table2[[#This Row],[MB END]],"yyyy")</f>
        <v>2019</v>
      </c>
      <c r="C219" s="116" t="s">
        <v>746</v>
      </c>
      <c r="D219" s="36" t="s">
        <v>52</v>
      </c>
      <c r="E219" s="40">
        <v>42736</v>
      </c>
      <c r="F219" s="28">
        <v>43830</v>
      </c>
      <c r="G219" s="36" t="s">
        <v>747</v>
      </c>
      <c r="H219" s="36" t="s">
        <v>748</v>
      </c>
      <c r="I219" s="5">
        <v>500000</v>
      </c>
      <c r="J219" s="5">
        <v>332079.71999999997</v>
      </c>
      <c r="K219" s="41">
        <f t="shared" si="60"/>
        <v>0.66415943999999993</v>
      </c>
      <c r="L219" s="37">
        <f t="shared" si="46"/>
        <v>36</v>
      </c>
      <c r="M219" s="42">
        <f t="shared" si="47"/>
        <v>2.7777777777777776E-2</v>
      </c>
      <c r="N219" s="38">
        <f t="shared" ca="1" si="48"/>
        <v>11.433333333333334</v>
      </c>
      <c r="O219" s="42">
        <f t="shared" ca="1" si="49"/>
        <v>5.8089746938775506E-2</v>
      </c>
      <c r="P219" s="43" t="str">
        <f t="shared" ca="1" si="50"/>
        <v>Really High Burn Rate</v>
      </c>
      <c r="Q219" s="38">
        <f t="shared" ca="1" si="51"/>
        <v>17.214741889889172</v>
      </c>
      <c r="R219" s="39">
        <f t="shared" ca="1" si="52"/>
        <v>43252</v>
      </c>
      <c r="S219" s="44" t="str">
        <f ca="1">TEXT(Table2[[#This Row],[Projected Limit Date]],"mmmm")</f>
        <v>June</v>
      </c>
      <c r="T219" s="26">
        <f t="shared" ca="1" si="53"/>
        <v>2018</v>
      </c>
      <c r="U219" s="31" t="s">
        <v>563</v>
      </c>
      <c r="V219" s="31" t="s">
        <v>749</v>
      </c>
      <c r="W219" s="45" t="str">
        <f t="shared" si="54"/>
        <v>Options</v>
      </c>
      <c r="X219" s="46"/>
      <c r="Y219" s="46"/>
      <c r="Z219" t="str">
        <f t="shared" ca="1" si="55"/>
        <v>Expiring &gt; 6 Months</v>
      </c>
      <c r="AA219">
        <f t="shared" ca="1" si="56"/>
        <v>0</v>
      </c>
      <c r="AB219">
        <f t="shared" ca="1" si="57"/>
        <v>0</v>
      </c>
      <c r="AC219">
        <f t="shared" ca="1" si="58"/>
        <v>0</v>
      </c>
      <c r="AD219" t="str">
        <f t="shared" si="59"/>
        <v>Safe</v>
      </c>
    </row>
    <row r="220" spans="1:30" hidden="1">
      <c r="A220" s="48" t="str">
        <f>TEXT(Table2[[#This Row],[MB END]],"mmmm")</f>
        <v>January</v>
      </c>
      <c r="B220" s="48" t="str">
        <f>TEXT(Table2[[#This Row],[MB END]],"yyyy")</f>
        <v>2020</v>
      </c>
      <c r="C220" s="117" t="s">
        <v>460</v>
      </c>
      <c r="D220" s="1" t="s">
        <v>7</v>
      </c>
      <c r="E220" s="2">
        <v>42767</v>
      </c>
      <c r="F220" s="28">
        <v>43861</v>
      </c>
      <c r="G220" s="1" t="s">
        <v>461</v>
      </c>
      <c r="H220" s="1" t="s">
        <v>462</v>
      </c>
      <c r="I220" s="5">
        <v>100000</v>
      </c>
      <c r="J220" s="5">
        <v>5405.05</v>
      </c>
      <c r="K220" s="19">
        <f t="shared" si="60"/>
        <v>5.4050500000000001E-2</v>
      </c>
      <c r="L220" s="16">
        <f t="shared" si="46"/>
        <v>36</v>
      </c>
      <c r="M220" s="19">
        <f t="shared" si="47"/>
        <v>2.777777777777778E-2</v>
      </c>
      <c r="N220" s="16">
        <f t="shared" ca="1" si="48"/>
        <v>10.433333333333334</v>
      </c>
      <c r="O220" s="19">
        <f t="shared" ca="1" si="49"/>
        <v>5.1805591054313099E-3</v>
      </c>
      <c r="P220" t="str">
        <f t="shared" ca="1" si="50"/>
        <v>Desired Burn Rate</v>
      </c>
      <c r="Q220" s="16">
        <f t="shared" ca="1" si="51"/>
        <v>193.029358346978</v>
      </c>
      <c r="R220" s="14">
        <f t="shared" ca="1" si="52"/>
        <v>48639</v>
      </c>
      <c r="S220" t="str">
        <f ca="1">TEXT(Table2[[#This Row],[Projected Limit Date]],"mmmm")</f>
        <v>March</v>
      </c>
      <c r="T220">
        <f t="shared" ca="1" si="53"/>
        <v>2033</v>
      </c>
      <c r="U220" t="s">
        <v>562</v>
      </c>
      <c r="V220" t="s">
        <v>654</v>
      </c>
      <c r="W220" t="str">
        <f t="shared" si="54"/>
        <v>Options</v>
      </c>
      <c r="Z220" t="str">
        <f t="shared" ca="1" si="55"/>
        <v>Expiring &gt; 6 Months</v>
      </c>
      <c r="AA220">
        <f t="shared" ca="1" si="56"/>
        <v>0</v>
      </c>
      <c r="AB220">
        <f t="shared" ca="1" si="57"/>
        <v>0</v>
      </c>
      <c r="AC220">
        <f t="shared" ca="1" si="58"/>
        <v>0</v>
      </c>
      <c r="AD220" t="str">
        <f t="shared" si="59"/>
        <v>Safe</v>
      </c>
    </row>
    <row r="221" spans="1:30" hidden="1">
      <c r="A221" s="48" t="str">
        <f>TEXT(Table2[[#This Row],[MB END]],"mmmm")</f>
        <v>January</v>
      </c>
      <c r="B221" s="48" t="str">
        <f>TEXT(Table2[[#This Row],[MB END]],"yyyy")</f>
        <v>2020</v>
      </c>
      <c r="C221" s="117" t="s">
        <v>463</v>
      </c>
      <c r="D221" s="1" t="s">
        <v>7</v>
      </c>
      <c r="E221" s="2">
        <v>42767</v>
      </c>
      <c r="F221" s="28">
        <v>43861</v>
      </c>
      <c r="G221" s="1" t="s">
        <v>461</v>
      </c>
      <c r="H221" s="1" t="s">
        <v>464</v>
      </c>
      <c r="I221" s="5">
        <v>199500</v>
      </c>
      <c r="J221" s="5">
        <v>0</v>
      </c>
      <c r="K221" s="19">
        <f t="shared" si="60"/>
        <v>0</v>
      </c>
      <c r="L221" s="16">
        <f t="shared" si="46"/>
        <v>36</v>
      </c>
      <c r="M221" s="19">
        <f t="shared" si="47"/>
        <v>2.777777777777778E-2</v>
      </c>
      <c r="N221" s="16">
        <f t="shared" ca="1" si="48"/>
        <v>10.433333333333334</v>
      </c>
      <c r="O221" s="19">
        <f t="shared" ca="1" si="49"/>
        <v>0</v>
      </c>
      <c r="P221" t="str">
        <f t="shared" ca="1" si="50"/>
        <v>Desired Burn Rate</v>
      </c>
      <c r="Q221" s="16" t="e">
        <f t="shared" ca="1" si="51"/>
        <v>#DIV/0!</v>
      </c>
      <c r="R221" s="14" t="e">
        <f t="shared" ca="1" si="52"/>
        <v>#DIV/0!</v>
      </c>
      <c r="S221" t="e">
        <f ca="1">TEXT(Table2[[#This Row],[Projected Limit Date]],"mmmm")</f>
        <v>#DIV/0!</v>
      </c>
      <c r="T221" t="e">
        <f t="shared" ca="1" si="53"/>
        <v>#DIV/0!</v>
      </c>
      <c r="U221" t="s">
        <v>562</v>
      </c>
      <c r="V221" t="s">
        <v>654</v>
      </c>
      <c r="W221" t="str">
        <f t="shared" si="54"/>
        <v>Options</v>
      </c>
      <c r="Z221" t="str">
        <f t="shared" ca="1" si="55"/>
        <v>Expiring &gt; 6 Months</v>
      </c>
      <c r="AA221">
        <f t="shared" ca="1" si="56"/>
        <v>0</v>
      </c>
      <c r="AB221">
        <f t="shared" ca="1" si="57"/>
        <v>0</v>
      </c>
      <c r="AC221">
        <f t="shared" ca="1" si="58"/>
        <v>0</v>
      </c>
      <c r="AD221" t="str">
        <f t="shared" si="59"/>
        <v>Safe</v>
      </c>
    </row>
    <row r="222" spans="1:30" ht="60">
      <c r="A222" s="48" t="str">
        <f>TEXT(Table2[[#This Row],[MB END]],"mmmm")</f>
        <v>February</v>
      </c>
      <c r="B222" s="48" t="str">
        <f>TEXT(Table2[[#This Row],[MB END]],"yyyy")</f>
        <v>2020</v>
      </c>
      <c r="C222" s="116" t="s">
        <v>750</v>
      </c>
      <c r="D222" s="36" t="s">
        <v>349</v>
      </c>
      <c r="E222" s="40">
        <v>42772</v>
      </c>
      <c r="F222" s="28">
        <v>43866</v>
      </c>
      <c r="G222" s="36" t="s">
        <v>751</v>
      </c>
      <c r="H222" s="36" t="s">
        <v>752</v>
      </c>
      <c r="I222" s="5">
        <v>250000</v>
      </c>
      <c r="J222" s="5">
        <v>188312.4</v>
      </c>
      <c r="K222" s="41">
        <f t="shared" si="60"/>
        <v>0.75324959999999996</v>
      </c>
      <c r="L222" s="37">
        <f t="shared" si="46"/>
        <v>35.966666666666669</v>
      </c>
      <c r="M222" s="42">
        <f t="shared" si="47"/>
        <v>2.780352177942539E-2</v>
      </c>
      <c r="N222" s="38">
        <f t="shared" ca="1" si="48"/>
        <v>10.266666666666667</v>
      </c>
      <c r="O222" s="42">
        <f t="shared" ca="1" si="49"/>
        <v>7.3368467532467521E-2</v>
      </c>
      <c r="P222" s="43" t="str">
        <f t="shared" ca="1" si="50"/>
        <v>Really High Burn Rate</v>
      </c>
      <c r="Q222" s="38">
        <f t="shared" ca="1" si="51"/>
        <v>13.629833546100349</v>
      </c>
      <c r="R222" s="39">
        <f t="shared" ca="1" si="52"/>
        <v>43165</v>
      </c>
      <c r="S222" s="44" t="str">
        <f ca="1">TEXT(Table2[[#This Row],[Projected Limit Date]],"mmmm")</f>
        <v>March</v>
      </c>
      <c r="T222" s="44">
        <f t="shared" ca="1" si="53"/>
        <v>2018</v>
      </c>
      <c r="U222" s="31" t="s">
        <v>563</v>
      </c>
      <c r="V222" s="31" t="s">
        <v>749</v>
      </c>
      <c r="W222" s="45" t="str">
        <f t="shared" si="54"/>
        <v>Options</v>
      </c>
      <c r="X222" s="46"/>
      <c r="Y222" s="135" t="s">
        <v>935</v>
      </c>
      <c r="Z222" t="str">
        <f t="shared" ca="1" si="55"/>
        <v>Expiring &gt; 6 Months</v>
      </c>
      <c r="AA222">
        <f t="shared" ca="1" si="56"/>
        <v>0</v>
      </c>
      <c r="AB222">
        <f t="shared" ca="1" si="57"/>
        <v>0</v>
      </c>
      <c r="AC222">
        <f t="shared" ca="1" si="58"/>
        <v>0</v>
      </c>
      <c r="AD222" t="str">
        <f t="shared" si="59"/>
        <v>Reaching Spending Limit</v>
      </c>
    </row>
    <row r="223" spans="1:30" ht="60">
      <c r="A223" s="48" t="str">
        <f>TEXT(Table2[[#This Row],[MB END]],"mmmm")</f>
        <v>February</v>
      </c>
      <c r="B223" s="48" t="str">
        <f>TEXT(Table2[[#This Row],[MB END]],"yyyy")</f>
        <v>2020</v>
      </c>
      <c r="C223" s="116" t="s">
        <v>753</v>
      </c>
      <c r="D223" s="36" t="s">
        <v>349</v>
      </c>
      <c r="E223" s="40">
        <v>42772</v>
      </c>
      <c r="F223" s="28">
        <v>43866</v>
      </c>
      <c r="G223" s="36" t="s">
        <v>751</v>
      </c>
      <c r="H223" s="36" t="s">
        <v>487</v>
      </c>
      <c r="I223" s="5">
        <v>1650000</v>
      </c>
      <c r="J223" s="5">
        <v>1287062</v>
      </c>
      <c r="K223" s="41">
        <f t="shared" si="60"/>
        <v>0.78003757575757571</v>
      </c>
      <c r="L223" s="37">
        <f t="shared" si="46"/>
        <v>35.966666666666669</v>
      </c>
      <c r="M223" s="42">
        <f t="shared" si="47"/>
        <v>2.7803521779425393E-2</v>
      </c>
      <c r="N223" s="38">
        <f t="shared" ca="1" si="48"/>
        <v>10.266666666666667</v>
      </c>
      <c r="O223" s="42">
        <f t="shared" ca="1" si="49"/>
        <v>7.5977685950413223E-2</v>
      </c>
      <c r="P223" s="43" t="str">
        <f t="shared" ca="1" si="50"/>
        <v>Really High Burn Rate</v>
      </c>
      <c r="Q223" s="38">
        <f t="shared" ca="1" si="51"/>
        <v>13.161759107175879</v>
      </c>
      <c r="R223" s="39">
        <f t="shared" ca="1" si="52"/>
        <v>43165</v>
      </c>
      <c r="S223" s="44" t="str">
        <f ca="1">TEXT(Table2[[#This Row],[Projected Limit Date]],"mmmm")</f>
        <v>March</v>
      </c>
      <c r="T223" s="44">
        <f t="shared" ca="1" si="53"/>
        <v>2018</v>
      </c>
      <c r="U223" s="31" t="s">
        <v>563</v>
      </c>
      <c r="V223" s="31" t="s">
        <v>749</v>
      </c>
      <c r="W223" s="45" t="str">
        <f t="shared" si="54"/>
        <v>Options</v>
      </c>
      <c r="X223" s="46"/>
      <c r="Y223" s="135" t="s">
        <v>935</v>
      </c>
      <c r="Z223" t="str">
        <f t="shared" ca="1" si="55"/>
        <v>Expiring &gt; 6 Months</v>
      </c>
      <c r="AA223">
        <f t="shared" ca="1" si="56"/>
        <v>0</v>
      </c>
      <c r="AB223">
        <f t="shared" ca="1" si="57"/>
        <v>0</v>
      </c>
      <c r="AC223">
        <f t="shared" ca="1" si="58"/>
        <v>0</v>
      </c>
      <c r="AD223" t="str">
        <f t="shared" si="59"/>
        <v>Reaching Spending Limit</v>
      </c>
    </row>
    <row r="224" spans="1:30" hidden="1">
      <c r="A224" s="48" t="str">
        <f>TEXT(Table2[[#This Row],[MB END]],"mmmm")</f>
        <v>February</v>
      </c>
      <c r="B224" s="48" t="str">
        <f>TEXT(Table2[[#This Row],[MB END]],"yyyy")</f>
        <v>2020</v>
      </c>
      <c r="C224" s="117" t="s">
        <v>503</v>
      </c>
      <c r="D224" s="1" t="s">
        <v>7</v>
      </c>
      <c r="E224" s="2">
        <v>42788</v>
      </c>
      <c r="F224" s="28">
        <v>43882</v>
      </c>
      <c r="G224" s="1" t="s">
        <v>504</v>
      </c>
      <c r="H224" s="1" t="s">
        <v>505</v>
      </c>
      <c r="I224" s="5">
        <v>49500</v>
      </c>
      <c r="J224" s="5">
        <v>0</v>
      </c>
      <c r="K224" s="19">
        <f t="shared" si="60"/>
        <v>0</v>
      </c>
      <c r="L224" s="16">
        <f t="shared" si="46"/>
        <v>35.966666666666669</v>
      </c>
      <c r="M224" s="19">
        <f t="shared" si="47"/>
        <v>2.780352177942539E-2</v>
      </c>
      <c r="N224" s="16">
        <f t="shared" ca="1" si="48"/>
        <v>9.7333333333333325</v>
      </c>
      <c r="O224" s="19">
        <f t="shared" ca="1" si="49"/>
        <v>0</v>
      </c>
      <c r="P224" t="str">
        <f t="shared" ca="1" si="50"/>
        <v>Desired Burn Rate</v>
      </c>
      <c r="Q224" s="16" t="e">
        <f t="shared" ca="1" si="51"/>
        <v>#DIV/0!</v>
      </c>
      <c r="R224" s="14" t="e">
        <f t="shared" ca="1" si="52"/>
        <v>#DIV/0!</v>
      </c>
      <c r="S224" t="e">
        <f ca="1">TEXT(Table2[[#This Row],[Projected Limit Date]],"mmmm")</f>
        <v>#DIV/0!</v>
      </c>
      <c r="T224" t="e">
        <f t="shared" ca="1" si="53"/>
        <v>#DIV/0!</v>
      </c>
      <c r="U224" t="s">
        <v>562</v>
      </c>
      <c r="V224" t="s">
        <v>698</v>
      </c>
      <c r="W224" t="str">
        <f t="shared" si="54"/>
        <v>Options</v>
      </c>
      <c r="Z224" t="str">
        <f t="shared" ca="1" si="55"/>
        <v>Expiring &gt; 6 Months</v>
      </c>
      <c r="AA224">
        <f t="shared" ca="1" si="56"/>
        <v>0</v>
      </c>
      <c r="AB224">
        <f t="shared" ca="1" si="57"/>
        <v>0</v>
      </c>
      <c r="AC224">
        <f t="shared" ca="1" si="58"/>
        <v>0</v>
      </c>
      <c r="AD224" t="str">
        <f t="shared" si="59"/>
        <v>Safe</v>
      </c>
    </row>
    <row r="225" spans="1:30" hidden="1">
      <c r="A225" s="48" t="str">
        <f>TEXT(Table2[[#This Row],[MB END]],"mmmm")</f>
        <v>March</v>
      </c>
      <c r="B225" s="48" t="str">
        <f>TEXT(Table2[[#This Row],[MB END]],"yyyy")</f>
        <v>2020</v>
      </c>
      <c r="C225" s="117" t="s">
        <v>506</v>
      </c>
      <c r="D225" s="1" t="s">
        <v>24</v>
      </c>
      <c r="E225" s="2">
        <v>42826</v>
      </c>
      <c r="F225" s="28">
        <v>43910</v>
      </c>
      <c r="G225" s="1" t="s">
        <v>507</v>
      </c>
      <c r="H225" s="1" t="s">
        <v>508</v>
      </c>
      <c r="I225" s="5">
        <v>24000</v>
      </c>
      <c r="J225" s="5">
        <v>8780</v>
      </c>
      <c r="K225" s="19">
        <f t="shared" si="60"/>
        <v>0.36583333333333334</v>
      </c>
      <c r="L225" s="16">
        <f t="shared" si="46"/>
        <v>35.633333333333333</v>
      </c>
      <c r="M225" s="19">
        <f t="shared" si="47"/>
        <v>2.8063610851262862E-2</v>
      </c>
      <c r="N225" s="16">
        <f t="shared" ca="1" si="48"/>
        <v>8.4333333333333336</v>
      </c>
      <c r="O225" s="19">
        <f t="shared" ca="1" si="49"/>
        <v>4.3379446640316205E-2</v>
      </c>
      <c r="P225" t="str">
        <f t="shared" ca="1" si="50"/>
        <v>High Burn Rate</v>
      </c>
      <c r="Q225" s="16">
        <f t="shared" ca="1" si="51"/>
        <v>23.052391799544417</v>
      </c>
      <c r="R225" s="14">
        <f t="shared" ca="1" si="52"/>
        <v>43525</v>
      </c>
      <c r="S225" t="str">
        <f ca="1">TEXT(Table2[[#This Row],[Projected Limit Date]],"mmmm")</f>
        <v>March</v>
      </c>
      <c r="T225">
        <f t="shared" ca="1" si="53"/>
        <v>2019</v>
      </c>
      <c r="U225" t="s">
        <v>562</v>
      </c>
      <c r="V225" t="s">
        <v>573</v>
      </c>
      <c r="W225" t="str">
        <f t="shared" si="54"/>
        <v>Options</v>
      </c>
      <c r="Z225" t="str">
        <f t="shared" ca="1" si="55"/>
        <v>Expiring &gt; 6 Months</v>
      </c>
      <c r="AA225">
        <f t="shared" ca="1" si="56"/>
        <v>0</v>
      </c>
      <c r="AB225">
        <f t="shared" ca="1" si="57"/>
        <v>0</v>
      </c>
      <c r="AC225">
        <f t="shared" ca="1" si="58"/>
        <v>0</v>
      </c>
      <c r="AD225" t="str">
        <f t="shared" si="59"/>
        <v>Safe</v>
      </c>
    </row>
    <row r="226" spans="1:30" hidden="1">
      <c r="A226" s="48" t="str">
        <f>TEXT(Table2[[#This Row],[MB END]],"mmmm")</f>
        <v>March</v>
      </c>
      <c r="B226" s="48" t="str">
        <f>TEXT(Table2[[#This Row],[MB END]],"yyyy")</f>
        <v>2020</v>
      </c>
      <c r="C226" s="117" t="s">
        <v>525</v>
      </c>
      <c r="D226" s="1" t="s">
        <v>7</v>
      </c>
      <c r="E226" s="2">
        <v>42825</v>
      </c>
      <c r="F226" s="28">
        <v>43920</v>
      </c>
      <c r="G226" s="1" t="s">
        <v>526</v>
      </c>
      <c r="H226" s="1" t="s">
        <v>527</v>
      </c>
      <c r="I226" s="5">
        <v>24500</v>
      </c>
      <c r="J226" s="5">
        <v>11741.59</v>
      </c>
      <c r="K226" s="19">
        <f t="shared" si="60"/>
        <v>0.47924857142857141</v>
      </c>
      <c r="L226" s="16">
        <f t="shared" si="46"/>
        <v>36</v>
      </c>
      <c r="M226" s="19">
        <f t="shared" si="47"/>
        <v>2.7777777777777776E-2</v>
      </c>
      <c r="N226" s="16">
        <f t="shared" ca="1" si="48"/>
        <v>8.4666666666666668</v>
      </c>
      <c r="O226" s="19">
        <f t="shared" ca="1" si="49"/>
        <v>5.6604161979752529E-2</v>
      </c>
      <c r="P226" t="str">
        <f t="shared" ca="1" si="50"/>
        <v>Really High Burn Rate</v>
      </c>
      <c r="Q226" s="16">
        <f t="shared" ca="1" si="51"/>
        <v>17.66654544515124</v>
      </c>
      <c r="R226" s="14">
        <f t="shared" ca="1" si="52"/>
        <v>43343</v>
      </c>
      <c r="S226" t="str">
        <f ca="1">TEXT(Table2[[#This Row],[Projected Limit Date]],"mmmm")</f>
        <v>August</v>
      </c>
      <c r="T226">
        <f t="shared" ca="1" si="53"/>
        <v>2019</v>
      </c>
      <c r="U226" t="s">
        <v>562</v>
      </c>
      <c r="V226" t="s">
        <v>571</v>
      </c>
      <c r="W226" t="str">
        <f t="shared" si="54"/>
        <v>Options</v>
      </c>
      <c r="Z226" t="str">
        <f t="shared" ca="1" si="55"/>
        <v>Expiring &gt; 6 Months</v>
      </c>
      <c r="AA226">
        <f t="shared" ca="1" si="56"/>
        <v>0</v>
      </c>
      <c r="AB226">
        <f t="shared" ca="1" si="57"/>
        <v>0</v>
      </c>
      <c r="AC226">
        <f t="shared" ca="1" si="58"/>
        <v>0</v>
      </c>
      <c r="AD226" t="str">
        <f t="shared" si="59"/>
        <v>Safe</v>
      </c>
    </row>
    <row r="227" spans="1:30" hidden="1">
      <c r="A227" s="107" t="str">
        <f>TEXT(Table2[[#This Row],[MB END]],"mmmm")</f>
        <v>March</v>
      </c>
      <c r="B227" s="107" t="str">
        <f>TEXT(Table2[[#This Row],[MB END]],"yyyy")</f>
        <v>2020</v>
      </c>
      <c r="C227" s="117" t="s">
        <v>516</v>
      </c>
      <c r="D227" s="1" t="s">
        <v>24</v>
      </c>
      <c r="E227" s="2">
        <v>42826</v>
      </c>
      <c r="F227" s="28">
        <v>43921</v>
      </c>
      <c r="G227" s="1" t="s">
        <v>517</v>
      </c>
      <c r="H227" s="1" t="s">
        <v>518</v>
      </c>
      <c r="I227" s="5">
        <v>45000</v>
      </c>
      <c r="J227" s="5">
        <v>1147.58</v>
      </c>
      <c r="K227" s="19">
        <f t="shared" si="60"/>
        <v>2.5501777777777776E-2</v>
      </c>
      <c r="L227" s="16">
        <f t="shared" si="46"/>
        <v>36</v>
      </c>
      <c r="M227" s="19">
        <f t="shared" si="47"/>
        <v>2.7777777777777776E-2</v>
      </c>
      <c r="N227" s="16">
        <f t="shared" ca="1" si="48"/>
        <v>8.4333333333333336</v>
      </c>
      <c r="O227" s="19">
        <f t="shared" ca="1" si="49"/>
        <v>3.0239262187088272E-3</v>
      </c>
      <c r="P227" t="str">
        <f t="shared" ca="1" si="50"/>
        <v>Desired Burn Rate</v>
      </c>
      <c r="Q227" s="16">
        <f t="shared" ca="1" si="51"/>
        <v>330.69589919657017</v>
      </c>
      <c r="R227" s="14">
        <f t="shared" ca="1" si="52"/>
        <v>52871</v>
      </c>
      <c r="S227" t="str">
        <f ca="1">TEXT(Table2[[#This Row],[Projected Limit Date]],"mmmm")</f>
        <v>October</v>
      </c>
      <c r="T227">
        <f t="shared" ca="1" si="53"/>
        <v>2045</v>
      </c>
      <c r="U227" t="s">
        <v>562</v>
      </c>
      <c r="V227" t="s">
        <v>620</v>
      </c>
      <c r="W227" t="str">
        <f t="shared" si="54"/>
        <v>Options</v>
      </c>
      <c r="Z227" t="str">
        <f t="shared" ca="1" si="55"/>
        <v>Expiring &gt; 6 Months</v>
      </c>
      <c r="AA227">
        <f t="shared" ca="1" si="56"/>
        <v>0</v>
      </c>
      <c r="AB227">
        <f t="shared" ca="1" si="57"/>
        <v>0</v>
      </c>
      <c r="AC227">
        <f t="shared" ca="1" si="58"/>
        <v>0</v>
      </c>
      <c r="AD227" t="str">
        <f t="shared" si="59"/>
        <v>Safe</v>
      </c>
    </row>
    <row r="228" spans="1:30" hidden="1">
      <c r="A228" s="107" t="str">
        <f>TEXT(Table2[[#This Row],[MB END]],"mmmm")</f>
        <v>April</v>
      </c>
      <c r="B228" s="107" t="str">
        <f>TEXT(Table2[[#This Row],[MB END]],"yyyy")</f>
        <v>2020</v>
      </c>
      <c r="C228" s="116" t="s">
        <v>578</v>
      </c>
      <c r="D228" s="27" t="s">
        <v>64</v>
      </c>
      <c r="E228" s="28">
        <v>41739</v>
      </c>
      <c r="F228" s="28">
        <v>43930</v>
      </c>
      <c r="G228" s="27" t="s">
        <v>576</v>
      </c>
      <c r="H228" s="27" t="s">
        <v>579</v>
      </c>
      <c r="I228" s="5">
        <v>200000</v>
      </c>
      <c r="J228" s="5">
        <v>83010.789999999994</v>
      </c>
      <c r="K228" s="29">
        <f t="shared" si="60"/>
        <v>0.41505394999999995</v>
      </c>
      <c r="L228" s="23">
        <f t="shared" si="46"/>
        <v>71.966666666666669</v>
      </c>
      <c r="M228" s="30">
        <f t="shared" si="47"/>
        <v>1.3895321908290875E-2</v>
      </c>
      <c r="N228" s="24">
        <f t="shared" ca="1" si="48"/>
        <v>44.133333333333333</v>
      </c>
      <c r="O228" s="30">
        <f t="shared" ca="1" si="49"/>
        <v>9.4045456948640485E-3</v>
      </c>
      <c r="P228" s="26" t="str">
        <f t="shared" ca="1" si="50"/>
        <v>Desired Burn Rate</v>
      </c>
      <c r="Q228" s="24">
        <f t="shared" ca="1" si="51"/>
        <v>106.33155842350936</v>
      </c>
      <c r="R228" s="25">
        <f t="shared" ca="1" si="52"/>
        <v>44967</v>
      </c>
      <c r="S228" s="26" t="str">
        <f ca="1">TEXT(Table2[[#This Row],[Projected Limit Date]],"mmmm")</f>
        <v>February</v>
      </c>
      <c r="T228" s="26">
        <f t="shared" ca="1" si="53"/>
        <v>2023</v>
      </c>
      <c r="U228" s="31" t="s">
        <v>562</v>
      </c>
      <c r="V228" s="31" t="s">
        <v>580</v>
      </c>
      <c r="W228" s="32" t="str">
        <f t="shared" si="54"/>
        <v>Options</v>
      </c>
      <c r="X228" s="33" t="s">
        <v>581</v>
      </c>
      <c r="Y228" s="33"/>
      <c r="Z228" t="str">
        <f t="shared" ca="1" si="55"/>
        <v>Expiring &gt; 6 Months</v>
      </c>
      <c r="AA228">
        <f t="shared" ca="1" si="56"/>
        <v>0</v>
      </c>
      <c r="AB228">
        <f t="shared" ca="1" si="57"/>
        <v>0</v>
      </c>
      <c r="AC228">
        <f t="shared" ca="1" si="58"/>
        <v>0</v>
      </c>
      <c r="AD228" t="str">
        <f t="shared" si="59"/>
        <v>Safe</v>
      </c>
    </row>
    <row r="229" spans="1:30" ht="30" hidden="1">
      <c r="A229" s="107" t="str">
        <f>TEXT(Table2[[#This Row],[MB END]],"mmmm")</f>
        <v>April</v>
      </c>
      <c r="B229" s="107" t="str">
        <f>TEXT(Table2[[#This Row],[MB END]],"yyyy")</f>
        <v>2020</v>
      </c>
      <c r="C229" s="116" t="s">
        <v>575</v>
      </c>
      <c r="D229" s="27" t="s">
        <v>64</v>
      </c>
      <c r="E229" s="28">
        <v>41739</v>
      </c>
      <c r="F229" s="28">
        <v>43930</v>
      </c>
      <c r="G229" s="27" t="s">
        <v>576</v>
      </c>
      <c r="H229" s="27" t="s">
        <v>153</v>
      </c>
      <c r="I229" s="5">
        <v>100000</v>
      </c>
      <c r="J229" s="5">
        <v>17321.189999999999</v>
      </c>
      <c r="K229" s="29">
        <f t="shared" si="60"/>
        <v>0.17321189999999997</v>
      </c>
      <c r="L229" s="23">
        <f t="shared" si="46"/>
        <v>71.966666666666669</v>
      </c>
      <c r="M229" s="30">
        <f t="shared" si="47"/>
        <v>1.3895321908290875E-2</v>
      </c>
      <c r="N229" s="24">
        <f t="shared" ca="1" si="48"/>
        <v>44.133333333333333</v>
      </c>
      <c r="O229" s="30">
        <f t="shared" ca="1" si="49"/>
        <v>3.9247409365558913E-3</v>
      </c>
      <c r="P229" s="26" t="str">
        <f t="shared" ca="1" si="50"/>
        <v>Desired Burn Rate</v>
      </c>
      <c r="Q229" s="24">
        <f t="shared" ca="1" si="51"/>
        <v>254.79388733299118</v>
      </c>
      <c r="R229" s="25">
        <f t="shared" ca="1" si="52"/>
        <v>49470</v>
      </c>
      <c r="S229" s="26" t="str">
        <f ca="1">TEXT(Table2[[#This Row],[Projected Limit Date]],"mmmm")</f>
        <v>June</v>
      </c>
      <c r="T229" s="26">
        <f t="shared" ca="1" si="53"/>
        <v>2035</v>
      </c>
      <c r="U229" s="31" t="s">
        <v>562</v>
      </c>
      <c r="V229" s="31" t="s">
        <v>565</v>
      </c>
      <c r="W229" s="32" t="str">
        <f t="shared" si="54"/>
        <v>No options</v>
      </c>
      <c r="X229" s="34" t="s">
        <v>577</v>
      </c>
      <c r="Y229" s="34"/>
      <c r="Z229" t="str">
        <f t="shared" ca="1" si="55"/>
        <v>Expiring &gt; 6 Months</v>
      </c>
      <c r="AA229">
        <f t="shared" ca="1" si="56"/>
        <v>0</v>
      </c>
      <c r="AB229">
        <f t="shared" ca="1" si="57"/>
        <v>0</v>
      </c>
      <c r="AC229">
        <f t="shared" ca="1" si="58"/>
        <v>0</v>
      </c>
      <c r="AD229" t="str">
        <f t="shared" si="59"/>
        <v>Safe</v>
      </c>
    </row>
    <row r="230" spans="1:30" hidden="1">
      <c r="A230" s="114" t="str">
        <f>TEXT(Table2[[#This Row],[MB END]],"mmmm")</f>
        <v>June</v>
      </c>
      <c r="B230" s="114" t="str">
        <f>TEXT(Table2[[#This Row],[MB END]],"yyyy")</f>
        <v>2020</v>
      </c>
      <c r="C230" s="117" t="s">
        <v>818</v>
      </c>
      <c r="D230" s="1" t="s">
        <v>58</v>
      </c>
      <c r="E230" s="2">
        <v>42917</v>
      </c>
      <c r="F230" s="28">
        <v>44012</v>
      </c>
      <c r="G230" s="1" t="s">
        <v>819</v>
      </c>
      <c r="H230" s="1" t="s">
        <v>482</v>
      </c>
      <c r="I230" s="5">
        <v>24000</v>
      </c>
      <c r="J230" s="5">
        <v>0</v>
      </c>
      <c r="K230" s="19">
        <f t="shared" si="60"/>
        <v>0</v>
      </c>
      <c r="L230" s="16">
        <f t="shared" si="46"/>
        <v>35.966666666666669</v>
      </c>
      <c r="M230" s="105">
        <f t="shared" si="47"/>
        <v>2.780352177942539E-2</v>
      </c>
      <c r="N230" s="16">
        <f t="shared" ca="1" si="48"/>
        <v>5.4333333333333336</v>
      </c>
      <c r="O230" s="19">
        <f t="shared" ca="1" si="49"/>
        <v>0</v>
      </c>
      <c r="P230" s="102" t="str">
        <f t="shared" ca="1" si="50"/>
        <v>Desired Burn Rate</v>
      </c>
      <c r="Q230" s="16" t="e">
        <f t="shared" ca="1" si="51"/>
        <v>#DIV/0!</v>
      </c>
      <c r="R230" s="14" t="e">
        <f t="shared" ca="1" si="52"/>
        <v>#DIV/0!</v>
      </c>
      <c r="S230" s="102" t="e">
        <f ca="1">TEXT(Table2[[#This Row],[Projected Limit Date]],"mmmm")</f>
        <v>#DIV/0!</v>
      </c>
      <c r="T230" s="102" t="e">
        <f t="shared" ca="1" si="53"/>
        <v>#DIV/0!</v>
      </c>
      <c r="U230" s="102" t="s">
        <v>562</v>
      </c>
      <c r="V230" s="102" t="s">
        <v>820</v>
      </c>
      <c r="W230" s="102" t="str">
        <f t="shared" si="54"/>
        <v>Options</v>
      </c>
      <c r="X230" s="102"/>
      <c r="Y230" s="102"/>
      <c r="Z230" t="str">
        <f t="shared" ca="1" si="55"/>
        <v>Expiring &gt; 6 Months</v>
      </c>
      <c r="AA230">
        <f t="shared" ca="1" si="56"/>
        <v>0</v>
      </c>
      <c r="AB230">
        <f t="shared" ca="1" si="57"/>
        <v>0</v>
      </c>
      <c r="AC230">
        <f t="shared" ca="1" si="58"/>
        <v>0</v>
      </c>
      <c r="AD230" t="str">
        <f t="shared" si="59"/>
        <v>Safe</v>
      </c>
    </row>
    <row r="231" spans="1:30" hidden="1">
      <c r="A231" s="107" t="str">
        <f>TEXT(Table2[[#This Row],[MB END]],"mmmm")</f>
        <v>June</v>
      </c>
      <c r="B231" s="107" t="str">
        <f>TEXT(Table2[[#This Row],[MB END]],"yyyy")</f>
        <v>2020</v>
      </c>
      <c r="C231" s="116" t="s">
        <v>848</v>
      </c>
      <c r="D231" s="27" t="s">
        <v>24</v>
      </c>
      <c r="E231" s="28">
        <v>42917</v>
      </c>
      <c r="F231" s="28">
        <v>44012</v>
      </c>
      <c r="G231" s="27" t="s">
        <v>849</v>
      </c>
      <c r="H231" s="27" t="s">
        <v>482</v>
      </c>
      <c r="I231" s="5">
        <v>24500</v>
      </c>
      <c r="J231" s="5">
        <v>0</v>
      </c>
      <c r="K231" s="29">
        <f t="shared" si="60"/>
        <v>0</v>
      </c>
      <c r="L231" s="23">
        <f t="shared" si="46"/>
        <v>35.966666666666669</v>
      </c>
      <c r="M231" s="113">
        <f t="shared" si="47"/>
        <v>2.780352177942539E-2</v>
      </c>
      <c r="N231" s="24">
        <f t="shared" ca="1" si="48"/>
        <v>5.4333333333333336</v>
      </c>
      <c r="O231" s="113">
        <f t="shared" ca="1" si="49"/>
        <v>0</v>
      </c>
      <c r="P231" s="26" t="str">
        <f t="shared" ca="1" si="50"/>
        <v>Desired Burn Rate</v>
      </c>
      <c r="Q231" s="24" t="e">
        <f t="shared" ca="1" si="51"/>
        <v>#DIV/0!</v>
      </c>
      <c r="R231" s="25" t="e">
        <f t="shared" ca="1" si="52"/>
        <v>#DIV/0!</v>
      </c>
      <c r="S231" s="26" t="e">
        <f ca="1">TEXT(Table2[[#This Row],[Projected Limit Date]],"mmmm")</f>
        <v>#DIV/0!</v>
      </c>
      <c r="T231" s="26" t="e">
        <f t="shared" ca="1" si="53"/>
        <v>#DIV/0!</v>
      </c>
      <c r="U231" s="31" t="s">
        <v>562</v>
      </c>
      <c r="V231" s="31" t="s">
        <v>867</v>
      </c>
      <c r="W231" s="32" t="str">
        <f t="shared" si="54"/>
        <v>Options</v>
      </c>
      <c r="X231" s="31"/>
      <c r="Y231" s="31"/>
      <c r="Z231" s="102" t="str">
        <f t="shared" ca="1" si="55"/>
        <v>Expiring &gt; 6 Months</v>
      </c>
      <c r="AA231" s="102">
        <f t="shared" ca="1" si="56"/>
        <v>0</v>
      </c>
      <c r="AB231" s="102">
        <f t="shared" ca="1" si="57"/>
        <v>0</v>
      </c>
      <c r="AC231" s="102">
        <f t="shared" ca="1" si="58"/>
        <v>0</v>
      </c>
      <c r="AD231" s="102" t="str">
        <f t="shared" si="59"/>
        <v>Safe</v>
      </c>
    </row>
    <row r="232" spans="1:30" hidden="1">
      <c r="A232" s="107" t="str">
        <f>TEXT(Table2[[#This Row],[MB END]],"mmmm")</f>
        <v>July</v>
      </c>
      <c r="B232" s="107" t="str">
        <f>TEXT(Table2[[#This Row],[MB END]],"yyyy")</f>
        <v>2020</v>
      </c>
      <c r="C232" s="116" t="s">
        <v>844</v>
      </c>
      <c r="D232" s="27" t="s">
        <v>24</v>
      </c>
      <c r="E232" s="28">
        <v>42948</v>
      </c>
      <c r="F232" s="28">
        <v>44043</v>
      </c>
      <c r="G232" s="27" t="s">
        <v>73</v>
      </c>
      <c r="H232" s="27" t="s">
        <v>74</v>
      </c>
      <c r="I232" s="5">
        <v>24500</v>
      </c>
      <c r="J232" s="5">
        <v>0</v>
      </c>
      <c r="K232" s="29">
        <f t="shared" si="60"/>
        <v>0</v>
      </c>
      <c r="L232" s="23">
        <f t="shared" si="46"/>
        <v>36</v>
      </c>
      <c r="M232" s="113">
        <f t="shared" si="47"/>
        <v>2.7777777777777776E-2</v>
      </c>
      <c r="N232" s="24">
        <f t="shared" ca="1" si="48"/>
        <v>4.4333333333333336</v>
      </c>
      <c r="O232" s="113">
        <f t="shared" ca="1" si="49"/>
        <v>0</v>
      </c>
      <c r="P232" s="26" t="str">
        <f t="shared" ca="1" si="50"/>
        <v>Desired Burn Rate</v>
      </c>
      <c r="Q232" s="24" t="e">
        <f t="shared" ca="1" si="51"/>
        <v>#DIV/0!</v>
      </c>
      <c r="R232" s="25" t="e">
        <f t="shared" ca="1" si="52"/>
        <v>#DIV/0!</v>
      </c>
      <c r="S232" s="26" t="e">
        <f ca="1">TEXT(Table2[[#This Row],[Projected Limit Date]],"mmmm")</f>
        <v>#DIV/0!</v>
      </c>
      <c r="T232" s="26" t="e">
        <f t="shared" ca="1" si="53"/>
        <v>#DIV/0!</v>
      </c>
      <c r="U232" s="31" t="s">
        <v>562</v>
      </c>
      <c r="V232" s="31" t="s">
        <v>867</v>
      </c>
      <c r="W232" s="32" t="str">
        <f t="shared" si="54"/>
        <v>Options</v>
      </c>
      <c r="X232" s="31"/>
      <c r="Y232" s="31"/>
      <c r="Z232" s="102" t="str">
        <f t="shared" ca="1" si="55"/>
        <v>Expiring &gt; 6 Months</v>
      </c>
      <c r="AA232" s="102">
        <f t="shared" ca="1" si="56"/>
        <v>0</v>
      </c>
      <c r="AB232" s="102">
        <f t="shared" ca="1" si="57"/>
        <v>0</v>
      </c>
      <c r="AC232" s="102">
        <f t="shared" ca="1" si="58"/>
        <v>0</v>
      </c>
      <c r="AD232" s="102" t="str">
        <f t="shared" si="59"/>
        <v>Safe</v>
      </c>
    </row>
    <row r="233" spans="1:30" hidden="1">
      <c r="A233" s="107" t="str">
        <f>TEXT(Table2[[#This Row],[MB END]],"mmmm")</f>
        <v>September</v>
      </c>
      <c r="B233" s="107" t="str">
        <f>TEXT(Table2[[#This Row],[MB END]],"yyyy")</f>
        <v>2020</v>
      </c>
      <c r="C233" s="116" t="s">
        <v>868</v>
      </c>
      <c r="D233" s="27" t="s">
        <v>7</v>
      </c>
      <c r="E233" s="28">
        <v>43009</v>
      </c>
      <c r="F233" s="28">
        <v>44104</v>
      </c>
      <c r="G233" s="27" t="s">
        <v>869</v>
      </c>
      <c r="H233" s="27" t="s">
        <v>870</v>
      </c>
      <c r="I233" s="5">
        <v>500000</v>
      </c>
      <c r="J233" s="5">
        <v>0</v>
      </c>
      <c r="K233" s="29">
        <f t="shared" si="60"/>
        <v>0</v>
      </c>
      <c r="L233" s="23">
        <f t="shared" si="46"/>
        <v>35.966666666666669</v>
      </c>
      <c r="M233" s="113">
        <f t="shared" si="47"/>
        <v>2.780352177942539E-2</v>
      </c>
      <c r="N233" s="24">
        <f t="shared" ca="1" si="48"/>
        <v>2.4333333333333331</v>
      </c>
      <c r="O233" s="113">
        <f t="shared" ca="1" si="49"/>
        <v>0</v>
      </c>
      <c r="P233" s="26" t="str">
        <f t="shared" ca="1" si="50"/>
        <v>Desired Burn Rate</v>
      </c>
      <c r="Q233" s="24" t="e">
        <f t="shared" ca="1" si="51"/>
        <v>#DIV/0!</v>
      </c>
      <c r="R233" s="25" t="e">
        <f t="shared" ca="1" si="52"/>
        <v>#DIV/0!</v>
      </c>
      <c r="S233" s="26" t="e">
        <f ca="1">TEXT(Table2[[#This Row],[Projected Limit Date]],"mmmm")</f>
        <v>#DIV/0!</v>
      </c>
      <c r="T233" s="26" t="e">
        <f t="shared" ca="1" si="53"/>
        <v>#DIV/0!</v>
      </c>
      <c r="U233" s="31" t="s">
        <v>562</v>
      </c>
      <c r="V233" s="31" t="s">
        <v>872</v>
      </c>
      <c r="W233" s="32" t="str">
        <f t="shared" si="54"/>
        <v>Options</v>
      </c>
      <c r="X233" s="31"/>
      <c r="Y233" s="31"/>
      <c r="Z233" s="102" t="str">
        <f t="shared" ca="1" si="55"/>
        <v>Expiring &gt; 6 Months</v>
      </c>
      <c r="AA233" s="102">
        <f t="shared" ca="1" si="56"/>
        <v>0</v>
      </c>
      <c r="AB233" s="102">
        <f t="shared" ca="1" si="57"/>
        <v>0</v>
      </c>
      <c r="AC233" s="102">
        <f t="shared" ca="1" si="58"/>
        <v>0</v>
      </c>
      <c r="AD233" s="102" t="str">
        <f t="shared" si="59"/>
        <v>Safe</v>
      </c>
    </row>
    <row r="234" spans="1:30" hidden="1">
      <c r="A234" s="114" t="str">
        <f>TEXT(Table2[[#This Row],[MB END]],"mmmm")</f>
        <v>September</v>
      </c>
      <c r="B234" s="114" t="str">
        <f>TEXT(Table2[[#This Row],[MB END]],"yyyy")</f>
        <v>2020</v>
      </c>
      <c r="C234" s="117" t="s">
        <v>871</v>
      </c>
      <c r="D234" s="1" t="s">
        <v>7</v>
      </c>
      <c r="E234" s="2">
        <v>43009</v>
      </c>
      <c r="F234" s="28">
        <v>44104</v>
      </c>
      <c r="G234" s="1" t="s">
        <v>869</v>
      </c>
      <c r="H234" s="1" t="s">
        <v>122</v>
      </c>
      <c r="I234" s="5">
        <v>500000</v>
      </c>
      <c r="J234" s="5">
        <v>0</v>
      </c>
      <c r="K234" s="19">
        <f t="shared" si="60"/>
        <v>0</v>
      </c>
      <c r="L234" s="16">
        <f t="shared" si="46"/>
        <v>35.966666666666669</v>
      </c>
      <c r="M234" s="105">
        <f t="shared" si="47"/>
        <v>2.780352177942539E-2</v>
      </c>
      <c r="N234" s="16">
        <f t="shared" ca="1" si="48"/>
        <v>2.4333333333333331</v>
      </c>
      <c r="O234" s="105">
        <f t="shared" ca="1" si="49"/>
        <v>0</v>
      </c>
      <c r="P234" s="102" t="str">
        <f t="shared" ca="1" si="50"/>
        <v>Desired Burn Rate</v>
      </c>
      <c r="Q234" s="16" t="e">
        <f t="shared" ca="1" si="51"/>
        <v>#DIV/0!</v>
      </c>
      <c r="R234" s="14" t="e">
        <f t="shared" ca="1" si="52"/>
        <v>#DIV/0!</v>
      </c>
      <c r="S234" s="102" t="e">
        <f ca="1">TEXT(Table2[[#This Row],[Projected Limit Date]],"mmmm")</f>
        <v>#DIV/0!</v>
      </c>
      <c r="T234" s="102" t="e">
        <f t="shared" ca="1" si="53"/>
        <v>#DIV/0!</v>
      </c>
      <c r="U234" s="102" t="s">
        <v>562</v>
      </c>
      <c r="V234" s="102" t="s">
        <v>872</v>
      </c>
      <c r="W234" s="102" t="str">
        <f t="shared" si="54"/>
        <v>Options</v>
      </c>
      <c r="X234" s="102"/>
      <c r="Y234" s="102"/>
      <c r="Z234" s="102" t="str">
        <f t="shared" ca="1" si="55"/>
        <v>Expiring &gt; 6 Months</v>
      </c>
      <c r="AA234" s="102">
        <f t="shared" ca="1" si="56"/>
        <v>0</v>
      </c>
      <c r="AB234" s="102">
        <f t="shared" ca="1" si="57"/>
        <v>0</v>
      </c>
      <c r="AC234" s="102">
        <f t="shared" ca="1" si="58"/>
        <v>0</v>
      </c>
      <c r="AD234" s="102" t="str">
        <f t="shared" si="59"/>
        <v>Safe</v>
      </c>
    </row>
    <row r="235" spans="1:30">
      <c r="A235" s="107" t="str">
        <f>TEXT(Table2[[#This Row],[MB END]],"mmmm")</f>
        <v>April</v>
      </c>
      <c r="B235" s="107" t="str">
        <f>TEXT(Table2[[#This Row],[MB END]],"yyyy")</f>
        <v>2021</v>
      </c>
      <c r="C235" s="117" t="s">
        <v>406</v>
      </c>
      <c r="D235" s="1" t="s">
        <v>0</v>
      </c>
      <c r="E235" s="2">
        <v>42558</v>
      </c>
      <c r="F235" s="28">
        <v>44297</v>
      </c>
      <c r="G235" s="1" t="s">
        <v>407</v>
      </c>
      <c r="H235" s="1" t="s">
        <v>408</v>
      </c>
      <c r="I235" s="5">
        <v>12616.47</v>
      </c>
      <c r="J235" s="5">
        <v>12616.47</v>
      </c>
      <c r="K235" s="19">
        <f t="shared" si="60"/>
        <v>1</v>
      </c>
      <c r="L235" s="16">
        <f t="shared" si="46"/>
        <v>57.133333333333333</v>
      </c>
      <c r="M235" s="19">
        <f t="shared" si="47"/>
        <v>1.7502917152858809E-2</v>
      </c>
      <c r="N235" s="16">
        <f t="shared" ca="1" si="48"/>
        <v>17.233333333333334</v>
      </c>
      <c r="O235" s="19">
        <f t="shared" ca="1" si="49"/>
        <v>5.8027079303675046E-2</v>
      </c>
      <c r="P235" t="str">
        <f t="shared" ca="1" si="50"/>
        <v>Really High Burn Rate</v>
      </c>
      <c r="Q235" s="16">
        <f t="shared" ca="1" si="51"/>
        <v>17.233333333333334</v>
      </c>
      <c r="R235" s="14">
        <f t="shared" ca="1" si="52"/>
        <v>43076</v>
      </c>
      <c r="S235" t="str">
        <f ca="1">TEXT(Table2[[#This Row],[Projected Limit Date]],"mmmm")</f>
        <v>December</v>
      </c>
      <c r="T235">
        <f t="shared" ca="1" si="53"/>
        <v>2018</v>
      </c>
      <c r="U235" t="s">
        <v>563</v>
      </c>
      <c r="V235" t="s">
        <v>565</v>
      </c>
      <c r="W235" t="str">
        <f t="shared" si="54"/>
        <v>No options</v>
      </c>
      <c r="X235" t="s">
        <v>585</v>
      </c>
      <c r="Z235" t="str">
        <f t="shared" ca="1" si="55"/>
        <v>Expiring &gt; 6 Months</v>
      </c>
      <c r="AA235">
        <f t="shared" ca="1" si="56"/>
        <v>0</v>
      </c>
      <c r="AB235">
        <f t="shared" ca="1" si="57"/>
        <v>0</v>
      </c>
      <c r="AC235">
        <f t="shared" ca="1" si="58"/>
        <v>0</v>
      </c>
      <c r="AD235" t="str">
        <f t="shared" si="59"/>
        <v>Reaching Spending Limit</v>
      </c>
    </row>
    <row r="236" spans="1:30">
      <c r="A236" s="107" t="str">
        <f>TEXT(Table2[[#This Row],[MB END]],"mmmm")</f>
        <v>April</v>
      </c>
      <c r="B236" s="107" t="str">
        <f>TEXT(Table2[[#This Row],[MB END]],"yyyy")</f>
        <v>2021</v>
      </c>
      <c r="C236" s="117" t="s">
        <v>417</v>
      </c>
      <c r="D236" s="1" t="s">
        <v>0</v>
      </c>
      <c r="E236" s="2">
        <v>42471</v>
      </c>
      <c r="F236" s="28">
        <v>44297</v>
      </c>
      <c r="G236" s="1" t="s">
        <v>418</v>
      </c>
      <c r="H236" s="1" t="s">
        <v>408</v>
      </c>
      <c r="I236" s="5">
        <v>43516.41</v>
      </c>
      <c r="J236" s="5">
        <v>43516.41</v>
      </c>
      <c r="K236" s="19">
        <f t="shared" si="60"/>
        <v>1</v>
      </c>
      <c r="L236" s="16">
        <f t="shared" si="46"/>
        <v>60</v>
      </c>
      <c r="M236" s="19">
        <f t="shared" si="47"/>
        <v>1.6666666666666666E-2</v>
      </c>
      <c r="N236" s="16">
        <f t="shared" ca="1" si="48"/>
        <v>20.100000000000001</v>
      </c>
      <c r="O236" s="19">
        <f t="shared" ca="1" si="49"/>
        <v>4.9751243781094523E-2</v>
      </c>
      <c r="P236" t="str">
        <f t="shared" ca="1" si="50"/>
        <v>Really High Burn Rate</v>
      </c>
      <c r="Q236" s="16">
        <f t="shared" ca="1" si="51"/>
        <v>20.100000000000001</v>
      </c>
      <c r="R236" s="14">
        <f t="shared" ca="1" si="52"/>
        <v>43080</v>
      </c>
      <c r="S236" t="str">
        <f ca="1">TEXT(Table2[[#This Row],[Projected Limit Date]],"mmmm")</f>
        <v>December</v>
      </c>
      <c r="T236">
        <f t="shared" ca="1" si="53"/>
        <v>2018</v>
      </c>
      <c r="U236" t="s">
        <v>563</v>
      </c>
      <c r="V236" t="s">
        <v>565</v>
      </c>
      <c r="W236" t="str">
        <f t="shared" si="54"/>
        <v>No options</v>
      </c>
      <c r="X236" t="s">
        <v>585</v>
      </c>
      <c r="Z236" t="str">
        <f t="shared" ca="1" si="55"/>
        <v>Expiring &gt; 6 Months</v>
      </c>
      <c r="AA236">
        <f t="shared" ca="1" si="56"/>
        <v>0</v>
      </c>
      <c r="AB236">
        <f t="shared" ca="1" si="57"/>
        <v>0</v>
      </c>
      <c r="AC236">
        <f t="shared" ca="1" si="58"/>
        <v>0</v>
      </c>
      <c r="AD236" t="str">
        <f t="shared" si="59"/>
        <v>Reaching Spending Limit</v>
      </c>
    </row>
    <row r="237" spans="1:30" hidden="1">
      <c r="A237" s="107" t="str">
        <f>TEXT(Table2[[#This Row],[MB END]],"mmmm")</f>
        <v>May</v>
      </c>
      <c r="B237" s="107" t="str">
        <f>TEXT(Table2[[#This Row],[MB END]],"yyyy")</f>
        <v>2021</v>
      </c>
      <c r="C237" s="117" t="s">
        <v>175</v>
      </c>
      <c r="D237" s="1" t="s">
        <v>52</v>
      </c>
      <c r="E237" s="2">
        <v>41744</v>
      </c>
      <c r="F237" s="28">
        <v>44330</v>
      </c>
      <c r="G237" s="1" t="s">
        <v>176</v>
      </c>
      <c r="H237" s="1" t="s">
        <v>177</v>
      </c>
      <c r="I237" s="5">
        <v>1073466.3400000001</v>
      </c>
      <c r="J237" s="5">
        <v>483438.47</v>
      </c>
      <c r="K237" s="19">
        <f t="shared" si="60"/>
        <v>0.45035270505081693</v>
      </c>
      <c r="L237" s="16">
        <f t="shared" si="46"/>
        <v>84.966666666666669</v>
      </c>
      <c r="M237" s="19">
        <f t="shared" si="47"/>
        <v>1.1769321302471557E-2</v>
      </c>
      <c r="N237" s="16">
        <f t="shared" ca="1" si="48"/>
        <v>43.966666666666669</v>
      </c>
      <c r="O237" s="19">
        <f t="shared" ca="1" si="49"/>
        <v>1.02430486364856E-2</v>
      </c>
      <c r="P237" t="str">
        <f t="shared" ca="1" si="50"/>
        <v>Desired Burn Rate</v>
      </c>
      <c r="Q237" s="16">
        <f t="shared" ca="1" si="51"/>
        <v>97.627184590143756</v>
      </c>
      <c r="R237" s="14">
        <f t="shared" ca="1" si="52"/>
        <v>44696</v>
      </c>
      <c r="S237" t="str">
        <f ca="1">TEXT(Table2[[#This Row],[Projected Limit Date]],"mmmm")</f>
        <v>May</v>
      </c>
      <c r="T237">
        <f t="shared" ca="1" si="53"/>
        <v>2022</v>
      </c>
      <c r="U237" t="s">
        <v>563</v>
      </c>
      <c r="V237" t="s">
        <v>565</v>
      </c>
      <c r="W237" t="str">
        <f t="shared" si="54"/>
        <v>No options</v>
      </c>
      <c r="Z237" t="str">
        <f t="shared" ca="1" si="55"/>
        <v>Expiring &gt; 6 Months</v>
      </c>
      <c r="AA237">
        <f t="shared" ca="1" si="56"/>
        <v>0</v>
      </c>
      <c r="AB237">
        <f t="shared" ca="1" si="57"/>
        <v>0</v>
      </c>
      <c r="AC237">
        <f t="shared" ca="1" si="58"/>
        <v>0</v>
      </c>
      <c r="AD237" t="str">
        <f t="shared" si="59"/>
        <v>Safe</v>
      </c>
    </row>
    <row r="238" spans="1:30">
      <c r="A238" s="107" t="str">
        <f>TEXT(Table2[[#This Row],[MB END]],"mmmm")</f>
        <v>August</v>
      </c>
      <c r="B238" s="107" t="str">
        <f>TEXT(Table2[[#This Row],[MB END]],"yyyy")</f>
        <v>2021</v>
      </c>
      <c r="C238" s="116" t="s">
        <v>754</v>
      </c>
      <c r="D238" s="27" t="s">
        <v>0</v>
      </c>
      <c r="E238" s="28">
        <v>41516</v>
      </c>
      <c r="F238" s="28">
        <v>44437</v>
      </c>
      <c r="G238" s="27" t="s">
        <v>755</v>
      </c>
      <c r="H238" s="27" t="s">
        <v>756</v>
      </c>
      <c r="I238" s="5">
        <v>7560711.5599999996</v>
      </c>
      <c r="J238" s="5">
        <v>6926441.2300000004</v>
      </c>
      <c r="K238" s="29">
        <f t="shared" si="60"/>
        <v>0.91610970409774506</v>
      </c>
      <c r="L238" s="23">
        <f t="shared" si="46"/>
        <v>95.966666666666669</v>
      </c>
      <c r="M238" s="30">
        <f t="shared" si="47"/>
        <v>1.0420284821118444E-2</v>
      </c>
      <c r="N238" s="24">
        <f t="shared" ca="1" si="48"/>
        <v>51.466666666666669</v>
      </c>
      <c r="O238" s="30">
        <f t="shared" ca="1" si="49"/>
        <v>1.7800059017443231E-2</v>
      </c>
      <c r="P238" s="26" t="str">
        <f t="shared" ca="1" si="50"/>
        <v>High Burn Rate</v>
      </c>
      <c r="Q238" s="24">
        <f t="shared" ca="1" si="51"/>
        <v>56.179589012600822</v>
      </c>
      <c r="R238" s="25">
        <f t="shared" ca="1" si="52"/>
        <v>43220</v>
      </c>
      <c r="S238" s="26" t="str">
        <f ca="1">TEXT(Table2[[#This Row],[Projected Limit Date]],"mmmm")</f>
        <v>April</v>
      </c>
      <c r="T238" s="26">
        <f t="shared" ca="1" si="53"/>
        <v>2018</v>
      </c>
      <c r="U238" s="31" t="s">
        <v>563</v>
      </c>
      <c r="V238" s="31" t="s">
        <v>565</v>
      </c>
      <c r="W238" s="32" t="str">
        <f t="shared" si="54"/>
        <v>No options</v>
      </c>
      <c r="X238" s="31" t="s">
        <v>877</v>
      </c>
      <c r="Y238" s="31"/>
      <c r="Z238" t="str">
        <f t="shared" ca="1" si="55"/>
        <v>Expiring &gt; 6 Months</v>
      </c>
      <c r="AA238">
        <f t="shared" ca="1" si="56"/>
        <v>0</v>
      </c>
      <c r="AB238">
        <f t="shared" ca="1" si="57"/>
        <v>0</v>
      </c>
      <c r="AC238">
        <f t="shared" ca="1" si="58"/>
        <v>0</v>
      </c>
      <c r="AD238" t="str">
        <f t="shared" si="59"/>
        <v>Reaching Spending Limit</v>
      </c>
    </row>
    <row r="239" spans="1:30" hidden="1">
      <c r="A239" s="107" t="str">
        <f>TEXT(Table2[[#This Row],[MB END]],"mmmm")</f>
        <v>October</v>
      </c>
      <c r="B239" s="107" t="str">
        <f>TEXT(Table2[[#This Row],[MB END]],"yyyy")</f>
        <v>2020</v>
      </c>
      <c r="C239" s="116" t="s">
        <v>878</v>
      </c>
      <c r="D239" s="27" t="s">
        <v>7</v>
      </c>
      <c r="E239" s="28">
        <v>43026</v>
      </c>
      <c r="F239" s="121">
        <v>44121</v>
      </c>
      <c r="G239" s="27" t="s">
        <v>879</v>
      </c>
      <c r="H239" s="27" t="s">
        <v>880</v>
      </c>
      <c r="I239" s="122">
        <v>4000000</v>
      </c>
      <c r="J239" s="122">
        <v>0</v>
      </c>
      <c r="K239" s="29">
        <f t="shared" ref="K239:K246" si="61">J239/I239</f>
        <v>0</v>
      </c>
      <c r="L239" s="23">
        <f t="shared" ref="L239:L246" si="62">DAYS360(E239,F239,FALSE)/30</f>
        <v>35.966666666666669</v>
      </c>
      <c r="M239" s="113">
        <f t="shared" ref="M239:M246" si="63">(I239/L239)/I239</f>
        <v>2.780352177942539E-2</v>
      </c>
      <c r="N239" s="24">
        <f t="shared" ref="N239:N246" ca="1" si="64">DAYS360(E239,$AE$1,)/30</f>
        <v>1.8666666666666667</v>
      </c>
      <c r="O239" s="113">
        <f t="shared" ref="O239:O246" ca="1" si="65">(J239/N239)/I239</f>
        <v>0</v>
      </c>
      <c r="P239" s="26" t="str">
        <f t="shared" ref="P239:P246" ca="1" si="66">IF(AND(O239&gt;M239,O239&lt;(2*M239)),"High Burn Rate",IF(O239&gt;=(2*M239),"Really High Burn Rate","Desired Burn Rate"))</f>
        <v>Desired Burn Rate</v>
      </c>
      <c r="Q239" s="24" t="e">
        <f t="shared" ref="Q239:Q246" ca="1" si="67">I239/(J239/N239)</f>
        <v>#DIV/0!</v>
      </c>
      <c r="R239" s="25" t="e">
        <f t="shared" ref="R239:R246" ca="1" si="68">EDATE(E239,Q239)</f>
        <v>#DIV/0!</v>
      </c>
      <c r="S239" s="26" t="e">
        <f ca="1">TEXT(Table2[[#This Row],[Projected Limit Date]],"mmmm")</f>
        <v>#DIV/0!</v>
      </c>
      <c r="T239" s="26" t="e">
        <f t="shared" ref="T239:T246" ca="1" si="69">YEAR(DATE(YEAR(R239),MONTH(R239)+($AF$1-1),1))</f>
        <v>#DIV/0!</v>
      </c>
      <c r="U239" s="31" t="s">
        <v>562</v>
      </c>
      <c r="V239" s="31" t="s">
        <v>881</v>
      </c>
      <c r="W239" s="32" t="str">
        <f t="shared" ref="W239:W246" si="70">IF(V239="No options","No options","Options")</f>
        <v>Options</v>
      </c>
      <c r="X239" s="31"/>
      <c r="Y239" s="31"/>
      <c r="Z239" s="102" t="str">
        <f t="shared" ref="Z239:Z246" ca="1" si="71">IF((DAYS360($AE$1,F239,)/30)&lt;=6,"Expiring &lt; 6 Months","Expiring &gt; 6 Months")</f>
        <v>Expiring &gt; 6 Months</v>
      </c>
      <c r="AA239" s="102">
        <f t="shared" ref="AA239:AA246" ca="1" si="72">IF(Z239="Expiring &lt; 6 Months",1,0)</f>
        <v>0</v>
      </c>
      <c r="AB239" s="102">
        <f t="shared" ref="AB239:AB246" ca="1" si="73">IF(Z239="Expiring &gt; 12 Months",1,0)</f>
        <v>0</v>
      </c>
      <c r="AC239" s="102">
        <f t="shared" ref="AC239:AC246" ca="1" si="74">IF(AND(W239="No Options",AA239=1),1,0)</f>
        <v>0</v>
      </c>
      <c r="AD239" s="102" t="str">
        <f t="shared" ref="AD239:AD246" si="75">IF(K239&gt;=0.75,"Reaching Spending Limit","Safe")</f>
        <v>Safe</v>
      </c>
    </row>
    <row r="240" spans="1:30" hidden="1">
      <c r="A240" s="107" t="str">
        <f>TEXT(Table2[[#This Row],[MB END]],"mmmm")</f>
        <v>October</v>
      </c>
      <c r="B240" s="107" t="str">
        <f>TEXT(Table2[[#This Row],[MB END]],"yyyy")</f>
        <v>2020</v>
      </c>
      <c r="C240" s="116" t="s">
        <v>882</v>
      </c>
      <c r="D240" s="27" t="s">
        <v>7</v>
      </c>
      <c r="E240" s="28">
        <v>43026</v>
      </c>
      <c r="F240" s="121">
        <v>44121</v>
      </c>
      <c r="G240" s="27" t="s">
        <v>879</v>
      </c>
      <c r="H240" s="27" t="s">
        <v>883</v>
      </c>
      <c r="I240" s="122">
        <v>1000000</v>
      </c>
      <c r="J240" s="122">
        <v>0</v>
      </c>
      <c r="K240" s="29">
        <f t="shared" si="61"/>
        <v>0</v>
      </c>
      <c r="L240" s="23">
        <f t="shared" si="62"/>
        <v>35.966666666666669</v>
      </c>
      <c r="M240" s="113">
        <f t="shared" si="63"/>
        <v>2.780352177942539E-2</v>
      </c>
      <c r="N240" s="24">
        <f t="shared" ca="1" si="64"/>
        <v>1.8666666666666667</v>
      </c>
      <c r="O240" s="113">
        <f t="shared" ca="1" si="65"/>
        <v>0</v>
      </c>
      <c r="P240" s="26" t="str">
        <f t="shared" ca="1" si="66"/>
        <v>Desired Burn Rate</v>
      </c>
      <c r="Q240" s="24" t="e">
        <f t="shared" ca="1" si="67"/>
        <v>#DIV/0!</v>
      </c>
      <c r="R240" s="25" t="e">
        <f t="shared" ca="1" si="68"/>
        <v>#DIV/0!</v>
      </c>
      <c r="S240" s="26" t="e">
        <f ca="1">TEXT(Table2[[#This Row],[Projected Limit Date]],"mmmm")</f>
        <v>#DIV/0!</v>
      </c>
      <c r="T240" s="26" t="e">
        <f t="shared" ca="1" si="69"/>
        <v>#DIV/0!</v>
      </c>
      <c r="U240" s="31" t="s">
        <v>562</v>
      </c>
      <c r="V240" s="31" t="s">
        <v>881</v>
      </c>
      <c r="W240" s="32" t="str">
        <f t="shared" si="70"/>
        <v>Options</v>
      </c>
      <c r="X240" s="31"/>
      <c r="Y240" s="31"/>
      <c r="Z240" s="102" t="str">
        <f t="shared" ca="1" si="71"/>
        <v>Expiring &gt; 6 Months</v>
      </c>
      <c r="AA240" s="102">
        <f t="shared" ca="1" si="72"/>
        <v>0</v>
      </c>
      <c r="AB240" s="102">
        <f t="shared" ca="1" si="73"/>
        <v>0</v>
      </c>
      <c r="AC240" s="102">
        <f t="shared" ca="1" si="74"/>
        <v>0</v>
      </c>
      <c r="AD240" s="102" t="str">
        <f t="shared" si="75"/>
        <v>Safe</v>
      </c>
    </row>
    <row r="241" spans="1:30" hidden="1">
      <c r="A241" s="107" t="str">
        <f>TEXT(Table2[[#This Row],[MB END]],"mmmm")</f>
        <v>October</v>
      </c>
      <c r="B241" s="107" t="str">
        <f>TEXT(Table2[[#This Row],[MB END]],"yyyy")</f>
        <v>2020</v>
      </c>
      <c r="C241" s="116" t="s">
        <v>884</v>
      </c>
      <c r="D241" s="27" t="s">
        <v>7</v>
      </c>
      <c r="E241" s="28">
        <v>43026</v>
      </c>
      <c r="F241" s="121">
        <v>44121</v>
      </c>
      <c r="G241" s="27" t="s">
        <v>885</v>
      </c>
      <c r="H241" s="27" t="s">
        <v>886</v>
      </c>
      <c r="I241" s="122">
        <v>300000</v>
      </c>
      <c r="J241" s="122">
        <v>0</v>
      </c>
      <c r="K241" s="29">
        <f t="shared" si="61"/>
        <v>0</v>
      </c>
      <c r="L241" s="23">
        <f t="shared" si="62"/>
        <v>35.966666666666669</v>
      </c>
      <c r="M241" s="113">
        <f t="shared" si="63"/>
        <v>2.780352177942539E-2</v>
      </c>
      <c r="N241" s="24">
        <f t="shared" ca="1" si="64"/>
        <v>1.8666666666666667</v>
      </c>
      <c r="O241" s="113">
        <f t="shared" ca="1" si="65"/>
        <v>0</v>
      </c>
      <c r="P241" s="26" t="str">
        <f t="shared" ca="1" si="66"/>
        <v>Desired Burn Rate</v>
      </c>
      <c r="Q241" s="24" t="e">
        <f t="shared" ca="1" si="67"/>
        <v>#DIV/0!</v>
      </c>
      <c r="R241" s="25" t="e">
        <f t="shared" ca="1" si="68"/>
        <v>#DIV/0!</v>
      </c>
      <c r="S241" s="26" t="e">
        <f ca="1">TEXT(Table2[[#This Row],[Projected Limit Date]],"mmmm")</f>
        <v>#DIV/0!</v>
      </c>
      <c r="T241" s="26" t="e">
        <f t="shared" ca="1" si="69"/>
        <v>#DIV/0!</v>
      </c>
      <c r="U241" s="31" t="s">
        <v>562</v>
      </c>
      <c r="V241" s="31" t="s">
        <v>573</v>
      </c>
      <c r="W241" s="32" t="str">
        <f t="shared" si="70"/>
        <v>Options</v>
      </c>
      <c r="X241" s="31"/>
      <c r="Y241" s="31"/>
      <c r="Z241" s="102" t="str">
        <f t="shared" ca="1" si="71"/>
        <v>Expiring &gt; 6 Months</v>
      </c>
      <c r="AA241" s="102">
        <f t="shared" ca="1" si="72"/>
        <v>0</v>
      </c>
      <c r="AB241" s="102">
        <f t="shared" ca="1" si="73"/>
        <v>0</v>
      </c>
      <c r="AC241" s="102">
        <f t="shared" ca="1" si="74"/>
        <v>0</v>
      </c>
      <c r="AD241" s="102" t="str">
        <f t="shared" si="75"/>
        <v>Safe</v>
      </c>
    </row>
    <row r="242" spans="1:30" hidden="1">
      <c r="A242" s="107" t="str">
        <f>TEXT(Table2[[#This Row],[MB END]],"mmmm")</f>
        <v>February</v>
      </c>
      <c r="B242" s="107" t="str">
        <f>TEXT(Table2[[#This Row],[MB END]],"yyyy")</f>
        <v>2018</v>
      </c>
      <c r="C242" s="130" t="s">
        <v>921</v>
      </c>
      <c r="D242" s="27" t="s">
        <v>889</v>
      </c>
      <c r="E242" s="28">
        <v>43061</v>
      </c>
      <c r="F242" s="121">
        <v>43152</v>
      </c>
      <c r="G242" s="27" t="s">
        <v>922</v>
      </c>
      <c r="H242" s="27" t="s">
        <v>923</v>
      </c>
      <c r="I242" s="131">
        <v>4995</v>
      </c>
      <c r="J242" s="131">
        <v>0</v>
      </c>
      <c r="K242" s="29">
        <f t="shared" si="61"/>
        <v>0</v>
      </c>
      <c r="L242" s="23">
        <f t="shared" si="62"/>
        <v>2.9666666666666668</v>
      </c>
      <c r="M242" s="113">
        <f t="shared" si="63"/>
        <v>0.33707865168539325</v>
      </c>
      <c r="N242" s="24">
        <f t="shared" ca="1" si="64"/>
        <v>0.73333333333333328</v>
      </c>
      <c r="O242" s="113">
        <f t="shared" ca="1" si="65"/>
        <v>0</v>
      </c>
      <c r="P242" s="26" t="str">
        <f t="shared" ca="1" si="66"/>
        <v>Desired Burn Rate</v>
      </c>
      <c r="Q242" s="24" t="e">
        <f t="shared" ca="1" si="67"/>
        <v>#DIV/0!</v>
      </c>
      <c r="R242" s="25" t="e">
        <f t="shared" ca="1" si="68"/>
        <v>#DIV/0!</v>
      </c>
      <c r="S242" s="26" t="e">
        <f ca="1">TEXT(Table2[[#This Row],[Projected Limit Date]],"mmmm")</f>
        <v>#DIV/0!</v>
      </c>
      <c r="T242" s="26" t="e">
        <f t="shared" ca="1" si="69"/>
        <v>#DIV/0!</v>
      </c>
      <c r="U242" s="31" t="s">
        <v>562</v>
      </c>
      <c r="V242" s="31" t="s">
        <v>565</v>
      </c>
      <c r="W242" s="32" t="str">
        <f t="shared" si="70"/>
        <v>No options</v>
      </c>
      <c r="X242" s="31" t="s">
        <v>927</v>
      </c>
      <c r="Y242" s="132"/>
      <c r="Z242" s="102" t="str">
        <f t="shared" ca="1" si="71"/>
        <v>Expiring &lt; 6 Months</v>
      </c>
      <c r="AA242" s="102">
        <f t="shared" ca="1" si="72"/>
        <v>1</v>
      </c>
      <c r="AB242" s="102">
        <f t="shared" ca="1" si="73"/>
        <v>0</v>
      </c>
      <c r="AC242" s="102">
        <f t="shared" ca="1" si="74"/>
        <v>1</v>
      </c>
      <c r="AD242" s="102" t="str">
        <f t="shared" si="75"/>
        <v>Safe</v>
      </c>
    </row>
    <row r="243" spans="1:30" hidden="1">
      <c r="A243" s="107" t="str">
        <f>TEXT(Table2[[#This Row],[MB END]],"mmmm")</f>
        <v>November</v>
      </c>
      <c r="B243" s="107" t="str">
        <f>TEXT(Table2[[#This Row],[MB END]],"yyyy")</f>
        <v>2022</v>
      </c>
      <c r="C243" s="116" t="s">
        <v>924</v>
      </c>
      <c r="D243" s="27" t="s">
        <v>889</v>
      </c>
      <c r="E243" s="28">
        <v>43047</v>
      </c>
      <c r="F243" s="121">
        <v>44872</v>
      </c>
      <c r="G243" s="27" t="s">
        <v>925</v>
      </c>
      <c r="H243" s="27" t="s">
        <v>926</v>
      </c>
      <c r="I243" s="122">
        <v>2500000</v>
      </c>
      <c r="J243" s="122">
        <v>0</v>
      </c>
      <c r="K243" s="29">
        <f t="shared" si="61"/>
        <v>0</v>
      </c>
      <c r="L243" s="23">
        <f t="shared" si="62"/>
        <v>59.966666666666669</v>
      </c>
      <c r="M243" s="113">
        <f t="shared" si="63"/>
        <v>1.6675931072818232E-2</v>
      </c>
      <c r="N243" s="24">
        <f t="shared" ca="1" si="64"/>
        <v>1.2</v>
      </c>
      <c r="O243" s="113">
        <f t="shared" ca="1" si="65"/>
        <v>0</v>
      </c>
      <c r="P243" s="26" t="str">
        <f t="shared" ca="1" si="66"/>
        <v>Desired Burn Rate</v>
      </c>
      <c r="Q243" s="24" t="e">
        <f t="shared" ca="1" si="67"/>
        <v>#DIV/0!</v>
      </c>
      <c r="R243" s="25" t="e">
        <f t="shared" ca="1" si="68"/>
        <v>#DIV/0!</v>
      </c>
      <c r="S243" s="26" t="e">
        <f ca="1">TEXT(Table2[[#This Row],[Projected Limit Date]],"mmmm")</f>
        <v>#DIV/0!</v>
      </c>
      <c r="T243" s="26" t="e">
        <f t="shared" ca="1" si="69"/>
        <v>#DIV/0!</v>
      </c>
      <c r="U243" s="31" t="s">
        <v>562</v>
      </c>
      <c r="V243" s="31" t="s">
        <v>565</v>
      </c>
      <c r="W243" s="32" t="str">
        <f t="shared" si="70"/>
        <v>No options</v>
      </c>
      <c r="X243" s="31"/>
      <c r="Y243" s="132"/>
      <c r="Z243" s="102" t="str">
        <f t="shared" ca="1" si="71"/>
        <v>Expiring &gt; 6 Months</v>
      </c>
      <c r="AA243" s="102">
        <f t="shared" ca="1" si="72"/>
        <v>0</v>
      </c>
      <c r="AB243" s="102">
        <f t="shared" ca="1" si="73"/>
        <v>0</v>
      </c>
      <c r="AC243" s="102">
        <f t="shared" ca="1" si="74"/>
        <v>0</v>
      </c>
      <c r="AD243" s="102" t="str">
        <f t="shared" si="75"/>
        <v>Safe</v>
      </c>
    </row>
    <row r="244" spans="1:30" hidden="1">
      <c r="A244" s="107" t="str">
        <f>TEXT(Table2[[#This Row],[MB END]],"mmmm")</f>
        <v>November</v>
      </c>
      <c r="B244" s="107" t="str">
        <f>TEXT(Table2[[#This Row],[MB END]],"yyyy")</f>
        <v>2018</v>
      </c>
      <c r="C244" s="130" t="s">
        <v>958</v>
      </c>
      <c r="D244" s="27" t="s">
        <v>7</v>
      </c>
      <c r="E244" s="28">
        <v>43050</v>
      </c>
      <c r="F244" s="121">
        <v>43414</v>
      </c>
      <c r="G244" s="27" t="s">
        <v>959</v>
      </c>
      <c r="H244" s="27" t="s">
        <v>584</v>
      </c>
      <c r="I244" s="131">
        <v>373163</v>
      </c>
      <c r="J244" s="131">
        <v>0</v>
      </c>
      <c r="K244" s="29">
        <f t="shared" si="61"/>
        <v>0</v>
      </c>
      <c r="L244" s="23">
        <f t="shared" si="62"/>
        <v>11.966666666666667</v>
      </c>
      <c r="M244" s="113">
        <f t="shared" si="63"/>
        <v>8.3565459610027856E-2</v>
      </c>
      <c r="N244" s="24">
        <f t="shared" ca="1" si="64"/>
        <v>1.1000000000000001</v>
      </c>
      <c r="O244" s="113">
        <f t="shared" ca="1" si="65"/>
        <v>0</v>
      </c>
      <c r="P244" s="26" t="str">
        <f t="shared" ca="1" si="66"/>
        <v>Desired Burn Rate</v>
      </c>
      <c r="Q244" s="24" t="e">
        <f t="shared" ca="1" si="67"/>
        <v>#DIV/0!</v>
      </c>
      <c r="R244" s="25" t="e">
        <f t="shared" ca="1" si="68"/>
        <v>#DIV/0!</v>
      </c>
      <c r="S244" s="26" t="e">
        <f ca="1">TEXT(Table2[[#This Row],[Projected Limit Date]],"mmmm")</f>
        <v>#DIV/0!</v>
      </c>
      <c r="T244" s="26" t="e">
        <f t="shared" ca="1" si="69"/>
        <v>#DIV/0!</v>
      </c>
      <c r="U244" s="31" t="s">
        <v>562</v>
      </c>
      <c r="V244" s="31" t="s">
        <v>565</v>
      </c>
      <c r="W244" s="32" t="str">
        <f t="shared" si="70"/>
        <v>No options</v>
      </c>
      <c r="X244" s="31" t="s">
        <v>585</v>
      </c>
      <c r="Y244" s="132"/>
      <c r="Z244" s="102" t="str">
        <f t="shared" ca="1" si="71"/>
        <v>Expiring &gt; 6 Months</v>
      </c>
      <c r="AA244" s="102">
        <f t="shared" ca="1" si="72"/>
        <v>0</v>
      </c>
      <c r="AB244" s="102">
        <f t="shared" ca="1" si="73"/>
        <v>0</v>
      </c>
      <c r="AC244" s="102">
        <f t="shared" ca="1" si="74"/>
        <v>0</v>
      </c>
      <c r="AD244" s="102" t="str">
        <f t="shared" si="75"/>
        <v>Safe</v>
      </c>
    </row>
    <row r="245" spans="1:30" hidden="1">
      <c r="A245" s="107" t="str">
        <f>TEXT(Table2[[#This Row],[MB END]],"mmmm")</f>
        <v>September</v>
      </c>
      <c r="B245" s="107" t="str">
        <f>TEXT(Table2[[#This Row],[MB END]],"yyyy")</f>
        <v>2019</v>
      </c>
      <c r="C245" s="130" t="s">
        <v>960</v>
      </c>
      <c r="D245" s="27" t="s">
        <v>961</v>
      </c>
      <c r="E245" s="28">
        <v>43005</v>
      </c>
      <c r="F245" s="121">
        <v>43734</v>
      </c>
      <c r="G245" s="27" t="s">
        <v>962</v>
      </c>
      <c r="H245" s="27" t="s">
        <v>963</v>
      </c>
      <c r="I245" s="131">
        <v>1500000</v>
      </c>
      <c r="J245" s="131">
        <v>0</v>
      </c>
      <c r="K245" s="29">
        <f t="shared" si="61"/>
        <v>0</v>
      </c>
      <c r="L245" s="23">
        <f t="shared" si="62"/>
        <v>23.966666666666665</v>
      </c>
      <c r="M245" s="113">
        <f t="shared" si="63"/>
        <v>4.1724617524339362E-2</v>
      </c>
      <c r="N245" s="24">
        <f t="shared" ca="1" si="64"/>
        <v>2.5666666666666669</v>
      </c>
      <c r="O245" s="113">
        <f t="shared" ca="1" si="65"/>
        <v>0</v>
      </c>
      <c r="P245" s="26" t="str">
        <f t="shared" ca="1" si="66"/>
        <v>Desired Burn Rate</v>
      </c>
      <c r="Q245" s="24" t="e">
        <f t="shared" ca="1" si="67"/>
        <v>#DIV/0!</v>
      </c>
      <c r="R245" s="25" t="e">
        <f t="shared" ca="1" si="68"/>
        <v>#DIV/0!</v>
      </c>
      <c r="S245" s="26" t="e">
        <f ca="1">TEXT(Table2[[#This Row],[Projected Limit Date]],"mmmm")</f>
        <v>#DIV/0!</v>
      </c>
      <c r="T245" s="26" t="e">
        <f t="shared" ca="1" si="69"/>
        <v>#DIV/0!</v>
      </c>
      <c r="U245" s="31" t="s">
        <v>563</v>
      </c>
      <c r="V245" s="31" t="s">
        <v>966</v>
      </c>
      <c r="W245" s="32" t="str">
        <f t="shared" si="70"/>
        <v>Options</v>
      </c>
      <c r="X245" s="31"/>
      <c r="Y245" s="132"/>
      <c r="Z245" s="102" t="str">
        <f t="shared" ca="1" si="71"/>
        <v>Expiring &gt; 6 Months</v>
      </c>
      <c r="AA245" s="102">
        <f t="shared" ca="1" si="72"/>
        <v>0</v>
      </c>
      <c r="AB245" s="102">
        <f t="shared" ca="1" si="73"/>
        <v>0</v>
      </c>
      <c r="AC245" s="102">
        <f t="shared" ca="1" si="74"/>
        <v>0</v>
      </c>
      <c r="AD245" s="102" t="str">
        <f t="shared" si="75"/>
        <v>Safe</v>
      </c>
    </row>
    <row r="246" spans="1:30" hidden="1">
      <c r="A246" s="102" t="str">
        <f>TEXT(Table2[[#This Row],[MB END]],"mmmm")</f>
        <v>September</v>
      </c>
      <c r="B246" s="102" t="str">
        <f>TEXT(Table2[[#This Row],[MB END]],"yyyy")</f>
        <v>2019</v>
      </c>
      <c r="C246" s="137" t="s">
        <v>964</v>
      </c>
      <c r="D246" s="1" t="s">
        <v>961</v>
      </c>
      <c r="E246" s="2">
        <v>43005</v>
      </c>
      <c r="F246" s="111">
        <v>43734</v>
      </c>
      <c r="G246" s="1" t="s">
        <v>962</v>
      </c>
      <c r="H246" s="1" t="s">
        <v>965</v>
      </c>
      <c r="I246" s="131">
        <v>2500000</v>
      </c>
      <c r="J246" s="131">
        <v>0</v>
      </c>
      <c r="K246" s="19">
        <f t="shared" si="61"/>
        <v>0</v>
      </c>
      <c r="L246" s="16">
        <f t="shared" si="62"/>
        <v>23.966666666666665</v>
      </c>
      <c r="M246" s="105">
        <f t="shared" si="63"/>
        <v>4.1724617524339362E-2</v>
      </c>
      <c r="N246" s="16">
        <f t="shared" ca="1" si="64"/>
        <v>2.5666666666666669</v>
      </c>
      <c r="O246" s="105">
        <f t="shared" ca="1" si="65"/>
        <v>0</v>
      </c>
      <c r="P246" s="102" t="str">
        <f t="shared" ca="1" si="66"/>
        <v>Desired Burn Rate</v>
      </c>
      <c r="Q246" s="16" t="e">
        <f t="shared" ca="1" si="67"/>
        <v>#DIV/0!</v>
      </c>
      <c r="R246" s="14" t="e">
        <f t="shared" ca="1" si="68"/>
        <v>#DIV/0!</v>
      </c>
      <c r="S246" s="102" t="e">
        <f ca="1">TEXT(Table2[[#This Row],[Projected Limit Date]],"mmmm")</f>
        <v>#DIV/0!</v>
      </c>
      <c r="T246" s="102" t="e">
        <f t="shared" ca="1" si="69"/>
        <v>#DIV/0!</v>
      </c>
      <c r="U246" s="102" t="s">
        <v>563</v>
      </c>
      <c r="V246" s="102" t="s">
        <v>966</v>
      </c>
      <c r="W246" s="102" t="str">
        <f t="shared" si="70"/>
        <v>Options</v>
      </c>
      <c r="X246" s="102"/>
      <c r="Y246" s="138"/>
      <c r="Z246" s="102" t="str">
        <f t="shared" ca="1" si="71"/>
        <v>Expiring &gt; 6 Months</v>
      </c>
      <c r="AA246" s="102">
        <f t="shared" ca="1" si="72"/>
        <v>0</v>
      </c>
      <c r="AB246" s="102">
        <f t="shared" ca="1" si="73"/>
        <v>0</v>
      </c>
      <c r="AC246" s="102">
        <f t="shared" ca="1" si="74"/>
        <v>0</v>
      </c>
      <c r="AD246" s="102" t="str">
        <f t="shared" si="75"/>
        <v>Safe</v>
      </c>
    </row>
    <row r="247" spans="1:30">
      <c r="A247" s="102"/>
      <c r="B247" s="102"/>
      <c r="C247" s="1"/>
      <c r="D247" s="1"/>
      <c r="F247" s="111"/>
      <c r="G247" s="1"/>
      <c r="H247" s="1"/>
      <c r="I247" s="133">
        <f>SUBTOTAL(109,Table2[MB $ LIMIT])</f>
        <v>27950211.259999998</v>
      </c>
      <c r="J247" s="133">
        <f>SUBTOTAL(109,Table2[MB $ SPENT])</f>
        <v>24526615.399999999</v>
      </c>
      <c r="K247" s="134">
        <f>Table2[[#Totals],[MB $ SPENT]]/Table2[[#Totals],[MB $ LIMIT]]</f>
        <v>0.87751091295329264</v>
      </c>
      <c r="M247" s="134"/>
      <c r="O247" s="134"/>
      <c r="P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</row>
  </sheetData>
  <conditionalFormatting sqref="P1 P172:P226">
    <cfRule type="containsText" dxfId="75" priority="5" operator="containsText" text="Really High Burn Rate">
      <formula>NOT(ISERROR(SEARCH("Really High Burn Rate",P1)))</formula>
    </cfRule>
    <cfRule type="containsText" dxfId="74" priority="6" operator="containsText" text="High Burn Rate">
      <formula>NOT(ISERROR(SEARCH("High Burn Rate",P1)))</formula>
    </cfRule>
  </conditionalFormatting>
  <conditionalFormatting sqref="C172:C226">
    <cfRule type="duplicateValues" dxfId="73" priority="148"/>
  </conditionalFormatting>
  <conditionalFormatting sqref="C2:C246">
    <cfRule type="duplicateValues" dxfId="72" priority="158"/>
  </conditionalFormatting>
  <pageMargins left="0.7" right="0.7" top="0.75" bottom="0.75" header="0.3" footer="0.3"/>
  <pageSetup paperSize="5" scale="48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/>
  </sheetViews>
  <sheetFormatPr defaultRowHeight="15"/>
  <cols>
    <col min="3" max="3" width="10.28515625" customWidth="1"/>
    <col min="4" max="4" width="49.85546875" customWidth="1"/>
    <col min="5" max="5" width="58.85546875" customWidth="1"/>
    <col min="6" max="6" width="10.7109375" style="14" bestFit="1" customWidth="1"/>
    <col min="7" max="7" width="31.140625" customWidth="1"/>
    <col min="8" max="8" width="21.42578125" customWidth="1"/>
  </cols>
  <sheetData>
    <row r="1" spans="1:8">
      <c r="A1" t="s">
        <v>536</v>
      </c>
      <c r="B1" t="s">
        <v>537</v>
      </c>
      <c r="C1" t="s">
        <v>553</v>
      </c>
      <c r="D1" t="s">
        <v>540</v>
      </c>
      <c r="E1" t="s">
        <v>541</v>
      </c>
      <c r="F1" s="14" t="s">
        <v>539</v>
      </c>
      <c r="G1" t="s">
        <v>554</v>
      </c>
      <c r="H1" t="s">
        <v>556</v>
      </c>
    </row>
    <row r="2" spans="1:8">
      <c r="A2" t="s">
        <v>114</v>
      </c>
      <c r="B2" t="s">
        <v>52</v>
      </c>
      <c r="C2" t="s">
        <v>563</v>
      </c>
      <c r="D2" t="s">
        <v>115</v>
      </c>
      <c r="E2" t="s">
        <v>116</v>
      </c>
      <c r="F2" s="14">
        <v>42886</v>
      </c>
      <c r="G2" t="s">
        <v>757</v>
      </c>
      <c r="H2" t="s">
        <v>566</v>
      </c>
    </row>
    <row r="3" spans="1:8">
      <c r="A3" t="s">
        <v>355</v>
      </c>
      <c r="B3" t="s">
        <v>7</v>
      </c>
      <c r="C3" t="s">
        <v>562</v>
      </c>
      <c r="D3" t="s">
        <v>356</v>
      </c>
      <c r="E3" t="s">
        <v>357</v>
      </c>
      <c r="F3" s="14">
        <v>42886</v>
      </c>
      <c r="G3" t="s">
        <v>565</v>
      </c>
      <c r="H3" t="s">
        <v>787</v>
      </c>
    </row>
    <row r="4" spans="1:8">
      <c r="A4" t="s">
        <v>327</v>
      </c>
      <c r="B4" t="s">
        <v>328</v>
      </c>
      <c r="C4" t="s">
        <v>563</v>
      </c>
      <c r="D4" t="s">
        <v>329</v>
      </c>
      <c r="E4" t="s">
        <v>330</v>
      </c>
      <c r="F4" s="14">
        <v>42888</v>
      </c>
      <c r="G4" t="s">
        <v>797</v>
      </c>
      <c r="H4" t="s">
        <v>780</v>
      </c>
    </row>
    <row r="5" spans="1:8">
      <c r="A5" t="s">
        <v>331</v>
      </c>
      <c r="B5" t="s">
        <v>328</v>
      </c>
      <c r="C5" t="s">
        <v>563</v>
      </c>
      <c r="D5" t="s">
        <v>329</v>
      </c>
      <c r="E5" t="s">
        <v>332</v>
      </c>
      <c r="F5" s="14">
        <v>42888</v>
      </c>
      <c r="G5" t="s">
        <v>797</v>
      </c>
      <c r="H5" t="s">
        <v>780</v>
      </c>
    </row>
    <row r="6" spans="1:8">
      <c r="A6" t="s">
        <v>333</v>
      </c>
      <c r="B6" t="s">
        <v>328</v>
      </c>
      <c r="C6" t="s">
        <v>563</v>
      </c>
      <c r="D6" t="s">
        <v>329</v>
      </c>
      <c r="E6" t="s">
        <v>334</v>
      </c>
      <c r="F6" s="14">
        <v>42888</v>
      </c>
      <c r="G6" t="s">
        <v>797</v>
      </c>
      <c r="H6" t="s">
        <v>780</v>
      </c>
    </row>
    <row r="7" spans="1:8">
      <c r="A7" t="s">
        <v>390</v>
      </c>
      <c r="B7" t="s">
        <v>58</v>
      </c>
      <c r="C7" t="s">
        <v>562</v>
      </c>
      <c r="D7" t="s">
        <v>391</v>
      </c>
      <c r="E7" t="s">
        <v>392</v>
      </c>
      <c r="F7" s="14">
        <v>42893</v>
      </c>
      <c r="G7" t="s">
        <v>565</v>
      </c>
      <c r="H7" t="s">
        <v>570</v>
      </c>
    </row>
    <row r="8" spans="1:8">
      <c r="A8" t="s">
        <v>587</v>
      </c>
      <c r="B8" t="s">
        <v>349</v>
      </c>
      <c r="C8" t="s">
        <v>563</v>
      </c>
      <c r="D8" t="s">
        <v>588</v>
      </c>
      <c r="E8" t="s">
        <v>589</v>
      </c>
      <c r="F8" s="14">
        <v>42895</v>
      </c>
      <c r="G8" t="s">
        <v>569</v>
      </c>
      <c r="H8" t="s">
        <v>780</v>
      </c>
    </row>
    <row r="9" spans="1:8">
      <c r="A9" t="s">
        <v>590</v>
      </c>
      <c r="B9" t="s">
        <v>349</v>
      </c>
      <c r="C9" t="s">
        <v>563</v>
      </c>
      <c r="D9" t="s">
        <v>588</v>
      </c>
      <c r="E9" t="s">
        <v>591</v>
      </c>
      <c r="F9" s="14">
        <v>42895</v>
      </c>
      <c r="G9" t="s">
        <v>569</v>
      </c>
      <c r="H9" t="s">
        <v>780</v>
      </c>
    </row>
    <row r="10" spans="1:8">
      <c r="A10" t="s">
        <v>210</v>
      </c>
      <c r="B10" t="s">
        <v>7</v>
      </c>
      <c r="C10" t="s">
        <v>562</v>
      </c>
      <c r="D10" t="s">
        <v>211</v>
      </c>
      <c r="E10" t="s">
        <v>122</v>
      </c>
      <c r="F10" s="14">
        <v>42903</v>
      </c>
      <c r="G10" t="s">
        <v>759</v>
      </c>
    </row>
    <row r="11" spans="1:8">
      <c r="A11" t="s">
        <v>342</v>
      </c>
      <c r="B11" t="s">
        <v>7</v>
      </c>
      <c r="C11" t="s">
        <v>562</v>
      </c>
      <c r="D11" t="s">
        <v>343</v>
      </c>
      <c r="E11" t="s">
        <v>344</v>
      </c>
      <c r="F11" s="14">
        <v>42909</v>
      </c>
      <c r="G11" t="s">
        <v>760</v>
      </c>
    </row>
    <row r="12" spans="1:8">
      <c r="A12" t="s">
        <v>592</v>
      </c>
      <c r="B12" t="s">
        <v>52</v>
      </c>
      <c r="C12" t="s">
        <v>563</v>
      </c>
      <c r="D12" t="s">
        <v>593</v>
      </c>
      <c r="E12" t="s">
        <v>116</v>
      </c>
      <c r="F12" s="14">
        <v>42910</v>
      </c>
      <c r="G12" t="s">
        <v>594</v>
      </c>
      <c r="H12" t="s">
        <v>780</v>
      </c>
    </row>
    <row r="13" spans="1:8">
      <c r="A13" t="s">
        <v>595</v>
      </c>
      <c r="B13" t="s">
        <v>52</v>
      </c>
      <c r="C13" t="s">
        <v>563</v>
      </c>
      <c r="D13" t="s">
        <v>596</v>
      </c>
      <c r="E13" t="s">
        <v>597</v>
      </c>
      <c r="F13" s="14">
        <v>42910</v>
      </c>
      <c r="G13" t="s">
        <v>594</v>
      </c>
      <c r="H13" t="s">
        <v>780</v>
      </c>
    </row>
    <row r="14" spans="1:8">
      <c r="A14" t="s">
        <v>598</v>
      </c>
      <c r="B14" t="s">
        <v>52</v>
      </c>
      <c r="C14" t="s">
        <v>563</v>
      </c>
      <c r="D14" t="s">
        <v>599</v>
      </c>
      <c r="E14" t="s">
        <v>600</v>
      </c>
      <c r="F14" s="14">
        <v>42910</v>
      </c>
      <c r="G14" t="s">
        <v>594</v>
      </c>
      <c r="H14" t="s">
        <v>780</v>
      </c>
    </row>
    <row r="15" spans="1:8">
      <c r="A15" t="s">
        <v>601</v>
      </c>
      <c r="B15" t="s">
        <v>349</v>
      </c>
      <c r="C15" t="s">
        <v>563</v>
      </c>
      <c r="D15" t="s">
        <v>602</v>
      </c>
      <c r="E15" t="s">
        <v>603</v>
      </c>
      <c r="F15" s="14">
        <v>42913</v>
      </c>
      <c r="G15" t="s">
        <v>604</v>
      </c>
      <c r="H15" t="s">
        <v>780</v>
      </c>
    </row>
    <row r="16" spans="1:8">
      <c r="A16" t="s">
        <v>399</v>
      </c>
      <c r="B16" t="s">
        <v>58</v>
      </c>
      <c r="C16" t="s">
        <v>562</v>
      </c>
      <c r="D16" t="s">
        <v>400</v>
      </c>
      <c r="E16" t="s">
        <v>401</v>
      </c>
      <c r="F16" s="14">
        <v>42914</v>
      </c>
      <c r="G16" t="s">
        <v>565</v>
      </c>
      <c r="H16" t="s">
        <v>570</v>
      </c>
    </row>
    <row r="17" spans="1:8">
      <c r="A17" t="s">
        <v>402</v>
      </c>
      <c r="B17" t="s">
        <v>58</v>
      </c>
      <c r="C17" t="s">
        <v>562</v>
      </c>
      <c r="D17" t="s">
        <v>403</v>
      </c>
      <c r="E17" t="s">
        <v>159</v>
      </c>
      <c r="F17" s="14">
        <v>42914</v>
      </c>
      <c r="G17" t="s">
        <v>565</v>
      </c>
      <c r="H17" t="s">
        <v>570</v>
      </c>
    </row>
    <row r="18" spans="1:8">
      <c r="A18" t="s">
        <v>404</v>
      </c>
      <c r="B18" t="s">
        <v>58</v>
      </c>
      <c r="C18" t="s">
        <v>562</v>
      </c>
      <c r="D18" t="s">
        <v>405</v>
      </c>
      <c r="E18" t="s">
        <v>159</v>
      </c>
      <c r="F18" s="14">
        <v>42914</v>
      </c>
      <c r="G18" t="s">
        <v>565</v>
      </c>
      <c r="H18" t="s">
        <v>570</v>
      </c>
    </row>
    <row r="19" spans="1:8">
      <c r="A19" t="s">
        <v>55</v>
      </c>
      <c r="B19" t="s">
        <v>7</v>
      </c>
      <c r="C19" t="s">
        <v>562</v>
      </c>
      <c r="D19" t="s">
        <v>56</v>
      </c>
      <c r="E19" t="s">
        <v>38</v>
      </c>
      <c r="F19" s="14">
        <v>42916</v>
      </c>
      <c r="G19" t="s">
        <v>565</v>
      </c>
    </row>
    <row r="20" spans="1:8">
      <c r="A20" t="s">
        <v>335</v>
      </c>
      <c r="B20" t="s">
        <v>238</v>
      </c>
      <c r="C20" t="s">
        <v>563</v>
      </c>
      <c r="D20" t="s">
        <v>336</v>
      </c>
      <c r="E20" t="s">
        <v>337</v>
      </c>
      <c r="F20" s="14">
        <v>42916</v>
      </c>
      <c r="G20" t="s">
        <v>764</v>
      </c>
      <c r="H20" t="s">
        <v>780</v>
      </c>
    </row>
    <row r="21" spans="1:8">
      <c r="A21" t="s">
        <v>69</v>
      </c>
      <c r="B21" t="s">
        <v>24</v>
      </c>
      <c r="C21" t="s">
        <v>562</v>
      </c>
      <c r="D21" t="s">
        <v>70</v>
      </c>
      <c r="E21" t="s">
        <v>71</v>
      </c>
      <c r="F21" s="14">
        <v>42916</v>
      </c>
      <c r="G21" t="s">
        <v>761</v>
      </c>
    </row>
    <row r="22" spans="1:8">
      <c r="A22" t="s">
        <v>135</v>
      </c>
      <c r="B22" t="s">
        <v>136</v>
      </c>
      <c r="C22" t="s">
        <v>562</v>
      </c>
      <c r="D22" t="s">
        <v>137</v>
      </c>
      <c r="E22" t="s">
        <v>138</v>
      </c>
      <c r="F22" s="14">
        <v>42916</v>
      </c>
      <c r="G22" t="s">
        <v>762</v>
      </c>
    </row>
    <row r="23" spans="1:8">
      <c r="A23" t="s">
        <v>191</v>
      </c>
      <c r="B23" t="s">
        <v>7</v>
      </c>
      <c r="C23" t="s">
        <v>562</v>
      </c>
      <c r="D23" t="s">
        <v>192</v>
      </c>
      <c r="E23" t="s">
        <v>26</v>
      </c>
      <c r="F23" s="14">
        <v>42916</v>
      </c>
      <c r="G23" t="s">
        <v>573</v>
      </c>
    </row>
    <row r="24" spans="1:8">
      <c r="A24" t="s">
        <v>193</v>
      </c>
      <c r="B24" t="s">
        <v>7</v>
      </c>
      <c r="C24" t="s">
        <v>562</v>
      </c>
      <c r="D24" t="s">
        <v>194</v>
      </c>
      <c r="E24" t="s">
        <v>195</v>
      </c>
      <c r="F24" s="14">
        <v>42916</v>
      </c>
      <c r="G24" t="s">
        <v>654</v>
      </c>
    </row>
    <row r="25" spans="1:8">
      <c r="A25" t="s">
        <v>199</v>
      </c>
      <c r="B25" t="s">
        <v>7</v>
      </c>
      <c r="C25" t="s">
        <v>562</v>
      </c>
      <c r="D25" t="s">
        <v>200</v>
      </c>
      <c r="E25" t="s">
        <v>201</v>
      </c>
      <c r="F25" s="14">
        <v>42916</v>
      </c>
      <c r="G25" t="s">
        <v>763</v>
      </c>
    </row>
    <row r="26" spans="1:8">
      <c r="A26" t="s">
        <v>202</v>
      </c>
      <c r="B26" t="s">
        <v>7</v>
      </c>
      <c r="C26" t="s">
        <v>562</v>
      </c>
      <c r="D26" t="s">
        <v>203</v>
      </c>
      <c r="E26" t="s">
        <v>204</v>
      </c>
      <c r="F26" s="14">
        <v>42916</v>
      </c>
      <c r="G26" t="s">
        <v>654</v>
      </c>
    </row>
    <row r="27" spans="1:8">
      <c r="A27" t="s">
        <v>205</v>
      </c>
      <c r="B27" t="s">
        <v>7</v>
      </c>
      <c r="C27" t="s">
        <v>562</v>
      </c>
      <c r="D27" t="s">
        <v>206</v>
      </c>
      <c r="E27" t="s">
        <v>62</v>
      </c>
      <c r="F27" s="14">
        <v>42916</v>
      </c>
      <c r="G27" t="s">
        <v>654</v>
      </c>
    </row>
    <row r="28" spans="1:8">
      <c r="A28" t="s">
        <v>217</v>
      </c>
      <c r="B28" t="s">
        <v>24</v>
      </c>
      <c r="C28" t="s">
        <v>562</v>
      </c>
      <c r="D28" t="s">
        <v>218</v>
      </c>
      <c r="E28" t="s">
        <v>153</v>
      </c>
      <c r="F28" s="14">
        <v>42916</v>
      </c>
      <c r="G28" t="s">
        <v>586</v>
      </c>
    </row>
    <row r="29" spans="1:8">
      <c r="A29" t="s">
        <v>234</v>
      </c>
      <c r="B29" t="s">
        <v>7</v>
      </c>
      <c r="C29" t="s">
        <v>562</v>
      </c>
      <c r="D29" t="s">
        <v>235</v>
      </c>
      <c r="E29" t="s">
        <v>92</v>
      </c>
      <c r="F29" s="14">
        <v>42916</v>
      </c>
      <c r="G29" t="s">
        <v>573</v>
      </c>
    </row>
    <row r="30" spans="1:8">
      <c r="A30" t="s">
        <v>236</v>
      </c>
      <c r="B30" t="s">
        <v>7</v>
      </c>
      <c r="C30" t="s">
        <v>562</v>
      </c>
      <c r="D30" t="s">
        <v>237</v>
      </c>
      <c r="E30" t="s">
        <v>156</v>
      </c>
      <c r="F30" s="14">
        <v>42916</v>
      </c>
      <c r="G30" t="s">
        <v>573</v>
      </c>
    </row>
    <row r="31" spans="1:8">
      <c r="A31" t="s">
        <v>430</v>
      </c>
      <c r="B31" t="s">
        <v>349</v>
      </c>
      <c r="C31" t="s">
        <v>563</v>
      </c>
      <c r="D31" t="s">
        <v>431</v>
      </c>
      <c r="E31" t="s">
        <v>432</v>
      </c>
      <c r="F31" s="14">
        <v>42916</v>
      </c>
      <c r="G31" t="s">
        <v>565</v>
      </c>
      <c r="H31" t="s">
        <v>789</v>
      </c>
    </row>
    <row r="32" spans="1:8">
      <c r="A32" t="s">
        <v>409</v>
      </c>
      <c r="B32" t="s">
        <v>58</v>
      </c>
      <c r="C32" t="s">
        <v>562</v>
      </c>
      <c r="D32" t="s">
        <v>410</v>
      </c>
      <c r="E32" t="s">
        <v>156</v>
      </c>
      <c r="F32" s="14">
        <v>42928</v>
      </c>
      <c r="G32" t="s">
        <v>565</v>
      </c>
      <c r="H32" t="s">
        <v>570</v>
      </c>
    </row>
    <row r="33" spans="1:8">
      <c r="A33" t="s">
        <v>413</v>
      </c>
      <c r="B33" t="s">
        <v>58</v>
      </c>
      <c r="C33" t="s">
        <v>562</v>
      </c>
      <c r="D33" t="s">
        <v>414</v>
      </c>
      <c r="E33" t="s">
        <v>85</v>
      </c>
      <c r="F33" s="14">
        <v>42928</v>
      </c>
      <c r="G33" t="s">
        <v>565</v>
      </c>
      <c r="H33" t="s">
        <v>570</v>
      </c>
    </row>
    <row r="34" spans="1:8">
      <c r="A34" t="s">
        <v>214</v>
      </c>
      <c r="B34" t="s">
        <v>24</v>
      </c>
      <c r="C34" t="s">
        <v>563</v>
      </c>
      <c r="D34" t="s">
        <v>215</v>
      </c>
      <c r="E34" t="s">
        <v>216</v>
      </c>
      <c r="F34" s="14">
        <v>42929</v>
      </c>
      <c r="G34" t="s">
        <v>573</v>
      </c>
    </row>
    <row r="35" spans="1:8">
      <c r="A35" t="s">
        <v>338</v>
      </c>
      <c r="B35" t="s">
        <v>339</v>
      </c>
      <c r="C35" t="s">
        <v>563</v>
      </c>
      <c r="D35" t="s">
        <v>340</v>
      </c>
      <c r="E35" t="s">
        <v>341</v>
      </c>
      <c r="F35" s="14">
        <v>42930</v>
      </c>
      <c r="G35" t="s">
        <v>724</v>
      </c>
    </row>
    <row r="36" spans="1:8">
      <c r="A36" t="s">
        <v>613</v>
      </c>
      <c r="B36" t="s">
        <v>349</v>
      </c>
      <c r="C36" t="s">
        <v>563</v>
      </c>
      <c r="D36" t="s">
        <v>614</v>
      </c>
      <c r="E36" t="s">
        <v>615</v>
      </c>
      <c r="F36" s="14">
        <v>42933</v>
      </c>
      <c r="G36" t="s">
        <v>616</v>
      </c>
    </row>
    <row r="37" spans="1:8">
      <c r="A37" t="s">
        <v>415</v>
      </c>
      <c r="B37" t="s">
        <v>58</v>
      </c>
      <c r="C37" t="s">
        <v>562</v>
      </c>
      <c r="D37" t="s">
        <v>416</v>
      </c>
      <c r="E37" t="s">
        <v>401</v>
      </c>
      <c r="F37" s="14">
        <v>42935</v>
      </c>
      <c r="G37" t="s">
        <v>565</v>
      </c>
      <c r="H37" t="s">
        <v>570</v>
      </c>
    </row>
    <row r="38" spans="1:8">
      <c r="A38" t="s">
        <v>2</v>
      </c>
      <c r="B38" t="s">
        <v>3</v>
      </c>
      <c r="C38" t="s">
        <v>562</v>
      </c>
      <c r="D38" t="s">
        <v>4</v>
      </c>
      <c r="E38" t="s">
        <v>5</v>
      </c>
      <c r="F38" s="14">
        <v>42947</v>
      </c>
      <c r="G38" t="s">
        <v>594</v>
      </c>
    </row>
    <row r="39" spans="1:8">
      <c r="A39" t="s">
        <v>6</v>
      </c>
      <c r="B39" t="s">
        <v>7</v>
      </c>
      <c r="C39" t="s">
        <v>562</v>
      </c>
      <c r="D39" t="s">
        <v>4</v>
      </c>
      <c r="E39" t="s">
        <v>8</v>
      </c>
      <c r="F39" s="14">
        <v>42947</v>
      </c>
      <c r="G39" t="s">
        <v>594</v>
      </c>
    </row>
    <row r="40" spans="1:8">
      <c r="A40" t="s">
        <v>9</v>
      </c>
      <c r="B40" t="s">
        <v>7</v>
      </c>
      <c r="C40" t="s">
        <v>562</v>
      </c>
      <c r="D40" t="s">
        <v>4</v>
      </c>
      <c r="E40" t="s">
        <v>10</v>
      </c>
      <c r="F40" s="14">
        <v>42947</v>
      </c>
      <c r="G40" t="s">
        <v>594</v>
      </c>
    </row>
    <row r="41" spans="1:8">
      <c r="A41" t="s">
        <v>11</v>
      </c>
      <c r="B41" t="s">
        <v>7</v>
      </c>
      <c r="C41" t="s">
        <v>562</v>
      </c>
      <c r="D41" t="s">
        <v>4</v>
      </c>
      <c r="E41" t="s">
        <v>12</v>
      </c>
      <c r="F41" s="14">
        <v>42947</v>
      </c>
      <c r="G41" t="s">
        <v>594</v>
      </c>
    </row>
    <row r="42" spans="1:8">
      <c r="A42" t="s">
        <v>13</v>
      </c>
      <c r="B42" t="s">
        <v>7</v>
      </c>
      <c r="C42" t="s">
        <v>562</v>
      </c>
      <c r="D42" t="s">
        <v>4</v>
      </c>
      <c r="E42" t="s">
        <v>14</v>
      </c>
      <c r="F42" s="14">
        <v>42947</v>
      </c>
      <c r="G42" t="s">
        <v>594</v>
      </c>
    </row>
    <row r="43" spans="1:8">
      <c r="A43" t="s">
        <v>15</v>
      </c>
      <c r="B43" t="s">
        <v>7</v>
      </c>
      <c r="C43" t="s">
        <v>562</v>
      </c>
      <c r="D43" t="s">
        <v>4</v>
      </c>
      <c r="E43" t="s">
        <v>16</v>
      </c>
      <c r="F43" s="14">
        <v>42947</v>
      </c>
      <c r="G43" t="s">
        <v>594</v>
      </c>
    </row>
    <row r="44" spans="1:8">
      <c r="A44" t="s">
        <v>17</v>
      </c>
      <c r="B44" t="s">
        <v>7</v>
      </c>
      <c r="C44" t="s">
        <v>562</v>
      </c>
      <c r="D44" t="s">
        <v>4</v>
      </c>
      <c r="E44" t="s">
        <v>18</v>
      </c>
      <c r="F44" s="14">
        <v>42947</v>
      </c>
      <c r="G44" t="s">
        <v>594</v>
      </c>
    </row>
    <row r="45" spans="1:8">
      <c r="A45" t="s">
        <v>19</v>
      </c>
      <c r="B45" t="s">
        <v>7</v>
      </c>
      <c r="C45" t="s">
        <v>562</v>
      </c>
      <c r="D45" t="s">
        <v>4</v>
      </c>
      <c r="E45" t="s">
        <v>20</v>
      </c>
      <c r="F45" s="14">
        <v>42947</v>
      </c>
      <c r="G45" t="s">
        <v>594</v>
      </c>
    </row>
    <row r="46" spans="1:8">
      <c r="A46" t="s">
        <v>21</v>
      </c>
      <c r="B46" t="s">
        <v>7</v>
      </c>
      <c r="C46" t="s">
        <v>562</v>
      </c>
      <c r="D46" t="s">
        <v>4</v>
      </c>
      <c r="E46" t="s">
        <v>22</v>
      </c>
      <c r="F46" s="14">
        <v>42947</v>
      </c>
      <c r="G46" t="s">
        <v>594</v>
      </c>
    </row>
    <row r="47" spans="1:8">
      <c r="A47" t="s">
        <v>51</v>
      </c>
      <c r="B47" t="s">
        <v>52</v>
      </c>
      <c r="C47" t="s">
        <v>563</v>
      </c>
      <c r="D47" t="s">
        <v>53</v>
      </c>
      <c r="E47" t="s">
        <v>54</v>
      </c>
      <c r="F47" s="14">
        <v>42947</v>
      </c>
      <c r="G47" t="s">
        <v>565</v>
      </c>
      <c r="H47" t="s">
        <v>566</v>
      </c>
    </row>
    <row r="48" spans="1:8">
      <c r="A48" t="s">
        <v>72</v>
      </c>
      <c r="B48" t="s">
        <v>24</v>
      </c>
      <c r="C48" t="s">
        <v>562</v>
      </c>
      <c r="D48" t="s">
        <v>73</v>
      </c>
      <c r="E48" t="s">
        <v>74</v>
      </c>
      <c r="F48" s="14">
        <v>42947</v>
      </c>
      <c r="G48" t="s">
        <v>569</v>
      </c>
    </row>
    <row r="49" spans="1:8">
      <c r="A49" t="s">
        <v>617</v>
      </c>
      <c r="B49" t="s">
        <v>349</v>
      </c>
      <c r="C49" t="s">
        <v>562</v>
      </c>
      <c r="D49" t="s">
        <v>618</v>
      </c>
      <c r="E49" t="s">
        <v>619</v>
      </c>
      <c r="F49" s="14">
        <v>42947</v>
      </c>
      <c r="G49" t="s">
        <v>620</v>
      </c>
    </row>
    <row r="50" spans="1:8">
      <c r="A50" t="s">
        <v>212</v>
      </c>
      <c r="B50" t="s">
        <v>7</v>
      </c>
      <c r="C50" t="s">
        <v>562</v>
      </c>
      <c r="D50" t="s">
        <v>213</v>
      </c>
      <c r="E50" t="s">
        <v>122</v>
      </c>
      <c r="F50" s="14">
        <v>42947</v>
      </c>
      <c r="G50" t="s">
        <v>724</v>
      </c>
    </row>
    <row r="51" spans="1:8">
      <c r="A51" t="s">
        <v>219</v>
      </c>
      <c r="B51" t="s">
        <v>7</v>
      </c>
      <c r="C51" t="s">
        <v>562</v>
      </c>
      <c r="D51" t="s">
        <v>220</v>
      </c>
      <c r="E51" t="s">
        <v>221</v>
      </c>
      <c r="F51" s="14">
        <v>42947</v>
      </c>
      <c r="G51" t="s">
        <v>654</v>
      </c>
    </row>
    <row r="52" spans="1:8">
      <c r="A52" t="s">
        <v>222</v>
      </c>
      <c r="B52" t="s">
        <v>7</v>
      </c>
      <c r="C52" t="s">
        <v>562</v>
      </c>
      <c r="D52" t="s">
        <v>223</v>
      </c>
      <c r="E52" t="s">
        <v>224</v>
      </c>
      <c r="F52" s="14">
        <v>42947</v>
      </c>
      <c r="G52" t="s">
        <v>573</v>
      </c>
    </row>
    <row r="53" spans="1:8">
      <c r="A53" t="s">
        <v>225</v>
      </c>
      <c r="B53" t="s">
        <v>7</v>
      </c>
      <c r="C53" t="s">
        <v>562</v>
      </c>
      <c r="D53" t="s">
        <v>226</v>
      </c>
      <c r="E53" t="s">
        <v>36</v>
      </c>
      <c r="F53" s="14">
        <v>42947</v>
      </c>
      <c r="G53" t="s">
        <v>573</v>
      </c>
    </row>
    <row r="54" spans="1:8">
      <c r="A54" t="s">
        <v>227</v>
      </c>
      <c r="B54" t="s">
        <v>7</v>
      </c>
      <c r="C54" t="s">
        <v>562</v>
      </c>
      <c r="D54" t="s">
        <v>228</v>
      </c>
      <c r="E54" t="s">
        <v>36</v>
      </c>
      <c r="F54" s="14">
        <v>42947</v>
      </c>
      <c r="G54" t="s">
        <v>573</v>
      </c>
    </row>
    <row r="55" spans="1:8">
      <c r="A55" t="s">
        <v>229</v>
      </c>
      <c r="B55" t="s">
        <v>58</v>
      </c>
      <c r="C55" t="s">
        <v>562</v>
      </c>
      <c r="D55" t="s">
        <v>230</v>
      </c>
      <c r="E55" t="s">
        <v>36</v>
      </c>
      <c r="F55" s="14">
        <v>42947</v>
      </c>
      <c r="G55" t="s">
        <v>573</v>
      </c>
    </row>
    <row r="56" spans="1:8">
      <c r="A56" t="s">
        <v>231</v>
      </c>
      <c r="B56" t="s">
        <v>58</v>
      </c>
      <c r="C56" t="s">
        <v>562</v>
      </c>
      <c r="D56" t="s">
        <v>232</v>
      </c>
      <c r="E56" t="s">
        <v>233</v>
      </c>
      <c r="F56" s="14">
        <v>42947</v>
      </c>
      <c r="G56" t="s">
        <v>573</v>
      </c>
    </row>
    <row r="57" spans="1:8">
      <c r="A57" t="s">
        <v>419</v>
      </c>
      <c r="B57" t="s">
        <v>0</v>
      </c>
      <c r="C57" t="s">
        <v>634</v>
      </c>
      <c r="D57" t="s">
        <v>420</v>
      </c>
      <c r="E57" t="s">
        <v>421</v>
      </c>
      <c r="F57" s="14">
        <v>42949</v>
      </c>
      <c r="G57" t="s">
        <v>565</v>
      </c>
      <c r="H57" t="s">
        <v>790</v>
      </c>
    </row>
    <row r="58" spans="1:8">
      <c r="A58" t="s">
        <v>422</v>
      </c>
      <c r="B58" t="s">
        <v>7</v>
      </c>
      <c r="C58" t="s">
        <v>562</v>
      </c>
      <c r="D58" t="s">
        <v>423</v>
      </c>
      <c r="E58" t="s">
        <v>424</v>
      </c>
      <c r="F58" s="14">
        <v>42970</v>
      </c>
      <c r="G58" t="s">
        <v>565</v>
      </c>
      <c r="H58" t="s">
        <v>781</v>
      </c>
    </row>
    <row r="59" spans="1:8">
      <c r="A59" t="s">
        <v>75</v>
      </c>
      <c r="B59" t="s">
        <v>58</v>
      </c>
      <c r="C59" t="s">
        <v>562</v>
      </c>
      <c r="D59" t="s">
        <v>76</v>
      </c>
      <c r="E59" t="s">
        <v>77</v>
      </c>
      <c r="F59" s="14">
        <v>42978</v>
      </c>
      <c r="G59" t="s">
        <v>761</v>
      </c>
    </row>
    <row r="60" spans="1:8">
      <c r="A60" t="s">
        <v>621</v>
      </c>
      <c r="B60" t="s">
        <v>52</v>
      </c>
      <c r="C60" t="s">
        <v>563</v>
      </c>
      <c r="D60" t="s">
        <v>622</v>
      </c>
      <c r="E60" t="s">
        <v>623</v>
      </c>
      <c r="F60" s="14">
        <v>42978</v>
      </c>
      <c r="G60" t="s">
        <v>612</v>
      </c>
    </row>
    <row r="61" spans="1:8">
      <c r="A61" t="s">
        <v>373</v>
      </c>
      <c r="B61" t="s">
        <v>58</v>
      </c>
      <c r="C61" t="s">
        <v>562</v>
      </c>
      <c r="D61" t="s">
        <v>374</v>
      </c>
      <c r="E61" t="s">
        <v>38</v>
      </c>
      <c r="F61" s="14">
        <v>42978</v>
      </c>
      <c r="G61" t="s">
        <v>765</v>
      </c>
    </row>
    <row r="62" spans="1:8">
      <c r="A62" t="s">
        <v>425</v>
      </c>
      <c r="B62" t="s">
        <v>349</v>
      </c>
      <c r="C62" t="s">
        <v>563</v>
      </c>
      <c r="D62" t="s">
        <v>426</v>
      </c>
      <c r="E62" t="s">
        <v>427</v>
      </c>
      <c r="F62" s="14">
        <v>42978</v>
      </c>
      <c r="G62" t="s">
        <v>565</v>
      </c>
      <c r="H62" t="s">
        <v>791</v>
      </c>
    </row>
    <row r="63" spans="1:8">
      <c r="A63" t="s">
        <v>428</v>
      </c>
      <c r="B63" t="s">
        <v>349</v>
      </c>
      <c r="C63" t="s">
        <v>563</v>
      </c>
      <c r="D63" t="s">
        <v>429</v>
      </c>
      <c r="E63" t="s">
        <v>351</v>
      </c>
      <c r="F63" s="14">
        <v>42979</v>
      </c>
      <c r="G63" t="s">
        <v>565</v>
      </c>
      <c r="H63" t="s">
        <v>792</v>
      </c>
    </row>
    <row r="64" spans="1:8">
      <c r="A64" t="s">
        <v>145</v>
      </c>
      <c r="B64" t="s">
        <v>7</v>
      </c>
      <c r="C64" t="s">
        <v>562</v>
      </c>
      <c r="D64" t="s">
        <v>146</v>
      </c>
      <c r="E64" t="s">
        <v>147</v>
      </c>
      <c r="F64" s="14">
        <v>42980</v>
      </c>
      <c r="G64" t="s">
        <v>573</v>
      </c>
    </row>
    <row r="65" spans="1:8">
      <c r="A65" t="s">
        <v>348</v>
      </c>
      <c r="B65" t="s">
        <v>349</v>
      </c>
      <c r="C65" t="s">
        <v>563</v>
      </c>
      <c r="D65" t="s">
        <v>350</v>
      </c>
      <c r="E65" t="s">
        <v>351</v>
      </c>
      <c r="F65" s="14">
        <v>42985</v>
      </c>
      <c r="G65" t="s">
        <v>565</v>
      </c>
      <c r="H65" t="s">
        <v>792</v>
      </c>
    </row>
    <row r="66" spans="1:8">
      <c r="A66" t="s">
        <v>624</v>
      </c>
      <c r="B66" t="s">
        <v>349</v>
      </c>
      <c r="C66" t="s">
        <v>563</v>
      </c>
      <c r="D66" t="s">
        <v>625</v>
      </c>
      <c r="E66" t="s">
        <v>626</v>
      </c>
      <c r="F66" s="14">
        <v>42985</v>
      </c>
      <c r="G66" t="s">
        <v>565</v>
      </c>
      <c r="H66" t="s">
        <v>793</v>
      </c>
    </row>
    <row r="67" spans="1:8">
      <c r="A67" t="s">
        <v>247</v>
      </c>
      <c r="B67" t="s">
        <v>7</v>
      </c>
      <c r="C67" t="s">
        <v>562</v>
      </c>
      <c r="D67" t="s">
        <v>248</v>
      </c>
      <c r="E67" t="s">
        <v>249</v>
      </c>
      <c r="F67" s="14">
        <v>42987</v>
      </c>
      <c r="G67" t="s">
        <v>759</v>
      </c>
    </row>
    <row r="68" spans="1:8">
      <c r="A68" t="s">
        <v>244</v>
      </c>
      <c r="B68" t="s">
        <v>24</v>
      </c>
      <c r="C68" t="s">
        <v>562</v>
      </c>
      <c r="D68" t="s">
        <v>245</v>
      </c>
      <c r="E68" t="s">
        <v>246</v>
      </c>
      <c r="F68" s="14">
        <v>42988</v>
      </c>
      <c r="G68" t="s">
        <v>766</v>
      </c>
    </row>
    <row r="69" spans="1:8">
      <c r="A69" t="s">
        <v>241</v>
      </c>
      <c r="B69" t="s">
        <v>7</v>
      </c>
      <c r="C69" t="s">
        <v>562</v>
      </c>
      <c r="D69" t="s">
        <v>242</v>
      </c>
      <c r="E69" t="s">
        <v>243</v>
      </c>
      <c r="F69" s="14">
        <v>42989</v>
      </c>
      <c r="G69" t="s">
        <v>761</v>
      </c>
    </row>
    <row r="70" spans="1:8">
      <c r="A70" t="s">
        <v>433</v>
      </c>
      <c r="B70" t="s">
        <v>58</v>
      </c>
      <c r="C70" t="s">
        <v>562</v>
      </c>
      <c r="D70" t="s">
        <v>434</v>
      </c>
      <c r="E70" t="s">
        <v>392</v>
      </c>
      <c r="F70" s="14">
        <v>42991</v>
      </c>
      <c r="G70" t="s">
        <v>565</v>
      </c>
      <c r="H70" t="s">
        <v>570</v>
      </c>
    </row>
    <row r="71" spans="1:8">
      <c r="A71" t="s">
        <v>312</v>
      </c>
      <c r="B71" t="s">
        <v>0</v>
      </c>
      <c r="C71" t="s">
        <v>563</v>
      </c>
      <c r="D71" t="s">
        <v>1</v>
      </c>
      <c r="E71" t="s">
        <v>313</v>
      </c>
      <c r="F71" s="14">
        <v>42992</v>
      </c>
      <c r="G71" t="s">
        <v>565</v>
      </c>
      <c r="H71" t="s">
        <v>794</v>
      </c>
    </row>
    <row r="72" spans="1:8">
      <c r="A72" t="s">
        <v>250</v>
      </c>
      <c r="B72" t="s">
        <v>7</v>
      </c>
      <c r="C72" t="s">
        <v>562</v>
      </c>
      <c r="D72" t="s">
        <v>251</v>
      </c>
      <c r="E72" t="s">
        <v>249</v>
      </c>
      <c r="F72" s="14">
        <v>42994</v>
      </c>
      <c r="G72" t="s">
        <v>654</v>
      </c>
    </row>
    <row r="73" spans="1:8">
      <c r="A73" t="s">
        <v>78</v>
      </c>
      <c r="B73" t="s">
        <v>58</v>
      </c>
      <c r="C73" t="s">
        <v>562</v>
      </c>
      <c r="D73" t="s">
        <v>79</v>
      </c>
      <c r="E73" t="s">
        <v>80</v>
      </c>
      <c r="F73" s="14">
        <v>43008</v>
      </c>
      <c r="G73" t="s">
        <v>767</v>
      </c>
    </row>
    <row r="74" spans="1:8">
      <c r="A74" t="s">
        <v>142</v>
      </c>
      <c r="B74" t="s">
        <v>7</v>
      </c>
      <c r="C74" t="s">
        <v>562</v>
      </c>
      <c r="D74" t="s">
        <v>143</v>
      </c>
      <c r="E74" t="s">
        <v>144</v>
      </c>
      <c r="F74" s="14">
        <v>43008</v>
      </c>
      <c r="G74" t="s">
        <v>573</v>
      </c>
    </row>
    <row r="75" spans="1:8">
      <c r="A75" t="s">
        <v>630</v>
      </c>
      <c r="B75" t="s">
        <v>48</v>
      </c>
      <c r="C75" t="s">
        <v>562</v>
      </c>
      <c r="D75" t="s">
        <v>628</v>
      </c>
      <c r="E75" t="s">
        <v>364</v>
      </c>
      <c r="F75" s="14">
        <v>43008</v>
      </c>
      <c r="G75" t="s">
        <v>573</v>
      </c>
    </row>
    <row r="76" spans="1:8">
      <c r="A76" t="s">
        <v>627</v>
      </c>
      <c r="B76" t="s">
        <v>48</v>
      </c>
      <c r="C76" t="s">
        <v>562</v>
      </c>
      <c r="D76" t="s">
        <v>628</v>
      </c>
      <c r="E76" t="s">
        <v>629</v>
      </c>
      <c r="F76" s="14">
        <v>43008</v>
      </c>
      <c r="G76" t="s">
        <v>586</v>
      </c>
    </row>
    <row r="77" spans="1:8">
      <c r="A77" t="s">
        <v>167</v>
      </c>
      <c r="B77" t="s">
        <v>7</v>
      </c>
      <c r="C77" t="s">
        <v>562</v>
      </c>
      <c r="D77" t="s">
        <v>168</v>
      </c>
      <c r="E77" t="s">
        <v>169</v>
      </c>
      <c r="F77" s="14">
        <v>43008</v>
      </c>
      <c r="G77" t="s">
        <v>727</v>
      </c>
    </row>
    <row r="78" spans="1:8">
      <c r="A78" t="s">
        <v>352</v>
      </c>
      <c r="B78" t="s">
        <v>7</v>
      </c>
      <c r="C78" t="s">
        <v>562</v>
      </c>
      <c r="D78" t="s">
        <v>353</v>
      </c>
      <c r="E78" t="s">
        <v>354</v>
      </c>
      <c r="F78" s="14">
        <v>43008</v>
      </c>
      <c r="G78" t="s">
        <v>573</v>
      </c>
    </row>
    <row r="79" spans="1:8">
      <c r="A79" t="s">
        <v>528</v>
      </c>
      <c r="B79" t="s">
        <v>7</v>
      </c>
      <c r="C79" t="s">
        <v>562</v>
      </c>
      <c r="D79" t="s">
        <v>529</v>
      </c>
      <c r="E79" t="s">
        <v>530</v>
      </c>
      <c r="F79" s="14">
        <v>43011</v>
      </c>
      <c r="G79" t="s">
        <v>567</v>
      </c>
    </row>
    <row r="80" spans="1:8">
      <c r="A80" t="s">
        <v>256</v>
      </c>
      <c r="B80" t="s">
        <v>7</v>
      </c>
      <c r="C80" t="s">
        <v>562</v>
      </c>
      <c r="D80" t="s">
        <v>257</v>
      </c>
      <c r="E80" t="s">
        <v>258</v>
      </c>
      <c r="F80" s="14">
        <v>43015</v>
      </c>
      <c r="G80" t="s">
        <v>727</v>
      </c>
    </row>
    <row r="81" spans="1:8">
      <c r="A81" t="s">
        <v>272</v>
      </c>
      <c r="B81" t="s">
        <v>136</v>
      </c>
      <c r="C81" t="s">
        <v>563</v>
      </c>
      <c r="D81" t="s">
        <v>273</v>
      </c>
      <c r="E81" t="s">
        <v>274</v>
      </c>
      <c r="F81" s="14">
        <v>43015</v>
      </c>
      <c r="G81" t="s">
        <v>761</v>
      </c>
    </row>
    <row r="82" spans="1:8">
      <c r="A82" t="s">
        <v>275</v>
      </c>
      <c r="B82" t="s">
        <v>136</v>
      </c>
      <c r="C82" t="s">
        <v>563</v>
      </c>
      <c r="D82" t="s">
        <v>273</v>
      </c>
      <c r="E82" t="s">
        <v>276</v>
      </c>
      <c r="F82" s="14">
        <v>43015</v>
      </c>
      <c r="G82" t="s">
        <v>761</v>
      </c>
    </row>
    <row r="83" spans="1:8">
      <c r="A83" t="s">
        <v>277</v>
      </c>
      <c r="B83" t="s">
        <v>136</v>
      </c>
      <c r="C83" t="s">
        <v>563</v>
      </c>
      <c r="D83" t="s">
        <v>273</v>
      </c>
      <c r="E83" t="s">
        <v>278</v>
      </c>
      <c r="F83" s="14">
        <v>43015</v>
      </c>
      <c r="G83" t="s">
        <v>647</v>
      </c>
    </row>
    <row r="84" spans="1:8">
      <c r="A84" t="s">
        <v>447</v>
      </c>
      <c r="B84" t="s">
        <v>58</v>
      </c>
      <c r="C84" t="s">
        <v>562</v>
      </c>
      <c r="D84" t="s">
        <v>448</v>
      </c>
      <c r="E84" t="s">
        <v>392</v>
      </c>
      <c r="F84" s="14">
        <v>43026</v>
      </c>
      <c r="G84" t="s">
        <v>565</v>
      </c>
      <c r="H84" t="s">
        <v>570</v>
      </c>
    </row>
    <row r="85" spans="1:8">
      <c r="A85" t="s">
        <v>266</v>
      </c>
      <c r="B85" t="s">
        <v>7</v>
      </c>
      <c r="C85" t="s">
        <v>562</v>
      </c>
      <c r="D85" t="s">
        <v>267</v>
      </c>
      <c r="E85" t="s">
        <v>268</v>
      </c>
      <c r="F85" s="14">
        <v>43030</v>
      </c>
      <c r="G85" t="s">
        <v>768</v>
      </c>
    </row>
    <row r="86" spans="1:8">
      <c r="A86" t="s">
        <v>531</v>
      </c>
      <c r="B86" t="s">
        <v>7</v>
      </c>
      <c r="C86" t="s">
        <v>562</v>
      </c>
      <c r="D86" t="s">
        <v>532</v>
      </c>
      <c r="E86" t="s">
        <v>533</v>
      </c>
      <c r="F86" s="14">
        <v>43033</v>
      </c>
      <c r="G86" t="s">
        <v>565</v>
      </c>
    </row>
    <row r="87" spans="1:8">
      <c r="A87" t="s">
        <v>438</v>
      </c>
      <c r="B87" t="s">
        <v>58</v>
      </c>
      <c r="C87" t="s">
        <v>562</v>
      </c>
      <c r="D87" t="s">
        <v>439</v>
      </c>
      <c r="E87" t="s">
        <v>440</v>
      </c>
      <c r="F87" s="14">
        <v>43035</v>
      </c>
      <c r="G87" t="s">
        <v>565</v>
      </c>
      <c r="H87" t="s">
        <v>570</v>
      </c>
    </row>
    <row r="88" spans="1:8">
      <c r="A88" t="s">
        <v>23</v>
      </c>
      <c r="B88" t="s">
        <v>24</v>
      </c>
      <c r="C88" t="s">
        <v>562</v>
      </c>
      <c r="D88" t="s">
        <v>25</v>
      </c>
      <c r="E88" t="s">
        <v>26</v>
      </c>
      <c r="F88" s="14">
        <v>43039</v>
      </c>
      <c r="G88" t="s">
        <v>565</v>
      </c>
    </row>
    <row r="89" spans="1:8">
      <c r="A89" t="s">
        <v>27</v>
      </c>
      <c r="B89" t="s">
        <v>24</v>
      </c>
      <c r="C89" t="s">
        <v>562</v>
      </c>
      <c r="D89" t="s">
        <v>25</v>
      </c>
      <c r="E89" t="s">
        <v>28</v>
      </c>
      <c r="F89" s="14">
        <v>43039</v>
      </c>
      <c r="G89" t="s">
        <v>565</v>
      </c>
    </row>
    <row r="90" spans="1:8">
      <c r="A90" t="s">
        <v>29</v>
      </c>
      <c r="B90" t="s">
        <v>24</v>
      </c>
      <c r="C90" t="s">
        <v>562</v>
      </c>
      <c r="D90" t="s">
        <v>25</v>
      </c>
      <c r="E90" t="s">
        <v>30</v>
      </c>
      <c r="F90" s="14">
        <v>43039</v>
      </c>
      <c r="G90" t="s">
        <v>565</v>
      </c>
    </row>
    <row r="91" spans="1:8">
      <c r="A91" t="s">
        <v>31</v>
      </c>
      <c r="B91" t="s">
        <v>24</v>
      </c>
      <c r="C91" t="s">
        <v>562</v>
      </c>
      <c r="D91" t="s">
        <v>25</v>
      </c>
      <c r="E91" t="s">
        <v>32</v>
      </c>
      <c r="F91" s="14">
        <v>43039</v>
      </c>
      <c r="G91" t="s">
        <v>565</v>
      </c>
    </row>
    <row r="92" spans="1:8">
      <c r="A92" t="s">
        <v>33</v>
      </c>
      <c r="B92" t="s">
        <v>24</v>
      </c>
      <c r="C92" t="s">
        <v>562</v>
      </c>
      <c r="D92" t="s">
        <v>25</v>
      </c>
      <c r="E92" t="s">
        <v>34</v>
      </c>
      <c r="F92" s="14">
        <v>43039</v>
      </c>
      <c r="G92" t="s">
        <v>565</v>
      </c>
    </row>
    <row r="93" spans="1:8">
      <c r="A93" t="s">
        <v>35</v>
      </c>
      <c r="B93" t="s">
        <v>24</v>
      </c>
      <c r="C93" t="s">
        <v>562</v>
      </c>
      <c r="D93" t="s">
        <v>25</v>
      </c>
      <c r="E93" t="s">
        <v>36</v>
      </c>
      <c r="F93" s="14">
        <v>43039</v>
      </c>
      <c r="G93" t="s">
        <v>565</v>
      </c>
    </row>
    <row r="94" spans="1:8">
      <c r="A94" t="s">
        <v>37</v>
      </c>
      <c r="B94" t="s">
        <v>24</v>
      </c>
      <c r="C94" t="s">
        <v>562</v>
      </c>
      <c r="D94" t="s">
        <v>25</v>
      </c>
      <c r="E94" t="s">
        <v>38</v>
      </c>
      <c r="F94" s="14">
        <v>43039</v>
      </c>
      <c r="G94" t="s">
        <v>565</v>
      </c>
    </row>
    <row r="95" spans="1:8">
      <c r="A95" t="s">
        <v>39</v>
      </c>
      <c r="B95" t="s">
        <v>24</v>
      </c>
      <c r="C95" t="s">
        <v>562</v>
      </c>
      <c r="D95" t="s">
        <v>25</v>
      </c>
      <c r="E95" t="s">
        <v>40</v>
      </c>
      <c r="F95" s="14">
        <v>43039</v>
      </c>
      <c r="G95" t="s">
        <v>565</v>
      </c>
    </row>
    <row r="96" spans="1:8">
      <c r="A96" t="s">
        <v>41</v>
      </c>
      <c r="B96" t="s">
        <v>24</v>
      </c>
      <c r="C96" t="s">
        <v>562</v>
      </c>
      <c r="D96" t="s">
        <v>25</v>
      </c>
      <c r="E96" t="s">
        <v>42</v>
      </c>
      <c r="F96" s="14">
        <v>43039</v>
      </c>
      <c r="G96" t="s">
        <v>565</v>
      </c>
    </row>
    <row r="97" spans="1:8">
      <c r="A97" t="s">
        <v>43</v>
      </c>
      <c r="B97" t="s">
        <v>24</v>
      </c>
      <c r="C97" t="s">
        <v>562</v>
      </c>
      <c r="D97" t="s">
        <v>25</v>
      </c>
      <c r="E97" t="s">
        <v>44</v>
      </c>
      <c r="F97" s="14">
        <v>43039</v>
      </c>
      <c r="G97" t="s">
        <v>565</v>
      </c>
    </row>
    <row r="98" spans="1:8">
      <c r="A98" t="s">
        <v>45</v>
      </c>
      <c r="B98" t="s">
        <v>24</v>
      </c>
      <c r="C98" t="s">
        <v>562</v>
      </c>
      <c r="D98" t="s">
        <v>25</v>
      </c>
      <c r="E98" t="s">
        <v>46</v>
      </c>
      <c r="F98" s="14">
        <v>43039</v>
      </c>
      <c r="G98" t="s">
        <v>565</v>
      </c>
    </row>
    <row r="99" spans="1:8">
      <c r="A99" t="s">
        <v>63</v>
      </c>
      <c r="B99" t="s">
        <v>64</v>
      </c>
      <c r="C99" t="s">
        <v>562</v>
      </c>
      <c r="D99" t="s">
        <v>65</v>
      </c>
      <c r="E99" t="s">
        <v>66</v>
      </c>
      <c r="F99" s="14">
        <v>43039</v>
      </c>
      <c r="G99" t="s">
        <v>565</v>
      </c>
      <c r="H99" t="s">
        <v>782</v>
      </c>
    </row>
    <row r="100" spans="1:8">
      <c r="A100" t="s">
        <v>67</v>
      </c>
      <c r="B100" t="s">
        <v>64</v>
      </c>
      <c r="C100" t="s">
        <v>562</v>
      </c>
      <c r="D100" t="s">
        <v>65</v>
      </c>
      <c r="E100" t="s">
        <v>68</v>
      </c>
      <c r="F100" s="14">
        <v>43039</v>
      </c>
      <c r="G100" t="s">
        <v>565</v>
      </c>
    </row>
    <row r="101" spans="1:8">
      <c r="A101" t="s">
        <v>81</v>
      </c>
      <c r="B101" t="s">
        <v>58</v>
      </c>
      <c r="C101" t="s">
        <v>562</v>
      </c>
      <c r="D101" t="s">
        <v>82</v>
      </c>
      <c r="E101" t="s">
        <v>83</v>
      </c>
      <c r="F101" s="14">
        <v>43039</v>
      </c>
      <c r="G101" t="s">
        <v>586</v>
      </c>
    </row>
    <row r="102" spans="1:8">
      <c r="A102" t="s">
        <v>84</v>
      </c>
      <c r="B102" t="s">
        <v>58</v>
      </c>
      <c r="C102" t="s">
        <v>562</v>
      </c>
      <c r="D102" t="s">
        <v>82</v>
      </c>
      <c r="E102" t="s">
        <v>85</v>
      </c>
      <c r="F102" s="14">
        <v>43039</v>
      </c>
      <c r="G102" t="s">
        <v>769</v>
      </c>
    </row>
    <row r="103" spans="1:8">
      <c r="A103" t="s">
        <v>207</v>
      </c>
      <c r="B103" t="s">
        <v>0</v>
      </c>
      <c r="C103" t="s">
        <v>563</v>
      </c>
      <c r="D103" t="s">
        <v>208</v>
      </c>
      <c r="E103" t="s">
        <v>209</v>
      </c>
      <c r="F103" s="14">
        <v>43039</v>
      </c>
      <c r="G103" t="s">
        <v>666</v>
      </c>
      <c r="H103" t="s">
        <v>788</v>
      </c>
    </row>
    <row r="104" spans="1:8">
      <c r="A104" t="s">
        <v>269</v>
      </c>
      <c r="B104" t="s">
        <v>7</v>
      </c>
      <c r="C104" t="s">
        <v>562</v>
      </c>
      <c r="D104" t="s">
        <v>270</v>
      </c>
      <c r="E104" t="s">
        <v>92</v>
      </c>
      <c r="F104" s="14">
        <v>43039</v>
      </c>
      <c r="G104" t="s">
        <v>698</v>
      </c>
    </row>
    <row r="105" spans="1:8">
      <c r="A105" t="s">
        <v>271</v>
      </c>
      <c r="B105" t="s">
        <v>7</v>
      </c>
      <c r="C105" t="s">
        <v>562</v>
      </c>
      <c r="D105" t="s">
        <v>270</v>
      </c>
      <c r="E105" t="s">
        <v>258</v>
      </c>
      <c r="F105" s="14">
        <v>43039</v>
      </c>
      <c r="G105" t="s">
        <v>573</v>
      </c>
    </row>
    <row r="106" spans="1:8">
      <c r="A106" t="s">
        <v>451</v>
      </c>
      <c r="B106" t="s">
        <v>349</v>
      </c>
      <c r="C106" t="s">
        <v>563</v>
      </c>
      <c r="D106" t="s">
        <v>452</v>
      </c>
      <c r="E106" t="s">
        <v>453</v>
      </c>
      <c r="F106" s="14">
        <v>43040</v>
      </c>
      <c r="G106" t="s">
        <v>565</v>
      </c>
      <c r="H106" t="s">
        <v>795</v>
      </c>
    </row>
    <row r="107" spans="1:8">
      <c r="A107" t="s">
        <v>444</v>
      </c>
      <c r="B107" t="s">
        <v>349</v>
      </c>
      <c r="C107" t="s">
        <v>563</v>
      </c>
      <c r="D107" t="s">
        <v>445</v>
      </c>
      <c r="E107" t="s">
        <v>446</v>
      </c>
      <c r="F107" s="14">
        <v>43040</v>
      </c>
      <c r="G107" t="s">
        <v>770</v>
      </c>
    </row>
    <row r="108" spans="1:8">
      <c r="A108" t="s">
        <v>454</v>
      </c>
      <c r="B108" t="s">
        <v>58</v>
      </c>
      <c r="C108" t="s">
        <v>562</v>
      </c>
      <c r="D108" t="s">
        <v>455</v>
      </c>
      <c r="E108" t="s">
        <v>456</v>
      </c>
      <c r="F108" s="14">
        <v>43040</v>
      </c>
      <c r="G108" t="s">
        <v>565</v>
      </c>
      <c r="H108" t="s">
        <v>570</v>
      </c>
    </row>
    <row r="109" spans="1:8">
      <c r="A109" t="s">
        <v>465</v>
      </c>
      <c r="B109" t="s">
        <v>58</v>
      </c>
      <c r="C109" t="s">
        <v>562</v>
      </c>
      <c r="D109" t="s">
        <v>466</v>
      </c>
      <c r="E109" t="s">
        <v>467</v>
      </c>
      <c r="F109" s="14">
        <v>43045</v>
      </c>
      <c r="G109" t="s">
        <v>565</v>
      </c>
    </row>
    <row r="110" spans="1:8">
      <c r="A110" t="s">
        <v>148</v>
      </c>
      <c r="B110" t="s">
        <v>0</v>
      </c>
      <c r="C110" t="s">
        <v>562</v>
      </c>
      <c r="D110" t="s">
        <v>149</v>
      </c>
      <c r="E110" t="s">
        <v>150</v>
      </c>
      <c r="F110" s="14">
        <v>43051</v>
      </c>
      <c r="G110" t="s">
        <v>569</v>
      </c>
      <c r="H110" s="52"/>
    </row>
    <row r="111" spans="1:8">
      <c r="A111" t="s">
        <v>631</v>
      </c>
      <c r="B111" t="s">
        <v>349</v>
      </c>
      <c r="C111" t="s">
        <v>563</v>
      </c>
      <c r="D111" t="s">
        <v>632</v>
      </c>
      <c r="E111" t="s">
        <v>633</v>
      </c>
      <c r="F111" s="14">
        <v>43056</v>
      </c>
      <c r="G111" t="s">
        <v>635</v>
      </c>
    </row>
    <row r="112" spans="1:8">
      <c r="A112" t="s">
        <v>636</v>
      </c>
      <c r="B112" t="s">
        <v>349</v>
      </c>
      <c r="C112" t="s">
        <v>563</v>
      </c>
      <c r="D112" t="s">
        <v>637</v>
      </c>
      <c r="E112" t="s">
        <v>638</v>
      </c>
      <c r="F112" s="14">
        <v>43056</v>
      </c>
      <c r="G112" t="s">
        <v>604</v>
      </c>
    </row>
    <row r="113" spans="1:8">
      <c r="A113" t="s">
        <v>639</v>
      </c>
      <c r="B113" t="s">
        <v>48</v>
      </c>
      <c r="C113" t="s">
        <v>563</v>
      </c>
      <c r="D113" t="s">
        <v>640</v>
      </c>
      <c r="E113" t="s">
        <v>641</v>
      </c>
      <c r="F113" s="14">
        <v>43059</v>
      </c>
      <c r="G113" t="s">
        <v>565</v>
      </c>
      <c r="H113" t="s">
        <v>796</v>
      </c>
    </row>
    <row r="114" spans="1:8">
      <c r="A114" t="s">
        <v>642</v>
      </c>
      <c r="B114" t="s">
        <v>48</v>
      </c>
      <c r="C114" t="s">
        <v>563</v>
      </c>
      <c r="D114" t="s">
        <v>640</v>
      </c>
      <c r="E114" t="s">
        <v>643</v>
      </c>
      <c r="F114" s="14">
        <v>43059</v>
      </c>
      <c r="G114" t="s">
        <v>565</v>
      </c>
      <c r="H114" t="s">
        <v>796</v>
      </c>
    </row>
    <row r="115" spans="1:8">
      <c r="A115" t="s">
        <v>457</v>
      </c>
      <c r="B115" t="s">
        <v>58</v>
      </c>
      <c r="C115" t="s">
        <v>562</v>
      </c>
      <c r="D115" t="s">
        <v>458</v>
      </c>
      <c r="E115" t="s">
        <v>459</v>
      </c>
      <c r="F115" s="14">
        <v>43061</v>
      </c>
      <c r="G115" t="s">
        <v>565</v>
      </c>
      <c r="H115" t="s">
        <v>570</v>
      </c>
    </row>
    <row r="116" spans="1:8">
      <c r="A116" t="s">
        <v>279</v>
      </c>
      <c r="B116" t="s">
        <v>7</v>
      </c>
      <c r="C116" t="s">
        <v>562</v>
      </c>
      <c r="D116" t="s">
        <v>280</v>
      </c>
      <c r="E116" t="s">
        <v>281</v>
      </c>
      <c r="F116" s="14">
        <v>43064</v>
      </c>
      <c r="G116" t="s">
        <v>573</v>
      </c>
    </row>
    <row r="117" spans="1:8">
      <c r="A117" t="s">
        <v>644</v>
      </c>
      <c r="B117" t="s">
        <v>0</v>
      </c>
      <c r="C117" t="s">
        <v>563</v>
      </c>
      <c r="D117" t="s">
        <v>645</v>
      </c>
      <c r="E117" t="s">
        <v>646</v>
      </c>
      <c r="F117" s="14">
        <v>43069</v>
      </c>
      <c r="G117" t="s">
        <v>647</v>
      </c>
    </row>
    <row r="118" spans="1:8">
      <c r="A118" t="s">
        <v>157</v>
      </c>
      <c r="B118" t="s">
        <v>7</v>
      </c>
      <c r="C118" t="s">
        <v>562</v>
      </c>
      <c r="D118" t="s">
        <v>158</v>
      </c>
      <c r="E118" t="s">
        <v>159</v>
      </c>
      <c r="F118" s="14">
        <v>43069</v>
      </c>
      <c r="G118" t="s">
        <v>724</v>
      </c>
    </row>
    <row r="119" spans="1:8">
      <c r="A119" t="s">
        <v>252</v>
      </c>
      <c r="B119" t="s">
        <v>7</v>
      </c>
      <c r="C119" t="s">
        <v>562</v>
      </c>
      <c r="D119" t="s">
        <v>253</v>
      </c>
      <c r="E119" t="s">
        <v>254</v>
      </c>
      <c r="F119" s="14">
        <v>43069</v>
      </c>
      <c r="G119" t="s">
        <v>771</v>
      </c>
    </row>
    <row r="120" spans="1:8">
      <c r="A120" t="s">
        <v>255</v>
      </c>
      <c r="B120" t="s">
        <v>7</v>
      </c>
      <c r="C120" t="s">
        <v>562</v>
      </c>
      <c r="D120" t="s">
        <v>253</v>
      </c>
      <c r="E120" t="s">
        <v>122</v>
      </c>
      <c r="F120" s="14">
        <v>43069</v>
      </c>
      <c r="G120" t="s">
        <v>771</v>
      </c>
    </row>
    <row r="121" spans="1:8">
      <c r="A121" t="s">
        <v>263</v>
      </c>
      <c r="B121" t="s">
        <v>136</v>
      </c>
      <c r="C121" t="s">
        <v>562</v>
      </c>
      <c r="D121" t="s">
        <v>264</v>
      </c>
      <c r="E121" t="s">
        <v>265</v>
      </c>
      <c r="F121" s="14">
        <v>43069</v>
      </c>
      <c r="G121" t="s">
        <v>772</v>
      </c>
    </row>
    <row r="122" spans="1:8">
      <c r="A122" t="s">
        <v>282</v>
      </c>
      <c r="B122" t="s">
        <v>24</v>
      </c>
      <c r="C122" t="s">
        <v>562</v>
      </c>
      <c r="D122" t="s">
        <v>283</v>
      </c>
      <c r="E122" t="s">
        <v>36</v>
      </c>
      <c r="F122" s="14">
        <v>43069</v>
      </c>
      <c r="G122" t="s">
        <v>573</v>
      </c>
    </row>
    <row r="123" spans="1:8">
      <c r="A123" t="s">
        <v>284</v>
      </c>
      <c r="B123" t="s">
        <v>24</v>
      </c>
      <c r="C123" t="s">
        <v>562</v>
      </c>
      <c r="D123" t="s">
        <v>283</v>
      </c>
      <c r="E123" t="s">
        <v>258</v>
      </c>
      <c r="F123" s="14">
        <v>43069</v>
      </c>
      <c r="G123" t="s">
        <v>573</v>
      </c>
    </row>
    <row r="124" spans="1:8">
      <c r="A124" t="s">
        <v>285</v>
      </c>
      <c r="B124" t="s">
        <v>7</v>
      </c>
      <c r="C124" t="s">
        <v>562</v>
      </c>
      <c r="D124" t="s">
        <v>286</v>
      </c>
      <c r="E124" t="s">
        <v>287</v>
      </c>
      <c r="F124" s="14">
        <v>43069</v>
      </c>
      <c r="G124" t="s">
        <v>573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/>
  </sheetViews>
  <sheetFormatPr defaultRowHeight="15"/>
  <cols>
    <col min="3" max="3" width="10.28515625" customWidth="1"/>
    <col min="4" max="4" width="43.7109375" customWidth="1"/>
    <col min="5" max="5" width="50" bestFit="1" customWidth="1"/>
    <col min="6" max="6" width="10.7109375" bestFit="1" customWidth="1"/>
    <col min="7" max="7" width="21.140625" customWidth="1"/>
    <col min="8" max="8" width="38" customWidth="1"/>
    <col min="9" max="9" width="19.42578125" customWidth="1"/>
    <col min="10" max="10" width="20.42578125" customWidth="1"/>
    <col min="11" max="11" width="17.5703125" customWidth="1"/>
  </cols>
  <sheetData>
    <row r="1" spans="1:11">
      <c r="A1" s="73" t="s">
        <v>536</v>
      </c>
      <c r="B1" s="73" t="s">
        <v>537</v>
      </c>
      <c r="C1" s="73" t="s">
        <v>553</v>
      </c>
      <c r="D1" s="73" t="s">
        <v>540</v>
      </c>
      <c r="E1" s="73" t="s">
        <v>541</v>
      </c>
      <c r="F1" s="73" t="s">
        <v>539</v>
      </c>
      <c r="G1" s="73" t="s">
        <v>550</v>
      </c>
      <c r="H1" s="73" t="s">
        <v>556</v>
      </c>
      <c r="I1" s="73" t="s">
        <v>798</v>
      </c>
      <c r="J1" s="73" t="s">
        <v>799</v>
      </c>
      <c r="K1" s="73" t="s">
        <v>800</v>
      </c>
    </row>
    <row r="2" spans="1:11">
      <c r="A2" s="59" t="s">
        <v>582</v>
      </c>
      <c r="B2" s="60" t="s">
        <v>7</v>
      </c>
      <c r="C2" t="s">
        <v>562</v>
      </c>
      <c r="D2" s="60" t="s">
        <v>583</v>
      </c>
      <c r="E2" t="s">
        <v>584</v>
      </c>
      <c r="F2" s="61">
        <v>42855</v>
      </c>
      <c r="G2" s="14">
        <v>42856</v>
      </c>
      <c r="H2" t="s">
        <v>585</v>
      </c>
      <c r="I2" s="62">
        <v>52661.1</v>
      </c>
      <c r="J2" s="62">
        <v>52661.1</v>
      </c>
      <c r="K2" s="63">
        <v>1</v>
      </c>
    </row>
    <row r="3" spans="1:11">
      <c r="A3" s="59" t="s">
        <v>488</v>
      </c>
      <c r="B3" s="60" t="s">
        <v>58</v>
      </c>
      <c r="C3" t="s">
        <v>562</v>
      </c>
      <c r="D3" s="60" t="s">
        <v>489</v>
      </c>
      <c r="E3" t="s">
        <v>66</v>
      </c>
      <c r="F3" s="61">
        <v>43110</v>
      </c>
      <c r="G3" s="14">
        <v>42866</v>
      </c>
      <c r="H3" t="s">
        <v>570</v>
      </c>
      <c r="I3" s="62">
        <v>311320</v>
      </c>
      <c r="J3" s="62">
        <v>311320</v>
      </c>
      <c r="K3" s="63">
        <v>1</v>
      </c>
    </row>
    <row r="4" spans="1:11">
      <c r="A4" s="59" t="s">
        <v>447</v>
      </c>
      <c r="B4" s="60" t="s">
        <v>58</v>
      </c>
      <c r="C4" t="s">
        <v>562</v>
      </c>
      <c r="D4" s="60" t="s">
        <v>448</v>
      </c>
      <c r="E4" t="s">
        <v>392</v>
      </c>
      <c r="F4" s="61">
        <v>43026</v>
      </c>
      <c r="G4" s="14">
        <v>42844</v>
      </c>
      <c r="H4" t="s">
        <v>570</v>
      </c>
      <c r="I4" s="62">
        <v>43825.5</v>
      </c>
      <c r="J4" s="62">
        <v>43825.5</v>
      </c>
      <c r="K4" s="63">
        <v>1</v>
      </c>
    </row>
    <row r="5" spans="1:11">
      <c r="A5" s="59" t="s">
        <v>512</v>
      </c>
      <c r="B5" s="60" t="s">
        <v>58</v>
      </c>
      <c r="C5" t="s">
        <v>562</v>
      </c>
      <c r="D5" s="60" t="s">
        <v>513</v>
      </c>
      <c r="E5" t="s">
        <v>497</v>
      </c>
      <c r="F5" s="61">
        <v>43138</v>
      </c>
      <c r="G5" s="14">
        <v>42863</v>
      </c>
      <c r="H5" t="s">
        <v>570</v>
      </c>
      <c r="I5" s="62">
        <v>529516</v>
      </c>
      <c r="J5" s="62">
        <v>529516</v>
      </c>
      <c r="K5" s="63">
        <v>1</v>
      </c>
    </row>
    <row r="6" spans="1:11" hidden="1">
      <c r="A6" s="59" t="s">
        <v>419</v>
      </c>
      <c r="B6" s="60" t="s">
        <v>0</v>
      </c>
      <c r="C6" t="s">
        <v>563</v>
      </c>
      <c r="D6" s="60" t="s">
        <v>420</v>
      </c>
      <c r="E6" t="s">
        <v>421</v>
      </c>
      <c r="F6" s="61">
        <v>42949</v>
      </c>
      <c r="G6" s="14">
        <v>42858</v>
      </c>
      <c r="H6" t="s">
        <v>585</v>
      </c>
      <c r="I6" s="62">
        <v>4161.97</v>
      </c>
      <c r="J6" s="62">
        <v>4161.97</v>
      </c>
      <c r="K6" s="63">
        <v>1</v>
      </c>
    </row>
    <row r="7" spans="1:11">
      <c r="A7" s="59" t="s">
        <v>500</v>
      </c>
      <c r="B7" s="60" t="s">
        <v>58</v>
      </c>
      <c r="C7" t="s">
        <v>562</v>
      </c>
      <c r="D7" s="60" t="s">
        <v>501</v>
      </c>
      <c r="E7" t="s">
        <v>502</v>
      </c>
      <c r="F7" s="61">
        <v>43124</v>
      </c>
      <c r="G7" s="14">
        <v>42850</v>
      </c>
      <c r="H7" t="s">
        <v>570</v>
      </c>
      <c r="I7" s="62">
        <v>118940</v>
      </c>
      <c r="J7" s="62">
        <v>118940</v>
      </c>
      <c r="K7" s="63">
        <v>1</v>
      </c>
    </row>
    <row r="8" spans="1:11" hidden="1">
      <c r="A8" s="59" t="s">
        <v>435</v>
      </c>
      <c r="B8" s="60" t="s">
        <v>349</v>
      </c>
      <c r="C8" t="s">
        <v>563</v>
      </c>
      <c r="D8" s="60" t="s">
        <v>436</v>
      </c>
      <c r="E8" t="s">
        <v>437</v>
      </c>
      <c r="F8" s="61">
        <v>42930</v>
      </c>
      <c r="G8" s="14">
        <v>42840</v>
      </c>
      <c r="H8" t="s">
        <v>585</v>
      </c>
      <c r="I8" s="62">
        <v>33213.85</v>
      </c>
      <c r="J8" s="62">
        <v>33213.85</v>
      </c>
      <c r="K8" s="63">
        <v>1</v>
      </c>
    </row>
    <row r="9" spans="1:11" hidden="1">
      <c r="A9" s="59" t="s">
        <v>259</v>
      </c>
      <c r="B9" s="60" t="s">
        <v>260</v>
      </c>
      <c r="C9" t="s">
        <v>563</v>
      </c>
      <c r="D9" s="60" t="s">
        <v>261</v>
      </c>
      <c r="E9" t="s">
        <v>262</v>
      </c>
      <c r="F9" s="61">
        <v>43023</v>
      </c>
      <c r="G9" s="14">
        <v>42841</v>
      </c>
      <c r="I9" s="62">
        <v>4770.9799999999996</v>
      </c>
      <c r="J9" s="62">
        <v>4770.9799999999996</v>
      </c>
      <c r="K9" s="63">
        <v>1</v>
      </c>
    </row>
    <row r="10" spans="1:11">
      <c r="A10" s="59" t="s">
        <v>457</v>
      </c>
      <c r="B10" s="60" t="s">
        <v>58</v>
      </c>
      <c r="C10" t="s">
        <v>562</v>
      </c>
      <c r="D10" s="60" t="s">
        <v>458</v>
      </c>
      <c r="E10" t="s">
        <v>459</v>
      </c>
      <c r="F10" s="61">
        <v>43061</v>
      </c>
      <c r="G10" s="14">
        <v>42848</v>
      </c>
      <c r="H10" t="s">
        <v>570</v>
      </c>
      <c r="I10" s="62">
        <v>81990</v>
      </c>
      <c r="J10" s="62">
        <v>81990</v>
      </c>
      <c r="K10" s="63">
        <v>1</v>
      </c>
    </row>
    <row r="11" spans="1:11" hidden="1">
      <c r="A11" s="59" t="s">
        <v>312</v>
      </c>
      <c r="B11" s="60" t="s">
        <v>0</v>
      </c>
      <c r="C11" t="s">
        <v>563</v>
      </c>
      <c r="D11" s="60" t="s">
        <v>1</v>
      </c>
      <c r="E11" t="s">
        <v>313</v>
      </c>
      <c r="F11" s="61">
        <v>42992</v>
      </c>
      <c r="G11" s="14">
        <v>42843</v>
      </c>
      <c r="H11" t="s">
        <v>585</v>
      </c>
      <c r="I11" s="62">
        <v>110000</v>
      </c>
      <c r="J11" s="62">
        <v>110000</v>
      </c>
      <c r="K11" s="63">
        <v>1</v>
      </c>
    </row>
    <row r="12" spans="1:11">
      <c r="A12" s="59" t="s">
        <v>495</v>
      </c>
      <c r="B12" s="60" t="s">
        <v>58</v>
      </c>
      <c r="C12" t="s">
        <v>562</v>
      </c>
      <c r="D12" s="60" t="s">
        <v>496</v>
      </c>
      <c r="E12" t="s">
        <v>497</v>
      </c>
      <c r="F12" s="61">
        <v>43117</v>
      </c>
      <c r="G12" s="14">
        <v>42843</v>
      </c>
      <c r="H12" t="s">
        <v>570</v>
      </c>
      <c r="I12" s="62">
        <v>129132</v>
      </c>
      <c r="J12" s="62">
        <v>129132</v>
      </c>
      <c r="K12" s="63">
        <v>1</v>
      </c>
    </row>
    <row r="13" spans="1:11">
      <c r="A13" s="59" t="s">
        <v>390</v>
      </c>
      <c r="B13" s="60" t="s">
        <v>58</v>
      </c>
      <c r="C13" t="s">
        <v>562</v>
      </c>
      <c r="D13" s="60" t="s">
        <v>391</v>
      </c>
      <c r="E13" t="s">
        <v>392</v>
      </c>
      <c r="F13" s="61">
        <v>42893</v>
      </c>
      <c r="G13" s="14">
        <v>42863</v>
      </c>
      <c r="H13" t="s">
        <v>570</v>
      </c>
      <c r="I13" s="62">
        <v>81037.2</v>
      </c>
      <c r="J13" s="62">
        <v>81037.2</v>
      </c>
      <c r="K13" s="63">
        <v>1</v>
      </c>
    </row>
    <row r="14" spans="1:11">
      <c r="A14" s="59" t="s">
        <v>422</v>
      </c>
      <c r="B14" s="60" t="s">
        <v>7</v>
      </c>
      <c r="C14" t="s">
        <v>562</v>
      </c>
      <c r="D14" s="60" t="s">
        <v>423</v>
      </c>
      <c r="E14" t="s">
        <v>424</v>
      </c>
      <c r="F14" s="61">
        <v>42970</v>
      </c>
      <c r="G14" s="14">
        <v>42849</v>
      </c>
      <c r="H14" t="s">
        <v>781</v>
      </c>
      <c r="I14" s="62">
        <v>7500</v>
      </c>
      <c r="J14" s="62">
        <v>7500</v>
      </c>
      <c r="K14" s="63">
        <v>1</v>
      </c>
    </row>
    <row r="15" spans="1:11">
      <c r="A15" s="59" t="s">
        <v>399</v>
      </c>
      <c r="B15" s="60" t="s">
        <v>58</v>
      </c>
      <c r="C15" t="s">
        <v>562</v>
      </c>
      <c r="D15" s="60" t="s">
        <v>400</v>
      </c>
      <c r="E15" t="s">
        <v>401</v>
      </c>
      <c r="F15" s="61">
        <v>42914</v>
      </c>
      <c r="G15" s="14">
        <v>42854</v>
      </c>
      <c r="H15" t="s">
        <v>570</v>
      </c>
      <c r="I15" s="62">
        <v>73700</v>
      </c>
      <c r="J15" s="62">
        <v>73700</v>
      </c>
      <c r="K15" s="63">
        <v>1</v>
      </c>
    </row>
    <row r="16" spans="1:11">
      <c r="A16" s="59" t="s">
        <v>433</v>
      </c>
      <c r="B16" s="60" t="s">
        <v>58</v>
      </c>
      <c r="C16" t="s">
        <v>562</v>
      </c>
      <c r="D16" s="60" t="s">
        <v>434</v>
      </c>
      <c r="E16" t="s">
        <v>392</v>
      </c>
      <c r="F16" s="61">
        <v>42991</v>
      </c>
      <c r="G16" s="14">
        <v>42839</v>
      </c>
      <c r="H16" t="s">
        <v>570</v>
      </c>
      <c r="I16" s="62">
        <v>141608.01999999999</v>
      </c>
      <c r="J16" s="62">
        <v>141608.01999999999</v>
      </c>
      <c r="K16" s="63">
        <v>1</v>
      </c>
    </row>
    <row r="17" spans="1:11">
      <c r="A17" s="59" t="s">
        <v>402</v>
      </c>
      <c r="B17" s="60" t="s">
        <v>58</v>
      </c>
      <c r="C17" t="s">
        <v>562</v>
      </c>
      <c r="D17" s="60" t="s">
        <v>403</v>
      </c>
      <c r="E17" t="s">
        <v>159</v>
      </c>
      <c r="F17" s="61">
        <v>42914</v>
      </c>
      <c r="G17" s="14">
        <v>42854</v>
      </c>
      <c r="H17" t="s">
        <v>570</v>
      </c>
      <c r="I17" s="62">
        <v>297213</v>
      </c>
      <c r="J17" s="62">
        <v>297213</v>
      </c>
      <c r="K17" s="63">
        <v>1</v>
      </c>
    </row>
    <row r="18" spans="1:11">
      <c r="A18" s="59" t="s">
        <v>438</v>
      </c>
      <c r="B18" s="60" t="s">
        <v>58</v>
      </c>
      <c r="C18" t="s">
        <v>562</v>
      </c>
      <c r="D18" s="60" t="s">
        <v>439</v>
      </c>
      <c r="E18" t="s">
        <v>440</v>
      </c>
      <c r="F18" s="61">
        <v>43035</v>
      </c>
      <c r="G18" s="14">
        <v>42853</v>
      </c>
      <c r="H18" t="s">
        <v>570</v>
      </c>
      <c r="I18" s="62">
        <v>659860</v>
      </c>
      <c r="J18" s="62">
        <v>659860</v>
      </c>
      <c r="K18" s="63">
        <v>1</v>
      </c>
    </row>
    <row r="19" spans="1:11">
      <c r="A19" s="59" t="s">
        <v>404</v>
      </c>
      <c r="B19" s="60" t="s">
        <v>58</v>
      </c>
      <c r="C19" t="s">
        <v>562</v>
      </c>
      <c r="D19" s="60" t="s">
        <v>405</v>
      </c>
      <c r="E19" t="s">
        <v>159</v>
      </c>
      <c r="F19" s="61">
        <v>42914</v>
      </c>
      <c r="G19" s="14">
        <v>42854</v>
      </c>
      <c r="H19" t="s">
        <v>570</v>
      </c>
      <c r="I19" s="62">
        <v>330516</v>
      </c>
      <c r="J19" s="62">
        <v>330516</v>
      </c>
      <c r="K19" s="63">
        <v>1</v>
      </c>
    </row>
    <row r="20" spans="1:11">
      <c r="A20" s="59" t="s">
        <v>454</v>
      </c>
      <c r="B20" s="60" t="s">
        <v>58</v>
      </c>
      <c r="C20" t="s">
        <v>562</v>
      </c>
      <c r="D20" s="60" t="s">
        <v>455</v>
      </c>
      <c r="E20" t="s">
        <v>456</v>
      </c>
      <c r="F20" s="61">
        <v>43040</v>
      </c>
      <c r="G20" s="14">
        <v>42857</v>
      </c>
      <c r="H20" t="s">
        <v>570</v>
      </c>
      <c r="I20" s="62">
        <v>141681</v>
      </c>
      <c r="J20" s="62">
        <v>141681</v>
      </c>
      <c r="K20" s="63">
        <v>1</v>
      </c>
    </row>
    <row r="21" spans="1:11" hidden="1">
      <c r="A21" s="59" t="s">
        <v>406</v>
      </c>
      <c r="B21" s="60" t="s">
        <v>0</v>
      </c>
      <c r="C21" t="s">
        <v>563</v>
      </c>
      <c r="D21" s="60" t="s">
        <v>407</v>
      </c>
      <c r="E21" t="s">
        <v>408</v>
      </c>
      <c r="F21" s="61">
        <v>44297</v>
      </c>
      <c r="G21" s="14">
        <v>42862</v>
      </c>
      <c r="H21" t="s">
        <v>585</v>
      </c>
      <c r="I21" s="62">
        <v>12616.47</v>
      </c>
      <c r="J21" s="62">
        <v>12616.47</v>
      </c>
      <c r="K21" s="63">
        <v>1</v>
      </c>
    </row>
    <row r="22" spans="1:11">
      <c r="A22" s="59" t="s">
        <v>468</v>
      </c>
      <c r="B22" s="60" t="s">
        <v>58</v>
      </c>
      <c r="C22" t="s">
        <v>562</v>
      </c>
      <c r="D22" s="60" t="s">
        <v>469</v>
      </c>
      <c r="E22" t="s">
        <v>470</v>
      </c>
      <c r="F22" s="61">
        <v>43075</v>
      </c>
      <c r="G22" s="14">
        <v>42862</v>
      </c>
      <c r="H22" t="s">
        <v>570</v>
      </c>
      <c r="I22" s="62">
        <v>93757</v>
      </c>
      <c r="J22" s="62">
        <v>93757</v>
      </c>
      <c r="K22" s="63">
        <v>1</v>
      </c>
    </row>
    <row r="23" spans="1:11">
      <c r="A23" s="59" t="s">
        <v>413</v>
      </c>
      <c r="B23" s="60" t="s">
        <v>58</v>
      </c>
      <c r="C23" t="s">
        <v>562</v>
      </c>
      <c r="D23" s="60" t="s">
        <v>414</v>
      </c>
      <c r="E23" t="s">
        <v>85</v>
      </c>
      <c r="F23" s="61">
        <v>42928</v>
      </c>
      <c r="G23" s="14">
        <v>42838</v>
      </c>
      <c r="H23" t="s">
        <v>570</v>
      </c>
      <c r="I23" s="62">
        <v>1141338</v>
      </c>
      <c r="J23" s="62">
        <v>1141338</v>
      </c>
      <c r="K23" s="63">
        <v>1</v>
      </c>
    </row>
    <row r="24" spans="1:11">
      <c r="A24" s="59" t="s">
        <v>415</v>
      </c>
      <c r="B24" s="60" t="s">
        <v>58</v>
      </c>
      <c r="C24" t="s">
        <v>562</v>
      </c>
      <c r="D24" s="60" t="s">
        <v>416</v>
      </c>
      <c r="E24" t="s">
        <v>401</v>
      </c>
      <c r="F24" s="61">
        <v>42935</v>
      </c>
      <c r="G24" s="14">
        <v>42845</v>
      </c>
      <c r="H24" t="s">
        <v>570</v>
      </c>
      <c r="I24" s="62">
        <v>33793.199999999997</v>
      </c>
      <c r="J24" s="62">
        <v>33793.199999999997</v>
      </c>
      <c r="K24" s="63">
        <v>1</v>
      </c>
    </row>
    <row r="25" spans="1:11" hidden="1">
      <c r="A25" s="59" t="s">
        <v>417</v>
      </c>
      <c r="B25" s="60" t="s">
        <v>0</v>
      </c>
      <c r="C25" t="s">
        <v>563</v>
      </c>
      <c r="D25" s="60" t="s">
        <v>418</v>
      </c>
      <c r="E25" t="s">
        <v>408</v>
      </c>
      <c r="F25" s="61">
        <v>44297</v>
      </c>
      <c r="G25" s="14">
        <v>42836</v>
      </c>
      <c r="H25" t="s">
        <v>585</v>
      </c>
      <c r="I25" s="62">
        <v>13374.52</v>
      </c>
      <c r="J25" s="62">
        <v>13374.52</v>
      </c>
      <c r="K25" s="63">
        <v>1</v>
      </c>
    </row>
    <row r="26" spans="1:11" hidden="1">
      <c r="A26" s="59" t="s">
        <v>428</v>
      </c>
      <c r="B26" s="60" t="s">
        <v>349</v>
      </c>
      <c r="C26" t="s">
        <v>563</v>
      </c>
      <c r="D26" s="60" t="s">
        <v>429</v>
      </c>
      <c r="E26" t="s">
        <v>351</v>
      </c>
      <c r="F26" s="61">
        <v>42979</v>
      </c>
      <c r="G26" s="14">
        <v>42857</v>
      </c>
      <c r="I26" s="62">
        <v>24999</v>
      </c>
      <c r="J26" s="62">
        <v>24984</v>
      </c>
      <c r="K26" s="63">
        <v>0.99939997599903996</v>
      </c>
    </row>
    <row r="27" spans="1:11">
      <c r="A27" s="59" t="s">
        <v>89</v>
      </c>
      <c r="B27" s="60" t="s">
        <v>24</v>
      </c>
      <c r="C27" t="s">
        <v>562</v>
      </c>
      <c r="D27" s="60" t="s">
        <v>90</v>
      </c>
      <c r="E27" t="s">
        <v>66</v>
      </c>
      <c r="F27" s="61">
        <v>43131</v>
      </c>
      <c r="G27" s="14">
        <v>42917</v>
      </c>
      <c r="I27" s="62">
        <v>4346450</v>
      </c>
      <c r="J27" s="62">
        <v>4152565.96</v>
      </c>
      <c r="K27" s="63">
        <v>0.9553925525428798</v>
      </c>
    </row>
    <row r="28" spans="1:11">
      <c r="A28" s="59" t="s">
        <v>95</v>
      </c>
      <c r="B28" s="60" t="s">
        <v>24</v>
      </c>
      <c r="C28" t="s">
        <v>562</v>
      </c>
      <c r="D28" s="60" t="s">
        <v>90</v>
      </c>
      <c r="E28" t="s">
        <v>14</v>
      </c>
      <c r="F28" s="61">
        <v>43131</v>
      </c>
      <c r="G28" s="14">
        <v>43191</v>
      </c>
      <c r="I28" s="62">
        <v>2150000</v>
      </c>
      <c r="J28" s="62">
        <v>1765855.94</v>
      </c>
      <c r="K28" s="63">
        <v>0.8213283441860465</v>
      </c>
    </row>
    <row r="29" spans="1:11">
      <c r="A29" s="59" t="s">
        <v>2</v>
      </c>
      <c r="B29" s="60" t="s">
        <v>3</v>
      </c>
      <c r="C29" t="s">
        <v>562</v>
      </c>
      <c r="D29" s="60" t="s">
        <v>4</v>
      </c>
      <c r="E29" t="s">
        <v>5</v>
      </c>
      <c r="F29" s="61">
        <v>42947</v>
      </c>
      <c r="G29" s="14">
        <v>43252</v>
      </c>
      <c r="I29" s="62">
        <v>3782000</v>
      </c>
      <c r="J29" s="62">
        <v>3249868.56</v>
      </c>
      <c r="K29" s="63">
        <v>0.85929893178212591</v>
      </c>
    </row>
    <row r="30" spans="1:11">
      <c r="A30" s="59" t="s">
        <v>6</v>
      </c>
      <c r="B30" s="60" t="s">
        <v>7</v>
      </c>
      <c r="C30" t="s">
        <v>562</v>
      </c>
      <c r="D30" s="60" t="s">
        <v>4</v>
      </c>
      <c r="E30" t="s">
        <v>8</v>
      </c>
      <c r="F30" s="61">
        <v>42947</v>
      </c>
      <c r="G30" s="14">
        <v>43313</v>
      </c>
      <c r="I30" s="62">
        <v>666000</v>
      </c>
      <c r="J30" s="62">
        <v>561419.37</v>
      </c>
      <c r="K30" s="63">
        <v>0.842972027027027</v>
      </c>
    </row>
    <row r="31" spans="1:11">
      <c r="A31" s="59" t="s">
        <v>9</v>
      </c>
      <c r="B31" s="60" t="s">
        <v>7</v>
      </c>
      <c r="C31" t="s">
        <v>562</v>
      </c>
      <c r="D31" s="60" t="s">
        <v>4</v>
      </c>
      <c r="E31" t="s">
        <v>10</v>
      </c>
      <c r="F31" s="61">
        <v>42947</v>
      </c>
      <c r="G31" s="14">
        <v>43586</v>
      </c>
      <c r="I31" s="62">
        <v>1899000</v>
      </c>
      <c r="J31" s="62">
        <v>1462565.25</v>
      </c>
      <c r="K31" s="63">
        <v>0.77017654028436022</v>
      </c>
    </row>
    <row r="32" spans="1:11">
      <c r="A32" s="59" t="s">
        <v>19</v>
      </c>
      <c r="B32" s="60" t="s">
        <v>7</v>
      </c>
      <c r="C32" t="s">
        <v>562</v>
      </c>
      <c r="D32" s="60" t="s">
        <v>4</v>
      </c>
      <c r="E32" t="s">
        <v>20</v>
      </c>
      <c r="F32" s="61">
        <v>42947</v>
      </c>
      <c r="G32" s="14">
        <v>43617</v>
      </c>
      <c r="I32" s="62">
        <v>166000</v>
      </c>
      <c r="J32" s="62">
        <v>127169.05</v>
      </c>
      <c r="K32" s="63">
        <v>0.76607861445783132</v>
      </c>
    </row>
    <row r="33" spans="1:11">
      <c r="A33" s="59" t="s">
        <v>142</v>
      </c>
      <c r="B33" s="60" t="s">
        <v>7</v>
      </c>
      <c r="C33" t="s">
        <v>562</v>
      </c>
      <c r="D33" s="60" t="s">
        <v>143</v>
      </c>
      <c r="E33" t="s">
        <v>144</v>
      </c>
      <c r="F33" s="61">
        <v>43008</v>
      </c>
      <c r="G33" s="14">
        <v>42917</v>
      </c>
      <c r="I33" s="62">
        <v>435000</v>
      </c>
      <c r="J33" s="62">
        <v>344113.69</v>
      </c>
      <c r="K33" s="63">
        <v>0.95587136111111115</v>
      </c>
    </row>
    <row r="34" spans="1:11">
      <c r="A34" s="59" t="s">
        <v>23</v>
      </c>
      <c r="B34" s="60" t="s">
        <v>24</v>
      </c>
      <c r="C34" t="s">
        <v>562</v>
      </c>
      <c r="D34" s="60" t="s">
        <v>25</v>
      </c>
      <c r="E34" t="s">
        <v>26</v>
      </c>
      <c r="F34" s="61">
        <v>43039</v>
      </c>
      <c r="G34" s="14">
        <v>42887</v>
      </c>
      <c r="I34" s="62">
        <v>880000</v>
      </c>
      <c r="J34" s="62">
        <v>865133.46</v>
      </c>
      <c r="K34" s="63">
        <v>0.9831062045454545</v>
      </c>
    </row>
    <row r="35" spans="1:11" hidden="1">
      <c r="A35" s="59" t="s">
        <v>639</v>
      </c>
      <c r="B35" s="60" t="s">
        <v>48</v>
      </c>
      <c r="C35" t="s">
        <v>563</v>
      </c>
      <c r="D35" s="60" t="s">
        <v>640</v>
      </c>
      <c r="E35" t="s">
        <v>641</v>
      </c>
      <c r="F35" s="61">
        <v>43059</v>
      </c>
      <c r="G35" s="14">
        <v>42905</v>
      </c>
      <c r="I35" s="62">
        <v>1434600</v>
      </c>
      <c r="J35" s="62">
        <v>1361083.72</v>
      </c>
      <c r="K35" s="63">
        <v>0.94875485849714203</v>
      </c>
    </row>
    <row r="36" spans="1:11">
      <c r="A36" s="59" t="s">
        <v>39</v>
      </c>
      <c r="B36" s="60" t="s">
        <v>24</v>
      </c>
      <c r="C36" t="s">
        <v>562</v>
      </c>
      <c r="D36" s="60" t="s">
        <v>25</v>
      </c>
      <c r="E36" t="s">
        <v>40</v>
      </c>
      <c r="F36" s="61">
        <v>43039</v>
      </c>
      <c r="G36" s="14">
        <v>42917</v>
      </c>
      <c r="I36" s="62">
        <v>865000</v>
      </c>
      <c r="J36" s="62">
        <v>839621.45</v>
      </c>
      <c r="K36" s="63">
        <v>0.97066063583815021</v>
      </c>
    </row>
    <row r="37" spans="1:11" hidden="1">
      <c r="A37" s="59" t="s">
        <v>51</v>
      </c>
      <c r="B37" s="60" t="s">
        <v>52</v>
      </c>
      <c r="C37" t="s">
        <v>563</v>
      </c>
      <c r="D37" s="60" t="s">
        <v>53</v>
      </c>
      <c r="E37" t="s">
        <v>54</v>
      </c>
      <c r="F37" s="61">
        <v>42947</v>
      </c>
      <c r="G37" s="14">
        <v>42962</v>
      </c>
      <c r="I37" s="62">
        <v>1738230</v>
      </c>
      <c r="J37" s="62">
        <v>1638594.11</v>
      </c>
      <c r="K37" s="63">
        <v>0.94267968565724913</v>
      </c>
    </row>
    <row r="38" spans="1:11">
      <c r="A38" s="59" t="s">
        <v>27</v>
      </c>
      <c r="B38" s="60" t="s">
        <v>24</v>
      </c>
      <c r="C38" t="s">
        <v>562</v>
      </c>
      <c r="D38" s="60" t="s">
        <v>25</v>
      </c>
      <c r="E38" t="s">
        <v>28</v>
      </c>
      <c r="F38" s="61">
        <v>43039</v>
      </c>
      <c r="G38" s="14">
        <v>43040</v>
      </c>
      <c r="I38" s="62">
        <v>1360000</v>
      </c>
      <c r="J38" s="62">
        <v>1256514.92</v>
      </c>
      <c r="K38" s="63">
        <v>0.92390802941176464</v>
      </c>
    </row>
    <row r="39" spans="1:11">
      <c r="A39" s="59" t="s">
        <v>45</v>
      </c>
      <c r="B39" s="60" t="s">
        <v>24</v>
      </c>
      <c r="C39" t="s">
        <v>562</v>
      </c>
      <c r="D39" s="60" t="s">
        <v>25</v>
      </c>
      <c r="E39" t="s">
        <v>46</v>
      </c>
      <c r="F39" s="61">
        <v>43039</v>
      </c>
      <c r="G39" s="14">
        <v>43101</v>
      </c>
      <c r="I39" s="62">
        <v>725000</v>
      </c>
      <c r="J39" s="62">
        <v>652977.22</v>
      </c>
      <c r="K39" s="63">
        <v>0.90065823448275861</v>
      </c>
    </row>
    <row r="40" spans="1:11">
      <c r="A40" s="59" t="s">
        <v>43</v>
      </c>
      <c r="B40" s="60" t="s">
        <v>24</v>
      </c>
      <c r="C40" t="s">
        <v>562</v>
      </c>
      <c r="D40" s="60" t="s">
        <v>25</v>
      </c>
      <c r="E40" t="s">
        <v>44</v>
      </c>
      <c r="F40" s="61">
        <v>43039</v>
      </c>
      <c r="G40" s="14">
        <v>43221</v>
      </c>
      <c r="I40" s="62">
        <v>980000</v>
      </c>
      <c r="J40" s="62">
        <v>846027.09</v>
      </c>
      <c r="K40" s="63">
        <v>0.86329294897959186</v>
      </c>
    </row>
    <row r="41" spans="1:11">
      <c r="A41" s="59" t="s">
        <v>29</v>
      </c>
      <c r="B41" s="60" t="s">
        <v>24</v>
      </c>
      <c r="C41" t="s">
        <v>562</v>
      </c>
      <c r="D41" s="60" t="s">
        <v>25</v>
      </c>
      <c r="E41" t="s">
        <v>30</v>
      </c>
      <c r="F41" s="61">
        <v>43039</v>
      </c>
      <c r="G41" s="14">
        <v>43252</v>
      </c>
      <c r="I41" s="62">
        <v>785000</v>
      </c>
      <c r="J41" s="62">
        <v>669823.06000000006</v>
      </c>
      <c r="K41" s="63">
        <v>0.85327778343949057</v>
      </c>
    </row>
    <row r="42" spans="1:11" hidden="1">
      <c r="A42" s="59" t="s">
        <v>689</v>
      </c>
      <c r="B42" s="60" t="s">
        <v>349</v>
      </c>
      <c r="C42" t="s">
        <v>563</v>
      </c>
      <c r="D42" s="60" t="s">
        <v>690</v>
      </c>
      <c r="E42" t="s">
        <v>691</v>
      </c>
      <c r="F42" s="61">
        <v>43365</v>
      </c>
      <c r="G42" s="14">
        <v>42909</v>
      </c>
      <c r="I42" s="62">
        <v>370036</v>
      </c>
      <c r="J42" s="62">
        <v>341486.95</v>
      </c>
      <c r="K42" s="63">
        <v>0.92284791209503947</v>
      </c>
    </row>
    <row r="43" spans="1:11" hidden="1">
      <c r="A43" s="59" t="s">
        <v>430</v>
      </c>
      <c r="B43" s="60" t="s">
        <v>349</v>
      </c>
      <c r="C43" t="s">
        <v>563</v>
      </c>
      <c r="D43" s="60" t="s">
        <v>431</v>
      </c>
      <c r="E43" t="s">
        <v>432</v>
      </c>
      <c r="F43" s="61">
        <v>42916</v>
      </c>
      <c r="G43" s="14">
        <v>42887</v>
      </c>
      <c r="I43" s="62">
        <v>1051.68</v>
      </c>
      <c r="J43" s="62">
        <v>964.04</v>
      </c>
      <c r="K43" s="63">
        <v>0.91666666666666663</v>
      </c>
    </row>
    <row r="44" spans="1:11" hidden="1">
      <c r="A44" s="59" t="s">
        <v>605</v>
      </c>
      <c r="B44" s="60" t="s">
        <v>606</v>
      </c>
      <c r="C44" t="s">
        <v>563</v>
      </c>
      <c r="D44" s="60" t="s">
        <v>607</v>
      </c>
      <c r="E44" t="s">
        <v>608</v>
      </c>
      <c r="F44" s="61">
        <v>42916</v>
      </c>
      <c r="G44" s="14">
        <v>43045</v>
      </c>
      <c r="I44" s="62">
        <v>23183000</v>
      </c>
      <c r="J44" s="62">
        <v>20910851.800000001</v>
      </c>
      <c r="K44" s="63">
        <v>0.90199076047103488</v>
      </c>
    </row>
    <row r="45" spans="1:11">
      <c r="A45" s="59" t="s">
        <v>31</v>
      </c>
      <c r="B45" s="60" t="s">
        <v>24</v>
      </c>
      <c r="C45" t="s">
        <v>562</v>
      </c>
      <c r="D45" s="60" t="s">
        <v>25</v>
      </c>
      <c r="E45" t="s">
        <v>32</v>
      </c>
      <c r="F45" s="61">
        <v>43039</v>
      </c>
      <c r="G45" s="14">
        <v>43344</v>
      </c>
      <c r="I45" s="62">
        <v>1890000</v>
      </c>
      <c r="J45" s="62">
        <v>1572129.8</v>
      </c>
      <c r="K45" s="63">
        <v>0.831814708994709</v>
      </c>
    </row>
    <row r="46" spans="1:11" hidden="1">
      <c r="A46" s="59" t="s">
        <v>601</v>
      </c>
      <c r="B46" s="60" t="s">
        <v>349</v>
      </c>
      <c r="C46" t="s">
        <v>563</v>
      </c>
      <c r="D46" s="60" t="s">
        <v>602</v>
      </c>
      <c r="E46" t="s">
        <v>603</v>
      </c>
      <c r="F46" s="61">
        <v>42913</v>
      </c>
      <c r="G46" s="14">
        <v>42883</v>
      </c>
      <c r="I46" s="62">
        <v>15000</v>
      </c>
      <c r="J46" s="62">
        <v>13341.67</v>
      </c>
      <c r="K46" s="63">
        <v>0.88944466666666666</v>
      </c>
    </row>
    <row r="47" spans="1:11">
      <c r="A47" s="59" t="s">
        <v>33</v>
      </c>
      <c r="B47" s="60" t="s">
        <v>24</v>
      </c>
      <c r="C47" t="s">
        <v>562</v>
      </c>
      <c r="D47" s="60" t="s">
        <v>25</v>
      </c>
      <c r="E47" t="s">
        <v>34</v>
      </c>
      <c r="F47" s="61">
        <v>43039</v>
      </c>
      <c r="G47" s="14">
        <v>43525</v>
      </c>
      <c r="I47" s="62">
        <v>500000</v>
      </c>
      <c r="J47" s="62">
        <v>388370.5</v>
      </c>
      <c r="K47" s="63">
        <v>0.77674100000000001</v>
      </c>
    </row>
    <row r="48" spans="1:11" hidden="1">
      <c r="A48" s="59" t="s">
        <v>207</v>
      </c>
      <c r="B48" s="60" t="s">
        <v>0</v>
      </c>
      <c r="C48" t="s">
        <v>563</v>
      </c>
      <c r="D48" s="60" t="s">
        <v>208</v>
      </c>
      <c r="E48" t="s">
        <v>209</v>
      </c>
      <c r="F48" s="61">
        <v>43039</v>
      </c>
      <c r="G48" s="14">
        <v>43012</v>
      </c>
      <c r="H48" t="s">
        <v>585</v>
      </c>
      <c r="I48" s="62">
        <v>188816</v>
      </c>
      <c r="J48" s="62">
        <v>164516</v>
      </c>
      <c r="K48" s="63">
        <v>0.87130327938310315</v>
      </c>
    </row>
    <row r="49" spans="1:11">
      <c r="A49" s="59" t="s">
        <v>37</v>
      </c>
      <c r="B49" s="60" t="s">
        <v>24</v>
      </c>
      <c r="C49" t="s">
        <v>562</v>
      </c>
      <c r="D49" s="60" t="s">
        <v>25</v>
      </c>
      <c r="E49" t="s">
        <v>38</v>
      </c>
      <c r="F49" s="61">
        <v>43039</v>
      </c>
      <c r="G49" s="14">
        <v>43556</v>
      </c>
      <c r="I49" s="62">
        <v>875000</v>
      </c>
      <c r="J49" s="62">
        <v>675438.84</v>
      </c>
      <c r="K49" s="63">
        <v>0.77193010285714281</v>
      </c>
    </row>
    <row r="50" spans="1:11">
      <c r="A50" s="59" t="s">
        <v>367</v>
      </c>
      <c r="B50" s="60" t="s">
        <v>24</v>
      </c>
      <c r="C50" t="s">
        <v>562</v>
      </c>
      <c r="D50" s="60" t="s">
        <v>368</v>
      </c>
      <c r="E50" t="s">
        <v>369</v>
      </c>
      <c r="F50" s="61">
        <v>43484</v>
      </c>
      <c r="G50" s="14">
        <v>42936</v>
      </c>
      <c r="I50" s="62">
        <v>100000</v>
      </c>
      <c r="J50" s="62">
        <v>83685.350000000006</v>
      </c>
      <c r="K50" s="63">
        <v>0.83685350000000003</v>
      </c>
    </row>
    <row r="51" spans="1:11" hidden="1">
      <c r="A51" s="59" t="s">
        <v>677</v>
      </c>
      <c r="B51" s="60" t="s">
        <v>328</v>
      </c>
      <c r="C51" t="s">
        <v>563</v>
      </c>
      <c r="D51" s="60" t="s">
        <v>674</v>
      </c>
      <c r="E51" t="s">
        <v>678</v>
      </c>
      <c r="F51" s="61">
        <v>43237</v>
      </c>
      <c r="G51" s="14">
        <v>42904</v>
      </c>
      <c r="I51" s="62">
        <v>80000</v>
      </c>
      <c r="J51" s="62">
        <v>69295</v>
      </c>
      <c r="K51" s="63">
        <v>0.8661875</v>
      </c>
    </row>
    <row r="52" spans="1:11">
      <c r="A52" s="59" t="s">
        <v>652</v>
      </c>
      <c r="B52" s="60" t="s">
        <v>7</v>
      </c>
      <c r="C52" t="s">
        <v>562</v>
      </c>
      <c r="D52" s="60" t="s">
        <v>653</v>
      </c>
      <c r="E52" t="s">
        <v>629</v>
      </c>
      <c r="F52" s="61">
        <v>43099</v>
      </c>
      <c r="G52" s="14">
        <v>42886</v>
      </c>
      <c r="I52" s="62">
        <v>1000000</v>
      </c>
      <c r="J52" s="62">
        <v>946724.79</v>
      </c>
      <c r="K52" s="63">
        <v>0.94672478999999998</v>
      </c>
    </row>
    <row r="53" spans="1:11" hidden="1">
      <c r="A53" s="59" t="s">
        <v>621</v>
      </c>
      <c r="B53" s="60" t="s">
        <v>52</v>
      </c>
      <c r="C53" t="s">
        <v>563</v>
      </c>
      <c r="D53" s="60" t="s">
        <v>622</v>
      </c>
      <c r="E53" t="s">
        <v>623</v>
      </c>
      <c r="F53" s="61">
        <v>42978</v>
      </c>
      <c r="G53" s="14">
        <v>43070</v>
      </c>
      <c r="I53" s="62">
        <v>3412590</v>
      </c>
      <c r="J53" s="62">
        <v>2936436.35</v>
      </c>
      <c r="K53" s="63">
        <v>0.86047147474498842</v>
      </c>
    </row>
    <row r="54" spans="1:11">
      <c r="A54" s="59" t="s">
        <v>61</v>
      </c>
      <c r="B54" s="60" t="s">
        <v>58</v>
      </c>
      <c r="C54" t="s">
        <v>562</v>
      </c>
      <c r="D54" s="60" t="s">
        <v>59</v>
      </c>
      <c r="E54" t="s">
        <v>62</v>
      </c>
      <c r="F54" s="61">
        <v>43404</v>
      </c>
      <c r="G54" s="14">
        <v>43497</v>
      </c>
      <c r="I54" s="62">
        <v>3650000</v>
      </c>
      <c r="J54" s="62">
        <v>2763560.36</v>
      </c>
      <c r="K54" s="63">
        <v>0.75713982465753427</v>
      </c>
    </row>
    <row r="55" spans="1:11">
      <c r="A55" s="59" t="s">
        <v>205</v>
      </c>
      <c r="B55" s="60" t="s">
        <v>7</v>
      </c>
      <c r="C55" t="s">
        <v>562</v>
      </c>
      <c r="D55" s="60" t="s">
        <v>206</v>
      </c>
      <c r="E55" t="s">
        <v>62</v>
      </c>
      <c r="F55" s="61">
        <v>42916</v>
      </c>
      <c r="G55" s="14">
        <v>42917</v>
      </c>
      <c r="I55" s="62">
        <v>1600000</v>
      </c>
      <c r="J55" s="62">
        <v>1402089.06</v>
      </c>
      <c r="K55" s="63">
        <v>0.93472604000000004</v>
      </c>
    </row>
    <row r="56" spans="1:11" hidden="1">
      <c r="A56" s="59" t="s">
        <v>686</v>
      </c>
      <c r="B56" s="60" t="s">
        <v>0</v>
      </c>
      <c r="C56" t="s">
        <v>634</v>
      </c>
      <c r="D56" s="60" t="s">
        <v>684</v>
      </c>
      <c r="E56" t="s">
        <v>687</v>
      </c>
      <c r="F56" s="61">
        <v>43331</v>
      </c>
      <c r="G56" s="14">
        <v>42966</v>
      </c>
      <c r="I56" s="62">
        <v>1120500</v>
      </c>
      <c r="J56" s="62">
        <v>953564.31</v>
      </c>
      <c r="K56" s="63">
        <v>0.85101678714859441</v>
      </c>
    </row>
    <row r="57" spans="1:11" hidden="1">
      <c r="A57" s="59" t="s">
        <v>451</v>
      </c>
      <c r="B57" s="60" t="s">
        <v>349</v>
      </c>
      <c r="C57" t="s">
        <v>563</v>
      </c>
      <c r="D57" s="60" t="s">
        <v>452</v>
      </c>
      <c r="E57" t="s">
        <v>453</v>
      </c>
      <c r="F57" s="61">
        <v>43040</v>
      </c>
      <c r="G57" s="14">
        <v>42888</v>
      </c>
      <c r="I57" s="62">
        <v>77978</v>
      </c>
      <c r="J57" s="62">
        <v>66335</v>
      </c>
      <c r="K57" s="63">
        <v>0.85068865577470565</v>
      </c>
    </row>
    <row r="58" spans="1:11">
      <c r="A58" s="59" t="s">
        <v>222</v>
      </c>
      <c r="B58" s="60" t="s">
        <v>7</v>
      </c>
      <c r="C58" t="s">
        <v>562</v>
      </c>
      <c r="D58" s="60" t="s">
        <v>223</v>
      </c>
      <c r="E58" t="s">
        <v>224</v>
      </c>
      <c r="F58" s="61">
        <v>42947</v>
      </c>
      <c r="G58" s="14">
        <v>43160</v>
      </c>
      <c r="I58" s="62">
        <v>375000</v>
      </c>
      <c r="J58" s="62">
        <v>288732.09000000003</v>
      </c>
      <c r="K58" s="63">
        <v>0.76995224000000007</v>
      </c>
    </row>
    <row r="59" spans="1:11">
      <c r="A59" s="59" t="s">
        <v>578</v>
      </c>
      <c r="B59" s="60" t="s">
        <v>64</v>
      </c>
      <c r="C59" t="s">
        <v>562</v>
      </c>
      <c r="D59" s="60" t="s">
        <v>576</v>
      </c>
      <c r="E59" t="s">
        <v>579</v>
      </c>
      <c r="F59" s="61">
        <v>43930</v>
      </c>
      <c r="G59" s="14">
        <v>43110</v>
      </c>
      <c r="I59" s="62">
        <v>100000</v>
      </c>
      <c r="J59" s="62">
        <v>81518.62</v>
      </c>
      <c r="K59" s="63">
        <v>0.81518619999999997</v>
      </c>
    </row>
    <row r="60" spans="1:11">
      <c r="A60" s="59" t="s">
        <v>154</v>
      </c>
      <c r="B60" s="60" t="s">
        <v>58</v>
      </c>
      <c r="C60" t="s">
        <v>562</v>
      </c>
      <c r="D60" s="60" t="s">
        <v>155</v>
      </c>
      <c r="E60" t="s">
        <v>156</v>
      </c>
      <c r="F60" s="61">
        <v>43131</v>
      </c>
      <c r="G60" s="14">
        <v>43221</v>
      </c>
      <c r="I60" s="62">
        <v>9000000</v>
      </c>
      <c r="J60" s="62">
        <v>6843282.6900000004</v>
      </c>
      <c r="K60" s="63">
        <v>0.76036474333333337</v>
      </c>
    </row>
    <row r="61" spans="1:11">
      <c r="A61" s="59" t="s">
        <v>282</v>
      </c>
      <c r="B61" s="60" t="s">
        <v>24</v>
      </c>
      <c r="C61" t="s">
        <v>562</v>
      </c>
      <c r="D61" s="60" t="s">
        <v>283</v>
      </c>
      <c r="E61" t="s">
        <v>36</v>
      </c>
      <c r="F61" s="61">
        <v>43069</v>
      </c>
      <c r="G61" s="14">
        <v>42917</v>
      </c>
      <c r="I61" s="62">
        <v>1000000</v>
      </c>
      <c r="J61" s="62">
        <v>923554.57</v>
      </c>
      <c r="K61" s="63">
        <v>0.92355456999999996</v>
      </c>
    </row>
    <row r="62" spans="1:11" hidden="1">
      <c r="A62" s="59" t="s">
        <v>587</v>
      </c>
      <c r="B62" s="60" t="s">
        <v>349</v>
      </c>
      <c r="C62" t="s">
        <v>563</v>
      </c>
      <c r="D62" s="60" t="s">
        <v>588</v>
      </c>
      <c r="E62" t="s">
        <v>589</v>
      </c>
      <c r="F62" s="61">
        <v>42895</v>
      </c>
      <c r="G62" s="14">
        <v>43079</v>
      </c>
      <c r="I62" s="62">
        <v>24900</v>
      </c>
      <c r="J62" s="62">
        <v>20634.68</v>
      </c>
      <c r="K62" s="63">
        <v>0.82870200803212857</v>
      </c>
    </row>
    <row r="63" spans="1:11">
      <c r="A63" s="59" t="s">
        <v>219</v>
      </c>
      <c r="B63" s="60" t="s">
        <v>7</v>
      </c>
      <c r="C63" t="s">
        <v>562</v>
      </c>
      <c r="D63" s="60" t="s">
        <v>220</v>
      </c>
      <c r="E63" t="s">
        <v>221</v>
      </c>
      <c r="F63" s="61">
        <v>42947</v>
      </c>
      <c r="G63" s="14">
        <v>43160</v>
      </c>
      <c r="I63" s="62">
        <v>266375</v>
      </c>
      <c r="J63" s="62">
        <v>205721.87</v>
      </c>
      <c r="K63" s="63">
        <v>0.7723017175035195</v>
      </c>
    </row>
    <row r="64" spans="1:11" hidden="1">
      <c r="A64" s="59" t="s">
        <v>699</v>
      </c>
      <c r="B64" s="60" t="s">
        <v>349</v>
      </c>
      <c r="C64" t="s">
        <v>634</v>
      </c>
      <c r="D64" s="60" t="s">
        <v>700</v>
      </c>
      <c r="E64" t="s">
        <v>633</v>
      </c>
      <c r="F64" s="61">
        <v>43456</v>
      </c>
      <c r="G64" s="14">
        <v>42970</v>
      </c>
      <c r="I64" s="62">
        <v>225000</v>
      </c>
      <c r="J64" s="62">
        <v>183997.35</v>
      </c>
      <c r="K64" s="63">
        <v>0.81776599999999999</v>
      </c>
    </row>
    <row r="65" spans="1:11">
      <c r="A65" s="59" t="s">
        <v>145</v>
      </c>
      <c r="B65" s="60" t="s">
        <v>7</v>
      </c>
      <c r="C65" t="s">
        <v>562</v>
      </c>
      <c r="D65" s="60" t="s">
        <v>146</v>
      </c>
      <c r="E65" t="s">
        <v>147</v>
      </c>
      <c r="F65" s="61">
        <v>42980</v>
      </c>
      <c r="G65" s="14">
        <v>42950</v>
      </c>
      <c r="I65" s="62">
        <v>650000</v>
      </c>
      <c r="J65" s="62">
        <v>508959.52</v>
      </c>
      <c r="K65" s="63">
        <v>0.92538094545454552</v>
      </c>
    </row>
    <row r="66" spans="1:11">
      <c r="A66" s="59" t="s">
        <v>78</v>
      </c>
      <c r="B66" s="60" t="s">
        <v>58</v>
      </c>
      <c r="C66" t="s">
        <v>562</v>
      </c>
      <c r="D66" s="60" t="s">
        <v>79</v>
      </c>
      <c r="E66" t="s">
        <v>80</v>
      </c>
      <c r="F66" s="61">
        <v>43008</v>
      </c>
      <c r="G66" s="14">
        <v>43101</v>
      </c>
      <c r="I66" s="62">
        <v>4200000</v>
      </c>
      <c r="J66" s="62">
        <v>3647619.82</v>
      </c>
      <c r="K66" s="63">
        <v>0.86848090952380952</v>
      </c>
    </row>
    <row r="67" spans="1:11">
      <c r="A67" s="59" t="s">
        <v>256</v>
      </c>
      <c r="B67" s="60" t="s">
        <v>7</v>
      </c>
      <c r="C67" t="s">
        <v>562</v>
      </c>
      <c r="D67" s="60" t="s">
        <v>257</v>
      </c>
      <c r="E67" t="s">
        <v>258</v>
      </c>
      <c r="F67" s="61">
        <v>43015</v>
      </c>
      <c r="G67" s="14">
        <v>42863</v>
      </c>
      <c r="I67" s="62">
        <v>610000</v>
      </c>
      <c r="J67" s="62">
        <v>496591.77</v>
      </c>
      <c r="K67" s="63">
        <v>0.99318354000000009</v>
      </c>
    </row>
    <row r="68" spans="1:11">
      <c r="A68" s="59" t="s">
        <v>84</v>
      </c>
      <c r="B68" s="60" t="s">
        <v>58</v>
      </c>
      <c r="C68" t="s">
        <v>562</v>
      </c>
      <c r="D68" s="60" t="s">
        <v>82</v>
      </c>
      <c r="E68" t="s">
        <v>85</v>
      </c>
      <c r="F68" s="61">
        <v>43039</v>
      </c>
      <c r="G68" s="14">
        <v>43101</v>
      </c>
      <c r="I68" s="62">
        <v>3350000</v>
      </c>
      <c r="J68" s="62">
        <v>2901946.97</v>
      </c>
      <c r="K68" s="63">
        <v>0.86625282686567173</v>
      </c>
    </row>
    <row r="69" spans="1:11" hidden="1">
      <c r="A69" s="59" t="s">
        <v>338</v>
      </c>
      <c r="B69" s="60" t="s">
        <v>339</v>
      </c>
      <c r="C69" t="s">
        <v>563</v>
      </c>
      <c r="D69" s="60" t="s">
        <v>340</v>
      </c>
      <c r="E69" t="s">
        <v>341</v>
      </c>
      <c r="F69" s="61">
        <v>42930</v>
      </c>
      <c r="G69" s="14">
        <v>43023</v>
      </c>
      <c r="I69" s="62">
        <v>45625</v>
      </c>
      <c r="J69" s="62">
        <v>36118</v>
      </c>
      <c r="K69" s="63">
        <v>0.79162739726027398</v>
      </c>
    </row>
    <row r="70" spans="1:11" hidden="1">
      <c r="A70" s="59" t="s">
        <v>667</v>
      </c>
      <c r="B70" s="60" t="s">
        <v>64</v>
      </c>
      <c r="C70" t="s">
        <v>563</v>
      </c>
      <c r="D70" s="60" t="s">
        <v>665</v>
      </c>
      <c r="E70" t="s">
        <v>668</v>
      </c>
      <c r="F70" s="61">
        <v>43190</v>
      </c>
      <c r="G70" s="14">
        <v>42979</v>
      </c>
      <c r="I70" s="62">
        <v>60000</v>
      </c>
      <c r="J70" s="62">
        <v>46888.69</v>
      </c>
      <c r="K70" s="63">
        <v>0.7814781666666667</v>
      </c>
    </row>
    <row r="71" spans="1:11">
      <c r="A71" s="59" t="s">
        <v>266</v>
      </c>
      <c r="B71" s="60" t="s">
        <v>7</v>
      </c>
      <c r="C71" t="s">
        <v>562</v>
      </c>
      <c r="D71" s="60" t="s">
        <v>267</v>
      </c>
      <c r="E71" t="s">
        <v>268</v>
      </c>
      <c r="F71" s="61">
        <v>43030</v>
      </c>
      <c r="G71" s="14">
        <v>42878</v>
      </c>
      <c r="I71" s="62">
        <v>200000</v>
      </c>
      <c r="J71" s="62">
        <v>129788.44</v>
      </c>
      <c r="K71" s="63">
        <v>0.96139585185185183</v>
      </c>
    </row>
    <row r="72" spans="1:11" hidden="1">
      <c r="A72" s="59" t="s">
        <v>683</v>
      </c>
      <c r="B72" s="60" t="s">
        <v>0</v>
      </c>
      <c r="C72" t="s">
        <v>634</v>
      </c>
      <c r="D72" s="60" t="s">
        <v>684</v>
      </c>
      <c r="E72" t="s">
        <v>685</v>
      </c>
      <c r="F72" s="61">
        <v>43330</v>
      </c>
      <c r="G72" s="14">
        <v>43027</v>
      </c>
      <c r="I72" s="62">
        <v>1210800</v>
      </c>
      <c r="J72" s="62">
        <v>937298.1</v>
      </c>
      <c r="K72" s="63">
        <v>0.77411471754212091</v>
      </c>
    </row>
    <row r="73" spans="1:11">
      <c r="A73" s="59" t="s">
        <v>55</v>
      </c>
      <c r="B73" s="60" t="s">
        <v>7</v>
      </c>
      <c r="C73" t="s">
        <v>562</v>
      </c>
      <c r="D73" s="60" t="s">
        <v>56</v>
      </c>
      <c r="E73" t="s">
        <v>38</v>
      </c>
      <c r="F73" s="61">
        <v>42916</v>
      </c>
      <c r="G73" s="14">
        <v>43132</v>
      </c>
      <c r="I73" s="62">
        <v>6045000</v>
      </c>
      <c r="J73" s="62">
        <v>5280662.29</v>
      </c>
      <c r="K73" s="63">
        <v>0.87355869148056242</v>
      </c>
    </row>
    <row r="74" spans="1:11">
      <c r="A74" s="59" t="s">
        <v>630</v>
      </c>
      <c r="B74" s="60" t="s">
        <v>48</v>
      </c>
      <c r="C74" t="s">
        <v>562</v>
      </c>
      <c r="D74" s="60" t="s">
        <v>628</v>
      </c>
      <c r="E74" t="s">
        <v>364</v>
      </c>
      <c r="F74" s="61">
        <v>43008</v>
      </c>
      <c r="G74" s="14">
        <v>42887</v>
      </c>
      <c r="I74" s="62">
        <v>2851000</v>
      </c>
      <c r="J74" s="62">
        <v>2747267.31</v>
      </c>
      <c r="K74" s="63">
        <v>0.96361533146264466</v>
      </c>
    </row>
    <row r="75" spans="1:11">
      <c r="A75" s="59" t="s">
        <v>627</v>
      </c>
      <c r="B75" s="60" t="s">
        <v>48</v>
      </c>
      <c r="C75" t="s">
        <v>562</v>
      </c>
      <c r="D75" s="60" t="s">
        <v>628</v>
      </c>
      <c r="E75" t="s">
        <v>629</v>
      </c>
      <c r="F75" s="61">
        <v>43008</v>
      </c>
      <c r="G75" s="14">
        <v>43191</v>
      </c>
      <c r="I75" s="62">
        <v>2625000</v>
      </c>
      <c r="J75" s="62">
        <v>2091240.28</v>
      </c>
      <c r="K75" s="63">
        <v>0.79666296380952384</v>
      </c>
    </row>
    <row r="76" spans="1:11">
      <c r="A76" s="59" t="s">
        <v>196</v>
      </c>
      <c r="B76" s="60" t="s">
        <v>7</v>
      </c>
      <c r="C76" t="s">
        <v>562</v>
      </c>
      <c r="D76" s="60" t="s">
        <v>197</v>
      </c>
      <c r="E76" t="s">
        <v>198</v>
      </c>
      <c r="F76" s="61">
        <v>42886</v>
      </c>
      <c r="G76" s="14">
        <v>42856</v>
      </c>
      <c r="I76" s="62">
        <v>72000</v>
      </c>
      <c r="J76" s="62">
        <v>71473.41</v>
      </c>
      <c r="K76" s="63">
        <v>0.9926862500000001</v>
      </c>
    </row>
    <row r="77" spans="1:11">
      <c r="A77" s="59" t="s">
        <v>47</v>
      </c>
      <c r="B77" s="60" t="s">
        <v>48</v>
      </c>
      <c r="C77" t="s">
        <v>562</v>
      </c>
      <c r="D77" s="60" t="s">
        <v>49</v>
      </c>
      <c r="E77" t="s">
        <v>50</v>
      </c>
      <c r="F77" s="61">
        <v>42978</v>
      </c>
      <c r="G77" s="14">
        <v>43374</v>
      </c>
      <c r="I77" s="62">
        <v>235000</v>
      </c>
      <c r="J77" s="62">
        <v>186966.88</v>
      </c>
      <c r="K77" s="63">
        <v>0.79560374468085104</v>
      </c>
    </row>
    <row r="78" spans="1:11">
      <c r="A78" s="59" t="s">
        <v>358</v>
      </c>
      <c r="B78" s="60" t="s">
        <v>24</v>
      </c>
      <c r="C78" t="s">
        <v>562</v>
      </c>
      <c r="D78" s="60" t="s">
        <v>359</v>
      </c>
      <c r="E78" t="s">
        <v>360</v>
      </c>
      <c r="F78" s="61">
        <v>43434</v>
      </c>
      <c r="G78" s="14">
        <v>43009</v>
      </c>
      <c r="I78" s="62">
        <v>125000</v>
      </c>
      <c r="J78" s="62">
        <v>94776.56</v>
      </c>
      <c r="K78" s="63">
        <v>0.75821247999999997</v>
      </c>
    </row>
    <row r="79" spans="1:11">
      <c r="A79" s="59" t="s">
        <v>86</v>
      </c>
      <c r="B79" s="60" t="s">
        <v>24</v>
      </c>
      <c r="C79" t="s">
        <v>562</v>
      </c>
      <c r="D79" s="60" t="s">
        <v>87</v>
      </c>
      <c r="E79" t="s">
        <v>88</v>
      </c>
      <c r="F79" s="61">
        <v>43100</v>
      </c>
      <c r="G79" s="14">
        <v>43221</v>
      </c>
      <c r="I79" s="62">
        <v>575000</v>
      </c>
      <c r="J79" s="62">
        <v>466134.59</v>
      </c>
      <c r="K79" s="63">
        <v>0.81066885217391305</v>
      </c>
    </row>
    <row r="80" spans="1:11">
      <c r="A80" s="59" t="s">
        <v>655</v>
      </c>
      <c r="B80" s="60" t="s">
        <v>64</v>
      </c>
      <c r="C80" t="s">
        <v>562</v>
      </c>
      <c r="D80" s="60" t="s">
        <v>656</v>
      </c>
      <c r="E80" t="s">
        <v>190</v>
      </c>
      <c r="F80" s="61">
        <v>43158</v>
      </c>
      <c r="G80" s="14">
        <v>43067</v>
      </c>
      <c r="I80" s="62">
        <v>1050000</v>
      </c>
      <c r="J80" s="62">
        <v>881378.7</v>
      </c>
      <c r="K80" s="63">
        <v>0.83940828571428572</v>
      </c>
    </row>
    <row r="84" spans="10:10">
      <c r="J84" s="6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defaultRowHeight="15"/>
  <cols>
    <col min="1" max="1" width="8.140625" bestFit="1" customWidth="1"/>
    <col min="2" max="2" width="11.5703125" bestFit="1" customWidth="1"/>
    <col min="3" max="3" width="8.140625" bestFit="1" customWidth="1"/>
    <col min="4" max="4" width="64" bestFit="1" customWidth="1"/>
    <col min="5" max="5" width="40.42578125" bestFit="1" customWidth="1"/>
    <col min="6" max="6" width="10.7109375" bestFit="1" customWidth="1"/>
    <col min="7" max="7" width="19.28515625" bestFit="1" customWidth="1"/>
    <col min="8" max="8" width="10.5703125" bestFit="1" customWidth="1"/>
    <col min="9" max="9" width="17.5703125" bestFit="1" customWidth="1"/>
    <col min="10" max="10" width="18.5703125" bestFit="1" customWidth="1"/>
    <col min="11" max="11" width="15.5703125" bestFit="1" customWidth="1"/>
  </cols>
  <sheetData>
    <row r="1" spans="1:11">
      <c r="A1" s="74" t="s">
        <v>536</v>
      </c>
      <c r="B1" s="75" t="s">
        <v>537</v>
      </c>
      <c r="C1" s="75" t="s">
        <v>553</v>
      </c>
      <c r="D1" s="75" t="s">
        <v>540</v>
      </c>
      <c r="E1" s="75" t="s">
        <v>541</v>
      </c>
      <c r="F1" s="75" t="s">
        <v>539</v>
      </c>
      <c r="G1" s="75" t="s">
        <v>550</v>
      </c>
      <c r="H1" s="75" t="s">
        <v>556</v>
      </c>
      <c r="I1" s="75" t="s">
        <v>798</v>
      </c>
      <c r="J1" s="75" t="s">
        <v>799</v>
      </c>
      <c r="K1" s="76" t="s">
        <v>800</v>
      </c>
    </row>
    <row r="2" spans="1:11">
      <c r="A2" s="64" t="s">
        <v>89</v>
      </c>
      <c r="B2" s="65" t="s">
        <v>24</v>
      </c>
      <c r="C2" s="56" t="s">
        <v>562</v>
      </c>
      <c r="D2" s="65" t="s">
        <v>90</v>
      </c>
      <c r="E2" s="56" t="s">
        <v>66</v>
      </c>
      <c r="F2" s="66">
        <v>43131</v>
      </c>
      <c r="G2" s="57">
        <v>42917</v>
      </c>
      <c r="H2" s="56"/>
      <c r="I2" s="67">
        <v>4346450</v>
      </c>
      <c r="J2" s="67">
        <v>4152565.96</v>
      </c>
      <c r="K2" s="83">
        <v>0.9553925525428798</v>
      </c>
    </row>
    <row r="3" spans="1:11">
      <c r="A3" s="68" t="s">
        <v>95</v>
      </c>
      <c r="B3" s="69" t="s">
        <v>24</v>
      </c>
      <c r="C3" s="53" t="s">
        <v>562</v>
      </c>
      <c r="D3" s="69" t="s">
        <v>90</v>
      </c>
      <c r="E3" s="53" t="s">
        <v>14</v>
      </c>
      <c r="F3" s="70">
        <v>43131</v>
      </c>
      <c r="G3" s="54">
        <v>43191</v>
      </c>
      <c r="H3" s="53"/>
      <c r="I3" s="71">
        <v>2150000</v>
      </c>
      <c r="J3" s="71">
        <v>1765855.94</v>
      </c>
      <c r="K3" s="84">
        <v>0.8213283441860465</v>
      </c>
    </row>
    <row r="4" spans="1:11">
      <c r="A4" s="68"/>
      <c r="B4" s="69"/>
      <c r="C4" s="53"/>
      <c r="D4" s="69"/>
      <c r="E4" s="53"/>
      <c r="F4" s="70"/>
      <c r="G4" s="54"/>
      <c r="H4" s="53"/>
      <c r="I4" s="82">
        <f>SUM(I2:I3)</f>
        <v>6496450</v>
      </c>
      <c r="J4" s="82">
        <f>SUM(J2:J3)</f>
        <v>5918421.9000000004</v>
      </c>
      <c r="K4" s="85">
        <f>J4/I4</f>
        <v>0.91102400541834394</v>
      </c>
    </row>
    <row r="5" spans="1:11">
      <c r="A5" s="68"/>
      <c r="B5" s="69"/>
      <c r="C5" s="53"/>
      <c r="D5" s="69"/>
      <c r="E5" s="53"/>
      <c r="F5" s="70"/>
      <c r="G5" s="54"/>
      <c r="H5" s="53"/>
      <c r="I5" s="71"/>
      <c r="J5" s="71"/>
      <c r="K5" s="72"/>
    </row>
    <row r="6" spans="1:11">
      <c r="A6" s="64" t="s">
        <v>2</v>
      </c>
      <c r="B6" s="65" t="s">
        <v>3</v>
      </c>
      <c r="C6" s="56" t="s">
        <v>562</v>
      </c>
      <c r="D6" s="65" t="s">
        <v>4</v>
      </c>
      <c r="E6" s="56" t="s">
        <v>5</v>
      </c>
      <c r="F6" s="66">
        <v>42947</v>
      </c>
      <c r="G6" s="57">
        <v>43252</v>
      </c>
      <c r="H6" s="56"/>
      <c r="I6" s="67">
        <v>3782000</v>
      </c>
      <c r="J6" s="67">
        <v>3249868.56</v>
      </c>
      <c r="K6" s="83">
        <v>0.85929893178212591</v>
      </c>
    </row>
    <row r="7" spans="1:11">
      <c r="A7" s="68" t="s">
        <v>6</v>
      </c>
      <c r="B7" s="69" t="s">
        <v>7</v>
      </c>
      <c r="C7" s="53" t="s">
        <v>562</v>
      </c>
      <c r="D7" s="69" t="s">
        <v>4</v>
      </c>
      <c r="E7" s="53" t="s">
        <v>8</v>
      </c>
      <c r="F7" s="70">
        <v>42947</v>
      </c>
      <c r="G7" s="54">
        <v>43313</v>
      </c>
      <c r="H7" s="53"/>
      <c r="I7" s="71">
        <v>666000</v>
      </c>
      <c r="J7" s="71">
        <v>561419.37</v>
      </c>
      <c r="K7" s="84">
        <v>0.842972027027027</v>
      </c>
    </row>
    <row r="8" spans="1:11">
      <c r="A8" s="64" t="s">
        <v>9</v>
      </c>
      <c r="B8" s="65" t="s">
        <v>7</v>
      </c>
      <c r="C8" s="56" t="s">
        <v>562</v>
      </c>
      <c r="D8" s="65" t="s">
        <v>4</v>
      </c>
      <c r="E8" s="56" t="s">
        <v>10</v>
      </c>
      <c r="F8" s="66">
        <v>42947</v>
      </c>
      <c r="G8" s="57">
        <v>43586</v>
      </c>
      <c r="H8" s="56"/>
      <c r="I8" s="67">
        <v>1899000</v>
      </c>
      <c r="J8" s="67">
        <v>1462565.25</v>
      </c>
      <c r="K8" s="83">
        <v>0.77017654028436022</v>
      </c>
    </row>
    <row r="9" spans="1:11">
      <c r="A9" s="68" t="s">
        <v>19</v>
      </c>
      <c r="B9" s="69" t="s">
        <v>7</v>
      </c>
      <c r="C9" s="53" t="s">
        <v>562</v>
      </c>
      <c r="D9" s="69" t="s">
        <v>4</v>
      </c>
      <c r="E9" s="53" t="s">
        <v>20</v>
      </c>
      <c r="F9" s="70">
        <v>42947</v>
      </c>
      <c r="G9" s="54">
        <v>43617</v>
      </c>
      <c r="H9" s="53"/>
      <c r="I9" s="71">
        <v>166000</v>
      </c>
      <c r="J9" s="71">
        <v>127169.05</v>
      </c>
      <c r="K9" s="84">
        <v>0.76607861445783132</v>
      </c>
    </row>
    <row r="10" spans="1:11">
      <c r="I10" s="80">
        <f>SUM(I6:I9)</f>
        <v>6513000</v>
      </c>
      <c r="J10" s="80">
        <f>SUM(J6:J9)</f>
        <v>5401022.2299999995</v>
      </c>
      <c r="K10" s="81">
        <f>J10/I10</f>
        <v>0.82926796100107469</v>
      </c>
    </row>
    <row r="11" spans="1:11">
      <c r="I11" s="80"/>
      <c r="J11" s="80"/>
      <c r="K11" s="81"/>
    </row>
    <row r="12" spans="1:11">
      <c r="A12" s="64" t="s">
        <v>142</v>
      </c>
      <c r="B12" s="65" t="s">
        <v>7</v>
      </c>
      <c r="C12" s="56" t="s">
        <v>562</v>
      </c>
      <c r="D12" s="65" t="s">
        <v>143</v>
      </c>
      <c r="E12" s="56" t="s">
        <v>144</v>
      </c>
      <c r="F12" s="66">
        <v>43008</v>
      </c>
      <c r="G12" s="57">
        <v>42917</v>
      </c>
      <c r="H12" s="56"/>
      <c r="I12" s="86">
        <v>435000</v>
      </c>
      <c r="J12" s="86">
        <v>344113.69</v>
      </c>
      <c r="K12" s="87">
        <v>0.95587136111111115</v>
      </c>
    </row>
    <row r="15" spans="1:11">
      <c r="A15" s="68" t="s">
        <v>23</v>
      </c>
      <c r="B15" s="69" t="s">
        <v>24</v>
      </c>
      <c r="C15" s="53" t="s">
        <v>562</v>
      </c>
      <c r="D15" s="69" t="s">
        <v>25</v>
      </c>
      <c r="E15" s="53" t="s">
        <v>26</v>
      </c>
      <c r="F15" s="70">
        <v>43039</v>
      </c>
      <c r="G15" s="54">
        <v>42887</v>
      </c>
      <c r="H15" s="53"/>
      <c r="I15" s="71">
        <v>880000</v>
      </c>
      <c r="J15" s="71">
        <v>865133.46</v>
      </c>
      <c r="K15" s="84">
        <v>0.9831062045454545</v>
      </c>
    </row>
    <row r="16" spans="1:11">
      <c r="A16" s="64" t="s">
        <v>39</v>
      </c>
      <c r="B16" s="65" t="s">
        <v>24</v>
      </c>
      <c r="C16" s="56" t="s">
        <v>562</v>
      </c>
      <c r="D16" s="65" t="s">
        <v>25</v>
      </c>
      <c r="E16" s="56" t="s">
        <v>40</v>
      </c>
      <c r="F16" s="66">
        <v>43039</v>
      </c>
      <c r="G16" s="57">
        <v>42917</v>
      </c>
      <c r="H16" s="56"/>
      <c r="I16" s="67">
        <v>865000</v>
      </c>
      <c r="J16" s="67">
        <v>839621.45</v>
      </c>
      <c r="K16" s="83">
        <v>0.97066063583815021</v>
      </c>
    </row>
    <row r="17" spans="1:11">
      <c r="A17" s="68" t="s">
        <v>27</v>
      </c>
      <c r="B17" s="69" t="s">
        <v>24</v>
      </c>
      <c r="C17" s="53" t="s">
        <v>562</v>
      </c>
      <c r="D17" s="69" t="s">
        <v>25</v>
      </c>
      <c r="E17" s="53" t="s">
        <v>28</v>
      </c>
      <c r="F17" s="70">
        <v>43039</v>
      </c>
      <c r="G17" s="54">
        <v>43040</v>
      </c>
      <c r="H17" s="53"/>
      <c r="I17" s="71">
        <v>1360000</v>
      </c>
      <c r="J17" s="71">
        <v>1256514.92</v>
      </c>
      <c r="K17" s="84">
        <v>0.92390802941176464</v>
      </c>
    </row>
    <row r="18" spans="1:11">
      <c r="A18" s="64" t="s">
        <v>45</v>
      </c>
      <c r="B18" s="65" t="s">
        <v>24</v>
      </c>
      <c r="C18" s="56" t="s">
        <v>562</v>
      </c>
      <c r="D18" s="65" t="s">
        <v>25</v>
      </c>
      <c r="E18" s="56" t="s">
        <v>46</v>
      </c>
      <c r="F18" s="66">
        <v>43039</v>
      </c>
      <c r="G18" s="57">
        <v>43101</v>
      </c>
      <c r="H18" s="56"/>
      <c r="I18" s="67">
        <v>725000</v>
      </c>
      <c r="J18" s="67">
        <v>652977.22</v>
      </c>
      <c r="K18" s="83">
        <v>0.90065823448275861</v>
      </c>
    </row>
    <row r="19" spans="1:11">
      <c r="A19" s="68" t="s">
        <v>43</v>
      </c>
      <c r="B19" s="69" t="s">
        <v>24</v>
      </c>
      <c r="C19" s="53" t="s">
        <v>562</v>
      </c>
      <c r="D19" s="69" t="s">
        <v>25</v>
      </c>
      <c r="E19" s="53" t="s">
        <v>44</v>
      </c>
      <c r="F19" s="70">
        <v>43039</v>
      </c>
      <c r="G19" s="54">
        <v>43221</v>
      </c>
      <c r="H19" s="53"/>
      <c r="I19" s="71">
        <v>980000</v>
      </c>
      <c r="J19" s="71">
        <v>846027.09</v>
      </c>
      <c r="K19" s="84">
        <v>0.86329294897959186</v>
      </c>
    </row>
    <row r="20" spans="1:11">
      <c r="A20" s="64" t="s">
        <v>29</v>
      </c>
      <c r="B20" s="65" t="s">
        <v>24</v>
      </c>
      <c r="C20" s="56" t="s">
        <v>562</v>
      </c>
      <c r="D20" s="65" t="s">
        <v>25</v>
      </c>
      <c r="E20" s="56" t="s">
        <v>30</v>
      </c>
      <c r="F20" s="66">
        <v>43039</v>
      </c>
      <c r="G20" s="57">
        <v>43252</v>
      </c>
      <c r="H20" s="56"/>
      <c r="I20" s="67">
        <v>785000</v>
      </c>
      <c r="J20" s="67">
        <v>669823.06000000006</v>
      </c>
      <c r="K20" s="83">
        <v>0.85327778343949057</v>
      </c>
    </row>
    <row r="21" spans="1:11">
      <c r="A21" s="68" t="s">
        <v>31</v>
      </c>
      <c r="B21" s="69" t="s">
        <v>24</v>
      </c>
      <c r="C21" s="53" t="s">
        <v>562</v>
      </c>
      <c r="D21" s="69" t="s">
        <v>25</v>
      </c>
      <c r="E21" s="53" t="s">
        <v>32</v>
      </c>
      <c r="F21" s="70">
        <v>43039</v>
      </c>
      <c r="G21" s="54">
        <v>43344</v>
      </c>
      <c r="H21" s="53"/>
      <c r="I21" s="71">
        <v>1890000</v>
      </c>
      <c r="J21" s="71">
        <v>1572129.8</v>
      </c>
      <c r="K21" s="84">
        <v>0.831814708994709</v>
      </c>
    </row>
    <row r="22" spans="1:11">
      <c r="A22" s="64" t="s">
        <v>33</v>
      </c>
      <c r="B22" s="65" t="s">
        <v>24</v>
      </c>
      <c r="C22" s="56" t="s">
        <v>562</v>
      </c>
      <c r="D22" s="65" t="s">
        <v>25</v>
      </c>
      <c r="E22" s="56" t="s">
        <v>34</v>
      </c>
      <c r="F22" s="66">
        <v>43039</v>
      </c>
      <c r="G22" s="57">
        <v>43525</v>
      </c>
      <c r="H22" s="56"/>
      <c r="I22" s="67">
        <v>500000</v>
      </c>
      <c r="J22" s="67">
        <v>388370.5</v>
      </c>
      <c r="K22" s="83">
        <v>0.77674100000000001</v>
      </c>
    </row>
    <row r="23" spans="1:11">
      <c r="A23" s="68" t="s">
        <v>37</v>
      </c>
      <c r="B23" s="69" t="s">
        <v>24</v>
      </c>
      <c r="C23" s="53" t="s">
        <v>562</v>
      </c>
      <c r="D23" s="69" t="s">
        <v>25</v>
      </c>
      <c r="E23" s="53" t="s">
        <v>38</v>
      </c>
      <c r="F23" s="70">
        <v>43039</v>
      </c>
      <c r="G23" s="54">
        <v>43556</v>
      </c>
      <c r="H23" s="53"/>
      <c r="I23" s="71">
        <v>875000</v>
      </c>
      <c r="J23" s="71">
        <v>675438.84</v>
      </c>
      <c r="K23" s="84">
        <v>0.77193010285714281</v>
      </c>
    </row>
    <row r="24" spans="1:11">
      <c r="I24" s="80">
        <f>SUM(I15:I23)</f>
        <v>8860000</v>
      </c>
      <c r="J24" s="80">
        <f>SUM(J15:J23)</f>
        <v>7766036.3399999989</v>
      </c>
      <c r="K24" s="81">
        <f>J24/I24</f>
        <v>0.87652780361173799</v>
      </c>
    </row>
    <row r="26" spans="1:11">
      <c r="A26" s="64" t="s">
        <v>367</v>
      </c>
      <c r="B26" s="65" t="s">
        <v>24</v>
      </c>
      <c r="C26" s="56" t="s">
        <v>562</v>
      </c>
      <c r="D26" s="65" t="s">
        <v>368</v>
      </c>
      <c r="E26" s="56" t="s">
        <v>369</v>
      </c>
      <c r="F26" s="66">
        <v>43484</v>
      </c>
      <c r="G26" s="57">
        <v>42936</v>
      </c>
      <c r="H26" s="56"/>
      <c r="I26" s="86">
        <v>100000</v>
      </c>
      <c r="J26" s="86">
        <v>83685.350000000006</v>
      </c>
      <c r="K26" s="87">
        <v>0.83685350000000003</v>
      </c>
    </row>
    <row r="27" spans="1:11">
      <c r="A27" s="90"/>
      <c r="B27" s="91"/>
      <c r="C27" s="92"/>
      <c r="D27" s="91"/>
      <c r="E27" s="92"/>
      <c r="F27" s="93"/>
      <c r="G27" s="94"/>
      <c r="H27" s="92"/>
      <c r="I27" s="95"/>
      <c r="J27" s="95"/>
      <c r="K27" s="97"/>
    </row>
    <row r="28" spans="1:11">
      <c r="A28" s="68" t="s">
        <v>652</v>
      </c>
      <c r="B28" s="69" t="s">
        <v>7</v>
      </c>
      <c r="C28" s="53" t="s">
        <v>562</v>
      </c>
      <c r="D28" s="69" t="s">
        <v>653</v>
      </c>
      <c r="E28" s="53" t="s">
        <v>629</v>
      </c>
      <c r="F28" s="70">
        <v>43099</v>
      </c>
      <c r="G28" s="54">
        <v>42886</v>
      </c>
      <c r="H28" s="53"/>
      <c r="I28" s="82">
        <v>1000000</v>
      </c>
      <c r="J28" s="82">
        <v>946724.79</v>
      </c>
      <c r="K28" s="85">
        <v>0.94672478999999998</v>
      </c>
    </row>
    <row r="29" spans="1:11">
      <c r="A29" s="68"/>
      <c r="B29" s="69"/>
      <c r="C29" s="53"/>
      <c r="D29" s="69"/>
      <c r="E29" s="53"/>
      <c r="F29" s="70"/>
      <c r="G29" s="54"/>
      <c r="H29" s="53"/>
      <c r="I29" s="82"/>
      <c r="J29" s="82"/>
      <c r="K29" s="85"/>
    </row>
    <row r="30" spans="1:11">
      <c r="A30" s="64" t="s">
        <v>61</v>
      </c>
      <c r="B30" s="65" t="s">
        <v>58</v>
      </c>
      <c r="C30" s="56" t="s">
        <v>562</v>
      </c>
      <c r="D30" s="65" t="s">
        <v>59</v>
      </c>
      <c r="E30" s="56" t="s">
        <v>62</v>
      </c>
      <c r="F30" s="66">
        <v>43404</v>
      </c>
      <c r="G30" s="57">
        <v>43497</v>
      </c>
      <c r="H30" s="56"/>
      <c r="I30" s="86">
        <v>3650000</v>
      </c>
      <c r="J30" s="86">
        <v>2763560.36</v>
      </c>
      <c r="K30" s="87">
        <v>0.75713982465753427</v>
      </c>
    </row>
    <row r="31" spans="1:11">
      <c r="A31" s="90"/>
      <c r="B31" s="91"/>
      <c r="C31" s="92"/>
      <c r="D31" s="91"/>
      <c r="E31" s="92"/>
      <c r="F31" s="93"/>
      <c r="G31" s="94"/>
      <c r="H31" s="92"/>
      <c r="I31" s="95"/>
      <c r="J31" s="95"/>
      <c r="K31" s="97"/>
    </row>
    <row r="32" spans="1:11">
      <c r="A32" s="68" t="s">
        <v>205</v>
      </c>
      <c r="B32" s="69" t="s">
        <v>7</v>
      </c>
      <c r="C32" s="53" t="s">
        <v>562</v>
      </c>
      <c r="D32" s="69" t="s">
        <v>206</v>
      </c>
      <c r="E32" s="53" t="s">
        <v>62</v>
      </c>
      <c r="F32" s="70">
        <v>42916</v>
      </c>
      <c r="G32" s="54">
        <v>42917</v>
      </c>
      <c r="H32" s="53"/>
      <c r="I32" s="82">
        <v>1600000</v>
      </c>
      <c r="J32" s="82">
        <v>1402089.06</v>
      </c>
      <c r="K32" s="85">
        <v>0.93472604000000004</v>
      </c>
    </row>
    <row r="33" spans="1:11">
      <c r="A33" s="68"/>
      <c r="B33" s="69"/>
      <c r="C33" s="53"/>
      <c r="D33" s="69"/>
      <c r="E33" s="53"/>
      <c r="F33" s="70"/>
      <c r="G33" s="54"/>
      <c r="H33" s="53"/>
      <c r="I33" s="82"/>
      <c r="J33" s="82"/>
      <c r="K33" s="85"/>
    </row>
    <row r="34" spans="1:11">
      <c r="A34" s="64" t="s">
        <v>222</v>
      </c>
      <c r="B34" s="65" t="s">
        <v>7</v>
      </c>
      <c r="C34" s="56" t="s">
        <v>562</v>
      </c>
      <c r="D34" s="65" t="s">
        <v>223</v>
      </c>
      <c r="E34" s="56" t="s">
        <v>224</v>
      </c>
      <c r="F34" s="66">
        <v>42947</v>
      </c>
      <c r="G34" s="57">
        <v>43160</v>
      </c>
      <c r="H34" s="56"/>
      <c r="I34" s="86">
        <v>375000</v>
      </c>
      <c r="J34" s="86">
        <v>288732.09000000003</v>
      </c>
      <c r="K34" s="88">
        <v>0.76995224000000007</v>
      </c>
    </row>
    <row r="35" spans="1:11">
      <c r="A35" s="68" t="s">
        <v>578</v>
      </c>
      <c r="B35" s="69" t="s">
        <v>64</v>
      </c>
      <c r="C35" s="53" t="s">
        <v>562</v>
      </c>
      <c r="D35" s="69" t="s">
        <v>576</v>
      </c>
      <c r="E35" s="53" t="s">
        <v>579</v>
      </c>
      <c r="F35" s="70">
        <v>43930</v>
      </c>
      <c r="G35" s="54">
        <v>43110</v>
      </c>
      <c r="H35" s="53"/>
      <c r="I35" s="82">
        <v>100000</v>
      </c>
      <c r="J35" s="82">
        <v>81518.62</v>
      </c>
      <c r="K35" s="89">
        <v>0.81518619999999997</v>
      </c>
    </row>
    <row r="36" spans="1:11">
      <c r="A36" s="64" t="s">
        <v>154</v>
      </c>
      <c r="B36" s="65" t="s">
        <v>58</v>
      </c>
      <c r="C36" s="56" t="s">
        <v>562</v>
      </c>
      <c r="D36" s="65" t="s">
        <v>155</v>
      </c>
      <c r="E36" s="56" t="s">
        <v>156</v>
      </c>
      <c r="F36" s="66">
        <v>43131</v>
      </c>
      <c r="G36" s="57">
        <v>43221</v>
      </c>
      <c r="H36" s="56"/>
      <c r="I36" s="86">
        <v>9000000</v>
      </c>
      <c r="J36" s="86">
        <v>6843282.6900000004</v>
      </c>
      <c r="K36" s="88">
        <v>0.76036474333333337</v>
      </c>
    </row>
    <row r="37" spans="1:11">
      <c r="A37" s="68" t="s">
        <v>282</v>
      </c>
      <c r="B37" s="69" t="s">
        <v>24</v>
      </c>
      <c r="C37" s="53" t="s">
        <v>562</v>
      </c>
      <c r="D37" s="69" t="s">
        <v>283</v>
      </c>
      <c r="E37" s="53" t="s">
        <v>36</v>
      </c>
      <c r="F37" s="70">
        <v>43069</v>
      </c>
      <c r="G37" s="54">
        <v>42917</v>
      </c>
      <c r="H37" s="53"/>
      <c r="I37" s="82">
        <v>1000000</v>
      </c>
      <c r="J37" s="82">
        <v>923554.57</v>
      </c>
      <c r="K37" s="89">
        <v>0.92355456999999996</v>
      </c>
    </row>
    <row r="38" spans="1:11">
      <c r="A38" s="64" t="s">
        <v>219</v>
      </c>
      <c r="B38" s="65" t="s">
        <v>7</v>
      </c>
      <c r="C38" s="56" t="s">
        <v>562</v>
      </c>
      <c r="D38" s="65" t="s">
        <v>220</v>
      </c>
      <c r="E38" s="56" t="s">
        <v>221</v>
      </c>
      <c r="F38" s="66">
        <v>42947</v>
      </c>
      <c r="G38" s="57">
        <v>43160</v>
      </c>
      <c r="H38" s="56"/>
      <c r="I38" s="86">
        <v>266375</v>
      </c>
      <c r="J38" s="86">
        <v>205721.87</v>
      </c>
      <c r="K38" s="88">
        <v>0.7723017175035195</v>
      </c>
    </row>
    <row r="39" spans="1:11">
      <c r="A39" s="68" t="s">
        <v>145</v>
      </c>
      <c r="B39" s="69" t="s">
        <v>7</v>
      </c>
      <c r="C39" s="53" t="s">
        <v>562</v>
      </c>
      <c r="D39" s="69" t="s">
        <v>146</v>
      </c>
      <c r="E39" s="53" t="s">
        <v>147</v>
      </c>
      <c r="F39" s="70">
        <v>42980</v>
      </c>
      <c r="G39" s="54">
        <v>42950</v>
      </c>
      <c r="H39" s="53"/>
      <c r="I39" s="82">
        <v>650000</v>
      </c>
      <c r="J39" s="82">
        <v>508959.52</v>
      </c>
      <c r="K39" s="89">
        <v>0.92538094545454552</v>
      </c>
    </row>
    <row r="40" spans="1:11">
      <c r="A40" s="64" t="s">
        <v>78</v>
      </c>
      <c r="B40" s="65" t="s">
        <v>58</v>
      </c>
      <c r="C40" s="56" t="s">
        <v>562</v>
      </c>
      <c r="D40" s="65" t="s">
        <v>79</v>
      </c>
      <c r="E40" s="56" t="s">
        <v>80</v>
      </c>
      <c r="F40" s="66">
        <v>43008</v>
      </c>
      <c r="G40" s="57">
        <v>43101</v>
      </c>
      <c r="H40" s="56"/>
      <c r="I40" s="86">
        <v>4200000</v>
      </c>
      <c r="J40" s="86">
        <v>3647619.82</v>
      </c>
      <c r="K40" s="88">
        <v>0.86848090952380952</v>
      </c>
    </row>
    <row r="41" spans="1:11">
      <c r="A41" s="68" t="s">
        <v>256</v>
      </c>
      <c r="B41" s="69" t="s">
        <v>7</v>
      </c>
      <c r="C41" s="53" t="s">
        <v>562</v>
      </c>
      <c r="D41" s="69" t="s">
        <v>257</v>
      </c>
      <c r="E41" s="53" t="s">
        <v>258</v>
      </c>
      <c r="F41" s="70">
        <v>43015</v>
      </c>
      <c r="G41" s="54">
        <v>42863</v>
      </c>
      <c r="H41" s="53"/>
      <c r="I41" s="82">
        <v>610000</v>
      </c>
      <c r="J41" s="82">
        <v>496591.77</v>
      </c>
      <c r="K41" s="89">
        <v>0.99318354000000009</v>
      </c>
    </row>
    <row r="42" spans="1:11">
      <c r="A42" s="64" t="s">
        <v>84</v>
      </c>
      <c r="B42" s="65" t="s">
        <v>58</v>
      </c>
      <c r="C42" s="56" t="s">
        <v>562</v>
      </c>
      <c r="D42" s="65" t="s">
        <v>82</v>
      </c>
      <c r="E42" s="56" t="s">
        <v>85</v>
      </c>
      <c r="F42" s="66">
        <v>43039</v>
      </c>
      <c r="G42" s="57">
        <v>43101</v>
      </c>
      <c r="H42" s="56"/>
      <c r="I42" s="86">
        <v>3350000</v>
      </c>
      <c r="J42" s="86">
        <v>2901946.97</v>
      </c>
      <c r="K42" s="88">
        <v>0.86625282686567173</v>
      </c>
    </row>
    <row r="43" spans="1:11">
      <c r="A43" s="90"/>
      <c r="B43" s="91"/>
      <c r="C43" s="92"/>
      <c r="D43" s="91"/>
      <c r="E43" s="92"/>
      <c r="F43" s="93"/>
      <c r="G43" s="94"/>
      <c r="H43" s="92"/>
      <c r="I43" s="95"/>
      <c r="J43" s="95"/>
      <c r="K43" s="96"/>
    </row>
    <row r="44" spans="1:11">
      <c r="A44" s="68" t="s">
        <v>266</v>
      </c>
      <c r="B44" s="69" t="s">
        <v>7</v>
      </c>
      <c r="C44" s="53" t="s">
        <v>562</v>
      </c>
      <c r="D44" s="69" t="s">
        <v>267</v>
      </c>
      <c r="E44" s="53" t="s">
        <v>268</v>
      </c>
      <c r="F44" s="70">
        <v>43030</v>
      </c>
      <c r="G44" s="54">
        <v>42878</v>
      </c>
      <c r="H44" s="53"/>
      <c r="I44" s="82">
        <v>200000</v>
      </c>
      <c r="J44" s="82">
        <v>129788.44</v>
      </c>
      <c r="K44" s="89">
        <v>0.96139585185185183</v>
      </c>
    </row>
    <row r="45" spans="1:11">
      <c r="A45" s="68"/>
      <c r="B45" s="69"/>
      <c r="C45" s="53"/>
      <c r="D45" s="69"/>
      <c r="E45" s="53"/>
      <c r="F45" s="70"/>
      <c r="G45" s="54"/>
      <c r="H45" s="53"/>
      <c r="I45" s="82"/>
      <c r="J45" s="82"/>
      <c r="K45" s="89"/>
    </row>
    <row r="46" spans="1:11">
      <c r="A46" s="64" t="s">
        <v>55</v>
      </c>
      <c r="B46" s="65" t="s">
        <v>7</v>
      </c>
      <c r="C46" s="56" t="s">
        <v>562</v>
      </c>
      <c r="D46" s="65" t="s">
        <v>56</v>
      </c>
      <c r="E46" s="56" t="s">
        <v>38</v>
      </c>
      <c r="F46" s="66">
        <v>42916</v>
      </c>
      <c r="G46" s="57">
        <v>43132</v>
      </c>
      <c r="H46" s="56"/>
      <c r="I46" s="86">
        <v>6045000</v>
      </c>
      <c r="J46" s="86">
        <v>5280662.29</v>
      </c>
      <c r="K46" s="88">
        <v>0.87355869148056242</v>
      </c>
    </row>
    <row r="47" spans="1:11">
      <c r="A47" s="90"/>
      <c r="B47" s="91"/>
      <c r="C47" s="92"/>
      <c r="D47" s="91"/>
      <c r="E47" s="92"/>
      <c r="F47" s="93"/>
      <c r="G47" s="94"/>
      <c r="H47" s="92"/>
      <c r="I47" s="95"/>
      <c r="J47" s="95"/>
      <c r="K47" s="96"/>
    </row>
    <row r="48" spans="1:11">
      <c r="A48" s="68" t="s">
        <v>630</v>
      </c>
      <c r="B48" s="69" t="s">
        <v>48</v>
      </c>
      <c r="C48" s="53" t="s">
        <v>562</v>
      </c>
      <c r="D48" s="69" t="s">
        <v>628</v>
      </c>
      <c r="E48" s="53" t="s">
        <v>364</v>
      </c>
      <c r="F48" s="70">
        <v>43008</v>
      </c>
      <c r="G48" s="54">
        <v>42887</v>
      </c>
      <c r="H48" s="53"/>
      <c r="I48" s="71">
        <v>2851000</v>
      </c>
      <c r="J48" s="71">
        <v>2747267.31</v>
      </c>
      <c r="K48" s="84">
        <v>0.96361533146264466</v>
      </c>
    </row>
    <row r="49" spans="1:12">
      <c r="A49" s="64" t="s">
        <v>627</v>
      </c>
      <c r="B49" s="65" t="s">
        <v>48</v>
      </c>
      <c r="C49" s="56" t="s">
        <v>562</v>
      </c>
      <c r="D49" s="65" t="s">
        <v>628</v>
      </c>
      <c r="E49" s="56" t="s">
        <v>629</v>
      </c>
      <c r="F49" s="66">
        <v>43008</v>
      </c>
      <c r="G49" s="57">
        <v>43191</v>
      </c>
      <c r="H49" s="56"/>
      <c r="I49" s="67">
        <v>2625000</v>
      </c>
      <c r="J49" s="67">
        <v>2091240.28</v>
      </c>
      <c r="K49" s="83">
        <v>0.79666296380952384</v>
      </c>
    </row>
    <row r="50" spans="1:12">
      <c r="A50" s="90"/>
      <c r="B50" s="91"/>
      <c r="C50" s="92"/>
      <c r="D50" s="91"/>
      <c r="E50" s="92"/>
      <c r="F50" s="93"/>
      <c r="G50" s="94"/>
      <c r="H50" s="92"/>
      <c r="I50" s="95">
        <f>SUM(I48:I49)</f>
        <v>5476000</v>
      </c>
      <c r="J50" s="95">
        <f>SUM(J48:J49)</f>
        <v>4838507.59</v>
      </c>
      <c r="K50" s="97">
        <f>J50/I50</f>
        <v>0.88358429327976618</v>
      </c>
    </row>
    <row r="51" spans="1:12">
      <c r="A51" s="90"/>
      <c r="B51" s="91"/>
      <c r="C51" s="92"/>
      <c r="D51" s="91"/>
      <c r="E51" s="92"/>
      <c r="F51" s="93"/>
      <c r="G51" s="94"/>
      <c r="H51" s="92"/>
      <c r="I51" s="98"/>
      <c r="J51" s="98"/>
      <c r="K51" s="99"/>
    </row>
    <row r="52" spans="1:12">
      <c r="A52" s="68" t="s">
        <v>196</v>
      </c>
      <c r="B52" s="69" t="s">
        <v>7</v>
      </c>
      <c r="C52" s="53" t="s">
        <v>562</v>
      </c>
      <c r="D52" s="69" t="s">
        <v>197</v>
      </c>
      <c r="E52" s="53" t="s">
        <v>198</v>
      </c>
      <c r="F52" s="70">
        <v>42886</v>
      </c>
      <c r="G52" s="54">
        <v>42856</v>
      </c>
      <c r="H52" s="53"/>
      <c r="I52" s="82">
        <v>72000</v>
      </c>
      <c r="J52" s="82">
        <v>71473.41</v>
      </c>
      <c r="K52" s="85">
        <v>0.9926862500000001</v>
      </c>
    </row>
    <row r="53" spans="1:12">
      <c r="A53" s="68"/>
      <c r="B53" s="69"/>
      <c r="C53" s="53"/>
      <c r="D53" s="69"/>
      <c r="E53" s="53"/>
      <c r="F53" s="70"/>
      <c r="G53" s="54"/>
      <c r="H53" s="53"/>
      <c r="I53" s="82"/>
      <c r="J53" s="82"/>
      <c r="K53" s="85"/>
    </row>
    <row r="54" spans="1:12">
      <c r="A54" s="64" t="s">
        <v>47</v>
      </c>
      <c r="B54" s="65" t="s">
        <v>48</v>
      </c>
      <c r="C54" s="56" t="s">
        <v>562</v>
      </c>
      <c r="D54" s="65" t="s">
        <v>49</v>
      </c>
      <c r="E54" s="56" t="s">
        <v>50</v>
      </c>
      <c r="F54" s="66">
        <v>42978</v>
      </c>
      <c r="G54" s="57">
        <v>43374</v>
      </c>
      <c r="H54" s="56"/>
      <c r="I54" s="86">
        <v>235000</v>
      </c>
      <c r="J54" s="86">
        <v>186966.88</v>
      </c>
      <c r="K54" s="87">
        <v>0.79560374468085104</v>
      </c>
    </row>
    <row r="55" spans="1:12">
      <c r="A55" s="90"/>
      <c r="B55" s="91"/>
      <c r="C55" s="92"/>
      <c r="D55" s="91"/>
      <c r="E55" s="92"/>
      <c r="F55" s="93"/>
      <c r="G55" s="94"/>
      <c r="H55" s="92"/>
      <c r="I55" s="95"/>
      <c r="J55" s="95"/>
      <c r="K55" s="97"/>
    </row>
    <row r="56" spans="1:12">
      <c r="A56" s="68" t="s">
        <v>358</v>
      </c>
      <c r="B56" s="69" t="s">
        <v>24</v>
      </c>
      <c r="C56" s="53" t="s">
        <v>562</v>
      </c>
      <c r="D56" s="69" t="s">
        <v>359</v>
      </c>
      <c r="E56" s="53" t="s">
        <v>360</v>
      </c>
      <c r="F56" s="70">
        <v>43434</v>
      </c>
      <c r="G56" s="54">
        <v>43009</v>
      </c>
      <c r="H56" s="53"/>
      <c r="I56" s="82">
        <v>125000</v>
      </c>
      <c r="J56" s="82">
        <v>94776.56</v>
      </c>
      <c r="K56" s="85">
        <v>0.75821247999999997</v>
      </c>
    </row>
    <row r="57" spans="1:12">
      <c r="A57" s="64" t="s">
        <v>86</v>
      </c>
      <c r="B57" s="65" t="s">
        <v>24</v>
      </c>
      <c r="C57" s="56" t="s">
        <v>562</v>
      </c>
      <c r="D57" s="65" t="s">
        <v>87</v>
      </c>
      <c r="E57" s="56" t="s">
        <v>88</v>
      </c>
      <c r="F57" s="66">
        <v>43100</v>
      </c>
      <c r="G57" s="57">
        <v>43221</v>
      </c>
      <c r="H57" s="56"/>
      <c r="I57" s="86">
        <v>575000</v>
      </c>
      <c r="J57" s="86">
        <v>466134.59</v>
      </c>
      <c r="K57" s="87">
        <v>0.81066885217391305</v>
      </c>
    </row>
    <row r="58" spans="1:12">
      <c r="A58" s="68" t="s">
        <v>655</v>
      </c>
      <c r="B58" s="69" t="s">
        <v>64</v>
      </c>
      <c r="C58" s="53" t="s">
        <v>562</v>
      </c>
      <c r="D58" s="69" t="s">
        <v>656</v>
      </c>
      <c r="E58" s="53" t="s">
        <v>190</v>
      </c>
      <c r="F58" s="70">
        <v>43158</v>
      </c>
      <c r="G58" s="54">
        <v>43067</v>
      </c>
      <c r="H58" s="53"/>
      <c r="I58" s="82">
        <v>1050000</v>
      </c>
      <c r="J58" s="82">
        <v>881378.7</v>
      </c>
      <c r="K58" s="85">
        <v>0.83940828571428572</v>
      </c>
    </row>
    <row r="60" spans="1:12">
      <c r="A60" s="100" t="s">
        <v>801</v>
      </c>
    </row>
    <row r="61" spans="1:12">
      <c r="A61" s="55" t="s">
        <v>471</v>
      </c>
      <c r="B61" s="56" t="s">
        <v>7</v>
      </c>
      <c r="C61" s="56" t="s">
        <v>472</v>
      </c>
      <c r="D61" s="56" t="s">
        <v>473</v>
      </c>
      <c r="E61" s="57">
        <v>43119</v>
      </c>
      <c r="F61" s="56" t="s">
        <v>562</v>
      </c>
      <c r="G61" s="56" t="s">
        <v>802</v>
      </c>
      <c r="H61" s="57">
        <v>42906</v>
      </c>
      <c r="I61" s="77">
        <v>38000</v>
      </c>
      <c r="J61" s="77">
        <v>27853.67</v>
      </c>
      <c r="K61" s="79">
        <v>0.73299131578947363</v>
      </c>
      <c r="L61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Expiring No Options</vt:lpstr>
      <vt:lpstr>Expiring Options</vt:lpstr>
      <vt:lpstr>Spending</vt:lpstr>
      <vt:lpstr>pivot</vt:lpstr>
      <vt:lpstr>master</vt:lpstr>
      <vt:lpstr>expiring</vt:lpstr>
      <vt:lpstr>spending limit</vt:lpstr>
      <vt:lpstr>Fleet Spending</vt:lpstr>
      <vt:lpstr>high burn rate contracts</vt:lpstr>
    </vt:vector>
  </TitlesOfParts>
  <Company>City of Baltimore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Renee B.</dc:creator>
  <cp:lastModifiedBy>Parrish, Troy</cp:lastModifiedBy>
  <cp:lastPrinted>2017-05-17T16:54:53Z</cp:lastPrinted>
  <dcterms:created xsi:type="dcterms:W3CDTF">2017-05-05T14:20:03Z</dcterms:created>
  <dcterms:modified xsi:type="dcterms:W3CDTF">2017-12-14T16:44:35Z</dcterms:modified>
</cp:coreProperties>
</file>