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Pernata\UNIVER\M1_Diderot\M1_Projet_Long\"/>
    </mc:Choice>
  </mc:AlternateContent>
  <bookViews>
    <workbookView xWindow="0" yWindow="0" windowWidth="19170" windowHeight="5250" activeTab="1"/>
  </bookViews>
  <sheets>
    <sheet name="Solenoids" sheetId="2" r:id="rId1"/>
    <sheet name="Calibration" sheetId="3" r:id="rId2"/>
    <sheet name="Connections" sheetId="4" r:id="rId3"/>
    <sheet name="Electric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3" l="1"/>
  <c r="G6" i="3"/>
  <c r="D6" i="3"/>
  <c r="B7" i="3"/>
  <c r="E2" i="3"/>
  <c r="O16" i="3" l="1"/>
  <c r="E6" i="3"/>
  <c r="G26" i="2"/>
  <c r="K27" i="2"/>
  <c r="P29" i="2"/>
  <c r="O29" i="2"/>
  <c r="N29" i="2"/>
  <c r="L29" i="2"/>
  <c r="K29" i="2"/>
  <c r="I29" i="2"/>
  <c r="P28" i="2"/>
  <c r="O28" i="2"/>
  <c r="M28" i="2"/>
  <c r="L28" i="2"/>
  <c r="J28" i="2"/>
  <c r="H28" i="2"/>
  <c r="P27" i="2"/>
  <c r="N27" i="2"/>
  <c r="M27" i="2"/>
  <c r="J27" i="2"/>
  <c r="G27" i="2"/>
  <c r="O26" i="2"/>
  <c r="N26" i="2"/>
  <c r="M26" i="2"/>
  <c r="I26" i="2"/>
  <c r="H26" i="2"/>
  <c r="Q29" i="2"/>
  <c r="Q28" i="2"/>
  <c r="Q27" i="2"/>
  <c r="Q26" i="2"/>
  <c r="O6" i="3" l="1"/>
  <c r="K6" i="3"/>
  <c r="K2" i="3" s="1"/>
  <c r="G2" i="3"/>
  <c r="M6" i="3"/>
  <c r="M2" i="3" s="1"/>
  <c r="I2" i="3"/>
  <c r="Q10" i="2"/>
  <c r="Q8" i="2"/>
  <c r="G4" i="2"/>
  <c r="G5" i="2"/>
  <c r="E20" i="2"/>
  <c r="D20" i="2"/>
  <c r="C20" i="2"/>
  <c r="E19" i="2"/>
  <c r="D19" i="2"/>
  <c r="C19" i="2"/>
  <c r="C21" i="2"/>
  <c r="D21" i="2"/>
  <c r="E21" i="2"/>
  <c r="C22" i="2"/>
  <c r="D22" i="2"/>
  <c r="E22" i="2"/>
  <c r="F17" i="2"/>
  <c r="F16" i="2"/>
  <c r="F15" i="2"/>
  <c r="F14" i="2"/>
  <c r="E17" i="2"/>
  <c r="E16" i="2"/>
  <c r="E15" i="2"/>
  <c r="E14" i="2"/>
  <c r="D17" i="2"/>
  <c r="D16" i="2"/>
  <c r="D15" i="2"/>
  <c r="D14" i="2"/>
  <c r="C17" i="2"/>
  <c r="C16" i="2"/>
  <c r="C15" i="2"/>
  <c r="C14" i="2"/>
  <c r="M16" i="2"/>
  <c r="O17" i="2"/>
  <c r="O16" i="2"/>
  <c r="O14" i="2"/>
  <c r="N17" i="2"/>
  <c r="N15" i="2"/>
  <c r="N14" i="2"/>
  <c r="P17" i="2"/>
  <c r="P16" i="2"/>
  <c r="P15" i="2"/>
  <c r="L17" i="2"/>
  <c r="L16" i="2"/>
  <c r="K17" i="2"/>
  <c r="K15" i="2"/>
  <c r="J16" i="2"/>
  <c r="J15" i="2"/>
  <c r="I17" i="2"/>
  <c r="I14" i="2"/>
  <c r="H16" i="2"/>
  <c r="H14" i="2"/>
  <c r="Q17" i="2"/>
  <c r="Q16" i="2"/>
  <c r="Q14" i="2"/>
  <c r="E8" i="2"/>
  <c r="M15" i="2"/>
  <c r="M14" i="2"/>
  <c r="G15" i="2"/>
  <c r="G14" i="2"/>
  <c r="D8" i="2"/>
  <c r="Q15" i="2"/>
  <c r="O2" i="3" l="1"/>
  <c r="Q6" i="3"/>
  <c r="Q9" i="2"/>
  <c r="Q4" i="2"/>
  <c r="F12" i="1"/>
  <c r="E12" i="1"/>
  <c r="L8" i="2"/>
  <c r="L9" i="2" s="1"/>
  <c r="L10" i="2" s="1"/>
  <c r="L4" i="2"/>
  <c r="L5" i="2" s="1"/>
  <c r="L6" i="2" s="1"/>
  <c r="P8" i="2"/>
  <c r="P9" i="2" s="1"/>
  <c r="P10" i="2" s="1"/>
  <c r="P4" i="2"/>
  <c r="P5" i="2" s="1"/>
  <c r="P6" i="2" s="1"/>
  <c r="M8" i="2"/>
  <c r="M9" i="2" s="1"/>
  <c r="M10" i="2" s="1"/>
  <c r="M4" i="2"/>
  <c r="M5" i="2" s="1"/>
  <c r="M6" i="2" s="1"/>
  <c r="Q5" i="2"/>
  <c r="Q6" i="2" s="1"/>
  <c r="K8" i="2"/>
  <c r="K9" i="2" s="1"/>
  <c r="K10" i="2" s="1"/>
  <c r="J8" i="2"/>
  <c r="J9" i="2" s="1"/>
  <c r="J10" i="2" s="1"/>
  <c r="I8" i="2"/>
  <c r="I9" i="2" s="1"/>
  <c r="I10" i="2" s="1"/>
  <c r="K4" i="2"/>
  <c r="K5" i="2" s="1"/>
  <c r="K6" i="2" s="1"/>
  <c r="J4" i="2"/>
  <c r="J5" i="2" s="1"/>
  <c r="J6" i="2" s="1"/>
  <c r="I4" i="2"/>
  <c r="I5" i="2" s="1"/>
  <c r="I6" i="2" s="1"/>
  <c r="H8" i="2"/>
  <c r="H9" i="2" s="1"/>
  <c r="H10" i="2" s="1"/>
  <c r="H4" i="2"/>
  <c r="H5" i="2" s="1"/>
  <c r="H6" i="2" s="1"/>
  <c r="O8" i="2"/>
  <c r="O9" i="2" s="1"/>
  <c r="O10" i="2" s="1"/>
  <c r="O4" i="2"/>
  <c r="O5" i="2" s="1"/>
  <c r="O6" i="2" s="1"/>
  <c r="N8" i="2"/>
  <c r="N9" i="2" s="1"/>
  <c r="N10" i="2" s="1"/>
  <c r="N4" i="2"/>
  <c r="N5" i="2" s="1"/>
  <c r="N6" i="2" s="1"/>
  <c r="D4" i="2"/>
  <c r="F4" i="2"/>
  <c r="C8" i="2"/>
  <c r="C4" i="2"/>
  <c r="F8" i="2"/>
  <c r="E4" i="2"/>
  <c r="F9" i="2" l="1"/>
  <c r="F10" i="2" s="1"/>
  <c r="E9" i="2"/>
  <c r="E10" i="2" s="1"/>
  <c r="F5" i="2"/>
  <c r="F6" i="2" s="1"/>
  <c r="E5" i="2"/>
  <c r="E6" i="2" s="1"/>
  <c r="C9" i="2" l="1"/>
  <c r="C10" i="2" s="1"/>
  <c r="C5" i="2"/>
  <c r="C6" i="2" s="1"/>
  <c r="D5" i="2"/>
  <c r="D6" i="2" s="1"/>
  <c r="D9" i="2"/>
  <c r="D10" i="2" s="1"/>
  <c r="G8" i="2"/>
  <c r="G9" i="2" s="1"/>
  <c r="G10" i="2" s="1"/>
  <c r="G6" i="2"/>
  <c r="F6" i="1" l="1"/>
  <c r="F4" i="1" l="1"/>
  <c r="F7" i="1"/>
  <c r="F8" i="1"/>
</calcChain>
</file>

<file path=xl/comments1.xml><?xml version="1.0" encoding="utf-8"?>
<comments xmlns="http://schemas.openxmlformats.org/spreadsheetml/2006/main">
  <authors>
    <author>pernata</author>
  </authors>
  <commentList>
    <comment ref="E6" authorId="0" shapeId="0">
      <text>
        <r>
          <rPr>
            <b/>
            <sz val="9"/>
            <color indexed="81"/>
            <rFont val="Tahoma"/>
            <charset val="1"/>
          </rPr>
          <t>&lt;320mA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  <charset val="204"/>
          </rPr>
          <t>5mA</t>
        </r>
      </text>
    </comment>
    <comment ref="E8" authorId="0" shapeId="0">
      <text>
        <r>
          <rPr>
            <b/>
            <sz val="9"/>
            <color indexed="81"/>
            <rFont val="Tahoma"/>
            <charset val="1"/>
          </rPr>
          <t>• 500 μA max. active current at 5V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<sst xmlns="http://schemas.openxmlformats.org/spreadsheetml/2006/main" count="137" uniqueCount="102">
  <si>
    <t>Raspberry</t>
  </si>
  <si>
    <t>количество</t>
  </si>
  <si>
    <t>Соленоид</t>
  </si>
  <si>
    <t>Датчик влажности</t>
  </si>
  <si>
    <t>Конвертер</t>
  </si>
  <si>
    <t>Насос</t>
  </si>
  <si>
    <t>напряжение, V</t>
  </si>
  <si>
    <t>сила тока, А</t>
  </si>
  <si>
    <t>мощность,W</t>
  </si>
  <si>
    <t>5 nA typical standby current, 2 μA max.</t>
  </si>
  <si>
    <t>• 500 μA max. active current at 5V</t>
  </si>
  <si>
    <t>15 – 24</t>
  </si>
  <si>
    <t>Raspberry Pi 4 Model B</t>
  </si>
  <si>
    <t>Recommended PSU current capacity</t>
  </si>
  <si>
    <t>Maximum total USB peripheral current draw</t>
  </si>
  <si>
    <t>Typical bare-board active current consumption</t>
  </si>
  <si>
    <t>3.0A</t>
  </si>
  <si>
    <t>1.2A</t>
  </si>
  <si>
    <t>600mA</t>
  </si>
  <si>
    <t>Параллельное подключение</t>
  </si>
  <si>
    <t>5.1V / 3.0A DC output</t>
  </si>
  <si>
    <t>Raspberry Pi 15W USB-C Power Supply</t>
  </si>
  <si>
    <t>max 50 мА для 3,3V</t>
  </si>
  <si>
    <t>max 500мА для 5V</t>
  </si>
  <si>
    <t>На пинах Расбери</t>
  </si>
  <si>
    <t>Cable colors</t>
  </si>
  <si>
    <t>green</t>
  </si>
  <si>
    <t>yellow</t>
  </si>
  <si>
    <t>red</t>
  </si>
  <si>
    <t>orange</t>
  </si>
  <si>
    <t>brown</t>
  </si>
  <si>
    <t>black</t>
  </si>
  <si>
    <t>white</t>
  </si>
  <si>
    <t>gray</t>
  </si>
  <si>
    <t>Relays channels</t>
  </si>
  <si>
    <t>Device</t>
  </si>
  <si>
    <t>Pinouts - GPIO</t>
  </si>
  <si>
    <t>Pump</t>
  </si>
  <si>
    <t>MCP3008 - channels</t>
  </si>
  <si>
    <t>SOL0</t>
  </si>
  <si>
    <t>SOL1</t>
  </si>
  <si>
    <t>SOL2</t>
  </si>
  <si>
    <t>SOL3</t>
  </si>
  <si>
    <t>Sensor_0</t>
  </si>
  <si>
    <t>Sensor_1</t>
  </si>
  <si>
    <t>Sensor_2</t>
  </si>
  <si>
    <t>Sensor_3</t>
  </si>
  <si>
    <t>sol0</t>
  </si>
  <si>
    <t>sol1</t>
  </si>
  <si>
    <t>sol0+sol1</t>
  </si>
  <si>
    <t>sol2</t>
  </si>
  <si>
    <t>sol3</t>
  </si>
  <si>
    <t>sol0+sol2</t>
  </si>
  <si>
    <t>sol0+sol3</t>
  </si>
  <si>
    <t>sol1+sol2</t>
  </si>
  <si>
    <t>sol1+sol3</t>
  </si>
  <si>
    <t>sol2+sol3</t>
  </si>
  <si>
    <t>sol0+sol1+sol2</t>
  </si>
  <si>
    <t>sol0+sol1+sol3</t>
  </si>
  <si>
    <t>sol1+sol2+sol3</t>
  </si>
  <si>
    <t>sol0+sol2+sol3</t>
  </si>
  <si>
    <t>sol0+sol1+sol2+sol3</t>
  </si>
  <si>
    <t>10 sec</t>
  </si>
  <si>
    <t>20 sec</t>
  </si>
  <si>
    <t>singles</t>
  </si>
  <si>
    <t>mid if 3</t>
  </si>
  <si>
    <t>mid if 2</t>
  </si>
  <si>
    <t xml:space="preserve"> if 4</t>
  </si>
  <si>
    <t>rate of change</t>
  </si>
  <si>
    <t>Rate of flow total, ml</t>
  </si>
  <si>
    <t>Rate of flow/solenoid, ml/10s</t>
  </si>
  <si>
    <t>Rate of flow/solenoid/s, ml/s</t>
  </si>
  <si>
    <t>Weight of beaker, g</t>
  </si>
  <si>
    <t>Number of actif solenoids</t>
  </si>
  <si>
    <t>Hose 2cm full</t>
  </si>
  <si>
    <t>Duration of measurement  = 20 s</t>
  </si>
  <si>
    <t>Duration of measurement = 10 s</t>
  </si>
  <si>
    <t>10 sec  measurements</t>
  </si>
  <si>
    <t>20 sec measurements</t>
  </si>
  <si>
    <t>10s measurements</t>
  </si>
  <si>
    <t>20s measurements</t>
  </si>
  <si>
    <t>Weight sol</t>
  </si>
  <si>
    <t>Weight water max</t>
  </si>
  <si>
    <t>water 30%</t>
  </si>
  <si>
    <t>Weight soil</t>
  </si>
  <si>
    <t>water 10%</t>
  </si>
  <si>
    <t>water 50%</t>
  </si>
  <si>
    <t>water 70%</t>
  </si>
  <si>
    <t xml:space="preserve"> water 100%</t>
  </si>
  <si>
    <t>Sensor value 10%</t>
  </si>
  <si>
    <t>Sensor value 30%</t>
  </si>
  <si>
    <t>Sensor value 50%</t>
  </si>
  <si>
    <t>Sensor value 70%</t>
  </si>
  <si>
    <t>Sensor value 100%</t>
  </si>
  <si>
    <t>Sensor value 0%</t>
  </si>
  <si>
    <t>water 0%</t>
  </si>
  <si>
    <t>+10%</t>
  </si>
  <si>
    <t>+20%</t>
  </si>
  <si>
    <t>+30%</t>
  </si>
  <si>
    <t>control</t>
  </si>
  <si>
    <t>Duration work valves, s</t>
  </si>
  <si>
    <t>Water max/soil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</si>
</sst>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"/>
      <color indexed="81"/>
      <name val="Tahoma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rgb="FF0033CC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4"/>
      <color rgb="FFFF0000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59999389629810485"/>
        <bgColor indexed="65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9" fontId="8" fillId="0" borderId="0" applyFont="0" applyFill="0" applyBorder="0" applyAlignment="0" applyProtection="0"/>
    <xf numFmtId="0" fontId="9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</cellStyleXfs>
  <cellXfs count="61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right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7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6" fillId="0" borderId="4" xfId="0" applyFont="1" applyBorder="1"/>
    <xf numFmtId="0" fontId="6" fillId="0" borderId="0" xfId="0" applyFont="1" applyBorder="1"/>
    <xf numFmtId="0" fontId="6" fillId="0" borderId="5" xfId="0" applyFont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6" fillId="0" borderId="9" xfId="0" applyFont="1" applyBorder="1" applyAlignment="1">
      <alignment horizontal="center"/>
    </xf>
    <xf numFmtId="0" fontId="0" fillId="4" borderId="0" xfId="0" applyFill="1" applyBorder="1"/>
    <xf numFmtId="0" fontId="0" fillId="0" borderId="0" xfId="0" applyFill="1"/>
    <xf numFmtId="0" fontId="6" fillId="0" borderId="0" xfId="0" applyFont="1" applyAlignment="1">
      <alignment horizontal="right"/>
    </xf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5" borderId="10" xfId="0" applyFill="1" applyBorder="1"/>
    <xf numFmtId="0" fontId="0" fillId="5" borderId="0" xfId="0" applyFill="1"/>
    <xf numFmtId="0" fontId="0" fillId="2" borderId="0" xfId="0" applyFill="1"/>
    <xf numFmtId="0" fontId="0" fillId="3" borderId="0" xfId="0" applyFill="1"/>
    <xf numFmtId="0" fontId="0" fillId="6" borderId="0" xfId="0" applyFill="1"/>
    <xf numFmtId="2" fontId="0" fillId="3" borderId="0" xfId="0" applyNumberFormat="1" applyFill="1"/>
    <xf numFmtId="164" fontId="0" fillId="0" borderId="4" xfId="0" applyNumberFormat="1" applyBorder="1"/>
    <xf numFmtId="164" fontId="0" fillId="0" borderId="0" xfId="0" applyNumberFormat="1" applyBorder="1"/>
    <xf numFmtId="0" fontId="0" fillId="8" borderId="1" xfId="3" applyFont="1" applyBorder="1" applyAlignment="1">
      <alignment horizontal="center"/>
    </xf>
    <xf numFmtId="0" fontId="0" fillId="9" borderId="3" xfId="4" applyFont="1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8" fillId="8" borderId="1" xfId="3" applyBorder="1" applyAlignment="1">
      <alignment horizontal="center"/>
    </xf>
    <xf numFmtId="0" fontId="8" fillId="9" borderId="3" xfId="4" applyBorder="1" applyAlignment="1">
      <alignment horizontal="center"/>
    </xf>
    <xf numFmtId="0" fontId="9" fillId="7" borderId="9" xfId="2" applyBorder="1" applyAlignment="1">
      <alignment horizontal="center"/>
    </xf>
    <xf numFmtId="0" fontId="0" fillId="0" borderId="11" xfId="0" applyBorder="1"/>
    <xf numFmtId="0" fontId="0" fillId="0" borderId="10" xfId="0" applyBorder="1"/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6" fillId="0" borderId="0" xfId="0" applyNumberFormat="1" applyFont="1" applyBorder="1"/>
    <xf numFmtId="0" fontId="6" fillId="8" borderId="0" xfId="3" applyFont="1" applyBorder="1"/>
    <xf numFmtId="164" fontId="6" fillId="8" borderId="0" xfId="3" applyNumberFormat="1" applyFont="1" applyBorder="1"/>
    <xf numFmtId="0" fontId="10" fillId="0" borderId="0" xfId="0" applyFont="1"/>
    <xf numFmtId="9" fontId="10" fillId="0" borderId="0" xfId="1" applyFont="1"/>
  </cellXfs>
  <cellStyles count="5">
    <cellStyle name="20% — акцент1" xfId="3" builtinId="30"/>
    <cellStyle name="40% — акцент2" xfId="4" builtinId="35"/>
    <cellStyle name="Обычный" xfId="0" builtinId="0"/>
    <cellStyle name="Процентный" xfId="1" builtinId="5"/>
    <cellStyle name="Хороший" xfId="2" builtinId="26"/>
  </cellStyles>
  <dxfs count="0"/>
  <tableStyles count="0" defaultTableStyle="TableStyleMedium2" defaultPivotStyle="PivotStyleLight16"/>
  <colors>
    <mruColors>
      <color rgb="FF273C18"/>
      <color rgb="FF09D109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baseline="0">
                <a:effectLst/>
              </a:rPr>
              <a:t>Solenoids' r</a:t>
            </a:r>
            <a:r>
              <a:rPr lang="en-US" sz="1400"/>
              <a:t>ate of flow</a:t>
            </a:r>
            <a:r>
              <a:rPr lang="fr-FR" sz="1400" b="0" i="0" u="none" strike="noStrike" baseline="0">
                <a:effectLst/>
              </a:rPr>
              <a:t> </a:t>
            </a:r>
            <a:r>
              <a:rPr lang="fr-FR" sz="1400" b="0" i="0" u="none" strike="noStrike" baseline="0"/>
              <a:t>(ml/s)</a:t>
            </a:r>
            <a:r>
              <a:rPr lang="ru-RU" sz="1400" b="0" i="0" u="none" strike="noStrike" baseline="0"/>
              <a:t> </a:t>
            </a:r>
            <a:r>
              <a:rPr lang="en-US" sz="1400" b="0" i="0" u="none" strike="noStrike" baseline="0"/>
              <a:t> depending on the </a:t>
            </a:r>
            <a:endParaRPr lang="ru-RU" sz="1400" b="0" i="0" u="none" strike="noStrike" baseline="0"/>
          </a:p>
          <a:p>
            <a:pPr>
              <a:defRPr/>
            </a:pPr>
            <a:r>
              <a:rPr lang="en-US" sz="1400" b="0" i="0" u="none" strike="noStrike" baseline="0"/>
              <a:t>number of active solenoids</a:t>
            </a:r>
          </a:p>
          <a:p>
            <a:pPr>
              <a:defRPr/>
            </a:pPr>
            <a:r>
              <a:rPr lang="ru-RU" sz="1400" b="0" i="0" u="none" strike="noStrike" baseline="0"/>
              <a:t>(</a:t>
            </a:r>
            <a:r>
              <a:rPr lang="en-US" sz="1400" b="0" i="0" u="none" strike="noStrike" baseline="0"/>
              <a:t>for 10 second measurements</a:t>
            </a:r>
            <a:r>
              <a:rPr lang="ru-RU" sz="1400" b="0" i="0" u="none" strike="noStrike" baseline="0"/>
              <a:t>)</a:t>
            </a:r>
            <a:r>
              <a:rPr lang="en-US" sz="1400" baseline="0"/>
              <a:t> </a:t>
            </a:r>
            <a:endParaRPr lang="ru-RU" sz="1400"/>
          </a:p>
        </c:rich>
      </c:tx>
      <c:layout>
        <c:manualLayout>
          <c:xMode val="edge"/>
          <c:yMode val="edge"/>
          <c:x val="0.25504020000130234"/>
          <c:y val="1.74843821341513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Solenoids!$C$13</c:f>
              <c:strCache>
                <c:ptCount val="1"/>
                <c:pt idx="0">
                  <c:v>singles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Solenoids!$C$11:$F$11</c:f>
              <c:strCache>
                <c:ptCount val="4"/>
                <c:pt idx="0">
                  <c:v>sol0</c:v>
                </c:pt>
                <c:pt idx="1">
                  <c:v>sol1</c:v>
                </c:pt>
                <c:pt idx="2">
                  <c:v>sol2</c:v>
                </c:pt>
                <c:pt idx="3">
                  <c:v>sol3</c:v>
                </c:pt>
              </c:strCache>
            </c:strRef>
          </c:cat>
          <c:val>
            <c:numRef>
              <c:f>Solenoids!$C$10:$F$10</c:f>
              <c:numCache>
                <c:formatCode>General</c:formatCode>
                <c:ptCount val="4"/>
                <c:pt idx="0">
                  <c:v>4.5999999999999996</c:v>
                </c:pt>
                <c:pt idx="1">
                  <c:v>3.9</c:v>
                </c:pt>
                <c:pt idx="2">
                  <c:v>3.6</c:v>
                </c:pt>
                <c:pt idx="3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25-49E7-BBAD-6AAC5DB50ECB}"/>
            </c:ext>
          </c:extLst>
        </c:ser>
        <c:ser>
          <c:idx val="3"/>
          <c:order val="1"/>
          <c:tx>
            <c:strRef>
              <c:f>Solenoids!$G$11</c:f>
              <c:strCache>
                <c:ptCount val="1"/>
                <c:pt idx="0">
                  <c:v>sol0+sol1</c:v>
                </c:pt>
              </c:strCache>
            </c:strRef>
          </c:tx>
          <c:spPr>
            <a:ln w="28575" cap="rnd">
              <a:solidFill>
                <a:srgbClr val="09D10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9D109"/>
              </a:solidFill>
              <a:ln w="9525">
                <a:solidFill>
                  <a:srgbClr val="09D109"/>
                </a:solidFill>
              </a:ln>
              <a:effectLst/>
            </c:spPr>
          </c:marker>
          <c:val>
            <c:numRef>
              <c:f>Solenoids!$G$14:$G$17</c:f>
              <c:numCache>
                <c:formatCode>General</c:formatCode>
                <c:ptCount val="4"/>
                <c:pt idx="0">
                  <c:v>4.5</c:v>
                </c:pt>
                <c:pt idx="1">
                  <c:v>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00-4111-9287-BF0353EC740B}"/>
            </c:ext>
          </c:extLst>
        </c:ser>
        <c:ser>
          <c:idx val="4"/>
          <c:order val="2"/>
          <c:tx>
            <c:strRef>
              <c:f>Solenoids!$H$11</c:f>
              <c:strCache>
                <c:ptCount val="1"/>
                <c:pt idx="0">
                  <c:v>sol0+sol2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Solenoids!$H$14:$H$17</c:f>
              <c:numCache>
                <c:formatCode>General</c:formatCode>
                <c:ptCount val="4"/>
                <c:pt idx="0">
                  <c:v>4.5999999999999996</c:v>
                </c:pt>
                <c:pt idx="2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00-4111-9287-BF0353EC740B}"/>
            </c:ext>
          </c:extLst>
        </c:ser>
        <c:ser>
          <c:idx val="5"/>
          <c:order val="3"/>
          <c:tx>
            <c:strRef>
              <c:f>Solenoids!$I$11</c:f>
              <c:strCache>
                <c:ptCount val="1"/>
                <c:pt idx="0">
                  <c:v>sol0+sol3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Solenoids!$I$14:$I$17</c:f>
              <c:numCache>
                <c:formatCode>General</c:formatCode>
                <c:ptCount val="4"/>
                <c:pt idx="0">
                  <c:v>4.5999999999999996</c:v>
                </c:pt>
                <c:pt idx="3">
                  <c:v>4.0999999999999996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00-4111-9287-BF0353EC740B}"/>
            </c:ext>
          </c:extLst>
        </c:ser>
        <c:ser>
          <c:idx val="6"/>
          <c:order val="4"/>
          <c:tx>
            <c:strRef>
              <c:f>Solenoids!$J$11</c:f>
              <c:strCache>
                <c:ptCount val="1"/>
                <c:pt idx="0">
                  <c:v>sol1+sol2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val>
            <c:numRef>
              <c:f>Solenoids!$J$14:$J$17</c:f>
              <c:numCache>
                <c:formatCode>General</c:formatCode>
                <c:ptCount val="4"/>
                <c:pt idx="1">
                  <c:v>3.8</c:v>
                </c:pt>
                <c:pt idx="2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00-4111-9287-BF0353EC740B}"/>
            </c:ext>
          </c:extLst>
        </c:ser>
        <c:ser>
          <c:idx val="7"/>
          <c:order val="5"/>
          <c:tx>
            <c:strRef>
              <c:f>Solenoids!$K$11</c:f>
              <c:strCache>
                <c:ptCount val="1"/>
                <c:pt idx="0">
                  <c:v>sol1+sol3</c:v>
                </c:pt>
              </c:strCache>
            </c:strRef>
          </c:tx>
          <c:spPr>
            <a:ln w="28575" cap="rnd">
              <a:solidFill>
                <a:srgbClr val="273C18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273C18"/>
              </a:solidFill>
              <a:ln w="9525">
                <a:solidFill>
                  <a:srgbClr val="273C18"/>
                </a:solidFill>
              </a:ln>
              <a:effectLst/>
            </c:spPr>
          </c:marker>
          <c:val>
            <c:numRef>
              <c:f>Solenoids!$K$14:$K$17</c:f>
              <c:numCache>
                <c:formatCode>General</c:formatCode>
                <c:ptCount val="4"/>
                <c:pt idx="1">
                  <c:v>3.8</c:v>
                </c:pt>
                <c:pt idx="3">
                  <c:v>4.0999999999999996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000-4111-9287-BF0353EC740B}"/>
            </c:ext>
          </c:extLst>
        </c:ser>
        <c:ser>
          <c:idx val="8"/>
          <c:order val="6"/>
          <c:tx>
            <c:strRef>
              <c:f>Solenoids!$L$11</c:f>
              <c:strCache>
                <c:ptCount val="1"/>
                <c:pt idx="0">
                  <c:v>sol2+sol3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Solenoids!$L$14:$L$17</c:f>
              <c:numCache>
                <c:formatCode>General</c:formatCode>
                <c:ptCount val="4"/>
                <c:pt idx="2">
                  <c:v>3.5</c:v>
                </c:pt>
                <c:pt idx="3">
                  <c:v>4.0999999999999996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000-4111-9287-BF0353EC740B}"/>
            </c:ext>
          </c:extLst>
        </c:ser>
        <c:ser>
          <c:idx val="9"/>
          <c:order val="7"/>
          <c:tx>
            <c:strRef>
              <c:f>Solenoids!$M$11</c:f>
              <c:strCache>
                <c:ptCount val="1"/>
                <c:pt idx="0">
                  <c:v>sol0+sol1+sol2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val>
            <c:numRef>
              <c:f>Solenoids!$M$14:$M$17</c:f>
              <c:numCache>
                <c:formatCode>General</c:formatCode>
                <c:ptCount val="4"/>
                <c:pt idx="0">
                  <c:v>4.4000000000000004</c:v>
                </c:pt>
                <c:pt idx="1">
                  <c:v>3.7</c:v>
                </c:pt>
                <c:pt idx="2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000-4111-9287-BF0353EC740B}"/>
            </c:ext>
          </c:extLst>
        </c:ser>
        <c:ser>
          <c:idx val="10"/>
          <c:order val="8"/>
          <c:tx>
            <c:strRef>
              <c:f>Solenoids!$N$11</c:f>
              <c:strCache>
                <c:ptCount val="1"/>
                <c:pt idx="0">
                  <c:v>sol0+sol1+sol3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Solenoids!$N$14:$N$17</c:f>
              <c:numCache>
                <c:formatCode>General</c:formatCode>
                <c:ptCount val="4"/>
                <c:pt idx="0">
                  <c:v>4.5</c:v>
                </c:pt>
                <c:pt idx="1">
                  <c:v>3.7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000-4111-9287-BF0353EC740B}"/>
            </c:ext>
          </c:extLst>
        </c:ser>
        <c:ser>
          <c:idx val="11"/>
          <c:order val="9"/>
          <c:tx>
            <c:strRef>
              <c:f>Solenoids!$O$11</c:f>
              <c:strCache>
                <c:ptCount val="1"/>
                <c:pt idx="0">
                  <c:v>sol0+sol2+sol3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Solenoids!$O$14:$O$17</c:f>
              <c:numCache>
                <c:formatCode>General</c:formatCode>
                <c:ptCount val="4"/>
                <c:pt idx="0">
                  <c:v>4.5999999999999996</c:v>
                </c:pt>
                <c:pt idx="2">
                  <c:v>3.4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000-4111-9287-BF0353EC740B}"/>
            </c:ext>
          </c:extLst>
        </c:ser>
        <c:ser>
          <c:idx val="12"/>
          <c:order val="10"/>
          <c:tx>
            <c:strRef>
              <c:f>Solenoids!$P$11</c:f>
              <c:strCache>
                <c:ptCount val="1"/>
                <c:pt idx="0">
                  <c:v>sol1+sol2+sol3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Solenoids!$P$14:$P$17</c:f>
              <c:numCache>
                <c:formatCode>General</c:formatCode>
                <c:ptCount val="4"/>
                <c:pt idx="1">
                  <c:v>3.8</c:v>
                </c:pt>
                <c:pt idx="2">
                  <c:v>3.4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000-4111-9287-BF0353EC740B}"/>
            </c:ext>
          </c:extLst>
        </c:ser>
        <c:ser>
          <c:idx val="2"/>
          <c:order val="11"/>
          <c:tx>
            <c:strRef>
              <c:f>Solenoids!$Q$11</c:f>
              <c:strCache>
                <c:ptCount val="1"/>
                <c:pt idx="0">
                  <c:v>sol0+sol1+sol2+sol3</c:v>
                </c:pt>
              </c:strCache>
            </c:strRef>
          </c:tx>
          <c:spPr>
            <a:ln w="28575" cap="sq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>
                  <a:alpha val="99000"/>
                </a:srgbClr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Solenoids!$Q$14:$Q$17</c:f>
              <c:numCache>
                <c:formatCode>General</c:formatCode>
                <c:ptCount val="4"/>
                <c:pt idx="0">
                  <c:v>4.4000000000000004</c:v>
                </c:pt>
                <c:pt idx="1">
                  <c:v>3.7</c:v>
                </c:pt>
                <c:pt idx="2">
                  <c:v>3.4</c:v>
                </c:pt>
                <c:pt idx="3">
                  <c:v>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87-4E91-B2E6-30BA9165A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227071"/>
        <c:axId val="1772228319"/>
      </c:lineChart>
      <c:catAx>
        <c:axId val="177222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228319"/>
        <c:crosses val="autoZero"/>
        <c:auto val="1"/>
        <c:lblAlgn val="ctr"/>
        <c:lblOffset val="100"/>
        <c:noMultiLvlLbl val="0"/>
      </c:catAx>
      <c:valAx>
        <c:axId val="1772228319"/>
        <c:scaling>
          <c:orientation val="minMax"/>
          <c:max val="5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22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284090265835658"/>
          <c:y val="0.8262400178701067"/>
          <c:w val="0.80389764770870709"/>
          <c:h val="0.15484745257906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Rate of </a:t>
            </a:r>
            <a:r>
              <a:rPr lang="en-US" sz="1400" b="0" i="0" u="none" strike="noStrike" baseline="0"/>
              <a:t>change of values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ru-RU" sz="1400" b="0" i="0" baseline="0">
                <a:effectLst/>
              </a:rPr>
              <a:t>(</a:t>
            </a:r>
            <a:r>
              <a:rPr lang="en-US" sz="1400" b="0" i="0" baseline="0">
                <a:effectLst/>
              </a:rPr>
              <a:t>for 10 second measurements</a:t>
            </a:r>
            <a:r>
              <a:rPr lang="ru-RU" sz="1400" b="0" i="0" baseline="0">
                <a:effectLst/>
              </a:rPr>
              <a:t>)</a:t>
            </a:r>
            <a:r>
              <a:rPr lang="en-US" sz="1400" b="0" i="0" baseline="0">
                <a:effectLst/>
              </a:rPr>
              <a:t> 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Solenoids!$B$14</c:f>
              <c:strCache>
                <c:ptCount val="1"/>
                <c:pt idx="0">
                  <c:v>sol0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Solenoids!$D$13:$F$13</c:f>
              <c:strCache>
                <c:ptCount val="3"/>
                <c:pt idx="0">
                  <c:v>mid if 2</c:v>
                </c:pt>
                <c:pt idx="1">
                  <c:v>mid if 3</c:v>
                </c:pt>
                <c:pt idx="2">
                  <c:v> if 4</c:v>
                </c:pt>
              </c:strCache>
            </c:strRef>
          </c:cat>
          <c:val>
            <c:numRef>
              <c:f>Solenoids!$C$19:$E$19</c:f>
              <c:numCache>
                <c:formatCode>0.00</c:formatCode>
                <c:ptCount val="3"/>
                <c:pt idx="0">
                  <c:v>3.3333333333333215E-2</c:v>
                </c:pt>
                <c:pt idx="1">
                  <c:v>6.666666666666643E-2</c:v>
                </c:pt>
                <c:pt idx="2">
                  <c:v>9.9999999999999645E-2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4B-406D-87A0-BCC674695733}"/>
            </c:ext>
          </c:extLst>
        </c:ser>
        <c:ser>
          <c:idx val="1"/>
          <c:order val="1"/>
          <c:tx>
            <c:strRef>
              <c:f>Solenoids!$B$15</c:f>
              <c:strCache>
                <c:ptCount val="1"/>
                <c:pt idx="0">
                  <c:v>sol1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Solenoids!$D$13:$F$13</c:f>
              <c:strCache>
                <c:ptCount val="3"/>
                <c:pt idx="0">
                  <c:v>mid if 2</c:v>
                </c:pt>
                <c:pt idx="1">
                  <c:v>mid if 3</c:v>
                </c:pt>
                <c:pt idx="2">
                  <c:v> if 4</c:v>
                </c:pt>
              </c:strCache>
            </c:strRef>
          </c:cat>
          <c:val>
            <c:numRef>
              <c:f>Solenoids!$C$20:$E$20</c:f>
              <c:numCache>
                <c:formatCode>0.00</c:formatCode>
                <c:ptCount val="3"/>
                <c:pt idx="0">
                  <c:v>6.666666666666643E-2</c:v>
                </c:pt>
                <c:pt idx="1">
                  <c:v>0.10000000000000053</c:v>
                </c:pt>
                <c:pt idx="2">
                  <c:v>3.3333333333332771E-2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4B-406D-87A0-BCC674695733}"/>
            </c:ext>
          </c:extLst>
        </c:ser>
        <c:ser>
          <c:idx val="2"/>
          <c:order val="2"/>
          <c:tx>
            <c:strRef>
              <c:f>Solenoids!$B$16</c:f>
              <c:strCache>
                <c:ptCount val="1"/>
                <c:pt idx="0">
                  <c:v>sol2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Solenoids!$D$13:$F$13</c:f>
              <c:strCache>
                <c:ptCount val="3"/>
                <c:pt idx="0">
                  <c:v>mid if 2</c:v>
                </c:pt>
                <c:pt idx="1">
                  <c:v>mid if 3</c:v>
                </c:pt>
                <c:pt idx="2">
                  <c:v> if 4</c:v>
                </c:pt>
              </c:strCache>
            </c:strRef>
          </c:cat>
          <c:val>
            <c:numRef>
              <c:f>Solenoids!$C$21:$E$21</c:f>
              <c:numCache>
                <c:formatCode>0.00</c:formatCode>
                <c:ptCount val="3"/>
                <c:pt idx="0">
                  <c:v>0.16666666666666652</c:v>
                </c:pt>
                <c:pt idx="1">
                  <c:v>3.3333333333333659E-2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4B-406D-87A0-BCC674695733}"/>
            </c:ext>
          </c:extLst>
        </c:ser>
        <c:ser>
          <c:idx val="3"/>
          <c:order val="3"/>
          <c:tx>
            <c:strRef>
              <c:f>Solenoids!$B$17</c:f>
              <c:strCache>
                <c:ptCount val="1"/>
                <c:pt idx="0">
                  <c:v>sol3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Solenoids!$D$13:$F$13</c:f>
              <c:strCache>
                <c:ptCount val="3"/>
                <c:pt idx="0">
                  <c:v>mid if 2</c:v>
                </c:pt>
                <c:pt idx="1">
                  <c:v>mid if 3</c:v>
                </c:pt>
                <c:pt idx="2">
                  <c:v> if 4</c:v>
                </c:pt>
              </c:strCache>
            </c:strRef>
          </c:cat>
          <c:val>
            <c:numRef>
              <c:f>Solenoids!$C$22:$E$22</c:f>
              <c:numCache>
                <c:formatCode>0.00</c:formatCode>
                <c:ptCount val="3"/>
                <c:pt idx="0">
                  <c:v>0.10000000000000053</c:v>
                </c:pt>
                <c:pt idx="1">
                  <c:v>9.9999999999999645E-2</c:v>
                </c:pt>
                <c:pt idx="2">
                  <c:v>0.10000000000000009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4B-406D-87A0-BCC674695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567935"/>
        <c:axId val="657568351"/>
      </c:lineChart>
      <c:catAx>
        <c:axId val="657567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568351"/>
        <c:crosses val="autoZero"/>
        <c:auto val="1"/>
        <c:lblAlgn val="ctr"/>
        <c:lblOffset val="100"/>
        <c:noMultiLvlLbl val="0"/>
      </c:catAx>
      <c:valAx>
        <c:axId val="65756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567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473075</xdr:colOff>
      <xdr:row>24</xdr:row>
      <xdr:rowOff>158750</xdr:rowOff>
    </xdr:from>
    <xdr:to>
      <xdr:col>14</xdr:col>
      <xdr:colOff>901701</xdr:colOff>
      <xdr:row>49</xdr:row>
      <xdr:rowOff>57151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180974</xdr:colOff>
      <xdr:row>30</xdr:row>
      <xdr:rowOff>190499</xdr:rowOff>
    </xdr:from>
    <xdr:to>
      <xdr:col>24</xdr:col>
      <xdr:colOff>447674</xdr:colOff>
      <xdr:row>51</xdr:row>
      <xdr:rowOff>123824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9"/>
  <sheetViews>
    <sheetView zoomScaleNormal="100" workbookViewId="0">
      <selection activeCell="B8" sqref="B8"/>
    </sheetView>
  </sheetViews>
  <sheetFormatPr defaultRowHeight="15" x14ac:dyDescent="0.25"/>
  <cols>
    <col min="1" max="1" width="29.5703125" customWidth="1"/>
    <col min="2" max="2" width="32.85546875" customWidth="1"/>
    <col min="12" max="12" width="10.28515625" bestFit="1" customWidth="1"/>
    <col min="13" max="13" width="15.5703125" customWidth="1"/>
    <col min="14" max="14" width="17.5703125" customWidth="1"/>
    <col min="15" max="15" width="17.28515625" customWidth="1"/>
    <col min="16" max="16" width="20.140625" customWidth="1"/>
    <col min="17" max="17" width="23.5703125" customWidth="1"/>
  </cols>
  <sheetData>
    <row r="2" spans="1:18" x14ac:dyDescent="0.25">
      <c r="A2" s="10" t="s">
        <v>72</v>
      </c>
      <c r="B2" s="12">
        <v>108</v>
      </c>
      <c r="F2" s="10"/>
    </row>
    <row r="3" spans="1:18" x14ac:dyDescent="0.25">
      <c r="A3" s="10" t="s">
        <v>73</v>
      </c>
      <c r="C3" s="15">
        <v>1</v>
      </c>
      <c r="D3" s="16">
        <v>1</v>
      </c>
      <c r="E3" s="16">
        <v>1</v>
      </c>
      <c r="F3" s="17">
        <v>1</v>
      </c>
      <c r="G3" s="15">
        <v>2</v>
      </c>
      <c r="H3" s="16">
        <v>2</v>
      </c>
      <c r="I3" s="16">
        <v>2</v>
      </c>
      <c r="J3" s="16">
        <v>2</v>
      </c>
      <c r="K3" s="16">
        <v>2</v>
      </c>
      <c r="L3" s="17">
        <v>2</v>
      </c>
      <c r="M3" s="15">
        <v>3</v>
      </c>
      <c r="N3" s="16">
        <v>3</v>
      </c>
      <c r="O3" s="16">
        <v>3</v>
      </c>
      <c r="P3" s="17">
        <v>3</v>
      </c>
      <c r="Q3" s="30">
        <v>4</v>
      </c>
      <c r="R3" s="11"/>
    </row>
    <row r="4" spans="1:18" x14ac:dyDescent="0.25">
      <c r="A4" t="s">
        <v>74</v>
      </c>
      <c r="B4" t="s">
        <v>69</v>
      </c>
      <c r="C4" s="18">
        <f>200-B2</f>
        <v>92</v>
      </c>
      <c r="D4" s="31">
        <f>182-B2</f>
        <v>74</v>
      </c>
      <c r="E4" s="31">
        <f>186-B2</f>
        <v>78</v>
      </c>
      <c r="F4" s="20">
        <f>192-B2</f>
        <v>84</v>
      </c>
      <c r="G4" s="18">
        <f>276-B2</f>
        <v>168</v>
      </c>
      <c r="H4" s="19">
        <f>-B2</f>
        <v>-108</v>
      </c>
      <c r="I4" s="19">
        <f>-B2</f>
        <v>-108</v>
      </c>
      <c r="J4" s="19">
        <f>-B2</f>
        <v>-108</v>
      </c>
      <c r="K4" s="19">
        <f>-B2</f>
        <v>-108</v>
      </c>
      <c r="L4" s="20">
        <f>-B2</f>
        <v>-108</v>
      </c>
      <c r="M4" s="18">
        <f>-B2</f>
        <v>-108</v>
      </c>
      <c r="N4" s="19">
        <f>-B2</f>
        <v>-108</v>
      </c>
      <c r="O4" s="19">
        <f>-B2</f>
        <v>-108</v>
      </c>
      <c r="P4" s="20">
        <f>-B2</f>
        <v>-108</v>
      </c>
      <c r="Q4" s="20">
        <f>-B2</f>
        <v>-108</v>
      </c>
    </row>
    <row r="5" spans="1:18" x14ac:dyDescent="0.25">
      <c r="A5" t="s">
        <v>75</v>
      </c>
      <c r="B5" t="s">
        <v>70</v>
      </c>
      <c r="C5" s="18">
        <f>C4/C3</f>
        <v>92</v>
      </c>
      <c r="D5" s="19">
        <f>D4/D3</f>
        <v>74</v>
      </c>
      <c r="E5" s="19">
        <f>E4/E3</f>
        <v>78</v>
      </c>
      <c r="F5" s="20">
        <f>F4/F3</f>
        <v>84</v>
      </c>
      <c r="G5" s="18">
        <f>G4/G3</f>
        <v>84</v>
      </c>
      <c r="H5" s="19">
        <f t="shared" ref="H5" si="0">H4/H3</f>
        <v>-54</v>
      </c>
      <c r="I5" s="19">
        <f t="shared" ref="I5" si="1">I4/I3</f>
        <v>-54</v>
      </c>
      <c r="J5" s="19">
        <f t="shared" ref="J5" si="2">J4/J3</f>
        <v>-54</v>
      </c>
      <c r="K5" s="19">
        <f t="shared" ref="K5" si="3">K4/K3</f>
        <v>-54</v>
      </c>
      <c r="L5" s="20">
        <f>L4/L3</f>
        <v>-54</v>
      </c>
      <c r="M5" s="18">
        <f>M4/M3</f>
        <v>-36</v>
      </c>
      <c r="N5" s="19">
        <f t="shared" ref="N5:O5" si="4">N4/N3</f>
        <v>-36</v>
      </c>
      <c r="O5" s="19">
        <f t="shared" si="4"/>
        <v>-36</v>
      </c>
      <c r="P5" s="20">
        <f>P4/P3</f>
        <v>-36</v>
      </c>
      <c r="Q5" s="20">
        <f>Q4/Q3</f>
        <v>-27</v>
      </c>
    </row>
    <row r="6" spans="1:18" x14ac:dyDescent="0.25">
      <c r="B6" s="10" t="s">
        <v>71</v>
      </c>
      <c r="C6" s="21">
        <f>C5/20</f>
        <v>4.5999999999999996</v>
      </c>
      <c r="D6" s="22">
        <f>D5/20</f>
        <v>3.7</v>
      </c>
      <c r="E6" s="22">
        <f>E5/20</f>
        <v>3.9</v>
      </c>
      <c r="F6" s="23">
        <f>F5/20</f>
        <v>4.2</v>
      </c>
      <c r="G6" s="21">
        <f>G5/20</f>
        <v>4.2</v>
      </c>
      <c r="H6" s="22">
        <f t="shared" ref="H6" si="5">H5/20</f>
        <v>-2.7</v>
      </c>
      <c r="I6" s="22">
        <f t="shared" ref="I6" si="6">I5/20</f>
        <v>-2.7</v>
      </c>
      <c r="J6" s="22">
        <f t="shared" ref="J6" si="7">J5/20</f>
        <v>-2.7</v>
      </c>
      <c r="K6" s="22">
        <f t="shared" ref="K6" si="8">K5/20</f>
        <v>-2.7</v>
      </c>
      <c r="L6" s="23">
        <f>L5/20</f>
        <v>-2.7</v>
      </c>
      <c r="M6" s="21">
        <f>M5/20</f>
        <v>-1.8</v>
      </c>
      <c r="N6" s="22">
        <f t="shared" ref="N6:O6" si="9">N5/20</f>
        <v>-1.8</v>
      </c>
      <c r="O6" s="22">
        <f t="shared" si="9"/>
        <v>-1.8</v>
      </c>
      <c r="P6" s="23">
        <f>P5/20</f>
        <v>-1.8</v>
      </c>
      <c r="Q6" s="23">
        <f>Q5/20</f>
        <v>-1.35</v>
      </c>
    </row>
    <row r="7" spans="1:18" x14ac:dyDescent="0.25">
      <c r="C7" s="18"/>
      <c r="D7" s="19"/>
      <c r="E7" s="19"/>
      <c r="F7" s="20"/>
      <c r="G7" s="18"/>
      <c r="H7" s="19"/>
      <c r="I7" s="19"/>
      <c r="J7" s="19"/>
      <c r="K7" s="19"/>
      <c r="L7" s="20"/>
      <c r="M7" s="18"/>
      <c r="N7" s="19"/>
      <c r="O7" s="19"/>
      <c r="P7" s="20"/>
      <c r="Q7" s="20"/>
    </row>
    <row r="8" spans="1:18" x14ac:dyDescent="0.25">
      <c r="A8" t="s">
        <v>74</v>
      </c>
      <c r="B8" t="s">
        <v>69</v>
      </c>
      <c r="C8" s="18">
        <f>154-B2</f>
        <v>46</v>
      </c>
      <c r="D8" s="19">
        <f>147-B2</f>
        <v>39</v>
      </c>
      <c r="E8" s="19">
        <f>144-B2</f>
        <v>36</v>
      </c>
      <c r="F8" s="20">
        <f>150-B2</f>
        <v>42</v>
      </c>
      <c r="G8" s="18">
        <f>192-B2</f>
        <v>84</v>
      </c>
      <c r="H8" s="19">
        <f>-B2</f>
        <v>-108</v>
      </c>
      <c r="I8" s="19">
        <f>-B2</f>
        <v>-108</v>
      </c>
      <c r="J8" s="19">
        <f>-B2</f>
        <v>-108</v>
      </c>
      <c r="K8" s="19">
        <f>-B2</f>
        <v>-108</v>
      </c>
      <c r="L8" s="20">
        <f>-B2</f>
        <v>-108</v>
      </c>
      <c r="M8" s="18">
        <f>-B2</f>
        <v>-108</v>
      </c>
      <c r="N8" s="19">
        <f>-B2</f>
        <v>-108</v>
      </c>
      <c r="O8" s="19">
        <f>-B2</f>
        <v>-108</v>
      </c>
      <c r="P8" s="20">
        <f>-B2</f>
        <v>-108</v>
      </c>
      <c r="Q8" s="20">
        <f>267-B2</f>
        <v>159</v>
      </c>
    </row>
    <row r="9" spans="1:18" x14ac:dyDescent="0.25">
      <c r="A9" t="s">
        <v>76</v>
      </c>
      <c r="B9" t="s">
        <v>70</v>
      </c>
      <c r="C9" s="18">
        <f>C8/C3</f>
        <v>46</v>
      </c>
      <c r="D9" s="19">
        <f>D8/D3</f>
        <v>39</v>
      </c>
      <c r="E9" s="19">
        <f>E8/E3</f>
        <v>36</v>
      </c>
      <c r="F9" s="20">
        <f>F8/F3</f>
        <v>42</v>
      </c>
      <c r="G9" s="18">
        <f>G8/G3</f>
        <v>42</v>
      </c>
      <c r="H9" s="19">
        <f t="shared" ref="H9" si="10">H8/H3</f>
        <v>-54</v>
      </c>
      <c r="I9" s="19">
        <f t="shared" ref="I9" si="11">I8/I3</f>
        <v>-54</v>
      </c>
      <c r="J9" s="19">
        <f t="shared" ref="J9" si="12">J8/J3</f>
        <v>-54</v>
      </c>
      <c r="K9" s="19">
        <f t="shared" ref="K9" si="13">K8/K3</f>
        <v>-54</v>
      </c>
      <c r="L9" s="20">
        <f>L8/L3</f>
        <v>-54</v>
      </c>
      <c r="M9" s="18">
        <f>M8/M3</f>
        <v>-36</v>
      </c>
      <c r="N9" s="19">
        <f t="shared" ref="N9:O9" si="14">N8/N3</f>
        <v>-36</v>
      </c>
      <c r="O9" s="19">
        <f t="shared" si="14"/>
        <v>-36</v>
      </c>
      <c r="P9" s="20">
        <f>P8/P3</f>
        <v>-36</v>
      </c>
      <c r="Q9" s="20">
        <f>Q8/Q3</f>
        <v>39.75</v>
      </c>
    </row>
    <row r="10" spans="1:18" x14ac:dyDescent="0.25">
      <c r="B10" s="10" t="s">
        <v>71</v>
      </c>
      <c r="C10" s="21">
        <f>C9/10</f>
        <v>4.5999999999999996</v>
      </c>
      <c r="D10" s="22">
        <f>D9/10</f>
        <v>3.9</v>
      </c>
      <c r="E10" s="22">
        <f>E9/10</f>
        <v>3.6</v>
      </c>
      <c r="F10" s="23">
        <f>F9/10</f>
        <v>4.2</v>
      </c>
      <c r="G10" s="21">
        <f>G9/10</f>
        <v>4.2</v>
      </c>
      <c r="H10" s="22">
        <f t="shared" ref="H10" si="15">H9/10</f>
        <v>-5.4</v>
      </c>
      <c r="I10" s="22">
        <f t="shared" ref="I10" si="16">I9/10</f>
        <v>-5.4</v>
      </c>
      <c r="J10" s="22">
        <f t="shared" ref="J10" si="17">J9/10</f>
        <v>-5.4</v>
      </c>
      <c r="K10" s="22">
        <f t="shared" ref="K10" si="18">K9/10</f>
        <v>-5.4</v>
      </c>
      <c r="L10" s="23">
        <f>L9/10</f>
        <v>-5.4</v>
      </c>
      <c r="M10" s="21">
        <f>M9/10</f>
        <v>-3.6</v>
      </c>
      <c r="N10" s="22">
        <f t="shared" ref="N10:O10" si="19">N9/10</f>
        <v>-3.6</v>
      </c>
      <c r="O10" s="22">
        <f t="shared" si="19"/>
        <v>-3.6</v>
      </c>
      <c r="P10" s="23">
        <f>P9/10</f>
        <v>-3.6</v>
      </c>
      <c r="Q10" s="23">
        <f>Q9/10</f>
        <v>3.9750000000000001</v>
      </c>
    </row>
    <row r="11" spans="1:18" x14ac:dyDescent="0.25">
      <c r="C11" s="27" t="s">
        <v>47</v>
      </c>
      <c r="D11" s="28" t="s">
        <v>48</v>
      </c>
      <c r="E11" s="28" t="s">
        <v>50</v>
      </c>
      <c r="F11" s="29" t="s">
        <v>51</v>
      </c>
      <c r="G11" s="34" t="s">
        <v>49</v>
      </c>
      <c r="H11" s="35" t="s">
        <v>52</v>
      </c>
      <c r="I11" s="35" t="s">
        <v>53</v>
      </c>
      <c r="J11" s="35" t="s">
        <v>54</v>
      </c>
      <c r="K11" s="35" t="s">
        <v>55</v>
      </c>
      <c r="L11" s="36" t="s">
        <v>56</v>
      </c>
      <c r="M11" s="24" t="s">
        <v>57</v>
      </c>
      <c r="N11" s="25" t="s">
        <v>58</v>
      </c>
      <c r="O11" s="25" t="s">
        <v>60</v>
      </c>
      <c r="P11" s="26" t="s">
        <v>59</v>
      </c>
      <c r="Q11" s="37" t="s">
        <v>61</v>
      </c>
    </row>
    <row r="13" spans="1:18" x14ac:dyDescent="0.25">
      <c r="B13" s="33" t="s">
        <v>79</v>
      </c>
      <c r="C13" s="12" t="s">
        <v>64</v>
      </c>
      <c r="D13" s="12" t="s">
        <v>66</v>
      </c>
      <c r="E13" s="12" t="s">
        <v>65</v>
      </c>
      <c r="F13" s="12" t="s">
        <v>67</v>
      </c>
      <c r="G13" s="11" t="s">
        <v>62</v>
      </c>
      <c r="H13" s="11" t="s">
        <v>62</v>
      </c>
      <c r="I13" s="11" t="s">
        <v>62</v>
      </c>
      <c r="J13" s="11" t="s">
        <v>62</v>
      </c>
      <c r="K13" s="11" t="s">
        <v>62</v>
      </c>
      <c r="L13" s="11" t="s">
        <v>62</v>
      </c>
      <c r="M13" s="11" t="s">
        <v>62</v>
      </c>
      <c r="N13" s="11" t="s">
        <v>62</v>
      </c>
      <c r="O13" s="11" t="s">
        <v>62</v>
      </c>
      <c r="P13" s="11" t="s">
        <v>62</v>
      </c>
      <c r="Q13" s="11" t="s">
        <v>77</v>
      </c>
    </row>
    <row r="14" spans="1:18" x14ac:dyDescent="0.25">
      <c r="B14" s="10" t="s">
        <v>47</v>
      </c>
      <c r="C14" s="40">
        <f>C10</f>
        <v>4.5999999999999996</v>
      </c>
      <c r="D14" s="42">
        <f>AVERAGE(G14,H14,I14)</f>
        <v>4.5666666666666664</v>
      </c>
      <c r="E14" s="42">
        <f>AVERAGE(N14,O14,M14)</f>
        <v>4.5</v>
      </c>
      <c r="F14" s="40">
        <f>Q14</f>
        <v>4.4000000000000004</v>
      </c>
      <c r="G14" s="41">
        <f>(153-B2)/10</f>
        <v>4.5</v>
      </c>
      <c r="H14" s="41">
        <f>(154-B2)/10</f>
        <v>4.5999999999999996</v>
      </c>
      <c r="I14" s="41">
        <f>(154-B2)/10</f>
        <v>4.5999999999999996</v>
      </c>
      <c r="J14" s="41"/>
      <c r="K14" s="41"/>
      <c r="L14" s="41"/>
      <c r="M14" s="39">
        <f>(152-B2)/10</f>
        <v>4.4000000000000004</v>
      </c>
      <c r="N14" s="39">
        <f>(153-B2)/10</f>
        <v>4.5</v>
      </c>
      <c r="O14" s="39">
        <f>(154-B2)/10</f>
        <v>4.5999999999999996</v>
      </c>
      <c r="P14" s="39"/>
      <c r="Q14" s="38">
        <f>(152-B2)/10</f>
        <v>4.4000000000000004</v>
      </c>
    </row>
    <row r="15" spans="1:18" x14ac:dyDescent="0.25">
      <c r="B15" s="10" t="s">
        <v>48</v>
      </c>
      <c r="C15" s="40">
        <f>D10</f>
        <v>3.9</v>
      </c>
      <c r="D15" s="42">
        <f>AVERAGE(G15,J15,K15)</f>
        <v>3.8333333333333335</v>
      </c>
      <c r="E15" s="42">
        <f>AVERAGE(N15,P15,M15)</f>
        <v>3.7333333333333329</v>
      </c>
      <c r="F15" s="40">
        <f>Q15</f>
        <v>3.7</v>
      </c>
      <c r="G15" s="41">
        <f>(147-B2)/10</f>
        <v>3.9</v>
      </c>
      <c r="H15" s="41"/>
      <c r="I15" s="41"/>
      <c r="J15" s="41">
        <f>(146-B2)/10</f>
        <v>3.8</v>
      </c>
      <c r="K15" s="41">
        <f>(146-B2)/10</f>
        <v>3.8</v>
      </c>
      <c r="L15" s="41"/>
      <c r="M15" s="39">
        <f>(145-B2)/10</f>
        <v>3.7</v>
      </c>
      <c r="N15" s="39">
        <f>(145-B2)/10</f>
        <v>3.7</v>
      </c>
      <c r="O15" s="39"/>
      <c r="P15" s="39">
        <f>(146-B2)/10</f>
        <v>3.8</v>
      </c>
      <c r="Q15" s="38">
        <f>(145-B2)/10</f>
        <v>3.7</v>
      </c>
    </row>
    <row r="16" spans="1:18" x14ac:dyDescent="0.25">
      <c r="B16" s="10" t="s">
        <v>50</v>
      </c>
      <c r="C16" s="40">
        <f>E10</f>
        <v>3.6</v>
      </c>
      <c r="D16" s="42">
        <f>AVERAGE(H16,J16,L16)</f>
        <v>3.4333333333333336</v>
      </c>
      <c r="E16" s="42">
        <f>AVERAGE(O16,P16,M16)</f>
        <v>3.4</v>
      </c>
      <c r="F16" s="40">
        <f>Q16</f>
        <v>3.4</v>
      </c>
      <c r="G16" s="41"/>
      <c r="H16" s="41">
        <f>(142-B2)/10</f>
        <v>3.4</v>
      </c>
      <c r="I16" s="41"/>
      <c r="J16" s="41">
        <f>(142-B2)/10</f>
        <v>3.4</v>
      </c>
      <c r="K16" s="41"/>
      <c r="L16" s="41">
        <f>(143-B2)/10</f>
        <v>3.5</v>
      </c>
      <c r="M16" s="39">
        <f>(142-B2)/10</f>
        <v>3.4</v>
      </c>
      <c r="N16" s="39"/>
      <c r="O16" s="39">
        <f>(142-B2)/10</f>
        <v>3.4</v>
      </c>
      <c r="P16" s="39">
        <f>(142-B2)/10</f>
        <v>3.4</v>
      </c>
      <c r="Q16" s="38">
        <f>(142-B2)/10</f>
        <v>3.4</v>
      </c>
    </row>
    <row r="17" spans="2:17" x14ac:dyDescent="0.25">
      <c r="B17" s="10" t="s">
        <v>51</v>
      </c>
      <c r="C17" s="40">
        <f>F10</f>
        <v>4.2</v>
      </c>
      <c r="D17" s="40">
        <f>AVERAGE(I17,K17,L17)</f>
        <v>4.0999999999999996</v>
      </c>
      <c r="E17" s="42">
        <f>AVERAGE(N17,O17,P17)</f>
        <v>4</v>
      </c>
      <c r="F17" s="40">
        <f>Q17</f>
        <v>3.9</v>
      </c>
      <c r="G17" s="41"/>
      <c r="H17" s="41"/>
      <c r="I17" s="41">
        <f>(149-B2)/10</f>
        <v>4.0999999999999996</v>
      </c>
      <c r="J17" s="41"/>
      <c r="K17" s="41">
        <f>(149-B2)/10</f>
        <v>4.0999999999999996</v>
      </c>
      <c r="L17" s="41">
        <f>(149-B2)/10</f>
        <v>4.0999999999999996</v>
      </c>
      <c r="M17" s="39"/>
      <c r="N17" s="39">
        <f>(148-B2)/10</f>
        <v>4</v>
      </c>
      <c r="O17" s="39">
        <f>(148-B2)/10</f>
        <v>4</v>
      </c>
      <c r="P17" s="39">
        <f>(148-B2)/10</f>
        <v>4</v>
      </c>
      <c r="Q17" s="38">
        <f>(147-B2)/10</f>
        <v>3.9</v>
      </c>
    </row>
    <row r="18" spans="2:17" x14ac:dyDescent="0.25">
      <c r="B18" s="33" t="s">
        <v>68</v>
      </c>
      <c r="Q18" s="1"/>
    </row>
    <row r="19" spans="2:17" x14ac:dyDescent="0.25">
      <c r="C19" s="1">
        <f t="shared" ref="C19:E22" si="20">C14-D14</f>
        <v>3.3333333333333215E-2</v>
      </c>
      <c r="D19" s="1">
        <f t="shared" si="20"/>
        <v>6.666666666666643E-2</v>
      </c>
      <c r="E19" s="1">
        <f t="shared" si="20"/>
        <v>9.9999999999999645E-2</v>
      </c>
    </row>
    <row r="20" spans="2:17" x14ac:dyDescent="0.25">
      <c r="C20" s="1">
        <f t="shared" si="20"/>
        <v>6.666666666666643E-2</v>
      </c>
      <c r="D20" s="1">
        <f t="shared" si="20"/>
        <v>0.10000000000000053</v>
      </c>
      <c r="E20" s="1">
        <f t="shared" si="20"/>
        <v>3.3333333333332771E-2</v>
      </c>
    </row>
    <row r="21" spans="2:17" x14ac:dyDescent="0.25">
      <c r="C21" s="1">
        <f t="shared" si="20"/>
        <v>0.16666666666666652</v>
      </c>
      <c r="D21" s="1">
        <f t="shared" si="20"/>
        <v>3.3333333333333659E-2</v>
      </c>
      <c r="E21" s="1">
        <f t="shared" si="20"/>
        <v>0</v>
      </c>
    </row>
    <row r="22" spans="2:17" x14ac:dyDescent="0.25">
      <c r="C22" s="1">
        <f t="shared" si="20"/>
        <v>0.10000000000000053</v>
      </c>
      <c r="D22" s="1">
        <f t="shared" si="20"/>
        <v>9.9999999999999645E-2</v>
      </c>
      <c r="E22" s="1">
        <f t="shared" si="20"/>
        <v>0.10000000000000009</v>
      </c>
    </row>
    <row r="25" spans="2:17" x14ac:dyDescent="0.25">
      <c r="B25" s="10" t="s">
        <v>80</v>
      </c>
      <c r="C25" s="12" t="s">
        <v>64</v>
      </c>
      <c r="G25" s="11" t="s">
        <v>63</v>
      </c>
      <c r="H25" s="11" t="s">
        <v>63</v>
      </c>
      <c r="I25" s="11" t="s">
        <v>63</v>
      </c>
      <c r="J25" s="11" t="s">
        <v>63</v>
      </c>
      <c r="K25" s="11" t="s">
        <v>63</v>
      </c>
      <c r="L25" s="11" t="s">
        <v>63</v>
      </c>
      <c r="M25" s="11" t="s">
        <v>63</v>
      </c>
      <c r="N25" s="11" t="s">
        <v>63</v>
      </c>
      <c r="O25" s="11" t="s">
        <v>63</v>
      </c>
      <c r="P25" s="11" t="s">
        <v>63</v>
      </c>
      <c r="Q25" s="11" t="s">
        <v>78</v>
      </c>
    </row>
    <row r="26" spans="2:17" x14ac:dyDescent="0.25">
      <c r="B26" s="10" t="s">
        <v>47</v>
      </c>
      <c r="G26">
        <f>(-B2)/20</f>
        <v>-5.4</v>
      </c>
      <c r="H26">
        <f>(-B2)/20</f>
        <v>-5.4</v>
      </c>
      <c r="I26">
        <f>(-B2)/20</f>
        <v>-5.4</v>
      </c>
      <c r="M26">
        <f>(-B2)/20</f>
        <v>-5.4</v>
      </c>
      <c r="N26">
        <f>(-B2)/20</f>
        <v>-5.4</v>
      </c>
      <c r="O26">
        <f>(-B2)/20</f>
        <v>-5.4</v>
      </c>
      <c r="Q26">
        <f>(-B2)/20</f>
        <v>-5.4</v>
      </c>
    </row>
    <row r="27" spans="2:17" x14ac:dyDescent="0.25">
      <c r="B27" s="10" t="s">
        <v>48</v>
      </c>
      <c r="G27">
        <f>(-B2)/20</f>
        <v>-5.4</v>
      </c>
      <c r="J27">
        <f>(-B2)/20</f>
        <v>-5.4</v>
      </c>
      <c r="K27">
        <f>(-B2)/20</f>
        <v>-5.4</v>
      </c>
      <c r="M27">
        <f>(-B2)/20</f>
        <v>-5.4</v>
      </c>
      <c r="N27">
        <f>(-B2)/20</f>
        <v>-5.4</v>
      </c>
      <c r="P27">
        <f>(-B2)/20</f>
        <v>-5.4</v>
      </c>
      <c r="Q27" s="32">
        <f>(-B2)/20</f>
        <v>-5.4</v>
      </c>
    </row>
    <row r="28" spans="2:17" x14ac:dyDescent="0.25">
      <c r="B28" s="10" t="s">
        <v>50</v>
      </c>
      <c r="H28">
        <f>(-B2)/20</f>
        <v>-5.4</v>
      </c>
      <c r="J28">
        <f>(-B2)/20</f>
        <v>-5.4</v>
      </c>
      <c r="L28">
        <f>(143-C14)/20</f>
        <v>6.92</v>
      </c>
      <c r="M28">
        <f>(-B2)/20</f>
        <v>-5.4</v>
      </c>
      <c r="O28">
        <f>(-B2)/20</f>
        <v>-5.4</v>
      </c>
      <c r="P28">
        <f>(-B2)/20</f>
        <v>-5.4</v>
      </c>
      <c r="Q28" s="32">
        <f>(-B2)/20</f>
        <v>-5.4</v>
      </c>
    </row>
    <row r="29" spans="2:17" x14ac:dyDescent="0.25">
      <c r="B29" s="10" t="s">
        <v>51</v>
      </c>
      <c r="I29">
        <f>(-B2)/20</f>
        <v>-5.4</v>
      </c>
      <c r="K29">
        <f>(-B2)/20</f>
        <v>-5.4</v>
      </c>
      <c r="L29">
        <f>(149-C14)/20</f>
        <v>7.2200000000000006</v>
      </c>
      <c r="N29">
        <f>(-B2)/20</f>
        <v>-5.4</v>
      </c>
      <c r="O29">
        <f>(-B2)/20</f>
        <v>-5.4</v>
      </c>
      <c r="P29">
        <f>(-B2)/20</f>
        <v>-5.4</v>
      </c>
      <c r="Q29">
        <f>(-B2)/20</f>
        <v>-5.4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6"/>
  <sheetViews>
    <sheetView tabSelected="1" workbookViewId="0">
      <selection activeCell="M18" sqref="M18"/>
    </sheetView>
  </sheetViews>
  <sheetFormatPr defaultRowHeight="15" x14ac:dyDescent="0.25"/>
  <cols>
    <col min="1" max="1" width="18.5703125" customWidth="1"/>
    <col min="2" max="2" width="8.140625" customWidth="1"/>
    <col min="3" max="3" width="3.5703125" customWidth="1"/>
    <col min="4" max="4" width="21.28515625" style="19" customWidth="1"/>
    <col min="5" max="5" width="13.42578125" style="19" customWidth="1"/>
    <col min="6" max="6" width="19" style="19" customWidth="1"/>
    <col min="7" max="7" width="13.42578125" style="19" customWidth="1"/>
    <col min="8" max="8" width="19" style="19" customWidth="1"/>
    <col min="9" max="9" width="13.28515625" style="19" customWidth="1"/>
    <col min="10" max="10" width="19.42578125" style="19" customWidth="1"/>
    <col min="11" max="11" width="15.42578125" style="19" customWidth="1"/>
    <col min="12" max="12" width="17.5703125" style="19" customWidth="1"/>
    <col min="13" max="13" width="15.28515625" style="19" customWidth="1"/>
    <col min="14" max="14" width="17.5703125" style="19" customWidth="1"/>
    <col min="15" max="15" width="15" style="19" customWidth="1"/>
    <col min="16" max="16" width="20.42578125" style="19" customWidth="1"/>
    <col min="17" max="17" width="9.140625" style="19"/>
    <col min="24" max="24" width="13.42578125" bestFit="1" customWidth="1"/>
  </cols>
  <sheetData>
    <row r="2" spans="1:24" x14ac:dyDescent="0.25">
      <c r="D2" s="57" t="s">
        <v>100</v>
      </c>
      <c r="E2" s="57">
        <f>0*Solenoids!Q8</f>
        <v>0</v>
      </c>
      <c r="G2" s="58">
        <f>G6/(Solenoids!Q8/10)</f>
        <v>3.4666311087405819</v>
      </c>
      <c r="I2" s="58">
        <f>I6/(Solenoids!Q8/10)</f>
        <v>6.9332622174811638</v>
      </c>
      <c r="K2" s="58">
        <f>K6/(Solenoids!Q8/10)</f>
        <v>6.9332622174811638</v>
      </c>
      <c r="M2" s="58">
        <f>M6/(Solenoids!Q8/10)</f>
        <v>6.9332622174811638</v>
      </c>
      <c r="O2" s="58">
        <f>O6/(Solenoids!Q8/10)</f>
        <v>10.399893326221747</v>
      </c>
    </row>
    <row r="3" spans="1:24" x14ac:dyDescent="0.25">
      <c r="G3" s="54" t="s">
        <v>96</v>
      </c>
      <c r="H3" s="55"/>
      <c r="I3" s="54" t="s">
        <v>97</v>
      </c>
      <c r="J3" s="55"/>
      <c r="K3" s="54" t="s">
        <v>97</v>
      </c>
      <c r="L3" s="55"/>
      <c r="M3" s="54" t="s">
        <v>97</v>
      </c>
      <c r="N3" s="55"/>
      <c r="O3" s="54" t="s">
        <v>98</v>
      </c>
    </row>
    <row r="4" spans="1:24" x14ac:dyDescent="0.25">
      <c r="A4" s="10" t="s">
        <v>81</v>
      </c>
      <c r="B4" s="10">
        <v>566</v>
      </c>
      <c r="D4" s="51" t="s">
        <v>84</v>
      </c>
      <c r="E4" s="45" t="s">
        <v>95</v>
      </c>
      <c r="F4" s="46" t="s">
        <v>94</v>
      </c>
      <c r="G4" s="49" t="s">
        <v>85</v>
      </c>
      <c r="H4" s="50" t="s">
        <v>89</v>
      </c>
      <c r="I4" s="49" t="s">
        <v>83</v>
      </c>
      <c r="J4" s="50" t="s">
        <v>90</v>
      </c>
      <c r="K4" s="49" t="s">
        <v>86</v>
      </c>
      <c r="L4" s="50" t="s">
        <v>91</v>
      </c>
      <c r="M4" s="49" t="s">
        <v>87</v>
      </c>
      <c r="N4" s="50" t="s">
        <v>92</v>
      </c>
      <c r="O4" s="49" t="s">
        <v>88</v>
      </c>
      <c r="P4" s="50" t="s">
        <v>93</v>
      </c>
    </row>
    <row r="5" spans="1:24" x14ac:dyDescent="0.25">
      <c r="A5" s="10" t="s">
        <v>82</v>
      </c>
      <c r="B5" s="10">
        <v>619</v>
      </c>
      <c r="D5" s="52"/>
      <c r="E5" s="18"/>
      <c r="F5" s="20"/>
      <c r="G5" s="18"/>
      <c r="H5" s="20"/>
      <c r="I5" s="18"/>
      <c r="J5" s="20"/>
      <c r="K5" s="18"/>
      <c r="L5" s="20"/>
      <c r="M5" s="18"/>
      <c r="N5" s="20"/>
      <c r="O5" s="18"/>
      <c r="P5" s="20"/>
    </row>
    <row r="6" spans="1:24" x14ac:dyDescent="0.25">
      <c r="D6" s="52">
        <f>641-137</f>
        <v>504</v>
      </c>
      <c r="E6" s="18">
        <f>D6*0*B7</f>
        <v>0</v>
      </c>
      <c r="F6" s="20"/>
      <c r="G6" s="43">
        <f>D6*B7*10/100</f>
        <v>55.119434628975256</v>
      </c>
      <c r="H6" s="20"/>
      <c r="I6" s="43">
        <f>G6*2</f>
        <v>110.23886925795051</v>
      </c>
      <c r="J6" s="20"/>
      <c r="K6" s="43">
        <f>G6*2</f>
        <v>110.23886925795051</v>
      </c>
      <c r="L6" s="20"/>
      <c r="M6" s="43">
        <f>G6*2</f>
        <v>110.23886925795051</v>
      </c>
      <c r="N6" s="23"/>
      <c r="O6" s="43">
        <f>G6*3</f>
        <v>165.35830388692577</v>
      </c>
      <c r="P6" s="20"/>
      <c r="Q6" s="56">
        <f>O6+M6+K6+I6+G6</f>
        <v>551.1943462897525</v>
      </c>
      <c r="V6" s="10"/>
      <c r="X6" s="13"/>
    </row>
    <row r="7" spans="1:24" ht="18.75" x14ac:dyDescent="0.3">
      <c r="A7" s="59" t="s">
        <v>101</v>
      </c>
      <c r="B7" s="60">
        <f>B5/B4</f>
        <v>1.0936395759717314</v>
      </c>
      <c r="D7" s="52"/>
      <c r="E7" s="18"/>
      <c r="F7" s="20"/>
      <c r="G7" s="18"/>
      <c r="H7" s="20"/>
      <c r="I7" s="18"/>
      <c r="J7" s="20"/>
      <c r="K7" s="18"/>
      <c r="L7" s="20"/>
      <c r="M7" s="21"/>
      <c r="N7" s="23"/>
      <c r="O7" s="18"/>
      <c r="P7" s="20"/>
      <c r="Q7" s="22"/>
      <c r="V7" s="10"/>
      <c r="X7" s="13"/>
    </row>
    <row r="8" spans="1:24" x14ac:dyDescent="0.25">
      <c r="D8" s="52"/>
      <c r="E8" s="18"/>
      <c r="F8" s="20"/>
      <c r="G8" s="18"/>
      <c r="H8" s="20"/>
      <c r="I8" s="18"/>
      <c r="J8" s="20"/>
      <c r="K8" s="18"/>
      <c r="L8" s="20"/>
      <c r="M8" s="21"/>
      <c r="N8" s="23"/>
      <c r="O8" s="18"/>
      <c r="P8" s="20"/>
      <c r="Q8" s="22"/>
      <c r="V8" s="10"/>
      <c r="X8" s="13"/>
    </row>
    <row r="9" spans="1:24" x14ac:dyDescent="0.25">
      <c r="D9" s="52"/>
      <c r="E9" s="18"/>
      <c r="F9" s="20"/>
      <c r="G9" s="18"/>
      <c r="H9" s="20"/>
      <c r="I9" s="18"/>
      <c r="J9" s="20"/>
      <c r="K9" s="18"/>
      <c r="L9" s="20"/>
      <c r="M9" s="21"/>
      <c r="N9" s="23"/>
      <c r="O9" s="18"/>
      <c r="P9" s="20"/>
      <c r="Q9" s="22"/>
      <c r="V9" s="10"/>
      <c r="X9" s="13"/>
    </row>
    <row r="10" spans="1:24" x14ac:dyDescent="0.25">
      <c r="D10" s="52"/>
      <c r="E10" s="18"/>
      <c r="F10" s="20"/>
      <c r="G10" s="18"/>
      <c r="H10" s="20"/>
      <c r="I10" s="18"/>
      <c r="J10" s="20"/>
      <c r="K10" s="18"/>
      <c r="L10" s="20"/>
      <c r="M10" s="18"/>
      <c r="N10" s="20"/>
      <c r="O10" s="18"/>
      <c r="P10" s="20"/>
    </row>
    <row r="11" spans="1:24" x14ac:dyDescent="0.25">
      <c r="D11" s="52"/>
      <c r="E11" s="18"/>
      <c r="F11" s="20"/>
      <c r="G11" s="18"/>
      <c r="H11" s="20"/>
      <c r="I11" s="18"/>
      <c r="J11" s="20"/>
      <c r="K11" s="18"/>
      <c r="L11" s="20"/>
      <c r="M11" s="18"/>
      <c r="N11" s="20"/>
      <c r="O11" s="18"/>
      <c r="P11" s="20"/>
    </row>
    <row r="12" spans="1:24" x14ac:dyDescent="0.25">
      <c r="D12" s="52"/>
      <c r="E12" s="18"/>
      <c r="F12" s="20"/>
      <c r="G12" s="18"/>
      <c r="H12" s="20"/>
      <c r="I12" s="18"/>
      <c r="J12" s="20"/>
      <c r="K12" s="18"/>
      <c r="L12" s="20"/>
      <c r="M12" s="18"/>
      <c r="N12" s="20"/>
      <c r="O12" s="18"/>
      <c r="P12" s="20"/>
    </row>
    <row r="13" spans="1:24" x14ac:dyDescent="0.25">
      <c r="D13" s="52"/>
      <c r="E13" s="18"/>
      <c r="F13" s="20"/>
      <c r="G13" s="18"/>
      <c r="H13" s="20"/>
      <c r="I13" s="18"/>
      <c r="J13" s="20"/>
      <c r="K13" s="18"/>
      <c r="L13" s="20"/>
      <c r="M13" s="18"/>
      <c r="N13" s="20"/>
      <c r="O13" s="18"/>
      <c r="P13" s="20"/>
    </row>
    <row r="14" spans="1:24" x14ac:dyDescent="0.25">
      <c r="D14" s="53"/>
      <c r="E14" s="47"/>
      <c r="F14" s="48"/>
      <c r="G14" s="47"/>
      <c r="H14" s="48"/>
      <c r="I14" s="47"/>
      <c r="J14" s="48"/>
      <c r="K14" s="47"/>
      <c r="L14" s="48"/>
      <c r="M14" s="47"/>
      <c r="N14" s="48"/>
      <c r="O14" s="47"/>
      <c r="P14" s="48"/>
    </row>
    <row r="16" spans="1:24" x14ac:dyDescent="0.25">
      <c r="N16" s="19" t="s">
        <v>99</v>
      </c>
      <c r="O16" s="44">
        <f>D6*B7</f>
        <v>551.19434628975262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2"/>
  <sheetViews>
    <sheetView workbookViewId="0">
      <selection activeCell="G13" sqref="G13"/>
    </sheetView>
  </sheetViews>
  <sheetFormatPr defaultRowHeight="15" x14ac:dyDescent="0.25"/>
  <cols>
    <col min="2" max="3" width="24.42578125" customWidth="1"/>
    <col min="4" max="4" width="19.85546875" customWidth="1"/>
    <col min="5" max="5" width="18.5703125" customWidth="1"/>
    <col min="6" max="6" width="20.28515625" customWidth="1"/>
  </cols>
  <sheetData>
    <row r="3" spans="2:5" ht="18.75" x14ac:dyDescent="0.3">
      <c r="B3" s="14" t="s">
        <v>35</v>
      </c>
      <c r="C3" s="14" t="s">
        <v>34</v>
      </c>
      <c r="D3" s="14" t="s">
        <v>25</v>
      </c>
      <c r="E3" s="14" t="s">
        <v>36</v>
      </c>
    </row>
    <row r="4" spans="2:5" x14ac:dyDescent="0.25">
      <c r="B4" s="4" t="s">
        <v>37</v>
      </c>
      <c r="C4" s="4">
        <v>1</v>
      </c>
      <c r="D4" s="4" t="s">
        <v>26</v>
      </c>
      <c r="E4" s="4">
        <v>24</v>
      </c>
    </row>
    <row r="5" spans="2:5" x14ac:dyDescent="0.25">
      <c r="B5" s="4"/>
      <c r="C5" s="4">
        <v>2</v>
      </c>
      <c r="D5" s="4" t="s">
        <v>27</v>
      </c>
      <c r="E5" s="4">
        <v>23</v>
      </c>
    </row>
    <row r="6" spans="2:5" x14ac:dyDescent="0.25">
      <c r="B6" s="4"/>
      <c r="C6" s="4">
        <v>3</v>
      </c>
      <c r="D6" s="4" t="s">
        <v>28</v>
      </c>
      <c r="E6" s="4">
        <v>15</v>
      </c>
    </row>
    <row r="7" spans="2:5" x14ac:dyDescent="0.25">
      <c r="B7" s="4"/>
      <c r="C7" s="4">
        <v>4</v>
      </c>
      <c r="D7" s="4" t="s">
        <v>29</v>
      </c>
      <c r="E7" s="4">
        <v>18</v>
      </c>
    </row>
    <row r="8" spans="2:5" x14ac:dyDescent="0.25">
      <c r="B8" s="4" t="s">
        <v>42</v>
      </c>
      <c r="C8" s="4">
        <v>5</v>
      </c>
      <c r="D8" s="4" t="s">
        <v>30</v>
      </c>
      <c r="E8" s="4">
        <v>14</v>
      </c>
    </row>
    <row r="9" spans="2:5" x14ac:dyDescent="0.25">
      <c r="B9" s="4" t="s">
        <v>41</v>
      </c>
      <c r="C9" s="4">
        <v>6</v>
      </c>
      <c r="D9" s="4" t="s">
        <v>31</v>
      </c>
      <c r="E9" s="4">
        <v>22</v>
      </c>
    </row>
    <row r="10" spans="2:5" x14ac:dyDescent="0.25">
      <c r="B10" s="4" t="s">
        <v>40</v>
      </c>
      <c r="C10" s="4">
        <v>7</v>
      </c>
      <c r="D10" s="4" t="s">
        <v>32</v>
      </c>
      <c r="E10" s="4">
        <v>27</v>
      </c>
    </row>
    <row r="11" spans="2:5" x14ac:dyDescent="0.25">
      <c r="B11" s="4" t="s">
        <v>39</v>
      </c>
      <c r="C11" s="4">
        <v>8</v>
      </c>
      <c r="D11" s="4" t="s">
        <v>33</v>
      </c>
      <c r="E11" s="4">
        <v>17</v>
      </c>
    </row>
    <row r="14" spans="2:5" ht="18.75" x14ac:dyDescent="0.3">
      <c r="B14" s="14" t="s">
        <v>35</v>
      </c>
      <c r="C14" s="14" t="s">
        <v>38</v>
      </c>
      <c r="D14" s="14" t="s">
        <v>36</v>
      </c>
    </row>
    <row r="15" spans="2:5" x14ac:dyDescent="0.25">
      <c r="B15" s="4" t="s">
        <v>43</v>
      </c>
      <c r="C15" s="4">
        <v>0</v>
      </c>
      <c r="D15" s="4"/>
    </row>
    <row r="16" spans="2:5" x14ac:dyDescent="0.25">
      <c r="B16" s="4" t="s">
        <v>44</v>
      </c>
      <c r="C16" s="4">
        <v>1</v>
      </c>
      <c r="D16" s="4"/>
    </row>
    <row r="17" spans="2:4" x14ac:dyDescent="0.25">
      <c r="B17" s="4" t="s">
        <v>45</v>
      </c>
      <c r="C17" s="4">
        <v>2</v>
      </c>
      <c r="D17" s="4"/>
    </row>
    <row r="18" spans="2:4" x14ac:dyDescent="0.25">
      <c r="B18" s="4" t="s">
        <v>46</v>
      </c>
      <c r="C18" s="4">
        <v>3</v>
      </c>
      <c r="D18" s="4"/>
    </row>
    <row r="19" spans="2:4" x14ac:dyDescent="0.25">
      <c r="B19" s="4"/>
      <c r="C19" s="4">
        <v>4</v>
      </c>
      <c r="D19" s="4"/>
    </row>
    <row r="20" spans="2:4" x14ac:dyDescent="0.25">
      <c r="B20" s="4"/>
      <c r="C20" s="4">
        <v>5</v>
      </c>
      <c r="D20" s="4"/>
    </row>
    <row r="21" spans="2:4" x14ac:dyDescent="0.25">
      <c r="B21" s="4"/>
      <c r="C21" s="4">
        <v>6</v>
      </c>
      <c r="D21" s="4"/>
    </row>
    <row r="22" spans="2:4" x14ac:dyDescent="0.25">
      <c r="B22" s="4"/>
      <c r="C22" s="4">
        <v>7</v>
      </c>
      <c r="D22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K26"/>
  <sheetViews>
    <sheetView workbookViewId="0">
      <selection activeCell="F13" sqref="F13"/>
    </sheetView>
  </sheetViews>
  <sheetFormatPr defaultRowHeight="15" x14ac:dyDescent="0.25"/>
  <cols>
    <col min="2" max="2" width="30.140625" customWidth="1"/>
    <col min="3" max="3" width="14.28515625" customWidth="1"/>
    <col min="4" max="4" width="14.85546875" customWidth="1"/>
    <col min="5" max="5" width="16.85546875" customWidth="1"/>
    <col min="6" max="6" width="17" customWidth="1"/>
  </cols>
  <sheetData>
    <row r="3" spans="2:6" x14ac:dyDescent="0.25">
      <c r="C3" s="4" t="s">
        <v>1</v>
      </c>
      <c r="D3" s="4" t="s">
        <v>6</v>
      </c>
      <c r="E3" s="4" t="s">
        <v>7</v>
      </c>
      <c r="F3" s="4" t="s">
        <v>8</v>
      </c>
    </row>
    <row r="4" spans="2:6" x14ac:dyDescent="0.25">
      <c r="B4" t="s">
        <v>0</v>
      </c>
      <c r="C4" s="4">
        <v>1</v>
      </c>
      <c r="D4" s="2">
        <v>5</v>
      </c>
      <c r="E4">
        <v>3</v>
      </c>
      <c r="F4">
        <f>D4*E4</f>
        <v>15</v>
      </c>
    </row>
    <row r="5" spans="2:6" x14ac:dyDescent="0.25">
      <c r="C5" s="4"/>
      <c r="D5" s="2">
        <v>3.3</v>
      </c>
    </row>
    <row r="6" spans="2:6" x14ac:dyDescent="0.25">
      <c r="B6" t="s">
        <v>2</v>
      </c>
      <c r="C6" s="4">
        <v>10</v>
      </c>
      <c r="D6" s="2">
        <v>3</v>
      </c>
      <c r="E6" s="3">
        <v>0.32</v>
      </c>
      <c r="F6">
        <f>D6*E6</f>
        <v>0.96</v>
      </c>
    </row>
    <row r="7" spans="2:6" x14ac:dyDescent="0.25">
      <c r="B7" t="s">
        <v>3</v>
      </c>
      <c r="C7" s="4">
        <v>10</v>
      </c>
      <c r="D7" s="2">
        <v>3.3</v>
      </c>
      <c r="E7" s="3">
        <v>5.0000000000000001E-3</v>
      </c>
      <c r="F7">
        <f>D7*E7</f>
        <v>1.6500000000000001E-2</v>
      </c>
    </row>
    <row r="8" spans="2:6" x14ac:dyDescent="0.25">
      <c r="B8" t="s">
        <v>4</v>
      </c>
      <c r="C8" s="4">
        <v>1</v>
      </c>
      <c r="D8" s="2">
        <v>5</v>
      </c>
      <c r="E8">
        <v>5.0000000000000001E-4</v>
      </c>
      <c r="F8">
        <f>D8*E8</f>
        <v>2.5000000000000001E-3</v>
      </c>
    </row>
    <row r="9" spans="2:6" x14ac:dyDescent="0.25">
      <c r="C9" s="4"/>
      <c r="D9" s="2">
        <v>2.7</v>
      </c>
    </row>
    <row r="10" spans="2:6" x14ac:dyDescent="0.25">
      <c r="B10" t="s">
        <v>5</v>
      </c>
      <c r="C10" s="4">
        <v>1</v>
      </c>
      <c r="D10" s="2">
        <v>12</v>
      </c>
      <c r="E10" s="1">
        <v>2.2000000000000002</v>
      </c>
      <c r="F10" s="5" t="s">
        <v>11</v>
      </c>
    </row>
    <row r="12" spans="2:6" x14ac:dyDescent="0.25">
      <c r="B12" t="s">
        <v>19</v>
      </c>
      <c r="D12" s="2">
        <v>12</v>
      </c>
      <c r="E12">
        <f>C4*E4+C6*E6+C7*E7+C8*E8+C10*E10</f>
        <v>8.4504999999999999</v>
      </c>
      <c r="F12">
        <f>D12*E12</f>
        <v>101.40600000000001</v>
      </c>
    </row>
    <row r="17" spans="2:11" ht="60" x14ac:dyDescent="0.25">
      <c r="C17" s="6" t="s">
        <v>13</v>
      </c>
      <c r="D17" s="6" t="s">
        <v>14</v>
      </c>
      <c r="E17" s="6" t="s">
        <v>15</v>
      </c>
    </row>
    <row r="18" spans="2:11" x14ac:dyDescent="0.25">
      <c r="B18" t="s">
        <v>12</v>
      </c>
      <c r="C18" s="7" t="s">
        <v>16</v>
      </c>
      <c r="D18" s="7" t="s">
        <v>17</v>
      </c>
      <c r="E18" s="7" t="s">
        <v>18</v>
      </c>
    </row>
    <row r="19" spans="2:11" x14ac:dyDescent="0.25">
      <c r="H19" t="s">
        <v>24</v>
      </c>
      <c r="J19" s="9" t="s">
        <v>22</v>
      </c>
      <c r="K19" s="9"/>
    </row>
    <row r="20" spans="2:11" x14ac:dyDescent="0.25">
      <c r="C20" t="s">
        <v>20</v>
      </c>
      <c r="E20" t="s">
        <v>21</v>
      </c>
      <c r="J20" s="8" t="s">
        <v>23</v>
      </c>
    </row>
    <row r="25" spans="2:11" x14ac:dyDescent="0.25">
      <c r="C25" t="s">
        <v>9</v>
      </c>
    </row>
    <row r="26" spans="2:11" x14ac:dyDescent="0.25">
      <c r="C26" t="s">
        <v>10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Solenoids</vt:lpstr>
      <vt:lpstr>Calibration</vt:lpstr>
      <vt:lpstr>Connections</vt:lpstr>
      <vt:lpstr>Electric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pernata</dc:creator>
  <cp:lastModifiedBy>pernata</cp:lastModifiedBy>
  <dcterms:created xsi:type="dcterms:W3CDTF">2022-11-26T18:36:12Z</dcterms:created>
  <dcterms:modified xsi:type="dcterms:W3CDTF">2023-04-10T15:12:55Z</dcterms:modified>
</cp:coreProperties>
</file>