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4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5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7.xml" ContentType="application/vnd.openxmlformats-officedocument.drawing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wi\Documents\Data Analytics\Portfolio\Excel\"/>
    </mc:Choice>
  </mc:AlternateContent>
  <xr:revisionPtr revIDLastSave="0" documentId="13_ncr:1_{B6E22229-5B1B-4C11-B5D1-1BA9437F8254}" xr6:coauthVersionLast="47" xr6:coauthVersionMax="47" xr10:uidLastSave="{00000000-0000-0000-0000-000000000000}"/>
  <bookViews>
    <workbookView xWindow="28680" yWindow="-120" windowWidth="29040" windowHeight="15840" tabRatio="602" firstSheet="7" activeTab="13" xr2:uid="{2961403B-B9B9-456B-86E5-F4A21B6AF6E3}"/>
  </bookViews>
  <sheets>
    <sheet name="Central Tendency" sheetId="1" r:id="rId1"/>
    <sheet name="Histogram" sheetId="3" r:id="rId2"/>
    <sheet name="Measure of Dispersion" sheetId="4" r:id="rId3"/>
    <sheet name="Rank &amp; Percentile (measureOfDi)" sheetId="7" r:id="rId4"/>
    <sheet name="Percentile (measure of D)" sheetId="10" r:id="rId5"/>
    <sheet name="Scatter Plots" sheetId="11" r:id="rId6"/>
    <sheet name=" Cleaning Data (Duplicates)" sheetId="12" r:id="rId7"/>
    <sheet name="Cleaning Data (Empty Cells)" sheetId="13" r:id="rId8"/>
    <sheet name="Conditional Statements" sheetId="15" r:id="rId9"/>
    <sheet name="Conditional (SUMIF SUMIFS)" sheetId="16" r:id="rId10"/>
    <sheet name="ERRORS" sheetId="18" r:id="rId11"/>
    <sheet name="IFERROR()" sheetId="19" r:id="rId12"/>
    <sheet name="LOOKUP()" sheetId="20" r:id="rId13"/>
    <sheet name="VLOOKUP()" sheetId="22" r:id="rId14"/>
    <sheet name="HLOOKUP()" sheetId="23" r:id="rId15"/>
    <sheet name="Pivot Tables" sheetId="27" r:id="rId16"/>
    <sheet name="Correlation &amp; Regression" sheetId="25" r:id="rId17"/>
    <sheet name="Solver" sheetId="33" r:id="rId18"/>
    <sheet name="Text Manipulation" sheetId="36" r:id="rId19"/>
    <sheet name="Dates &amp; Time" sheetId="37" r:id="rId20"/>
    <sheet name="Text to Columns" sheetId="39" r:id="rId21"/>
    <sheet name="Column Chart" sheetId="40" r:id="rId22"/>
    <sheet name="Histogram Chart" sheetId="41" r:id="rId23"/>
    <sheet name="Stacked Column Chart" sheetId="42" r:id="rId24"/>
    <sheet name="Bar Charts Conditoinal Format" sheetId="43" r:id="rId25"/>
    <sheet name="Dynamic Maps" sheetId="44" r:id="rId26"/>
    <sheet name="Stacked Area" sheetId="45" r:id="rId27"/>
    <sheet name="Conditional Format" sheetId="49" r:id="rId28"/>
  </sheets>
  <externalReferences>
    <externalReference r:id="rId29"/>
  </externalReferences>
  <definedNames>
    <definedName name="_xlnm._FilterDatabase" localSheetId="6" hidden="1">' Cleaning Data (Duplicates)'!$A$98:$C$117</definedName>
    <definedName name="_xlchart.v1.0" hidden="1">Histogram!$A$6:$B$36</definedName>
    <definedName name="_xlchart.v1.1" hidden="1">Histogram!$C$6:$C$36</definedName>
    <definedName name="_xlchart.v1.2" hidden="1">'Measure of Dispersion'!$A$93</definedName>
    <definedName name="_xlchart.v1.3" hidden="1">'Measure of Dispersion'!$A$94:$A$104</definedName>
    <definedName name="_xlchart.v1.4" hidden="1">'Measure of Dispersion'!$B$93</definedName>
    <definedName name="_xlchart.v1.5" hidden="1">'Measure of Dispersion'!$B$94:$B$104</definedName>
    <definedName name="_xlchart.v1.6" hidden="1">'Measure of Dispersion'!$A$5:$A$14</definedName>
    <definedName name="_xlchart.v1.7" hidden="1">'Histogram Chart'!$A$6:$B$36</definedName>
    <definedName name="_xlchart.v1.8" hidden="1">'Histogram Chart'!$C$5</definedName>
    <definedName name="_xlchart.v1.9" hidden="1">'Histogram Chart'!$C$6:$C$36</definedName>
    <definedName name="ExternalData_1" localSheetId="6" hidden="1">' Cleaning Data (Duplicates)'!#REF!</definedName>
    <definedName name="solver_adj" localSheetId="17" hidden="1">Solver!$B$16:$B$17</definedName>
    <definedName name="solver_cvg" localSheetId="17" hidden="1">0.0001</definedName>
    <definedName name="solver_drv" localSheetId="17" hidden="1">1</definedName>
    <definedName name="solver_eng" localSheetId="17" hidden="1">1</definedName>
    <definedName name="solver_est" localSheetId="17" hidden="1">1</definedName>
    <definedName name="solver_itr" localSheetId="17" hidden="1">2147483647</definedName>
    <definedName name="solver_lhs1" localSheetId="17" hidden="1">Solver!$B$16</definedName>
    <definedName name="solver_lhs2" localSheetId="17" hidden="1">Solver!$B$17</definedName>
    <definedName name="solver_lhs3" localSheetId="17" hidden="1">Solver!$B$17</definedName>
    <definedName name="solver_lhs4" localSheetId="17" hidden="1">Solver!$B$21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17" hidden="1">1</definedName>
    <definedName name="solver_nod" localSheetId="17" hidden="1">2147483647</definedName>
    <definedName name="solver_num" localSheetId="17" hidden="1">4</definedName>
    <definedName name="solver_nwt" localSheetId="17" hidden="1">1</definedName>
    <definedName name="solver_opt" localSheetId="17" hidden="1">Solver!$B$24</definedName>
    <definedName name="solver_pre" localSheetId="17" hidden="1">0.000001</definedName>
    <definedName name="solver_rbv" localSheetId="17" hidden="1">1</definedName>
    <definedName name="solver_rel1" localSheetId="17" hidden="1">4</definedName>
    <definedName name="solver_rel2" localSheetId="17" hidden="1">1</definedName>
    <definedName name="solver_rel3" localSheetId="17" hidden="1">3</definedName>
    <definedName name="solver_rel4" localSheetId="17" hidden="1">2</definedName>
    <definedName name="solver_rhs1" localSheetId="17" hidden="1">"integer"</definedName>
    <definedName name="solver_rhs2" localSheetId="17" hidden="1">4</definedName>
    <definedName name="solver_rhs3" localSheetId="17" hidden="1">3</definedName>
    <definedName name="solver_rhs4" localSheetId="17" hidden="1">1.5</definedName>
    <definedName name="solver_rlx" localSheetId="17" hidden="1">2</definedName>
    <definedName name="solver_rsd" localSheetId="17" hidden="1">0</definedName>
    <definedName name="solver_scl" localSheetId="17" hidden="1">1</definedName>
    <definedName name="solver_sho" localSheetId="17" hidden="1">2</definedName>
    <definedName name="solver_ssz" localSheetId="17" hidden="1">100</definedName>
    <definedName name="solver_tim" localSheetId="17" hidden="1">2147483647</definedName>
    <definedName name="solver_tol" localSheetId="17" hidden="1">0.01</definedName>
    <definedName name="solver_typ" localSheetId="17" hidden="1">3</definedName>
    <definedName name="solver_val" localSheetId="17" hidden="1">2000</definedName>
    <definedName name="solver_ver" localSheetId="17" hidden="1">3</definedName>
  </definedNames>
  <calcPr calcId="181029"/>
  <pivotCaches>
    <pivotCache cacheId="0" r:id="rId3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49" l="1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L7" i="49"/>
  <c r="L8" i="49"/>
  <c r="L9" i="49"/>
  <c r="L10" i="49"/>
  <c r="L11" i="49"/>
  <c r="L12" i="49"/>
  <c r="L13" i="49"/>
  <c r="L14" i="49"/>
  <c r="L15" i="49"/>
  <c r="L16" i="49"/>
  <c r="L17" i="49"/>
  <c r="L18" i="49"/>
  <c r="L19" i="49"/>
  <c r="L20" i="49"/>
  <c r="C7" i="49"/>
  <c r="C8" i="49"/>
  <c r="C9" i="49"/>
  <c r="C10" i="49"/>
  <c r="C11" i="49"/>
  <c r="C12" i="49"/>
  <c r="C13" i="49"/>
  <c r="C14" i="49"/>
  <c r="C15" i="49"/>
  <c r="C16" i="49"/>
  <c r="C17" i="49"/>
  <c r="C18" i="49"/>
  <c r="C19" i="49"/>
  <c r="C20" i="49"/>
  <c r="C6" i="49"/>
  <c r="D3" i="45" l="1"/>
  <c r="D4" i="45"/>
  <c r="D5" i="45"/>
  <c r="D6" i="45"/>
  <c r="D7" i="45"/>
  <c r="D8" i="45"/>
  <c r="D9" i="45"/>
  <c r="D10" i="45"/>
  <c r="D11" i="45"/>
  <c r="D12" i="45"/>
  <c r="D13" i="45"/>
  <c r="C3" i="45"/>
  <c r="C4" i="45"/>
  <c r="C5" i="45"/>
  <c r="C6" i="45"/>
  <c r="C7" i="45"/>
  <c r="C8" i="45"/>
  <c r="C9" i="45"/>
  <c r="C10" i="45"/>
  <c r="C11" i="45"/>
  <c r="C12" i="45"/>
  <c r="C13" i="45"/>
  <c r="C2" i="45"/>
  <c r="D2" i="45"/>
  <c r="B3" i="45"/>
  <c r="B4" i="45"/>
  <c r="B5" i="45"/>
  <c r="B6" i="45"/>
  <c r="B7" i="45"/>
  <c r="B8" i="45"/>
  <c r="B9" i="45"/>
  <c r="B10" i="45"/>
  <c r="B11" i="45"/>
  <c r="B12" i="45"/>
  <c r="B13" i="45"/>
  <c r="B2" i="45"/>
  <c r="D26" i="44"/>
  <c r="F26" i="44" s="1"/>
  <c r="D27" i="44"/>
  <c r="D28" i="44"/>
  <c r="D29" i="44"/>
  <c r="D30" i="44"/>
  <c r="D25" i="44"/>
  <c r="C25" i="44"/>
  <c r="E6" i="43"/>
  <c r="E7" i="43"/>
  <c r="E8" i="43"/>
  <c r="E9" i="43"/>
  <c r="E5" i="43"/>
  <c r="D6" i="43"/>
  <c r="D7" i="43"/>
  <c r="D8" i="43"/>
  <c r="D9" i="43"/>
  <c r="D5" i="43"/>
  <c r="F7" i="42"/>
  <c r="F8" i="42"/>
  <c r="F6" i="42"/>
  <c r="G7" i="42"/>
  <c r="G8" i="42"/>
  <c r="G6" i="42"/>
  <c r="C9" i="42"/>
  <c r="D9" i="42"/>
  <c r="E9" i="42"/>
  <c r="B9" i="42"/>
  <c r="C139" i="40"/>
  <c r="C138" i="40"/>
  <c r="C137" i="40"/>
  <c r="C136" i="40"/>
  <c r="C135" i="40"/>
  <c r="C82" i="40"/>
  <c r="C83" i="40"/>
  <c r="C84" i="40"/>
  <c r="C85" i="40"/>
  <c r="C86" i="40"/>
  <c r="A4" i="40"/>
  <c r="D36" i="37"/>
  <c r="D35" i="37"/>
  <c r="D33" i="37"/>
  <c r="D32" i="37"/>
  <c r="D29" i="37"/>
  <c r="D30" i="37"/>
  <c r="D28" i="37"/>
  <c r="B23" i="37"/>
  <c r="D22" i="37" s="1"/>
  <c r="A18" i="37"/>
  <c r="D18" i="37" s="1"/>
  <c r="D14" i="37"/>
  <c r="D12" i="37"/>
  <c r="D11" i="37"/>
  <c r="D10" i="37"/>
  <c r="D6" i="37"/>
  <c r="D4" i="37"/>
  <c r="D2" i="37"/>
  <c r="C43" i="36"/>
  <c r="C41" i="36"/>
  <c r="C38" i="36"/>
  <c r="C39" i="36"/>
  <c r="C37" i="36"/>
  <c r="C35" i="36"/>
  <c r="C33" i="36"/>
  <c r="C31" i="36"/>
  <c r="C25" i="36"/>
  <c r="C21" i="36"/>
  <c r="C19" i="36"/>
  <c r="C17" i="36"/>
  <c r="C14" i="36"/>
  <c r="C9" i="36"/>
  <c r="C7" i="36"/>
  <c r="C6" i="36"/>
  <c r="C3" i="36"/>
  <c r="C4" i="36"/>
  <c r="B18" i="33"/>
  <c r="B22" i="33"/>
  <c r="B9" i="33"/>
  <c r="B5" i="33"/>
  <c r="U17" i="25"/>
  <c r="E30" i="25"/>
  <c r="V10" i="25"/>
  <c r="U4" i="25"/>
  <c r="C24" i="25"/>
  <c r="B19" i="23"/>
  <c r="C10" i="23"/>
  <c r="B10" i="23"/>
  <c r="C9" i="23"/>
  <c r="B9" i="23"/>
  <c r="A9" i="23"/>
  <c r="H6" i="22"/>
  <c r="I6" i="22" s="1"/>
  <c r="F26" i="20"/>
  <c r="E13" i="45" l="1"/>
  <c r="E5" i="45"/>
  <c r="E12" i="45"/>
  <c r="E11" i="45"/>
  <c r="E3" i="45"/>
  <c r="E9" i="45"/>
  <c r="D14" i="45"/>
  <c r="C14" i="45"/>
  <c r="E7" i="45"/>
  <c r="E2" i="45"/>
  <c r="E6" i="45"/>
  <c r="E4" i="45"/>
  <c r="E10" i="45"/>
  <c r="E8" i="45"/>
  <c r="B14" i="45"/>
  <c r="F28" i="44"/>
  <c r="F30" i="44"/>
  <c r="F29" i="44"/>
  <c r="F27" i="44"/>
  <c r="E26" i="44"/>
  <c r="E28" i="44"/>
  <c r="E27" i="44"/>
  <c r="E30" i="44"/>
  <c r="E29" i="44"/>
  <c r="D25" i="37"/>
  <c r="D20" i="37"/>
  <c r="D19" i="37"/>
  <c r="B24" i="33"/>
  <c r="B11" i="33"/>
  <c r="C3" i="20"/>
  <c r="B5" i="20"/>
  <c r="C5" i="20" s="1"/>
  <c r="A5" i="20"/>
  <c r="B4" i="20"/>
  <c r="C4" i="20" s="1"/>
  <c r="A4" i="20"/>
  <c r="B3" i="20"/>
  <c r="A3" i="20"/>
  <c r="B2" i="20"/>
  <c r="C2" i="20" s="1"/>
  <c r="A2" i="20"/>
  <c r="E1" i="20"/>
  <c r="C1" i="20"/>
  <c r="B1" i="20"/>
  <c r="A1" i="20"/>
  <c r="E28" i="19"/>
  <c r="E27" i="19"/>
  <c r="E26" i="19"/>
  <c r="D28" i="19"/>
  <c r="D27" i="19"/>
  <c r="D26" i="19"/>
  <c r="F98" i="18"/>
  <c r="F99" i="18"/>
  <c r="F97" i="18"/>
  <c r="E99" i="18"/>
  <c r="E97" i="18"/>
  <c r="F88" i="18"/>
  <c r="F89" i="18"/>
  <c r="F87" i="18"/>
  <c r="E89" i="18"/>
  <c r="E87" i="18"/>
  <c r="D18" i="19"/>
  <c r="D19" i="19"/>
  <c r="D20" i="19"/>
  <c r="D16" i="19"/>
  <c r="D17" i="19"/>
  <c r="D15" i="19"/>
  <c r="D9" i="19"/>
  <c r="D6" i="19"/>
  <c r="D7" i="19"/>
  <c r="D8" i="19"/>
  <c r="D10" i="19"/>
  <c r="D5" i="19"/>
  <c r="D74" i="18"/>
  <c r="A66" i="18"/>
  <c r="A65" i="18"/>
  <c r="A64" i="18"/>
  <c r="A63" i="18"/>
  <c r="A62" i="18"/>
  <c r="A61" i="18"/>
  <c r="D55" i="18"/>
  <c r="D56" i="18"/>
  <c r="D57" i="18"/>
  <c r="D58" i="18"/>
  <c r="D59" i="18"/>
  <c r="D54" i="18"/>
  <c r="D48" i="18"/>
  <c r="D49" i="18"/>
  <c r="D50" i="18"/>
  <c r="D51" i="18"/>
  <c r="D52" i="18"/>
  <c r="C38" i="18"/>
  <c r="B38" i="18"/>
  <c r="D21" i="18"/>
  <c r="D13" i="18"/>
  <c r="D9" i="18"/>
  <c r="D10" i="18"/>
  <c r="D11" i="18"/>
  <c r="D12" i="18"/>
  <c r="D14" i="18"/>
  <c r="J9" i="16"/>
  <c r="J11" i="16"/>
  <c r="J10" i="16"/>
  <c r="J8" i="16"/>
  <c r="D50" i="15"/>
  <c r="D49" i="15"/>
  <c r="D48" i="15"/>
  <c r="D47" i="15"/>
  <c r="D46" i="15"/>
  <c r="E46" i="15" s="1"/>
  <c r="D35" i="15"/>
  <c r="E35" i="15" s="1"/>
  <c r="D34" i="15"/>
  <c r="E34" i="15" s="1"/>
  <c r="D33" i="15"/>
  <c r="E33" i="15" s="1"/>
  <c r="D32" i="15"/>
  <c r="E32" i="15" s="1"/>
  <c r="D31" i="15"/>
  <c r="E31" i="15" s="1"/>
  <c r="B23" i="15"/>
  <c r="B24" i="15"/>
  <c r="B25" i="15"/>
  <c r="B26" i="15"/>
  <c r="B22" i="15"/>
  <c r="C15" i="15"/>
  <c r="C12" i="15"/>
  <c r="C9" i="15"/>
  <c r="B3" i="15"/>
  <c r="B4" i="15"/>
  <c r="B5" i="15"/>
  <c r="B6" i="15"/>
  <c r="G12" i="10"/>
  <c r="G13" i="10" s="1"/>
  <c r="G15" i="10" s="1"/>
  <c r="G7" i="10"/>
  <c r="G6" i="10"/>
  <c r="G5" i="10"/>
  <c r="E142" i="4"/>
  <c r="E143" i="4"/>
  <c r="E144" i="4"/>
  <c r="E145" i="4"/>
  <c r="E146" i="4"/>
  <c r="E147" i="4"/>
  <c r="E141" i="4"/>
  <c r="C121" i="4"/>
  <c r="C116" i="4"/>
  <c r="E81" i="4"/>
  <c r="E82" i="4"/>
  <c r="E83" i="4"/>
  <c r="E84" i="4"/>
  <c r="E85" i="4"/>
  <c r="E86" i="4"/>
  <c r="E87" i="4"/>
  <c r="E88" i="4"/>
  <c r="E89" i="4"/>
  <c r="E80" i="4"/>
  <c r="B81" i="4"/>
  <c r="B82" i="4"/>
  <c r="B83" i="4"/>
  <c r="B84" i="4"/>
  <c r="B85" i="4"/>
  <c r="B86" i="4"/>
  <c r="B87" i="4"/>
  <c r="B88" i="4"/>
  <c r="B89" i="4"/>
  <c r="B80" i="4"/>
  <c r="E14" i="45" l="1"/>
  <c r="G18" i="10"/>
  <c r="G21" i="10"/>
  <c r="B36" i="4" l="1"/>
  <c r="B35" i="4"/>
  <c r="B30" i="4"/>
  <c r="B29" i="4"/>
  <c r="C28" i="4"/>
  <c r="C27" i="4"/>
  <c r="B23" i="4"/>
  <c r="B22" i="4"/>
  <c r="B47" i="3"/>
  <c r="B46" i="3"/>
  <c r="B44" i="3"/>
  <c r="B43" i="3"/>
  <c r="B41" i="3"/>
  <c r="B40" i="3"/>
  <c r="B39" i="3"/>
  <c r="E9" i="4"/>
  <c r="E10" i="4"/>
  <c r="E13" i="4"/>
  <c r="B39" i="4" s="1"/>
  <c r="E12" i="4"/>
  <c r="B34" i="4" s="1"/>
  <c r="E7" i="4"/>
  <c r="E6" i="4"/>
  <c r="B38" i="4" s="1"/>
  <c r="E5" i="4"/>
  <c r="B37" i="4" s="1"/>
  <c r="D4" i="1"/>
  <c r="D7" i="1"/>
  <c r="D6" i="1"/>
  <c r="D5" i="1"/>
  <c r="D3" i="1"/>
  <c r="B24" i="4" l="1"/>
  <c r="E14" i="4"/>
  <c r="C49" i="4" l="1"/>
  <c r="C4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C6671-80AC-4B85-AE7B-2DE81D60B25B}" keepAlive="1" name="Query - TSalesReport" description="Connection to the 'TSalesReport' query in the workbook." type="5" refreshedVersion="7" background="1" saveData="1">
    <dbPr connection="Provider=Microsoft.Mashup.OleDb.1;Data Source=$Workbook$;Location=TSalesReport;Extended Properties=&quot;&quot;" command="SELECT * FROM [TSalesReport]"/>
  </connection>
</connections>
</file>

<file path=xl/sharedStrings.xml><?xml version="1.0" encoding="utf-8"?>
<sst xmlns="http://schemas.openxmlformats.org/spreadsheetml/2006/main" count="1511" uniqueCount="761">
  <si>
    <t>Mean</t>
  </si>
  <si>
    <t>Median</t>
  </si>
  <si>
    <t>Mode</t>
  </si>
  <si>
    <t>Variance</t>
  </si>
  <si>
    <t>Standard Deviation</t>
  </si>
  <si>
    <t>STDEV = SQRT(VAR) STDEV=√VAR</t>
  </si>
  <si>
    <t>VAR = STDEV^2 VAR=STDEV Squared</t>
  </si>
  <si>
    <r>
      <t xml:space="preserve">Variance </t>
    </r>
    <r>
      <rPr>
        <sz val="11"/>
        <color theme="1"/>
        <rFont val="Calibri"/>
        <family val="2"/>
        <scheme val="minor"/>
      </rPr>
      <t>(avg of squared distances from the mean)</t>
    </r>
  </si>
  <si>
    <r>
      <t xml:space="preserve">Standard Deviation </t>
    </r>
    <r>
      <rPr>
        <sz val="11"/>
        <color theme="1"/>
        <rFont val="Calibri"/>
        <family val="2"/>
        <scheme val="minor"/>
      </rPr>
      <t>(avg amount of variability in dataset)</t>
    </r>
  </si>
  <si>
    <t>Description</t>
  </si>
  <si>
    <t>Ressult</t>
  </si>
  <si>
    <t>Formula</t>
  </si>
  <si>
    <t>AVERAGE(A2:A31)</t>
  </si>
  <si>
    <t>MEDIAN((A2:A11))</t>
  </si>
  <si>
    <t>MODE(A2:A32)</t>
  </si>
  <si>
    <t>VAR.S(A2:A32)</t>
  </si>
  <si>
    <t>STDEV.S(A2:A32)</t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</si>
  <si>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</si>
  <si>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</si>
  <si>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</si>
  <si>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t>Data Set</t>
  </si>
  <si>
    <t>https://www.youtube.com/watch?v=_nUhGuWkSzE</t>
  </si>
  <si>
    <t>Histogram to analyze salary distribution</t>
  </si>
  <si>
    <t>Name</t>
  </si>
  <si>
    <t>Entry Date</t>
  </si>
  <si>
    <t>Yearly Salary</t>
  </si>
  <si>
    <t>https://www.xelplus.com/excel-histogram-chart/</t>
  </si>
  <si>
    <t>Gary Miller</t>
  </si>
  <si>
    <t>James Willard</t>
  </si>
  <si>
    <t>Richard Elliot</t>
  </si>
  <si>
    <t>Robert Spear</t>
  </si>
  <si>
    <t>Roger Mun</t>
  </si>
  <si>
    <t>Paul Garza</t>
  </si>
  <si>
    <t>Robert Marquez</t>
  </si>
  <si>
    <t>Natalie Porter</t>
  </si>
  <si>
    <t>Kim West</t>
  </si>
  <si>
    <t>Stevie Bridge</t>
  </si>
  <si>
    <t>Andre Cooper</t>
  </si>
  <si>
    <t>Crystal Doyle</t>
  </si>
  <si>
    <t>Robert Musser</t>
  </si>
  <si>
    <t>Daniel Garrett</t>
  </si>
  <si>
    <t>Ann Withers</t>
  </si>
  <si>
    <t>Paul Hill</t>
  </si>
  <si>
    <t>Corinna Schmidt</t>
  </si>
  <si>
    <t>Ewan Thompson</t>
  </si>
  <si>
    <t>Walter Miller</t>
  </si>
  <si>
    <t>Paul Wells</t>
  </si>
  <si>
    <t>Betina Bauer</t>
  </si>
  <si>
    <t>Daniela Schreiber</t>
  </si>
  <si>
    <t>Dan Ziegler</t>
  </si>
  <si>
    <t>Peter Ramsy</t>
  </si>
  <si>
    <t>Wolfgang Ramjac</t>
  </si>
  <si>
    <t>Robert Richardson</t>
  </si>
  <si>
    <t>Brigitte Bond</t>
  </si>
  <si>
    <t>Robert Blume</t>
  </si>
  <si>
    <t>Mike Saban</t>
  </si>
  <si>
    <t>Maria Tot</t>
  </si>
  <si>
    <t>Lukas Hofer</t>
  </si>
  <si>
    <t>Step 1</t>
  </si>
  <si>
    <t>Select Data w/out headers &gt; Insert &gt; Histogram</t>
  </si>
  <si>
    <t>Step 2</t>
  </si>
  <si>
    <t>Axis Options</t>
  </si>
  <si>
    <t>Double Click Axis Data in Chart</t>
  </si>
  <si>
    <t>Change Bin Width</t>
  </si>
  <si>
    <t>Former:</t>
  </si>
  <si>
    <t>Overflow Bin: highest value</t>
  </si>
  <si>
    <t>Underflow Bin: lowest value</t>
  </si>
  <si>
    <t>Step 3</t>
  </si>
  <si>
    <t>Add Data Labels</t>
  </si>
  <si>
    <t>Right Click on bar &gt; Add Data Labels</t>
  </si>
  <si>
    <t>e.g., 15 people salary between 30,000-70,000</t>
  </si>
  <si>
    <r>
      <t>X- axis</t>
    </r>
    <r>
      <rPr>
        <sz val="11"/>
        <color theme="1"/>
        <rFont val="Calibri"/>
        <family val="2"/>
        <scheme val="minor"/>
      </rPr>
      <t xml:space="preserve"> (Salary)</t>
    </r>
  </si>
  <si>
    <t>Remove Y Axis</t>
  </si>
  <si>
    <t>Rt click on Y-Axis &gt; Delete</t>
  </si>
  <si>
    <t>Remove Gridlines</t>
  </si>
  <si>
    <t>Double Click: No Line</t>
  </si>
  <si>
    <t>Resources</t>
  </si>
  <si>
    <r>
      <rPr>
        <b/>
        <sz val="11"/>
        <color theme="1"/>
        <rFont val="Calibri"/>
        <family val="2"/>
        <scheme val="minor"/>
      </rPr>
      <t>Histograms</t>
    </r>
    <r>
      <rPr>
        <sz val="11"/>
        <color theme="1"/>
        <rFont val="Calibri"/>
        <family val="2"/>
        <scheme val="minor"/>
      </rPr>
      <t>: visual representation of the distribution of a dataset</t>
    </r>
  </si>
  <si>
    <t>Data Set 1</t>
  </si>
  <si>
    <t>Mean(avg)</t>
  </si>
  <si>
    <t>Max</t>
  </si>
  <si>
    <t>Min</t>
  </si>
  <si>
    <t>Range</t>
  </si>
  <si>
    <t>MAX()</t>
  </si>
  <si>
    <t>MIN()</t>
  </si>
  <si>
    <t>Result</t>
  </si>
  <si>
    <t>Functions</t>
  </si>
  <si>
    <t>ST.DEV</t>
  </si>
  <si>
    <t>AVERAGE()</t>
  </si>
  <si>
    <t>MEDIAN()</t>
  </si>
  <si>
    <t>MODE()</t>
  </si>
  <si>
    <t>Central Tendency</t>
  </si>
  <si>
    <t>Mean (avg)</t>
  </si>
  <si>
    <t>STDEV</t>
  </si>
  <si>
    <t>MIN</t>
  </si>
  <si>
    <t>Avg squared distance from the mean</t>
  </si>
  <si>
    <t>Standard Deviation (avg amount of variability in dataset)</t>
  </si>
  <si>
    <r>
      <t>Mean</t>
    </r>
    <r>
      <rPr>
        <sz val="11"/>
        <color theme="1"/>
        <rFont val="Calibri"/>
        <family val="2"/>
        <scheme val="minor"/>
      </rPr>
      <t xml:space="preserve"> (average)</t>
    </r>
  </si>
  <si>
    <r>
      <t xml:space="preserve">Median </t>
    </r>
    <r>
      <rPr>
        <sz val="11"/>
        <color theme="1"/>
        <rFont val="Calibri"/>
        <family val="2"/>
        <scheme val="minor"/>
      </rPr>
      <t>(score in the middle of data set)</t>
    </r>
  </si>
  <si>
    <r>
      <t xml:space="preserve">Mode </t>
    </r>
    <r>
      <rPr>
        <sz val="11"/>
        <color theme="1"/>
        <rFont val="Calibri"/>
        <family val="2"/>
        <scheme val="minor"/>
      </rPr>
      <t>(most reoccurance value)</t>
    </r>
  </si>
  <si>
    <r>
      <t>Measure of Dispersion</t>
    </r>
    <r>
      <rPr>
        <sz val="11"/>
        <color theme="1"/>
        <rFont val="Calibri"/>
        <family val="2"/>
        <scheme val="minor"/>
      </rPr>
      <t>: describes how far apart data points lie from each other and from the center of a distribution</t>
    </r>
  </si>
  <si>
    <t>Range(Max-Min)</t>
  </si>
  <si>
    <t>IQR contains half of the values</t>
  </si>
  <si>
    <t>first quartile, Q1, contains the first 25% of the values</t>
  </si>
  <si>
    <t>fourth quartile, Q4, contains the last 25% of the values</t>
  </si>
  <si>
    <t>Q1</t>
  </si>
  <si>
    <t>Q3</t>
  </si>
  <si>
    <t>IQR</t>
  </si>
  <si>
    <t>QUARTILE(A5:A14,1)</t>
  </si>
  <si>
    <t>QUARTILE(A5:A14,3)</t>
  </si>
  <si>
    <t>Q3-Q1</t>
  </si>
  <si>
    <r>
      <rPr>
        <b/>
        <sz val="11"/>
        <color theme="1"/>
        <rFont val="Calibri"/>
        <family val="2"/>
        <scheme val="minor"/>
      </rPr>
      <t>Interquartile Range (IQR)</t>
    </r>
    <r>
      <rPr>
        <sz val="11"/>
        <color theme="1"/>
        <rFont val="Calibri"/>
        <family val="2"/>
        <scheme val="minor"/>
      </rPr>
      <t>: spread of the middle of distribution</t>
    </r>
  </si>
  <si>
    <t>5 Number Summary</t>
  </si>
  <si>
    <t>Box &amp; Whisker Plots</t>
  </si>
  <si>
    <t>Summary of 5 Values</t>
  </si>
  <si>
    <t>Q1 Exc</t>
  </si>
  <si>
    <t>Q3 Exc</t>
  </si>
  <si>
    <t>Quartile</t>
  </si>
  <si>
    <t>Quartile Exclusion</t>
  </si>
  <si>
    <t>Quartile Inclusion</t>
  </si>
  <si>
    <t>calculation on a percentile range of 0 to 1 inclusive</t>
  </si>
  <si>
    <t>calculation on a percentile range of 0 to 1 exclusive</t>
  </si>
  <si>
    <t>LL</t>
  </si>
  <si>
    <t>LL-42.75-(27.8*1.5)</t>
  </si>
  <si>
    <t>UP</t>
  </si>
  <si>
    <t>UP=78.25+(27.8*1.5)</t>
  </si>
  <si>
    <t>* Values greater than 120 is outlier</t>
  </si>
  <si>
    <t>* Values less than 1.13 is outler</t>
  </si>
  <si>
    <t>Outliers</t>
  </si>
  <si>
    <t>Outlier (added): Dot does not show</t>
  </si>
  <si>
    <t>Lower Limit (LL) = Q1 - (IQR * 1.5)</t>
  </si>
  <si>
    <t>Upper Limit (UL) = Q3 + (IQR * 1.5)</t>
  </si>
  <si>
    <t>Standard Error</t>
  </si>
  <si>
    <t>Sample Variance</t>
  </si>
  <si>
    <t>Kurtosis</t>
  </si>
  <si>
    <t>Skewness</t>
  </si>
  <si>
    <t>Minimum</t>
  </si>
  <si>
    <t>Maximum</t>
  </si>
  <si>
    <t>Sum</t>
  </si>
  <si>
    <t>Count</t>
  </si>
  <si>
    <r>
      <t xml:space="preserve">Data &gt; Data Analysis &gt; </t>
    </r>
    <r>
      <rPr>
        <b/>
        <sz val="11"/>
        <color theme="1"/>
        <rFont val="Calibri"/>
        <family val="2"/>
        <scheme val="minor"/>
      </rPr>
      <t>Descriptive Statistics</t>
    </r>
  </si>
  <si>
    <t>* choose no labels for accuracy</t>
  </si>
  <si>
    <t>Age</t>
  </si>
  <si>
    <t>Group 1</t>
  </si>
  <si>
    <t>Group 2</t>
  </si>
  <si>
    <t>Select Chart &gt; Chart Design &gt; Addd Chart Design &gt; Legend</t>
  </si>
  <si>
    <t>Add Legend</t>
  </si>
  <si>
    <t>* Dot below minimum is Outlier</t>
  </si>
  <si>
    <r>
      <rPr>
        <b/>
        <sz val="11"/>
        <color theme="1"/>
        <rFont val="Calibri"/>
        <family val="2"/>
        <scheme val="minor"/>
      </rPr>
      <t>Z- Score</t>
    </r>
    <r>
      <rPr>
        <sz val="11"/>
        <color theme="1"/>
        <rFont val="Calibri"/>
        <family val="2"/>
        <scheme val="minor"/>
      </rPr>
      <t>: tells how many standard deviatons away a value (data point) is from a mean</t>
    </r>
  </si>
  <si>
    <t>Z-Score</t>
  </si>
  <si>
    <t>z: z=score</t>
  </si>
  <si>
    <t>x: single raw data value</t>
  </si>
  <si>
    <t>mean of dataset</t>
  </si>
  <si>
    <t>standard deviation of dataset</t>
  </si>
  <si>
    <t>z = (40 - 61.9) / 20.1</t>
  </si>
  <si>
    <t>Excel Formula</t>
  </si>
  <si>
    <t>STANDARDIZE(x, mean, stand_dev)</t>
  </si>
  <si>
    <r>
      <rPr>
        <b/>
        <sz val="11"/>
        <color theme="1"/>
        <rFont val="Calibri"/>
        <family val="2"/>
        <scheme val="minor"/>
      </rPr>
      <t>Percentile</t>
    </r>
    <r>
      <rPr>
        <sz val="11"/>
        <color theme="1"/>
        <rFont val="Calibri"/>
        <family val="2"/>
        <scheme val="minor"/>
      </rPr>
      <t>: tells what percentage of observations fall below a certain value in a dataset</t>
    </r>
  </si>
  <si>
    <t>Rank</t>
  </si>
  <si>
    <t>Percentile</t>
  </si>
  <si>
    <t>Point</t>
  </si>
  <si>
    <t>Percent</t>
  </si>
  <si>
    <t>Data &gt; Data Analysis &gt; Rank &amp; Percentile</t>
  </si>
  <si>
    <t>Data set</t>
  </si>
  <si>
    <t>RANK(number, ref, [order])</t>
  </si>
  <si>
    <t>RANK(88,B139:B147,0)</t>
  </si>
  <si>
    <t>Rank Formula</t>
  </si>
  <si>
    <t>Percentile Formula</t>
  </si>
  <si>
    <t>RANK(number,ref)</t>
  </si>
  <si>
    <t>PERCENTILE(array,k)</t>
  </si>
  <si>
    <r>
      <t>RANK(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,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)</t>
    </r>
  </si>
  <si>
    <t>RANK(88,range)</t>
  </si>
  <si>
    <t>Original</t>
  </si>
  <si>
    <t>RANK(D3,D3:D12)</t>
  </si>
  <si>
    <t>RANK(66,D3:D12)</t>
  </si>
  <si>
    <t>PERCENTILE(D3:D12,D3)</t>
  </si>
  <si>
    <t>PERCENTILE(D3:D12,D4)</t>
  </si>
  <si>
    <r>
      <t>PERCENTILE(</t>
    </r>
    <r>
      <rPr>
        <sz val="11"/>
        <color rgb="FF0070C0"/>
        <rFont val="Calibri"/>
        <family val="2"/>
        <scheme val="minor"/>
      </rPr>
      <t>range</t>
    </r>
    <r>
      <rPr>
        <sz val="11"/>
        <color theme="1"/>
        <rFont val="Calibri"/>
        <family val="2"/>
        <scheme val="minor"/>
      </rPr>
      <t>,</t>
    </r>
    <r>
      <rPr>
        <b/>
        <sz val="11"/>
        <color rgb="FF92D05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)</t>
    </r>
  </si>
  <si>
    <t>PERCENTILE(D3:D12,D6)</t>
  </si>
  <si>
    <t>See next Page</t>
  </si>
  <si>
    <t>Measure of Dispersion: Rank and Percentile Section (above)</t>
  </si>
  <si>
    <t>Example:</t>
  </si>
  <si>
    <t>I scored 80% on exam</t>
  </si>
  <si>
    <t>My Percentile: 70th</t>
  </si>
  <si>
    <t>70% of exam results were below my score of 80%</t>
  </si>
  <si>
    <t>30%^ of exam results were above my score of 80%</t>
  </si>
  <si>
    <t>Percentage: mathematical value presented out of a total of 100</t>
  </si>
  <si>
    <t>Percentile: used to display position/rank by comparing one case with several cases</t>
  </si>
  <si>
    <t>shows % of values found under the specific value</t>
  </si>
  <si>
    <t>means of comparing but cased on one case/one number</t>
  </si>
  <si>
    <t>denoted by %</t>
  </si>
  <si>
    <t>denoted by xth (25th percentile)</t>
  </si>
  <si>
    <t>Country</t>
  </si>
  <si>
    <t>Software Developer Avg Salary</t>
  </si>
  <si>
    <t>UK</t>
  </si>
  <si>
    <t>New Zealand</t>
  </si>
  <si>
    <t>France</t>
  </si>
  <si>
    <t>Canada</t>
  </si>
  <si>
    <t>Finland</t>
  </si>
  <si>
    <t>Sweden</t>
  </si>
  <si>
    <t>Australia</t>
  </si>
  <si>
    <t>Netherlands</t>
  </si>
  <si>
    <t>Germany</t>
  </si>
  <si>
    <t>Israel</t>
  </si>
  <si>
    <t>Norway</t>
  </si>
  <si>
    <t>Denmark</t>
  </si>
  <si>
    <t>Switzerland</t>
  </si>
  <si>
    <t>Usa</t>
  </si>
  <si>
    <t>25th Percentile</t>
  </si>
  <si>
    <t>50th Percentile</t>
  </si>
  <si>
    <t>75th Percentile</t>
  </si>
  <si>
    <t>How does your salary compare</t>
  </si>
  <si>
    <t>PERCENTILE.INC($B$2:$B$15,0.25)</t>
  </si>
  <si>
    <t>PERCENTILE.INC(range, percentile value)</t>
  </si>
  <si>
    <t>If earning $64,201, salary is in the 75th percentile . 75% of salaries  are below $64,201.</t>
  </si>
  <si>
    <t>PERCENTRANK.INC(B3:B16,G9)</t>
  </si>
  <si>
    <t>PERCENTRANK.INC(array,significance)</t>
  </si>
  <si>
    <t>If I make $&amp;$G$9&amp;" this "&amp;$G$12*100&amp;"% are below my salary"</t>
  </si>
  <si>
    <t>Percentile Rank:</t>
  </si>
  <si>
    <t>Percentage Rank:</t>
  </si>
  <si>
    <t>TEXT($G$12,"0%") &amp; " of salaries are BELOW your salary"</t>
  </si>
  <si>
    <t>TEXT(1-$G$12,"0%") &amp; " of salaries are ABOVE your salary"</t>
  </si>
  <si>
    <t>Percentile.Exclusion</t>
  </si>
  <si>
    <t>exludes the 0th and the 100th percentile</t>
  </si>
  <si>
    <t>Percentile Inclusion</t>
  </si>
  <si>
    <t>https://www.youtube.com/watch?v=U-5iQpz3C5I</t>
  </si>
  <si>
    <t>Avg Salary</t>
  </si>
  <si>
    <t>Point (Percentile)</t>
  </si>
  <si>
    <t>Insert &gt; Chart &gt; Scatter</t>
  </si>
  <si>
    <t>Sales</t>
  </si>
  <si>
    <t>Sales Agent</t>
  </si>
  <si>
    <t>Region</t>
  </si>
  <si>
    <t>Europe</t>
  </si>
  <si>
    <t>Asia</t>
  </si>
  <si>
    <t>North America</t>
  </si>
  <si>
    <t>South America</t>
  </si>
  <si>
    <t>1. Insert Table</t>
  </si>
  <si>
    <t>Remove Duplicates Feature</t>
  </si>
  <si>
    <t>1. Keep original Dataset or Not (Copy if Keep)</t>
  </si>
  <si>
    <t>2. Data &gt; Data Tools &gt; Remove Duplicates</t>
  </si>
  <si>
    <t>Remove Duplicates Unique Function</t>
  </si>
  <si>
    <t>* Only availbe for Office 365</t>
  </si>
  <si>
    <t>Add Labels/headers</t>
  </si>
  <si>
    <r>
      <t>*</t>
    </r>
    <r>
      <rPr>
        <b/>
        <sz val="11"/>
        <color theme="1"/>
        <rFont val="Calibri"/>
        <family val="2"/>
        <scheme val="minor"/>
      </rPr>
      <t>=UNIQUE</t>
    </r>
    <r>
      <rPr>
        <sz val="11"/>
        <color theme="1"/>
        <rFont val="Calibri"/>
        <family val="2"/>
        <scheme val="minor"/>
      </rPr>
      <t>(Table exclude labels)</t>
    </r>
  </si>
  <si>
    <t>Remove Duplicates Using Power Query</t>
  </si>
  <si>
    <t>2. Data &gt; Get &amp; Transform Data &gt; From Sheet</t>
  </si>
  <si>
    <t>* does not have "from sheet"</t>
  </si>
  <si>
    <t>https://www.youtube.com/watch?v=ADArCWLz55Y&amp;t=1s</t>
  </si>
  <si>
    <t>https://www.xelplus.com/excel-remove-duplicates/#method-1-excel-s-remove-duplicates-feature</t>
  </si>
  <si>
    <t>Sales Person</t>
  </si>
  <si>
    <t>Jack Potter</t>
  </si>
  <si>
    <t>Bob Caldwell</t>
  </si>
  <si>
    <t>Taj Shand</t>
  </si>
  <si>
    <t>Justine Hoffer</t>
  </si>
  <si>
    <t>Sheridan Smith</t>
  </si>
  <si>
    <t>Ctrl G &gt; Alt S</t>
  </si>
  <si>
    <r>
      <rPr>
        <b/>
        <sz val="11"/>
        <color theme="1"/>
        <rFont val="Calibri"/>
        <family val="2"/>
        <scheme val="minor"/>
      </rPr>
      <t>Ctrl -</t>
    </r>
    <r>
      <rPr>
        <sz val="11"/>
        <color theme="1"/>
        <rFont val="Calibri"/>
        <family val="2"/>
        <scheme val="minor"/>
      </rPr>
      <t xml:space="preserve"> &gt; Shift cells up</t>
    </r>
  </si>
  <si>
    <t>Ctrl G &gt; Specials</t>
  </si>
  <si>
    <t>https://www.youtube.com/watch?v=_9QFKGfCZ5Q</t>
  </si>
  <si>
    <t>or</t>
  </si>
  <si>
    <t>F5 &gt; Go To Special or Alt S</t>
  </si>
  <si>
    <t>Alternative Method</t>
  </si>
  <si>
    <t>Home &gt; Cells &gt; Delete</t>
  </si>
  <si>
    <t>Removing Duplicates Advanced Filter</t>
  </si>
  <si>
    <t>2. Data &gt; Sort &amp; Filter &gt; Advanced</t>
  </si>
  <si>
    <t>Number</t>
  </si>
  <si>
    <t>Greater than 50?</t>
  </si>
  <si>
    <t>F($A2&gt;50,"Yes","No")</t>
  </si>
  <si>
    <t>IF(logical_test,True,False)</t>
  </si>
  <si>
    <t>IF(OR(logical_1,logical_2),TRUE,FALSE)</t>
  </si>
  <si>
    <t>IF(AND(logical_1,logical_2),TRUE,FALSE)</t>
  </si>
  <si>
    <t>IF(NOT(logical_1),TRUE,FALSE)</t>
  </si>
  <si>
    <t>NESTED If Statements</t>
  </si>
  <si>
    <t>IF(condition_1, IF(condition_2, "value_1", "value_2"),"value_3")</t>
  </si>
  <si>
    <t>Numbers</t>
  </si>
  <si>
    <t>Greater than 50 and 75?</t>
  </si>
  <si>
    <t>IF($A22&gt;50, IF($A22&gt;75, "YES","Only greater than 50"),"Smaller than 50")</t>
  </si>
  <si>
    <t>Person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</si>
  <si>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</si>
  <si>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</si>
  <si>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</si>
  <si>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</si>
  <si>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</si>
  <si>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</si>
  <si>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</si>
  <si>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</si>
  <si>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</si>
  <si>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</si>
  <si>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</si>
  <si>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</si>
  <si>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</si>
  <si>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James J</t>
  </si>
  <si>
    <t>Legalas</t>
  </si>
  <si>
    <t>Gandalf</t>
  </si>
  <si>
    <t>JLP</t>
  </si>
  <si>
    <t>John S</t>
  </si>
  <si>
    <t>COUNTIF(cell_range,criteria)</t>
  </si>
  <si>
    <r>
      <t>COUNTIF(</t>
    </r>
    <r>
      <rPr>
        <sz val="11"/>
        <color rgb="FF00B0F0"/>
        <rFont val="Calibri"/>
        <family val="2"/>
        <scheme val="minor"/>
      </rPr>
      <t>$A$30:A41</t>
    </r>
    <r>
      <rPr>
        <sz val="11"/>
        <color theme="1"/>
        <rFont val="Calibri"/>
        <family val="2"/>
        <scheme val="minor"/>
      </rPr>
      <t>,$</t>
    </r>
    <r>
      <rPr>
        <sz val="11"/>
        <color rgb="FFFF0000"/>
        <rFont val="Calibri"/>
        <family val="2"/>
        <scheme val="minor"/>
      </rPr>
      <t>D30</t>
    </r>
    <r>
      <rPr>
        <sz val="11"/>
        <color theme="1"/>
        <rFont val="Calibri"/>
        <family val="2"/>
        <scheme val="minor"/>
      </rPr>
      <t>)</t>
    </r>
  </si>
  <si>
    <t>* Count sum of "John S" from Range</t>
  </si>
  <si>
    <t>* Count sum of D30 from A30:A41</t>
  </si>
  <si>
    <t>COUNTIFS(cell_range_to_count_1, criteria_1,  ccell_range_to_count2, criteria_2)</t>
  </si>
  <si>
    <r>
      <t>COUNTIFS(</t>
    </r>
    <r>
      <rPr>
        <sz val="11"/>
        <color rgb="FF00B0F0"/>
        <rFont val="Calibri"/>
        <family val="2"/>
        <scheme val="minor"/>
      </rPr>
      <t>$A$46:$A$57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$D46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$B$46:$B$57</t>
    </r>
    <r>
      <rPr>
        <sz val="11"/>
        <color theme="1"/>
        <rFont val="Calibri"/>
        <family val="2"/>
        <scheme val="minor"/>
      </rPr>
      <t>,</t>
    </r>
    <r>
      <rPr>
        <sz val="11"/>
        <color rgb="FF00B050"/>
        <rFont val="Calibri"/>
        <family val="2"/>
        <scheme val="minor"/>
      </rPr>
      <t>E$45</t>
    </r>
    <r>
      <rPr>
        <sz val="11"/>
        <color theme="1"/>
        <rFont val="Calibri"/>
        <family val="2"/>
        <scheme val="minor"/>
      </rPr>
      <t>)</t>
    </r>
  </si>
  <si>
    <t>*write each w/out locking cells bc issues</t>
  </si>
  <si>
    <t>COUNTIF() &amp; COUNTIFS()</t>
  </si>
  <si>
    <t>Value</t>
  </si>
  <si>
    <t>Product</t>
  </si>
  <si>
    <t>Sales Revenue</t>
  </si>
  <si>
    <t>Jan</t>
  </si>
  <si>
    <t>Shirt white</t>
  </si>
  <si>
    <t>USA</t>
  </si>
  <si>
    <t>Shirt blue</t>
  </si>
  <si>
    <t>Feb</t>
  </si>
  <si>
    <t>Shirt yellow</t>
  </si>
  <si>
    <t>Mar</t>
  </si>
  <si>
    <t>Apr</t>
  </si>
  <si>
    <t>Find total sales for the below criteria:</t>
  </si>
  <si>
    <t>SUMIF(A2:A20,G4,D2:D20)</t>
  </si>
  <si>
    <t>SUMIF(range, criteria, sum_range)</t>
  </si>
  <si>
    <t>SUMIFS(D2:D20,A2:A20,G7,B2:B20,H7)</t>
  </si>
  <si>
    <t>SUMIFS(sum_range, criterial_range1, criteria1, criteria_range2, criteria2)</t>
  </si>
  <si>
    <t>SUMIFS(sum_range, [criteria_range1, criteria1],[2],[3],[4]...)</t>
  </si>
  <si>
    <r>
      <t>SUMIFS(D2:D20,A2:A20,G8,B2:B20,</t>
    </r>
    <r>
      <rPr>
        <sz val="11"/>
        <color rgb="FFFF3399"/>
        <rFont val="Calibri"/>
        <family val="2"/>
        <scheme val="minor"/>
      </rPr>
      <t>H10</t>
    </r>
    <r>
      <rPr>
        <sz val="11"/>
        <color theme="1"/>
        <rFont val="Calibri"/>
        <family val="2"/>
        <scheme val="minor"/>
      </rPr>
      <t>,C2:C20,I8)</t>
    </r>
  </si>
  <si>
    <r>
      <t>SUMIFS(D3:D21,A3:A21,G11,B3:B21,</t>
    </r>
    <r>
      <rPr>
        <b/>
        <sz val="11"/>
        <color rgb="FFFF3399"/>
        <rFont val="Calibri"/>
        <family val="2"/>
        <scheme val="minor"/>
      </rPr>
      <t>"Shirt wh*"</t>
    </r>
    <r>
      <rPr>
        <sz val="11"/>
        <color theme="1"/>
        <rFont val="Calibri"/>
        <family val="2"/>
        <scheme val="minor"/>
      </rPr>
      <t>,C3:C21,I11)</t>
    </r>
  </si>
  <si>
    <t>(String Example)</t>
  </si>
  <si>
    <t>Customer</t>
  </si>
  <si>
    <t>PY</t>
  </si>
  <si>
    <t>Maxim</t>
  </si>
  <si>
    <t>Loco</t>
  </si>
  <si>
    <t>Limba</t>
  </si>
  <si>
    <t>Nadar</t>
  </si>
  <si>
    <t>Tampay</t>
  </si>
  <si>
    <t>Karlson</t>
  </si>
  <si>
    <t xml:space="preserve">Error: </t>
  </si>
  <si>
    <t>####</t>
  </si>
  <si>
    <t>Solution</t>
  </si>
  <si>
    <t>Expand Cell</t>
  </si>
  <si>
    <t>Example</t>
  </si>
  <si>
    <t>Desc</t>
  </si>
  <si>
    <t>Wrong Data Type Used</t>
  </si>
  <si>
    <t>text</t>
  </si>
  <si>
    <t>Error</t>
  </si>
  <si>
    <t>Problem</t>
  </si>
  <si>
    <t>Number - String</t>
  </si>
  <si>
    <t>Solutiion</t>
  </si>
  <si>
    <t>B12-SUM(C12)</t>
  </si>
  <si>
    <t>string is treated as a 0</t>
  </si>
  <si>
    <t>Empty cell treated as a 0</t>
  </si>
  <si>
    <t>#SPILL!</t>
  </si>
  <si>
    <t>Occurs when use a function that spill to multiple cells</t>
  </si>
  <si>
    <t>x</t>
  </si>
  <si>
    <t>add(C32:C37)</t>
  </si>
  <si>
    <t>SUM()</t>
  </si>
  <si>
    <t>Correct</t>
  </si>
  <si>
    <t>Incorrect function name</t>
  </si>
  <si>
    <t>#REF</t>
  </si>
  <si>
    <t>#REF!-B47</t>
  </si>
  <si>
    <t>Accidently Deleted Column B (B-C)</t>
  </si>
  <si>
    <t>Copied and Pasted Column D</t>
  </si>
  <si>
    <t>cells changed</t>
  </si>
  <si>
    <t>Deleted Column</t>
  </si>
  <si>
    <t>Occurs when dividing # with 0</t>
  </si>
  <si>
    <t>B73/0</t>
  </si>
  <si>
    <t>B5/C5-1</t>
  </si>
  <si>
    <t>Cannot divide by 0</t>
  </si>
  <si>
    <t>empty cell considered 0</t>
  </si>
  <si>
    <t>IFERROR(B15/C15-1, "")</t>
  </si>
  <si>
    <t>IFERROR(B19/C19-1, "Error")</t>
  </si>
  <si>
    <r>
      <rPr>
        <b/>
        <sz val="11"/>
        <color theme="1"/>
        <rFont val="Calibri"/>
        <family val="2"/>
        <scheme val="minor"/>
      </rPr>
      <t>Solution</t>
    </r>
    <r>
      <rPr>
        <sz val="11"/>
        <color theme="1"/>
        <rFont val="Calibri"/>
        <family val="2"/>
        <scheme val="minor"/>
      </rPr>
      <t>: Use IF or error handling IFERROR directly into the Formula</t>
    </r>
  </si>
  <si>
    <t>IFERROR(B16/C16-1, "")</t>
  </si>
  <si>
    <t>Common error when using Lookup Functions in Excel</t>
  </si>
  <si>
    <t>Limbo</t>
  </si>
  <si>
    <t>VLOOKUP($E87,$A$87:$B$92,2,FALSE)</t>
  </si>
  <si>
    <t>Limbo does not exist</t>
  </si>
  <si>
    <r>
      <rPr>
        <b/>
        <sz val="11"/>
        <color theme="1"/>
        <rFont val="Calibri"/>
        <family val="2"/>
        <scheme val="minor"/>
      </rPr>
      <t>IFNA</t>
    </r>
    <r>
      <rPr>
        <sz val="11"/>
        <color theme="1"/>
        <rFont val="Calibri"/>
        <family val="2"/>
        <scheme val="minor"/>
      </rPr>
      <t xml:space="preserve"> function</t>
    </r>
  </si>
  <si>
    <t>IFNA(VLOOKUP($E98,$A$87:$B$92,2,FALSE),"who?")</t>
  </si>
  <si>
    <t>value: the formula ($E98,$A$87:$B$92,2,FALSE))</t>
  </si>
  <si>
    <t>IFNA(VLOOKUP(value, value_if_na)</t>
  </si>
  <si>
    <t>IFERROR()</t>
  </si>
  <si>
    <t>See worksheet IFERROR()</t>
  </si>
  <si>
    <t>Num1</t>
  </si>
  <si>
    <t>Num2</t>
  </si>
  <si>
    <t>Equation</t>
  </si>
  <si>
    <t>5/0</t>
  </si>
  <si>
    <t>Calculation</t>
  </si>
  <si>
    <t>w IFERROR()</t>
  </si>
  <si>
    <t>IFERROR($A$27/$B$27, "Invalid")</t>
  </si>
  <si>
    <t>Salary</t>
  </si>
  <si>
    <t>Bonus</t>
  </si>
  <si>
    <t>lookup_value</t>
  </si>
  <si>
    <t>LOOKUP(lookup_value, lookup_vector, result_vector)</t>
  </si>
  <si>
    <t>LOOKUP(lookup_value, array)</t>
  </si>
  <si>
    <t>result vector (range)</t>
  </si>
  <si>
    <t>lookup vector (range)</t>
  </si>
  <si>
    <r>
      <t>LOOKUP(</t>
    </r>
    <r>
      <rPr>
        <sz val="11"/>
        <color rgb="FF00B0F0"/>
        <rFont val="Calibri"/>
        <family val="2"/>
        <scheme val="minor"/>
      </rPr>
      <t>$B2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$G$2:G6</t>
    </r>
    <r>
      <rPr>
        <sz val="11"/>
        <color theme="1"/>
        <rFont val="Calibri"/>
        <family val="2"/>
        <scheme val="minor"/>
      </rPr>
      <t>,</t>
    </r>
    <r>
      <rPr>
        <sz val="11"/>
        <color rgb="FF7030A0"/>
        <rFont val="Calibri"/>
        <family val="2"/>
        <scheme val="minor"/>
      </rPr>
      <t>$H$2:$H$6</t>
    </r>
    <r>
      <rPr>
        <sz val="11"/>
        <color theme="1"/>
        <rFont val="Calibri"/>
        <family val="2"/>
        <scheme val="minor"/>
      </rPr>
      <t>)</t>
    </r>
  </si>
  <si>
    <t>Lookup_value in lookup_vector to return result_vector</t>
  </si>
  <si>
    <t>Problem: lookup vectors must be sorted in ascending order</t>
  </si>
  <si>
    <t>Solution: rt click on range &gt; sort &gt; a to z</t>
  </si>
  <si>
    <t>E.g., 2</t>
  </si>
  <si>
    <t>Employee ID</t>
  </si>
  <si>
    <t>Email</t>
  </si>
  <si>
    <t>Job Role</t>
  </si>
  <si>
    <t>Search value:</t>
  </si>
  <si>
    <t>Result:</t>
  </si>
  <si>
    <t>Jin</t>
  </si>
  <si>
    <t>Chris</t>
  </si>
  <si>
    <t>Anna</t>
  </si>
  <si>
    <t>Danielle</t>
  </si>
  <si>
    <t>Eleanor</t>
  </si>
  <si>
    <t>Ros</t>
  </si>
  <si>
    <t>Abbie</t>
  </si>
  <si>
    <t>Andy</t>
  </si>
  <si>
    <t>David</t>
  </si>
  <si>
    <t>jim@fake.com</t>
  </si>
  <si>
    <t>chris@fake.com</t>
  </si>
  <si>
    <t>anna@fake.com</t>
  </si>
  <si>
    <t>danielle@fake.com</t>
  </si>
  <si>
    <t>eleanor@fake.com</t>
  </si>
  <si>
    <t>ros@fake.com</t>
  </si>
  <si>
    <t>abbie@fake.com</t>
  </si>
  <si>
    <t>andy@fake.com</t>
  </si>
  <si>
    <t>david@fake.com</t>
  </si>
  <si>
    <t>Marketing</t>
  </si>
  <si>
    <t>CS</t>
  </si>
  <si>
    <t>Finance</t>
  </si>
  <si>
    <t>LOOKUP(E26,A25:A33,C25:C33)</t>
  </si>
  <si>
    <t xml:space="preserve">Lookup 103 in Employee ID Table and return from Email Table </t>
  </si>
  <si>
    <t>ZIP</t>
  </si>
  <si>
    <t>Sara</t>
  </si>
  <si>
    <t>Joe</t>
  </si>
  <si>
    <t>Search Value:</t>
  </si>
  <si>
    <r>
      <t xml:space="preserve">Lookup's Value </t>
    </r>
    <r>
      <rPr>
        <b/>
        <sz val="11"/>
        <color theme="1"/>
        <rFont val="Calibri"/>
        <family val="2"/>
        <scheme val="minor"/>
      </rPr>
      <t>Table Array</t>
    </r>
    <r>
      <rPr>
        <sz val="11"/>
        <color theme="1"/>
        <rFont val="Calibri"/>
        <family val="2"/>
        <scheme val="minor"/>
      </rPr>
      <t xml:space="preserve"> MUST BE Positioned on the Left</t>
    </r>
  </si>
  <si>
    <r>
      <t>Table Array must be</t>
    </r>
    <r>
      <rPr>
        <b/>
        <sz val="11"/>
        <color theme="1"/>
        <rFont val="Calibri"/>
        <family val="2"/>
        <scheme val="minor"/>
      </rPr>
      <t xml:space="preserve"> Sorted</t>
    </r>
  </si>
  <si>
    <t>Lookup_value: Joe</t>
  </si>
  <si>
    <t>Column_Index: 2</t>
  </si>
  <si>
    <t>Look up "Joe" From Table, Bring Back cell from column 2</t>
  </si>
  <si>
    <t>VLOOKUP(lookup_value, table_array, col_index_num, [range_lookup])</t>
  </si>
  <si>
    <t>VLOOKUP(lookup_value, table_array, col_index_num, TRUE/FALSE</t>
  </si>
  <si>
    <t>TRUE: approximate match</t>
  </si>
  <si>
    <t>FALSE: EXACT MATCH</t>
  </si>
  <si>
    <r>
      <t>VLOOKUP(</t>
    </r>
    <r>
      <rPr>
        <sz val="11"/>
        <color rgb="FF00B0F0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>,</t>
    </r>
    <r>
      <rPr>
        <sz val="11"/>
        <color rgb="FFFF0000"/>
        <rFont val="Calibri"/>
        <family val="2"/>
        <scheme val="minor"/>
      </rPr>
      <t>A1:B4</t>
    </r>
    <r>
      <rPr>
        <sz val="11"/>
        <color theme="1"/>
        <rFont val="Calibri"/>
        <family val="2"/>
        <scheme val="minor"/>
      </rPr>
      <t>,2,FALSE)</t>
    </r>
  </si>
  <si>
    <t>Column:</t>
  </si>
  <si>
    <t>Emp Name</t>
  </si>
  <si>
    <t>Emp ID</t>
  </si>
  <si>
    <t>East</t>
  </si>
  <si>
    <t>West</t>
  </si>
  <si>
    <t>North</t>
  </si>
  <si>
    <t>South</t>
  </si>
  <si>
    <t>A</t>
  </si>
  <si>
    <t>B</t>
  </si>
  <si>
    <t>C</t>
  </si>
  <si>
    <t>D</t>
  </si>
  <si>
    <t>E</t>
  </si>
  <si>
    <t>HLOOKUP(A10,B3:F5,3,FALSE)</t>
  </si>
  <si>
    <t>HLOOKUP(A19,B15:E16,2,FALSE)</t>
  </si>
  <si>
    <t>Row 1</t>
  </si>
  <si>
    <t>Row 2</t>
  </si>
  <si>
    <t>Row 3</t>
  </si>
  <si>
    <t>Hours Studied</t>
  </si>
  <si>
    <t>Examp Grade</t>
  </si>
  <si>
    <r>
      <rPr>
        <b/>
        <sz val="11"/>
        <color theme="1"/>
        <rFont val="Calibri"/>
        <family val="2"/>
        <scheme val="minor"/>
      </rPr>
      <t>Correlatoin</t>
    </r>
    <r>
      <rPr>
        <sz val="11"/>
        <color theme="1"/>
        <rFont val="Calibri"/>
        <family val="2"/>
        <scheme val="minor"/>
      </rPr>
      <t>:</t>
    </r>
  </si>
  <si>
    <t>determines if two variables have a linear relationship</t>
  </si>
  <si>
    <r>
      <rPr>
        <b/>
        <sz val="11"/>
        <color theme="1"/>
        <rFont val="Calibri"/>
        <family val="2"/>
        <scheme val="minor"/>
      </rPr>
      <t>correlatoin coefficient</t>
    </r>
    <r>
      <rPr>
        <sz val="11"/>
        <color theme="1"/>
        <rFont val="Calibri"/>
        <family val="2"/>
        <scheme val="minor"/>
      </rPr>
      <t>:</t>
    </r>
  </si>
  <si>
    <t>used to indicate the data coefficient</t>
  </si>
  <si>
    <r>
      <rPr>
        <b/>
        <sz val="11"/>
        <color theme="1"/>
        <rFont val="Calibri"/>
        <family val="2"/>
        <scheme val="minor"/>
      </rPr>
      <t>positve</t>
    </r>
    <r>
      <rPr>
        <sz val="11"/>
        <color theme="1"/>
        <rFont val="Calibri"/>
        <family val="2"/>
        <scheme val="minor"/>
      </rPr>
      <t xml:space="preserve"> correlatoin:</t>
    </r>
  </si>
  <si>
    <t>as one variable increases so does the other</t>
  </si>
  <si>
    <r>
      <rPr>
        <b/>
        <sz val="11"/>
        <color theme="1"/>
        <rFont val="Calibri"/>
        <family val="2"/>
        <scheme val="minor"/>
      </rPr>
      <t>negative</t>
    </r>
    <r>
      <rPr>
        <sz val="11"/>
        <color theme="1"/>
        <rFont val="Calibri"/>
        <family val="2"/>
        <scheme val="minor"/>
      </rPr>
      <t xml:space="preserve"> (inverse) correlatoin</t>
    </r>
  </si>
  <si>
    <t xml:space="preserve"> as one variable increaesd the other variable decreases</t>
  </si>
  <si>
    <r>
      <rPr>
        <b/>
        <sz val="11"/>
        <color theme="1"/>
        <rFont val="Calibri"/>
        <family val="2"/>
        <scheme val="minor"/>
      </rPr>
      <t>no correlation</t>
    </r>
    <r>
      <rPr>
        <sz val="11"/>
        <color theme="1"/>
        <rFont val="Calibri"/>
        <family val="2"/>
        <scheme val="minor"/>
      </rPr>
      <t>:</t>
    </r>
  </si>
  <si>
    <t>there is no associatoin between the changes in the two variables</t>
  </si>
  <si>
    <t>regression:</t>
  </si>
  <si>
    <t>describes the cause &amp; effect between the two</t>
  </si>
  <si>
    <t>Regression represents how the single variable affects the other variable,</t>
  </si>
  <si>
    <t>or a single variable can be responsible for the changes in another variable</t>
  </si>
  <si>
    <t>Data &gt; Data Analysis &gt; Correlation</t>
  </si>
  <si>
    <t>Correlation b/w exam grade and hours studies is .86; r = .86</t>
  </si>
  <si>
    <t>Positive</t>
  </si>
  <si>
    <t>Negative</t>
  </si>
  <si>
    <t>Negative or below 0</t>
  </si>
  <si>
    <t>Data &gt; Data Analysis &gt; Analyze Section &gt; Regression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</si>
  <si>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</si>
  <si>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</si>
  <si>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</si>
  <si>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</si>
  <si>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</si>
  <si>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</si>
  <si>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</si>
  <si>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</si>
  <si>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</si>
  <si>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</si>
  <si>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</si>
  <si>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</si>
  <si>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</si>
  <si>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</si>
  <si>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</si>
  <si>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</si>
  <si>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</si>
  <si>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</si>
  <si>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</si>
  <si>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</si>
  <si>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</si>
  <si>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</si>
  <si>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</si>
  <si>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</si>
  <si>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</si>
  <si>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Hours Studied</t>
  </si>
  <si>
    <t>Residuals</t>
  </si>
  <si>
    <t>Standard Residuals</t>
  </si>
  <si>
    <t>PROBABILITY OUTPUT</t>
  </si>
  <si>
    <t>See Data Analysis Notes</t>
  </si>
  <si>
    <t>Row Labels</t>
  </si>
  <si>
    <t>Grand Total</t>
  </si>
  <si>
    <t>Sum of Yearly Salary</t>
  </si>
  <si>
    <t>(All)</t>
  </si>
  <si>
    <t>Insert &gt; Table</t>
  </si>
  <si>
    <t>Add trendline: rt click point &gt; Add Trendline</t>
  </si>
  <si>
    <t>Additional Options: e.g., chart title</t>
  </si>
  <si>
    <t>Linear Positive Correlation</t>
  </si>
  <si>
    <t>X</t>
  </si>
  <si>
    <t>Y</t>
  </si>
  <si>
    <t>Slope:</t>
  </si>
  <si>
    <t>Y-Intercept</t>
  </si>
  <si>
    <t>SLOPE(B4:B16,A4:A16)</t>
  </si>
  <si>
    <t>SLOPE(Y,X)</t>
  </si>
  <si>
    <t>*=SLOPE()*</t>
  </si>
  <si>
    <t>slope=(y2-y1)/(x2-x1)</t>
  </si>
  <si>
    <t>Y-interept</t>
  </si>
  <si>
    <t>INTERCEPT(B4:B16,A4:A16)</t>
  </si>
  <si>
    <t>Intercept(Y's,X's)</t>
  </si>
  <si>
    <t>Y=mx+b</t>
  </si>
  <si>
    <t>m:slope</t>
  </si>
  <si>
    <t>b: y-intercept</t>
  </si>
  <si>
    <t>Correlaton Coefficient ( R )</t>
  </si>
  <si>
    <t>SQRT(0.8574)</t>
  </si>
  <si>
    <t>R =</t>
  </si>
  <si>
    <t>Close to  or equal 1</t>
  </si>
  <si>
    <t>No Correlatoin</t>
  </si>
  <si>
    <t>Units Sold</t>
  </si>
  <si>
    <t>Price Per Unit</t>
  </si>
  <si>
    <t>Revenue</t>
  </si>
  <si>
    <t>Cost Per Unit</t>
  </si>
  <si>
    <t>Costs</t>
  </si>
  <si>
    <t>Income</t>
  </si>
  <si>
    <t>Input</t>
  </si>
  <si>
    <t>B3*B4</t>
  </si>
  <si>
    <t>B3*B8</t>
  </si>
  <si>
    <t>B5-B9</t>
  </si>
  <si>
    <t>Data &gt; Analyze &gt; Solver</t>
  </si>
  <si>
    <t>Solver</t>
  </si>
  <si>
    <t>Adjusts values in the decision varible cells to satisfy the limits on constraints cells</t>
  </si>
  <si>
    <t>produces results in the objective cell</t>
  </si>
  <si>
    <t>B16*17</t>
  </si>
  <si>
    <t>B18-B22</t>
  </si>
  <si>
    <t>Set Objective:</t>
  </si>
  <si>
    <t>Value I want</t>
  </si>
  <si>
    <t>Value of: $2000</t>
  </si>
  <si>
    <t>Changing Variable Cells:</t>
  </si>
  <si>
    <t>Cells I want auto modified to attain set objective</t>
  </si>
  <si>
    <t>Constraints:</t>
  </si>
  <si>
    <t>Add-In</t>
  </si>
  <si>
    <t>B16*B21</t>
  </si>
  <si>
    <t>LEFT()</t>
  </si>
  <si>
    <t>Text</t>
  </si>
  <si>
    <t>Function</t>
  </si>
  <si>
    <t>123-B-ccr</t>
  </si>
  <si>
    <t>LEFT(B3,2)</t>
  </si>
  <si>
    <t>Bring Back 2 characters from the left</t>
  </si>
  <si>
    <t>LEFT(B3)</t>
  </si>
  <si>
    <t>Bring back first character from the left</t>
  </si>
  <si>
    <t>RIGHT()</t>
  </si>
  <si>
    <t>Bring back farthest right character</t>
  </si>
  <si>
    <t>RIGHT(B7)</t>
  </si>
  <si>
    <t>RIGHT(B8,2)</t>
  </si>
  <si>
    <t>Bring back last two characters</t>
  </si>
  <si>
    <t>MID()</t>
  </si>
  <si>
    <t>MID(B10,5,1)</t>
  </si>
  <si>
    <t>LEFT(text, num_char)</t>
  </si>
  <si>
    <t>RIGHT(text, num_char)</t>
  </si>
  <si>
    <t>MID(text, start_num, num_char)</t>
  </si>
  <si>
    <t>FIND()</t>
  </si>
  <si>
    <t>start_num: start at position 5</t>
  </si>
  <si>
    <t>text: cell</t>
  </si>
  <si>
    <t>num_char: return how many characters</t>
  </si>
  <si>
    <t>FIND("-",A14)</t>
  </si>
  <si>
    <t>FIND(find_text, within_text, start_num)</t>
  </si>
  <si>
    <t>find_num: find string position for "-"</t>
  </si>
  <si>
    <t>within_text: within cell</t>
  </si>
  <si>
    <t>FIND("-",A17,FIND("-",A17)+1)</t>
  </si>
  <si>
    <t>Find 2nd position of string "-:</t>
  </si>
  <si>
    <t>start_num: optional</t>
  </si>
  <si>
    <t>FIND(find_text, withing_text, FIND()+1)</t>
  </si>
  <si>
    <t>FIND Nested</t>
  </si>
  <si>
    <t>LEN()</t>
  </si>
  <si>
    <t>LEN(A19)</t>
  </si>
  <si>
    <t>LEN(text)</t>
  </si>
  <si>
    <t>ccr</t>
  </si>
  <si>
    <t>CONCAT()</t>
  </si>
  <si>
    <t>CONCATENATE(A21,"-",A22,"-",A23)</t>
  </si>
  <si>
    <t>CONCATENATE(text1, text2, …)</t>
  </si>
  <si>
    <t>&amp;</t>
  </si>
  <si>
    <t>(A25&amp;"-"&amp;A26&amp;"-"&amp;A27)</t>
  </si>
  <si>
    <t>* Functions are Combinable*</t>
  </si>
  <si>
    <t>Kelly Xu</t>
  </si>
  <si>
    <t>LOWER()</t>
  </si>
  <si>
    <t>LOWER(A31)</t>
  </si>
  <si>
    <t>LOWER(text)</t>
  </si>
  <si>
    <t>UPPER()</t>
  </si>
  <si>
    <t>UPPER((A33))</t>
  </si>
  <si>
    <t>UPPER(text)</t>
  </si>
  <si>
    <t>TRIM()</t>
  </si>
  <si>
    <t>Big     Fish</t>
  </si>
  <si>
    <t>TRIM(A35)</t>
  </si>
  <si>
    <t>TRIM(text)</t>
  </si>
  <si>
    <t>Removed empty spaces</t>
  </si>
  <si>
    <t>PROPER()</t>
  </si>
  <si>
    <t>this is a TITLE</t>
  </si>
  <si>
    <t>2-way street</t>
  </si>
  <si>
    <t>76BudGEt</t>
  </si>
  <si>
    <t>PROPER(A37)</t>
  </si>
  <si>
    <t>PROPER(text)</t>
  </si>
  <si>
    <t>re-formats</t>
  </si>
  <si>
    <t>SUBSTITUTE()</t>
  </si>
  <si>
    <t>Sales Data</t>
  </si>
  <si>
    <t>SUBSTITUTE(A41,"Sales","HR")</t>
  </si>
  <si>
    <t>SUBSTITUTE((text/cell, old_text, new_text)</t>
  </si>
  <si>
    <t>Replace text within a cell</t>
  </si>
  <si>
    <t>REPLACE()</t>
  </si>
  <si>
    <t>Replace part of text string baed on characters specified</t>
  </si>
  <si>
    <t>REPLACE(A43,2,4,"uck")</t>
  </si>
  <si>
    <t>REPLACE(old_text/cell, start_num, num_char, new_text)</t>
  </si>
  <si>
    <t>TODAY()</t>
  </si>
  <si>
    <t>NOW()</t>
  </si>
  <si>
    <t>DATE()</t>
  </si>
  <si>
    <t>Year</t>
  </si>
  <si>
    <t>Day</t>
  </si>
  <si>
    <t>DATE(B6,B7,B8)</t>
  </si>
  <si>
    <t>Variable (text)</t>
  </si>
  <si>
    <t>MONTH()</t>
  </si>
  <si>
    <t>YEAR()</t>
  </si>
  <si>
    <t>DAY()</t>
  </si>
  <si>
    <t>YEAR(A10)</t>
  </si>
  <si>
    <t>MONTH(A10)</t>
  </si>
  <si>
    <t>DAY(A10)</t>
  </si>
  <si>
    <t>Returns the current date formatted as a date</t>
  </si>
  <si>
    <t>returns the current date and time formatted as the date and time</t>
  </si>
  <si>
    <t>HOURS</t>
  </si>
  <si>
    <t>MINUTES</t>
  </si>
  <si>
    <t>Seconds</t>
  </si>
  <si>
    <t>TIME()</t>
  </si>
  <si>
    <t>TIME(B14,B15,B16)</t>
  </si>
  <si>
    <t>HOUR()</t>
  </si>
  <si>
    <t>MINUTE()</t>
  </si>
  <si>
    <t>SECONDS()</t>
  </si>
  <si>
    <t>HOUR(A18)</t>
  </si>
  <si>
    <t>MINUTE(A18)</t>
  </si>
  <si>
    <t>SECOND(A18)</t>
  </si>
  <si>
    <t>START Date</t>
  </si>
  <si>
    <t>END Date</t>
  </si>
  <si>
    <t>NETWORKDAYS()</t>
  </si>
  <si>
    <t>NETWORKDAYS(B22,B23)</t>
  </si>
  <si>
    <t>NETWORKDAYS(start_date, end_date)</t>
  </si>
  <si>
    <t>Holidays</t>
  </si>
  <si>
    <t>NETWORKDAYS(B22,B23,B25:B26)</t>
  </si>
  <si>
    <t>NETWORKDAYS((start_date, end_date, holidays)</t>
  </si>
  <si>
    <t>WEEKNUM()</t>
  </si>
  <si>
    <t>WEEKNUM(B28)</t>
  </si>
  <si>
    <t>WEEKNUM(serial_num, return_type)</t>
  </si>
  <si>
    <t>Find the week's number</t>
  </si>
  <si>
    <t>Date</t>
  </si>
  <si>
    <t>Number that determines on which day the week beings</t>
  </si>
  <si>
    <t>WEEKDAY()</t>
  </si>
  <si>
    <t>Sat</t>
  </si>
  <si>
    <t>Sun</t>
  </si>
  <si>
    <t>ISTEXT()</t>
  </si>
  <si>
    <t>abc</t>
  </si>
  <si>
    <t>ISTEXT(B35)</t>
  </si>
  <si>
    <t>Used to check for a text value</t>
  </si>
  <si>
    <t>Data &gt; Data Tools &gt; Text To Columns</t>
  </si>
  <si>
    <t>Invoice Time</t>
  </si>
  <si>
    <t>AM</t>
  </si>
  <si>
    <t>PM</t>
  </si>
  <si>
    <t>Chart Basics</t>
  </si>
  <si>
    <t>Monthly Sales per App</t>
  </si>
  <si>
    <t>Fightrr</t>
  </si>
  <si>
    <t>Kryptis</t>
  </si>
  <si>
    <t>Perino</t>
  </si>
  <si>
    <t>Hackrr</t>
  </si>
  <si>
    <t>WenCaL</t>
  </si>
  <si>
    <t>https://www.youtube.com/watch?v=DAU0qqh_I-A&amp;list=PLmHVyfmcRKyyEj7oQkCf7TL9yQQWXbGOQ</t>
  </si>
  <si>
    <t>Insert Chart</t>
  </si>
  <si>
    <t>Adjust Chart</t>
  </si>
  <si>
    <t>Improve Chart</t>
  </si>
  <si>
    <t>Add Series to a Chart</t>
  </si>
  <si>
    <t>Create Combination Charts</t>
  </si>
  <si>
    <t>Insert Table</t>
  </si>
  <si>
    <t>Column1</t>
  </si>
  <si>
    <t>Adding More Series</t>
  </si>
  <si>
    <t>Budget</t>
  </si>
  <si>
    <t>Added</t>
  </si>
  <si>
    <t>Click on Chart and Expand Table</t>
  </si>
  <si>
    <t>Creating Combination Charts</t>
  </si>
  <si>
    <t>Click Entire Chart or click Sales/Budget Column to sell all of one type</t>
  </si>
  <si>
    <t>Actual</t>
  </si>
  <si>
    <t>Histogram</t>
  </si>
  <si>
    <t>Good for checking how data is spread within a range</t>
  </si>
  <si>
    <t>Salary Distribution</t>
  </si>
  <si>
    <t>Add Total Values to Stacked Columns</t>
  </si>
  <si>
    <t>Personnel at work</t>
  </si>
  <si>
    <t>America</t>
  </si>
  <si>
    <t>Asis</t>
  </si>
  <si>
    <t>Adding Total created a stack</t>
  </si>
  <si>
    <t>https://www.youtube.com/watch?v=YAwraBokizU</t>
  </si>
  <si>
    <t>Add Label for Continent Dynamically in the Chart</t>
  </si>
  <si>
    <t>Data labels</t>
  </si>
  <si>
    <t>Added Totals</t>
  </si>
  <si>
    <t>Incorrect, try again</t>
  </si>
  <si>
    <t>Product A</t>
  </si>
  <si>
    <t>Product B</t>
  </si>
  <si>
    <t>Product C</t>
  </si>
  <si>
    <t>Product D</t>
  </si>
  <si>
    <t>Product E</t>
  </si>
  <si>
    <t>Data Prep</t>
  </si>
  <si>
    <t>Difference</t>
  </si>
  <si>
    <t>Max Condition</t>
  </si>
  <si>
    <t>Sales Value</t>
  </si>
  <si>
    <t>Dynamic Maps</t>
  </si>
  <si>
    <t>https://www.youtube.com/watch?v=EoKoN1q2cTk</t>
  </si>
  <si>
    <t>Division</t>
  </si>
  <si>
    <t>Utility</t>
  </si>
  <si>
    <t>Productivity</t>
  </si>
  <si>
    <t>Game</t>
  </si>
  <si>
    <t>https://www.xelplus.com/simple-excel-dynamic-map-chart-with-drop-down/</t>
  </si>
  <si>
    <t>Insert Scatter Plot</t>
  </si>
  <si>
    <t>Format &gt; Picture source</t>
  </si>
  <si>
    <t>Insert Data and Figure out X &amp; Y to match map</t>
  </si>
  <si>
    <t>Select Division:</t>
  </si>
  <si>
    <t>Data &gt; Data Tools &gt; Data Validation</t>
  </si>
  <si>
    <t>Add Revenue to 2nd Table</t>
  </si>
  <si>
    <t>See Formula</t>
  </si>
  <si>
    <t>Add 2nd Table Revenue To Chart</t>
  </si>
  <si>
    <t>Change Chart Type from Scatter Plot to Bubble Chart</t>
  </si>
  <si>
    <t>Re-edit</t>
  </si>
  <si>
    <t xml:space="preserve">Add Data Labels and change </t>
  </si>
  <si>
    <t>Highlight Maximum Bubble</t>
  </si>
  <si>
    <t>Max Rev</t>
  </si>
  <si>
    <t>Create Max Rev</t>
  </si>
  <si>
    <t>Select Data</t>
  </si>
  <si>
    <t>Min Rev</t>
  </si>
  <si>
    <t>Seller 1</t>
  </si>
  <si>
    <t>Seller 2</t>
  </si>
  <si>
    <t>Seller 3</t>
  </si>
  <si>
    <t>Insert &gt; Charts &gt; Area &gt; Stacked Area</t>
  </si>
  <si>
    <t>https://www.youtube.com/watch?v=DepxLXFDNf0</t>
  </si>
  <si>
    <t>Conditional Formatting with Formula - Get it right every time</t>
  </si>
  <si>
    <t>Format if salary is equal to or greater than:</t>
  </si>
  <si>
    <t>Highlight values</t>
  </si>
  <si>
    <t>Highlight rows &gt;= 80000</t>
  </si>
  <si>
    <t>Home &gt; Conditional Formatting &gt; New Rule</t>
  </si>
  <si>
    <t>Did not work so created C6:C20</t>
  </si>
  <si>
    <t>$B6&gt;=$B$3</t>
  </si>
  <si>
    <t>Manage Rule</t>
  </si>
  <si>
    <t>https://www.youtube.com/watch?v=XHT4paRaY4g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</si>
</sst>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"/>
    <numFmt numFmtId="165" formatCode="_-&quot;$&quot;* #,##0_-;\-&quot;$&quot;* #,##0_-;_-&quot;$&quot;* &quot;-&quot;??_-;_-@_-"/>
    <numFmt numFmtId="166" formatCode="0.0%"/>
    <numFmt numFmtId="167" formatCode="_(&quot;$&quot;* #,##0_);_(&quot;$&quot;* \(#,##0\);_(&quot;$&quot;* &quot;-&quot;??_);_(@_)"/>
    <numFmt numFmtId="168" formatCode="[$-409]hh:mm:ss\ AM/PM;@"/>
    <numFmt numFmtId="169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212529"/>
      <name val="Arial"/>
      <family val="2"/>
    </font>
    <font>
      <sz val="11"/>
      <color rgb="FF7030A0"/>
      <name val="Calibri"/>
      <family val="2"/>
      <scheme val="minor"/>
    </font>
    <font>
      <sz val="11"/>
      <color rgb="FFFF3399"/>
      <name val="Calibri"/>
      <family val="2"/>
      <scheme val="minor"/>
    </font>
    <font>
      <b/>
      <sz val="11"/>
      <color rgb="FFFF3399"/>
      <name val="Calibri"/>
      <family val="2"/>
      <scheme val="minor"/>
    </font>
    <font>
      <sz val="11"/>
      <color rgb="FF05192D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rgb="FF2981B9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F0"/>
      </left>
      <right/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  <border>
      <left style="thin">
        <color rgb="FF7030A0"/>
      </left>
      <right style="thin">
        <color rgb="FF7030A0"/>
      </right>
      <top/>
      <bottom/>
      <diagonal/>
    </border>
    <border>
      <left style="thin">
        <color rgb="FF7030A0"/>
      </left>
      <right style="thin">
        <color rgb="FF7030A0"/>
      </right>
      <top/>
      <bottom style="thin">
        <color rgb="FF7030A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3399"/>
      </left>
      <right style="thin">
        <color rgb="FFFF3399"/>
      </right>
      <top style="thin">
        <color rgb="FFFF3399"/>
      </top>
      <bottom style="thin">
        <color rgb="FFFF3399"/>
      </bottom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3" fillId="0" borderId="32" applyNumberFormat="0" applyFill="0" applyAlignment="0" applyProtection="0"/>
    <xf numFmtId="43" fontId="1" fillId="0" borderId="0" applyFont="0" applyFill="0" applyBorder="0" applyAlignment="0" applyProtection="0"/>
  </cellStyleXfs>
  <cellXfs count="157">
    <xf numFmtId="0" fontId="0" fillId="0" borderId="0" xfId="0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3" fillId="0" borderId="4" xfId="0" applyFont="1" applyBorder="1"/>
    <xf numFmtId="0" fontId="3" fillId="0" borderId="5" xfId="0" applyFont="1" applyBorder="1"/>
    <xf numFmtId="0" fontId="0" fillId="0" borderId="6" xfId="0" applyBorder="1"/>
    <xf numFmtId="14" fontId="0" fillId="0" borderId="7" xfId="0" applyNumberFormat="1" applyBorder="1"/>
    <xf numFmtId="0" fontId="0" fillId="0" borderId="7" xfId="0" applyBorder="1"/>
    <xf numFmtId="0" fontId="3" fillId="0" borderId="9" xfId="0" applyFont="1" applyBorder="1"/>
    <xf numFmtId="0" fontId="0" fillId="0" borderId="9" xfId="0" applyBorder="1"/>
    <xf numFmtId="0" fontId="3" fillId="0" borderId="10" xfId="0" applyFont="1" applyBorder="1"/>
    <xf numFmtId="0" fontId="0" fillId="0" borderId="11" xfId="0" applyBorder="1"/>
    <xf numFmtId="0" fontId="0" fillId="0" borderId="12" xfId="0" applyBorder="1"/>
    <xf numFmtId="164" fontId="0" fillId="0" borderId="0" xfId="0" applyNumberFormat="1"/>
    <xf numFmtId="2" fontId="0" fillId="0" borderId="0" xfId="0" applyNumberFormat="1"/>
    <xf numFmtId="165" fontId="0" fillId="0" borderId="0" xfId="1" applyNumberFormat="1" applyFont="1"/>
    <xf numFmtId="165" fontId="0" fillId="0" borderId="5" xfId="1" applyNumberFormat="1" applyFont="1" applyBorder="1"/>
    <xf numFmtId="165" fontId="0" fillId="0" borderId="8" xfId="1" applyNumberFormat="1" applyFont="1" applyBorder="1"/>
    <xf numFmtId="165" fontId="0" fillId="0" borderId="0" xfId="0" applyNumberFormat="1"/>
    <xf numFmtId="0" fontId="3" fillId="0" borderId="6" xfId="0" applyFont="1" applyBorder="1"/>
    <xf numFmtId="1" fontId="3" fillId="0" borderId="0" xfId="0" applyNumberFormat="1" applyFont="1"/>
    <xf numFmtId="0" fontId="6" fillId="0" borderId="13" xfId="0" applyFont="1" applyBorder="1" applyAlignment="1">
      <alignment horizontal="center"/>
    </xf>
    <xf numFmtId="0" fontId="6" fillId="0" borderId="13" xfId="0" applyFont="1" applyBorder="1" applyAlignment="1">
      <alignment horizontal="centerContinuous"/>
    </xf>
    <xf numFmtId="10" fontId="0" fillId="0" borderId="0" xfId="0" applyNumberFormat="1"/>
    <xf numFmtId="10" fontId="0" fillId="0" borderId="7" xfId="0" applyNumberFormat="1" applyBorder="1"/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8" xfId="0" applyBorder="1"/>
    <xf numFmtId="0" fontId="0" fillId="0" borderId="20" xfId="0" applyBorder="1"/>
    <xf numFmtId="0" fontId="7" fillId="0" borderId="15" xfId="0" applyFont="1" applyBorder="1" applyAlignment="1">
      <alignment horizontal="center"/>
    </xf>
    <xf numFmtId="0" fontId="0" fillId="0" borderId="15" xfId="0" applyBorder="1"/>
    <xf numFmtId="0" fontId="0" fillId="3" borderId="15" xfId="0" applyFill="1" applyBorder="1"/>
    <xf numFmtId="10" fontId="0" fillId="0" borderId="15" xfId="0" applyNumberFormat="1" applyBorder="1"/>
    <xf numFmtId="0" fontId="0" fillId="2" borderId="15" xfId="0" applyFill="1" applyBorder="1"/>
    <xf numFmtId="0" fontId="3" fillId="4" borderId="2" xfId="0" applyFont="1" applyFill="1" applyBorder="1"/>
    <xf numFmtId="0" fontId="0" fillId="4" borderId="0" xfId="0" applyFill="1"/>
    <xf numFmtId="0" fontId="0" fillId="4" borderId="7" xfId="0" applyFill="1" applyBorder="1"/>
    <xf numFmtId="0" fontId="2" fillId="0" borderId="0" xfId="0" applyFont="1"/>
    <xf numFmtId="0" fontId="13" fillId="0" borderId="0" xfId="0" applyFont="1"/>
    <xf numFmtId="0" fontId="3" fillId="0" borderId="0" xfId="0" applyFont="1" applyAlignment="1">
      <alignment wrapText="1"/>
    </xf>
    <xf numFmtId="165" fontId="0" fillId="0" borderId="0" xfId="1" applyNumberFormat="1" applyFont="1" applyAlignment="1"/>
    <xf numFmtId="0" fontId="0" fillId="6" borderId="0" xfId="0" applyFill="1"/>
    <xf numFmtId="0" fontId="0" fillId="0" borderId="0" xfId="0" applyAlignment="1">
      <alignment wrapText="1"/>
    </xf>
    <xf numFmtId="165" fontId="0" fillId="5" borderId="0" xfId="1" applyNumberFormat="1" applyFont="1" applyFill="1"/>
    <xf numFmtId="9" fontId="0" fillId="0" borderId="0" xfId="2" applyFont="1"/>
    <xf numFmtId="166" fontId="0" fillId="0" borderId="0" xfId="2" applyNumberFormat="1" applyFont="1"/>
    <xf numFmtId="0" fontId="6" fillId="0" borderId="15" xfId="0" applyFont="1" applyBorder="1" applyAlignment="1">
      <alignment horizontal="center"/>
    </xf>
    <xf numFmtId="165" fontId="0" fillId="0" borderId="15" xfId="0" applyNumberFormat="1" applyBorder="1"/>
    <xf numFmtId="0" fontId="14" fillId="0" borderId="0" xfId="0" applyFont="1"/>
    <xf numFmtId="0" fontId="0" fillId="0" borderId="0" xfId="0" applyAlignment="1">
      <alignment horizontal="left"/>
    </xf>
    <xf numFmtId="0" fontId="15" fillId="0" borderId="0" xfId="0" applyFont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3" fillId="0" borderId="37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3" fillId="7" borderId="0" xfId="0" applyFont="1" applyFill="1"/>
    <xf numFmtId="165" fontId="0" fillId="0" borderId="44" xfId="1" applyNumberFormat="1" applyFont="1" applyBorder="1"/>
    <xf numFmtId="165" fontId="0" fillId="0" borderId="0" xfId="1" applyNumberFormat="1" applyFont="1" applyBorder="1"/>
    <xf numFmtId="0" fontId="0" fillId="0" borderId="45" xfId="0" applyBorder="1"/>
    <xf numFmtId="165" fontId="3" fillId="0" borderId="0" xfId="0" applyNumberFormat="1" applyFont="1"/>
    <xf numFmtId="165" fontId="3" fillId="0" borderId="0" xfId="1" applyNumberFormat="1" applyFont="1"/>
    <xf numFmtId="165" fontId="1" fillId="0" borderId="0" xfId="1" applyNumberFormat="1" applyFont="1"/>
    <xf numFmtId="9" fontId="3" fillId="0" borderId="0" xfId="2" applyFont="1"/>
    <xf numFmtId="16" fontId="0" fillId="0" borderId="0" xfId="0" applyNumberFormat="1"/>
    <xf numFmtId="0" fontId="3" fillId="0" borderId="14" xfId="0" applyFont="1" applyBorder="1" applyAlignment="1">
      <alignment horizontal="right"/>
    </xf>
    <xf numFmtId="9" fontId="0" fillId="8" borderId="15" xfId="2" applyFont="1" applyFill="1" applyBorder="1"/>
    <xf numFmtId="9" fontId="0" fillId="8" borderId="0" xfId="2" applyFont="1" applyFill="1" applyBorder="1"/>
    <xf numFmtId="0" fontId="0" fillId="0" borderId="0" xfId="0" applyAlignment="1">
      <alignment horizontal="center" vertical="center" wrapText="1"/>
    </xf>
    <xf numFmtId="165" fontId="0" fillId="3" borderId="0" xfId="1" applyNumberFormat="1" applyFont="1" applyFill="1"/>
    <xf numFmtId="167" fontId="0" fillId="9" borderId="0" xfId="1" applyNumberFormat="1" applyFont="1" applyFill="1"/>
    <xf numFmtId="9" fontId="0" fillId="10" borderId="0" xfId="2" applyFont="1" applyFill="1"/>
    <xf numFmtId="0" fontId="6" fillId="0" borderId="0" xfId="0" applyFont="1"/>
    <xf numFmtId="0" fontId="0" fillId="8" borderId="0" xfId="0" applyFill="1"/>
    <xf numFmtId="0" fontId="5" fillId="0" borderId="0" xfId="3"/>
    <xf numFmtId="0" fontId="12" fillId="0" borderId="0" xfId="0" applyFont="1"/>
    <xf numFmtId="0" fontId="3" fillId="0" borderId="24" xfId="0" applyFont="1" applyBorder="1"/>
    <xf numFmtId="0" fontId="3" fillId="0" borderId="27" xfId="0" applyFont="1" applyBorder="1"/>
    <xf numFmtId="0" fontId="3" fillId="0" borderId="29" xfId="0" applyFont="1" applyBorder="1"/>
    <xf numFmtId="0" fontId="0" fillId="0" borderId="46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47" xfId="1" applyNumberFormat="1" applyFont="1" applyBorder="1" applyAlignment="1">
      <alignment horizontal="left"/>
    </xf>
    <xf numFmtId="0" fontId="0" fillId="0" borderId="30" xfId="1" applyNumberFormat="1" applyFont="1" applyBorder="1" applyAlignment="1">
      <alignment horizontal="left"/>
    </xf>
    <xf numFmtId="0" fontId="0" fillId="0" borderId="31" xfId="1" applyNumberFormat="1" applyFont="1" applyBorder="1" applyAlignment="1">
      <alignment horizontal="left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9" fillId="0" borderId="0" xfId="0" applyFont="1"/>
    <xf numFmtId="0" fontId="0" fillId="0" borderId="0" xfId="0" applyAlignment="1">
      <alignment horizontal="left" wrapText="1"/>
    </xf>
    <xf numFmtId="0" fontId="6" fillId="0" borderId="48" xfId="0" applyFont="1" applyBorder="1" applyAlignment="1">
      <alignment horizontal="center"/>
    </xf>
    <xf numFmtId="0" fontId="6" fillId="0" borderId="49" xfId="0" applyFont="1" applyBorder="1" applyAlignment="1">
      <alignment horizontal="center" wrapText="1"/>
    </xf>
    <xf numFmtId="0" fontId="6" fillId="0" borderId="50" xfId="0" applyFont="1" applyBorder="1" applyAlignment="1">
      <alignment horizontal="center" wrapText="1"/>
    </xf>
    <xf numFmtId="2" fontId="0" fillId="0" borderId="19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pivotButton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0" fillId="7" borderId="23" xfId="0" applyFill="1" applyBorder="1"/>
    <xf numFmtId="44" fontId="0" fillId="7" borderId="23" xfId="1" applyFont="1" applyFill="1" applyBorder="1"/>
    <xf numFmtId="44" fontId="0" fillId="11" borderId="0" xfId="1" applyFont="1" applyFill="1"/>
    <xf numFmtId="44" fontId="0" fillId="8" borderId="0" xfId="1" applyFont="1" applyFill="1"/>
    <xf numFmtId="22" fontId="0" fillId="0" borderId="0" xfId="0" applyNumberFormat="1"/>
    <xf numFmtId="0" fontId="3" fillId="0" borderId="18" xfId="0" applyFont="1" applyBorder="1"/>
    <xf numFmtId="0" fontId="3" fillId="0" borderId="18" xfId="0" applyFont="1" applyBorder="1" applyAlignment="1">
      <alignment wrapText="1"/>
    </xf>
    <xf numFmtId="18" fontId="0" fillId="0" borderId="0" xfId="0" applyNumberFormat="1"/>
    <xf numFmtId="168" fontId="0" fillId="0" borderId="0" xfId="0" applyNumberFormat="1"/>
    <xf numFmtId="21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3" fillId="0" borderId="14" xfId="0" applyFont="1" applyBorder="1"/>
    <xf numFmtId="0" fontId="0" fillId="0" borderId="14" xfId="0" applyBorder="1"/>
    <xf numFmtId="169" fontId="0" fillId="6" borderId="0" xfId="5" applyNumberFormat="1" applyFont="1" applyFill="1"/>
    <xf numFmtId="0" fontId="3" fillId="0" borderId="32" xfId="4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3" fillId="0" borderId="51" xfId="0" applyFont="1" applyBorder="1" applyAlignment="1">
      <alignment horizontal="center"/>
    </xf>
    <xf numFmtId="0" fontId="3" fillId="0" borderId="52" xfId="0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22" fontId="0" fillId="0" borderId="18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vertical="center"/>
    </xf>
  </cellXfs>
  <cellStyles count="6">
    <cellStyle name="Comma" xfId="5" builtinId="3"/>
    <cellStyle name="Currency" xfId="1" builtinId="4"/>
    <cellStyle name="Heading 1 2" xfId="4" xr:uid="{EE87DBA2-0196-4981-BF8E-6102C0FA3920}"/>
    <cellStyle name="Hyperlink" xfId="3" builtinId="8"/>
    <cellStyle name="Normal" xfId="0" builtinId="0"/>
    <cellStyle name="Percent" xfId="2" builtinId="5"/>
  </cellStyles>
  <dxfs count="20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&quot;$&quot;* #,##0_-;\-&quot;$&quot;* #,##0_-;_-&quot;$&quot;* &quot;-&quot;??_-;_-@_-"/>
    </dxf>
    <dxf>
      <numFmt numFmtId="19" formatCode="yyyy/mm/dd"/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5" formatCode="_-&quot;$&quot;* #,##0_-;\-&quot;$&quot;* #,##0_-;_-&quot;$&quot;* &quot;-&quot;??_-;_-@_-"/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51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50" Type="http://schemas.microsoft.com/office/2017/10/relationships/person" Target="persons/person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49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2.png"/><Relationship Id="rId2" Type="http://schemas.microsoft.com/office/2011/relationships/chartColorStyle" Target="colors12.xml"/><Relationship Id="rId1" Type="http://schemas.microsoft.com/office/2011/relationships/chartStyle" Target="style12.xml"/><Relationship Id="rId4" Type="http://schemas.openxmlformats.org/officeDocument/2006/relationships/hyperlink" Target="https://pixabay.com/de/weltkarte-erde-global-kontinente-306338/" TargetMode="Externa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Plots'!$B$1</c:f>
              <c:strCache>
                <c:ptCount val="1"/>
                <c:pt idx="0">
                  <c:v>Software Developer Avg Salary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'Scatter Plots'!$A$2:$A$15</c:f>
              <c:strCache>
                <c:ptCount val="14"/>
                <c:pt idx="0">
                  <c:v>UK</c:v>
                </c:pt>
                <c:pt idx="1">
                  <c:v>New Zealand</c:v>
                </c:pt>
                <c:pt idx="2">
                  <c:v>France</c:v>
                </c:pt>
                <c:pt idx="3">
                  <c:v>Canada</c:v>
                </c:pt>
                <c:pt idx="4">
                  <c:v>Finland</c:v>
                </c:pt>
                <c:pt idx="5">
                  <c:v>Sweden</c:v>
                </c:pt>
                <c:pt idx="6">
                  <c:v>Australia</c:v>
                </c:pt>
                <c:pt idx="7">
                  <c:v>Netherlands</c:v>
                </c:pt>
                <c:pt idx="8">
                  <c:v>Germany</c:v>
                </c:pt>
                <c:pt idx="9">
                  <c:v>Israel</c:v>
                </c:pt>
                <c:pt idx="10">
                  <c:v>Norway</c:v>
                </c:pt>
                <c:pt idx="11">
                  <c:v>Denmark</c:v>
                </c:pt>
                <c:pt idx="12">
                  <c:v>Switzerland</c:v>
                </c:pt>
                <c:pt idx="13">
                  <c:v>Usa</c:v>
                </c:pt>
              </c:strCache>
            </c:strRef>
          </c:xVal>
          <c:yVal>
            <c:numRef>
              <c:f>'Scatter Plots'!$B$2:$B$15</c:f>
              <c:numCache>
                <c:formatCode>_-"$"* #,##0_-;\-"$"* #,##0_-;_-"$"* "-"??_-;_-@_-</c:formatCode>
                <c:ptCount val="14"/>
                <c:pt idx="0">
                  <c:v>42394</c:v>
                </c:pt>
                <c:pt idx="1">
                  <c:v>46299</c:v>
                </c:pt>
                <c:pt idx="2">
                  <c:v>46508</c:v>
                </c:pt>
                <c:pt idx="3">
                  <c:v>48271</c:v>
                </c:pt>
                <c:pt idx="4">
                  <c:v>49203</c:v>
                </c:pt>
                <c:pt idx="5">
                  <c:v>51396</c:v>
                </c:pt>
                <c:pt idx="6">
                  <c:v>53669</c:v>
                </c:pt>
                <c:pt idx="7">
                  <c:v>54025</c:v>
                </c:pt>
                <c:pt idx="8">
                  <c:v>60162</c:v>
                </c:pt>
                <c:pt idx="9">
                  <c:v>64198</c:v>
                </c:pt>
                <c:pt idx="10">
                  <c:v>64202</c:v>
                </c:pt>
                <c:pt idx="11">
                  <c:v>72151</c:v>
                </c:pt>
                <c:pt idx="12">
                  <c:v>95394</c:v>
                </c:pt>
                <c:pt idx="13">
                  <c:v>110638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94D-8AA6-0C57D610C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648168"/>
        <c:axId val="743649248"/>
      </c:scatterChart>
      <c:valAx>
        <c:axId val="743648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9248"/>
        <c:crosses val="autoZero"/>
        <c:crossBetween val="midCat"/>
      </c:valAx>
      <c:valAx>
        <c:axId val="743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48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Personnel</a:t>
            </a:r>
            <a:r>
              <a:rPr lang="en-CA" baseline="0"/>
              <a:t> at work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8502369495479731"/>
          <c:w val="0.87753018372703417"/>
          <c:h val="0.70757691746864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 Chart'!$A$6</c:f>
              <c:strCache>
                <c:ptCount val="1"/>
                <c:pt idx="0">
                  <c:v>Europe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Chart'!$B$6:$E$6</c:f>
              <c:numCache>
                <c:formatCode>General</c:formatCode>
                <c:ptCount val="4"/>
                <c:pt idx="0">
                  <c:v>1600</c:v>
                </c:pt>
                <c:pt idx="1">
                  <c:v>1300</c:v>
                </c:pt>
                <c:pt idx="2">
                  <c:v>1000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4-4613-B756-BD0A6BA00B68}"/>
            </c:ext>
          </c:extLst>
        </c:ser>
        <c:ser>
          <c:idx val="1"/>
          <c:order val="1"/>
          <c:tx>
            <c:strRef>
              <c:f>'Stacked Column Chart'!$A$7</c:f>
              <c:strCache>
                <c:ptCount val="1"/>
                <c:pt idx="0">
                  <c:v>America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Chart'!$B$7:$E$7</c:f>
              <c:numCache>
                <c:formatCode>General</c:formatCode>
                <c:ptCount val="4"/>
                <c:pt idx="0">
                  <c:v>410</c:v>
                </c:pt>
                <c:pt idx="1">
                  <c:v>300</c:v>
                </c:pt>
                <c:pt idx="2">
                  <c:v>500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4-4613-B756-BD0A6BA00B68}"/>
            </c:ext>
          </c:extLst>
        </c:ser>
        <c:ser>
          <c:idx val="2"/>
          <c:order val="2"/>
          <c:tx>
            <c:strRef>
              <c:f>'Stacked Column Chart'!$A$8</c:f>
              <c:strCache>
                <c:ptCount val="1"/>
                <c:pt idx="0">
                  <c:v>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cat>
          <c:val>
            <c:numRef>
              <c:f>'Stacked Column Chart'!$B$8:$E$8</c:f>
              <c:numCache>
                <c:formatCode>General</c:formatCode>
                <c:ptCount val="4"/>
                <c:pt idx="0">
                  <c:v>150</c:v>
                </c:pt>
                <c:pt idx="1">
                  <c:v>170</c:v>
                </c:pt>
                <c:pt idx="2">
                  <c:v>200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4-4613-B756-BD0A6BA00B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overlap val="100"/>
        <c:axId val="806771024"/>
        <c:axId val="806765624"/>
      </c:barChart>
      <c:scatterChart>
        <c:scatterStyle val="lineMarker"/>
        <c:varyColors val="0"/>
        <c:ser>
          <c:idx val="3"/>
          <c:order val="3"/>
          <c:tx>
            <c:strRef>
              <c:f>'Stacked Column Chart'!$A$9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'Stacked Column Chart'!$B$5:$E$5</c:f>
              <c:numCache>
                <c:formatCode>General</c:formatCode>
                <c:ptCount val="4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</c:numCache>
            </c:numRef>
          </c:xVal>
          <c:yVal>
            <c:numRef>
              <c:f>'Stacked Column Chart'!$B$9:$E$9</c:f>
              <c:numCache>
                <c:formatCode>General</c:formatCode>
                <c:ptCount val="4"/>
                <c:pt idx="0">
                  <c:v>2160</c:v>
                </c:pt>
                <c:pt idx="1">
                  <c:v>1770</c:v>
                </c:pt>
                <c:pt idx="2">
                  <c:v>1700</c:v>
                </c:pt>
                <c:pt idx="3">
                  <c:v>2010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E14-4613-B756-BD0A6BA00B68}"/>
            </c:ext>
          </c:extLst>
        </c:ser>
        <c:ser>
          <c:idx val="4"/>
          <c:order val="4"/>
          <c:tx>
            <c:strRef>
              <c:f>'Stacked Column Chart'!$F$4:$G$4</c:f>
              <c:strCache>
                <c:ptCount val="2"/>
                <c:pt idx="0">
                  <c:v>Data labels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F484487-8E1C-4D50-BC7F-F3A06BCF50F0}" type="CELLRANGE">
                      <a:rPr lang="en-US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8E14-4613-B756-BD0A6BA00B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19876B4-3E09-453B-9E18-D35C95BF677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14-4613-B756-BD0A6BA00B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4E3813F-B053-479E-BA1F-1EE46AF2CB26}" type="CELLRANGE">
                      <a:rPr lang="en-CA"/>
                      <a:pPr/>
                      <a:t>[CELLRANGE]</a:t>
                    </a:fld>
                    <a:endParaRPr lang="en-CA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14-4613-B756-BD0A6BA00B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'Stacked Column Chart'!$F$6:$F$8</c:f>
              <c:numCache>
                <c:formatCode>General</c:formatCode>
                <c:ptCount val="3"/>
                <c:pt idx="0">
                  <c:v>4.3</c:v>
                </c:pt>
                <c:pt idx="1">
                  <c:v>4.3</c:v>
                </c:pt>
                <c:pt idx="2">
                  <c:v>4.3</c:v>
                </c:pt>
              </c:numCache>
            </c:numRef>
          </c:xVal>
          <c:yVal>
            <c:numRef>
              <c:f>'Stacked Column Chart'!$G$6:$G$8</c:f>
              <c:numCache>
                <c:formatCode>General</c:formatCode>
                <c:ptCount val="3"/>
                <c:pt idx="0">
                  <c:v>450</c:v>
                </c:pt>
                <c:pt idx="1">
                  <c:v>1350</c:v>
                </c:pt>
                <c:pt idx="2">
                  <c:v>1905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'Stacked Column Chart'!$A$6:$A$9</c15:f>
                <c15:dlblRangeCache>
                  <c:ptCount val="4"/>
                  <c:pt idx="0">
                    <c:v>Europe</c:v>
                  </c:pt>
                  <c:pt idx="1">
                    <c:v>America</c:v>
                  </c:pt>
                  <c:pt idx="2">
                    <c:v>Asis</c:v>
                  </c:pt>
                  <c:pt idx="3">
                    <c:v>Total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8E14-4613-B756-BD0A6BA00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047392"/>
        <c:axId val="1190038032"/>
      </c:scatterChart>
      <c:catAx>
        <c:axId val="80677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765624"/>
        <c:crosses val="autoZero"/>
        <c:auto val="1"/>
        <c:lblAlgn val="ctr"/>
        <c:lblOffset val="100"/>
        <c:noMultiLvlLbl val="0"/>
      </c:catAx>
      <c:valAx>
        <c:axId val="806765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06771024"/>
        <c:crosses val="autoZero"/>
        <c:crossBetween val="between"/>
      </c:valAx>
      <c:valAx>
        <c:axId val="119003803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190047392"/>
        <c:crosses val="max"/>
        <c:crossBetween val="midCat"/>
      </c:valAx>
      <c:valAx>
        <c:axId val="1190047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8032"/>
        <c:crosses val="max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4890573053368328"/>
          <c:y val="0.1115277777777778"/>
          <c:w val="0.5021883202099737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16336909727644"/>
          <c:y val="0.17171296296296296"/>
          <c:w val="0.77361944487817214"/>
          <c:h val="0.7773611111111110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D5-4D35-83D4-640639495F4D}"/>
            </c:ext>
          </c:extLst>
        </c:ser>
        <c:ser>
          <c:idx val="1"/>
          <c:order val="1"/>
          <c:tx>
            <c:strRef>
              <c:f>'Bar Charts Conditoinal Format'!$E$4</c:f>
              <c:strCache>
                <c:ptCount val="1"/>
                <c:pt idx="0">
                  <c:v>Max Condition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Format'!$E$5:$E$9</c:f>
              <c:numCache>
                <c:formatCode>General</c:formatCode>
                <c:ptCount val="5"/>
                <c:pt idx="0">
                  <c:v>0</c:v>
                </c:pt>
                <c:pt idx="1">
                  <c:v>1360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D5-4D35-83D4-640639495F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'Bar Charts Conditoinal Format'!$A$3:$C$3</c:f>
          <c:strCache>
            <c:ptCount val="3"/>
            <c:pt idx="0">
              <c:v>Sales Value</c:v>
            </c:pt>
          </c:strCache>
        </c:strRef>
      </c:tx>
      <c:layout>
        <c:manualLayout>
          <c:xMode val="edge"/>
          <c:yMode val="edge"/>
          <c:x val="4.4326054987807381E-2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379218674836055E-2"/>
          <c:y val="0.17171296296296296"/>
          <c:w val="0.92340380282046741"/>
          <c:h val="0.77736111111111106"/>
        </c:manualLayout>
      </c:layout>
      <c:barChart>
        <c:barDir val="bar"/>
        <c:grouping val="stacked"/>
        <c:varyColors val="0"/>
        <c:ser>
          <c:idx val="1"/>
          <c:order val="0"/>
          <c:tx>
            <c:strRef>
              <c:f>'Bar Charts Conditoinal Format'!$A$5:$A$8</c:f>
              <c:strCache>
                <c:ptCount val="4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Format'!$A$9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33-40F9-A3CC-8B5AF83ECA3C}"/>
            </c:ext>
          </c:extLst>
        </c:ser>
        <c:ser>
          <c:idx val="2"/>
          <c:order val="1"/>
          <c:tx>
            <c:strRef>
              <c:f>'Bar Charts Conditoinal Format'!$D$4:$D$7</c:f>
              <c:strCache>
                <c:ptCount val="4"/>
                <c:pt idx="0">
                  <c:v>Difference</c:v>
                </c:pt>
                <c:pt idx="1">
                  <c:v>-20</c:v>
                </c:pt>
                <c:pt idx="2">
                  <c:v>100</c:v>
                </c:pt>
                <c:pt idx="3">
                  <c:v>10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'Bar Charts Conditoinal Format'!$D$8:$D$9</c:f>
              <c:numCache>
                <c:formatCode>General</c:formatCode>
                <c:ptCount val="2"/>
                <c:pt idx="0">
                  <c:v>-33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33-40F9-A3CC-8B5AF83ECA3C}"/>
            </c:ext>
          </c:extLst>
        </c:ser>
        <c:ser>
          <c:idx val="0"/>
          <c:order val="2"/>
          <c:tx>
            <c:strRef>
              <c:f>'Bar Charts Conditoinal Format'!$B$4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1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33-40F9-A3CC-8B5AF83ECA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'Bar Charts Conditoinal Format'!$A$5:$A$9</c:f>
              <c:strCache>
                <c:ptCount val="5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  <c:pt idx="3">
                  <c:v>Product D</c:v>
                </c:pt>
                <c:pt idx="4">
                  <c:v>Product E</c:v>
                </c:pt>
              </c:strCache>
            </c:strRef>
          </c:cat>
          <c:val>
            <c:numRef>
              <c:f>'Bar Charts Conditoinal Format'!$B$5:$B$9</c:f>
              <c:numCache>
                <c:formatCode>General</c:formatCode>
                <c:ptCount val="5"/>
                <c:pt idx="0">
                  <c:v>580</c:v>
                </c:pt>
                <c:pt idx="1">
                  <c:v>1360</c:v>
                </c:pt>
                <c:pt idx="2">
                  <c:v>950</c:v>
                </c:pt>
                <c:pt idx="3">
                  <c:v>150</c:v>
                </c:pt>
                <c:pt idx="4">
                  <c:v>1350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3-4633-40F9-A3CC-8B5AF83ECA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1231326512"/>
        <c:axId val="1231327232"/>
      </c:barChart>
      <c:catAx>
        <c:axId val="1231326512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1231327232"/>
        <c:crosses val="autoZero"/>
        <c:auto val="1"/>
        <c:lblAlgn val="ctr"/>
        <c:lblOffset val="100"/>
        <c:noMultiLvlLbl val="0"/>
      </c:catAx>
      <c:valAx>
        <c:axId val="1231327232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231326512"/>
        <c:crosses val="autoZero"/>
        <c:crossBetween val="between"/>
      </c:valAx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Revenue by Location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Maps'!$D$26:$D$30</c:f>
              <c:numCache>
                <c:formatCode>_-"$"* #,##0_-;\-"$"* #,##0_-;_-"$"* "-"??_-;_-@_-</c:formatCode>
                <c:ptCount val="5"/>
                <c:pt idx="0">
                  <c:v>0</c:v>
                </c:pt>
                <c:pt idx="1">
                  <c:v>42569</c:v>
                </c:pt>
                <c:pt idx="2">
                  <c:v>43784</c:v>
                </c:pt>
                <c:pt idx="3">
                  <c:v>46336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DD2B-4443-9C5D-69BAE3A28D09}"/>
            </c:ext>
          </c:extLst>
        </c:ser>
        <c:ser>
          <c:idx val="1"/>
          <c:order val="1"/>
          <c:tx>
            <c:strRef>
              <c:f>'Dynamic Maps'!$E$25</c:f>
              <c:strCache>
                <c:ptCount val="1"/>
                <c:pt idx="0">
                  <c:v>Max Rev</c:v>
                </c:pt>
              </c:strCache>
            </c:strRef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Maps'!$E$26:$E$30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49656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D2B-4443-9C5D-69BAE3A28D09}"/>
            </c:ext>
          </c:extLst>
        </c:ser>
        <c:ser>
          <c:idx val="2"/>
          <c:order val="2"/>
          <c:tx>
            <c:strRef>
              <c:f>'Dynamic Maps'!$F$25</c:f>
              <c:strCache>
                <c:ptCount val="1"/>
                <c:pt idx="0">
                  <c:v>Min Rev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7030A0"/>
              </a:solidFill>
              <a:ln w="254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D2B-4443-9C5D-69BAE3A28D0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'Dynamic Maps'!$A$26:$A$30</c:f>
              <c:numCache>
                <c:formatCode>General</c:formatCode>
                <c:ptCount val="5"/>
                <c:pt idx="0">
                  <c:v>1.3</c:v>
                </c:pt>
                <c:pt idx="1">
                  <c:v>2.4</c:v>
                </c:pt>
                <c:pt idx="2">
                  <c:v>7.3</c:v>
                </c:pt>
                <c:pt idx="3">
                  <c:v>5</c:v>
                </c:pt>
                <c:pt idx="4">
                  <c:v>9.1</c:v>
                </c:pt>
              </c:numCache>
            </c:numRef>
          </c:xVal>
          <c:yVal>
            <c:numRef>
              <c:f>'Dynamic Maps'!$B$26:$B$30</c:f>
              <c:numCache>
                <c:formatCode>General</c:formatCode>
                <c:ptCount val="5"/>
                <c:pt idx="0">
                  <c:v>7.2</c:v>
                </c:pt>
                <c:pt idx="1">
                  <c:v>2.1</c:v>
                </c:pt>
                <c:pt idx="2">
                  <c:v>7</c:v>
                </c:pt>
                <c:pt idx="3">
                  <c:v>7.8</c:v>
                </c:pt>
                <c:pt idx="4">
                  <c:v>1.6</c:v>
                </c:pt>
              </c:numCache>
            </c:numRef>
          </c:yVal>
          <c:bubbleSize>
            <c:numRef>
              <c:f>'Dynamic Maps'!$F$26:$F$30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D2B-4443-9C5D-69BAE3A28D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bubbleScale val="20"/>
        <c:showNegBubbles val="1"/>
        <c:axId val="1231302752"/>
        <c:axId val="1231305272"/>
      </c:bubbleChart>
      <c:valAx>
        <c:axId val="1231302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1305272"/>
        <c:crosses val="autoZero"/>
        <c:crossBetween val="midCat"/>
      </c:valAx>
      <c:valAx>
        <c:axId val="12313052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31302752"/>
        <c:crosses val="autoZero"/>
        <c:crossBetween val="midCat"/>
      </c:valAx>
      <c:spPr>
        <a:noFill/>
        <a:ln>
          <a:solidFill>
            <a:schemeClr val="tx1">
              <a:alpha val="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 dpi="0" rotWithShape="1">
      <a:blip xmlns:r="http://schemas.openxmlformats.org/officeDocument/2006/relationships" r:embed="rId3">
        <a:alphaModFix amt="30000"/>
        <a:extLst>
          <a:ext uri="{837473B0-CC2E-450A-ABE3-18F120FF3D39}">
            <a1611:picAttrSrcUrl xmlns:a1611="http://schemas.microsoft.com/office/drawing/2016/11/main" r:id="rId4"/>
          </a:ext>
        </a:extLst>
      </a:blip>
      <a:srcRect/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'Stacked Area'!$B$1</c:f>
              <c:strCache>
                <c:ptCount val="1"/>
                <c:pt idx="0">
                  <c:v>Seller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Area'!$B$2:$B$13</c:f>
              <c:numCache>
                <c:formatCode>General</c:formatCode>
                <c:ptCount val="12"/>
                <c:pt idx="0">
                  <c:v>761</c:v>
                </c:pt>
                <c:pt idx="1">
                  <c:v>626</c:v>
                </c:pt>
                <c:pt idx="2">
                  <c:v>261</c:v>
                </c:pt>
                <c:pt idx="3">
                  <c:v>74</c:v>
                </c:pt>
                <c:pt idx="4">
                  <c:v>375</c:v>
                </c:pt>
                <c:pt idx="5">
                  <c:v>872</c:v>
                </c:pt>
                <c:pt idx="6">
                  <c:v>764</c:v>
                </c:pt>
                <c:pt idx="7">
                  <c:v>266</c:v>
                </c:pt>
                <c:pt idx="8">
                  <c:v>737</c:v>
                </c:pt>
                <c:pt idx="9">
                  <c:v>863</c:v>
                </c:pt>
                <c:pt idx="10">
                  <c:v>574</c:v>
                </c:pt>
                <c:pt idx="11">
                  <c:v>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1-41A1-8BEA-4A638EC41DF6}"/>
            </c:ext>
          </c:extLst>
        </c:ser>
        <c:ser>
          <c:idx val="1"/>
          <c:order val="1"/>
          <c:tx>
            <c:strRef>
              <c:f>'Stacked Area'!$C$1</c:f>
              <c:strCache>
                <c:ptCount val="1"/>
                <c:pt idx="0">
                  <c:v>Seller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Area'!$C$2:$C$13</c:f>
              <c:numCache>
                <c:formatCode>General</c:formatCode>
                <c:ptCount val="12"/>
                <c:pt idx="0">
                  <c:v>804</c:v>
                </c:pt>
                <c:pt idx="1">
                  <c:v>983</c:v>
                </c:pt>
                <c:pt idx="2">
                  <c:v>396</c:v>
                </c:pt>
                <c:pt idx="3">
                  <c:v>753</c:v>
                </c:pt>
                <c:pt idx="4">
                  <c:v>561</c:v>
                </c:pt>
                <c:pt idx="5">
                  <c:v>454</c:v>
                </c:pt>
                <c:pt idx="6">
                  <c:v>149</c:v>
                </c:pt>
                <c:pt idx="7">
                  <c:v>939</c:v>
                </c:pt>
                <c:pt idx="8">
                  <c:v>822</c:v>
                </c:pt>
                <c:pt idx="9">
                  <c:v>573</c:v>
                </c:pt>
                <c:pt idx="10">
                  <c:v>411</c:v>
                </c:pt>
                <c:pt idx="11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1-41A1-8BEA-4A638EC41DF6}"/>
            </c:ext>
          </c:extLst>
        </c:ser>
        <c:ser>
          <c:idx val="2"/>
          <c:order val="2"/>
          <c:tx>
            <c:strRef>
              <c:f>'Stacked Area'!$D$1</c:f>
              <c:strCache>
                <c:ptCount val="1"/>
                <c:pt idx="0">
                  <c:v>Seller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'Stacked Area'!$A$2:$A$13</c:f>
              <c:numCache>
                <c:formatCode>m/d/yyyy</c:formatCode>
                <c:ptCount val="12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</c:numCache>
            </c:numRef>
          </c:cat>
          <c:val>
            <c:numRef>
              <c:f>'Stacked Area'!$D$2:$D$13</c:f>
              <c:numCache>
                <c:formatCode>General</c:formatCode>
                <c:ptCount val="12"/>
                <c:pt idx="0">
                  <c:v>203</c:v>
                </c:pt>
                <c:pt idx="1">
                  <c:v>562</c:v>
                </c:pt>
                <c:pt idx="2">
                  <c:v>448</c:v>
                </c:pt>
                <c:pt idx="3">
                  <c:v>976</c:v>
                </c:pt>
                <c:pt idx="4">
                  <c:v>659</c:v>
                </c:pt>
                <c:pt idx="5">
                  <c:v>415</c:v>
                </c:pt>
                <c:pt idx="6">
                  <c:v>66</c:v>
                </c:pt>
                <c:pt idx="7">
                  <c:v>137</c:v>
                </c:pt>
                <c:pt idx="8">
                  <c:v>406</c:v>
                </c:pt>
                <c:pt idx="9">
                  <c:v>927</c:v>
                </c:pt>
                <c:pt idx="10">
                  <c:v>474</c:v>
                </c:pt>
                <c:pt idx="11">
                  <c:v>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1-41A1-8BEA-4A638EC41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73560"/>
        <c:axId val="1187867080"/>
      </c:areaChart>
      <c:dateAx>
        <c:axId val="1187873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080"/>
        <c:crosses val="autoZero"/>
        <c:auto val="1"/>
        <c:lblOffset val="100"/>
        <c:baseTimeUnit val="months"/>
      </c:dateAx>
      <c:valAx>
        <c:axId val="118786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[Charts.xlsx]Pivot Tables!PivotTable12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Tables'!$F$6:$F$37</c:f>
              <c:strCache>
                <c:ptCount val="31"/>
                <c:pt idx="0">
                  <c:v>Stevie Bridge</c:v>
                </c:pt>
                <c:pt idx="1">
                  <c:v>Richard Elliot</c:v>
                </c:pt>
                <c:pt idx="2">
                  <c:v>Paul Garza</c:v>
                </c:pt>
                <c:pt idx="3">
                  <c:v>Robert Blume</c:v>
                </c:pt>
                <c:pt idx="4">
                  <c:v>James Willard</c:v>
                </c:pt>
                <c:pt idx="5">
                  <c:v>Natalie Porter</c:v>
                </c:pt>
                <c:pt idx="6">
                  <c:v>Peter Ramsy</c:v>
                </c:pt>
                <c:pt idx="7">
                  <c:v>Daniela Schreiber</c:v>
                </c:pt>
                <c:pt idx="8">
                  <c:v>Corinna Schmidt</c:v>
                </c:pt>
                <c:pt idx="9">
                  <c:v>Paul Wells</c:v>
                </c:pt>
                <c:pt idx="10">
                  <c:v>Lukas Hofer</c:v>
                </c:pt>
                <c:pt idx="11">
                  <c:v>Robert Musser</c:v>
                </c:pt>
                <c:pt idx="12">
                  <c:v>Robert Richardson</c:v>
                </c:pt>
                <c:pt idx="13">
                  <c:v>Ewan Thompson</c:v>
                </c:pt>
                <c:pt idx="14">
                  <c:v>Gary Miller</c:v>
                </c:pt>
                <c:pt idx="15">
                  <c:v>Walter Miller</c:v>
                </c:pt>
                <c:pt idx="16">
                  <c:v>Paul Hill</c:v>
                </c:pt>
                <c:pt idx="17">
                  <c:v>Betina Bauer</c:v>
                </c:pt>
                <c:pt idx="18">
                  <c:v>Andre Cooper</c:v>
                </c:pt>
                <c:pt idx="19">
                  <c:v>Maria Tot</c:v>
                </c:pt>
                <c:pt idx="20">
                  <c:v>Kim West</c:v>
                </c:pt>
                <c:pt idx="21">
                  <c:v>Robert Spear</c:v>
                </c:pt>
                <c:pt idx="22">
                  <c:v>Ann Withers</c:v>
                </c:pt>
                <c:pt idx="23">
                  <c:v>Mike Saban</c:v>
                </c:pt>
                <c:pt idx="24">
                  <c:v>Wolfgang Ramjac</c:v>
                </c:pt>
                <c:pt idx="25">
                  <c:v>Roger Mun</c:v>
                </c:pt>
                <c:pt idx="26">
                  <c:v>Robert Marquez</c:v>
                </c:pt>
                <c:pt idx="27">
                  <c:v>Dan Ziegler</c:v>
                </c:pt>
                <c:pt idx="28">
                  <c:v>Daniel Garrett</c:v>
                </c:pt>
                <c:pt idx="29">
                  <c:v>Crystal Doyle</c:v>
                </c:pt>
                <c:pt idx="30">
                  <c:v>Brigitte Bond</c:v>
                </c:pt>
              </c:strCache>
            </c:strRef>
          </c:cat>
          <c:val>
            <c:numRef>
              <c:f>'Pivot Tables'!$G$6:$G$37</c:f>
              <c:numCache>
                <c:formatCode>_-"$"* #,##0_-;\-"$"* #,##0_-;_-"$"* "-"??_-;_-@_-</c:formatCode>
                <c:ptCount val="31"/>
                <c:pt idx="0">
                  <c:v>21971.600000000002</c:v>
                </c:pt>
                <c:pt idx="1">
                  <c:v>29726.760000000002</c:v>
                </c:pt>
                <c:pt idx="2">
                  <c:v>34808.200000000004</c:v>
                </c:pt>
                <c:pt idx="3">
                  <c:v>38820.6</c:v>
                </c:pt>
                <c:pt idx="4">
                  <c:v>39627.279999999999</c:v>
                </c:pt>
                <c:pt idx="5">
                  <c:v>45000.06</c:v>
                </c:pt>
                <c:pt idx="6">
                  <c:v>45431.96</c:v>
                </c:pt>
                <c:pt idx="7">
                  <c:v>45686.48</c:v>
                </c:pt>
                <c:pt idx="8">
                  <c:v>46054.82</c:v>
                </c:pt>
                <c:pt idx="9">
                  <c:v>46406.64</c:v>
                </c:pt>
                <c:pt idx="10">
                  <c:v>49000</c:v>
                </c:pt>
                <c:pt idx="11">
                  <c:v>50545.04</c:v>
                </c:pt>
                <c:pt idx="12">
                  <c:v>59784.479999999996</c:v>
                </c:pt>
                <c:pt idx="13">
                  <c:v>60270</c:v>
                </c:pt>
                <c:pt idx="14">
                  <c:v>60270</c:v>
                </c:pt>
                <c:pt idx="15">
                  <c:v>65708.58</c:v>
                </c:pt>
                <c:pt idx="16">
                  <c:v>68357.099999999991</c:v>
                </c:pt>
                <c:pt idx="17">
                  <c:v>73816.960000000006</c:v>
                </c:pt>
                <c:pt idx="18">
                  <c:v>80000.06</c:v>
                </c:pt>
                <c:pt idx="19">
                  <c:v>87999.94</c:v>
                </c:pt>
                <c:pt idx="20">
                  <c:v>89500.04</c:v>
                </c:pt>
                <c:pt idx="21">
                  <c:v>93668.260000000009</c:v>
                </c:pt>
                <c:pt idx="22">
                  <c:v>100000.04</c:v>
                </c:pt>
                <c:pt idx="23">
                  <c:v>102500.02</c:v>
                </c:pt>
                <c:pt idx="24">
                  <c:v>115999.93999999999</c:v>
                </c:pt>
                <c:pt idx="25">
                  <c:v>134000.02000000002</c:v>
                </c:pt>
                <c:pt idx="26">
                  <c:v>134468.18000000002</c:v>
                </c:pt>
                <c:pt idx="27">
                  <c:v>140000</c:v>
                </c:pt>
                <c:pt idx="28">
                  <c:v>140000</c:v>
                </c:pt>
                <c:pt idx="29">
                  <c:v>185000.06</c:v>
                </c:pt>
                <c:pt idx="30">
                  <c:v>225000.02000000002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2-457F-A0EB-941594FAD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026864"/>
        <c:axId val="744021824"/>
      </c:barChart>
      <c:catAx>
        <c:axId val="74402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1824"/>
        <c:crosses val="autoZero"/>
        <c:auto val="1"/>
        <c:lblAlgn val="ctr"/>
        <c:lblOffset val="100"/>
        <c:noMultiLvlLbl val="0"/>
      </c:catAx>
      <c:valAx>
        <c:axId val="7440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026864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Regression'!$C$62:$C$74</c:f>
              <c:numCache>
                <c:formatCode>General</c:formatCode>
                <c:ptCount val="13"/>
                <c:pt idx="0">
                  <c:v>-0.29954594017093683</c:v>
                </c:pt>
                <c:pt idx="1">
                  <c:v>-0.95926816239315826</c:v>
                </c:pt>
                <c:pt idx="2">
                  <c:v>-1.6398237179487154</c:v>
                </c:pt>
                <c:pt idx="3">
                  <c:v>-0.16470797720797492</c:v>
                </c:pt>
                <c:pt idx="4">
                  <c:v>0.82082443019943341</c:v>
                </c:pt>
                <c:pt idx="5">
                  <c:v>1.3104077635327656</c:v>
                </c:pt>
                <c:pt idx="6">
                  <c:v>-2.029870014245013</c:v>
                </c:pt>
                <c:pt idx="7">
                  <c:v>0.54478276353276556</c:v>
                </c:pt>
                <c:pt idx="8">
                  <c:v>0.53031517094017389</c:v>
                </c:pt>
                <c:pt idx="9">
                  <c:v>3.1755698005698036</c:v>
                </c:pt>
                <c:pt idx="10">
                  <c:v>-0.43438390313389874</c:v>
                </c:pt>
                <c:pt idx="11">
                  <c:v>-4.604522792022788</c:v>
                </c:pt>
                <c:pt idx="12">
                  <c:v>3.7502225783475822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64-4C62-8FC2-16B58AED6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09248"/>
        <c:axId val="858208168"/>
      </c:scatterChart>
      <c:valAx>
        <c:axId val="858209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8168"/>
        <c:crosses val="autoZero"/>
        <c:crossBetween val="midCat"/>
      </c:valAx>
      <c:valAx>
        <c:axId val="858208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0924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Examp Grade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02-4BDB-834A-7C6DE35372FB}"/>
            </c:ext>
          </c:extLst>
        </c:ser>
        <c:ser>
          <c:idx val="1"/>
          <c:order val="1"/>
          <c:tx>
            <c:v>Predicted Hours Studied</c:v>
          </c:tx>
          <c:spPr>
            <a:ln w="19050">
              <a:noFill/>
            </a:ln>
          </c:spPr>
          <c:x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xVal>
          <c:yVal>
            <c:numRef>
              <c:f>'Correlation &amp; Regression'!$B$63:$B$75</c:f>
              <c:numCache>
                <c:formatCode>General</c:formatCode>
                <c:ptCount val="13"/>
                <c:pt idx="0">
                  <c:v>8.2995459401709368</c:v>
                </c:pt>
                <c:pt idx="1">
                  <c:v>11.959268162393158</c:v>
                </c:pt>
                <c:pt idx="2">
                  <c:v>4.6398237179487154</c:v>
                </c:pt>
                <c:pt idx="3">
                  <c:v>6.1647079772079749</c:v>
                </c:pt>
                <c:pt idx="4">
                  <c:v>13.179175569800567</c:v>
                </c:pt>
                <c:pt idx="5">
                  <c:v>7.6895922364672344</c:v>
                </c:pt>
                <c:pt idx="6">
                  <c:v>4.029870014245013</c:v>
                </c:pt>
                <c:pt idx="7">
                  <c:v>-0.54478276353276556</c:v>
                </c:pt>
                <c:pt idx="8">
                  <c:v>6.4696848290598261</c:v>
                </c:pt>
                <c:pt idx="9">
                  <c:v>9.8244301994301964</c:v>
                </c:pt>
                <c:pt idx="10">
                  <c:v>10.434383903133899</c:v>
                </c:pt>
                <c:pt idx="11">
                  <c:v>8.604522792022788</c:v>
                </c:pt>
                <c:pt idx="12">
                  <c:v>5.2497774216524178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02-4BDB-834A-7C6DE3537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023264"/>
        <c:axId val="744026504"/>
      </c:scatterChart>
      <c:valAx>
        <c:axId val="74402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Examp Grade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6504"/>
        <c:crosses val="autoZero"/>
        <c:crossBetween val="midCat"/>
      </c:valAx>
      <c:valAx>
        <c:axId val="744026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402326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'Correlation &amp; Regression'!$F$62:$F$74</c:f>
              <c:numCache>
                <c:formatCode>General</c:formatCode>
                <c:ptCount val="13"/>
                <c:pt idx="0">
                  <c:v>3.8461538461538463</c:v>
                </c:pt>
                <c:pt idx="1">
                  <c:v>11.538461538461538</c:v>
                </c:pt>
                <c:pt idx="2">
                  <c:v>19.23076923076923</c:v>
                </c:pt>
                <c:pt idx="3">
                  <c:v>26.923076923076923</c:v>
                </c:pt>
                <c:pt idx="4">
                  <c:v>34.615384615384613</c:v>
                </c:pt>
                <c:pt idx="5">
                  <c:v>42.307692307692307</c:v>
                </c:pt>
                <c:pt idx="6">
                  <c:v>50</c:v>
                </c:pt>
                <c:pt idx="7">
                  <c:v>57.692307692307693</c:v>
                </c:pt>
                <c:pt idx="8">
                  <c:v>65.384615384615387</c:v>
                </c:pt>
                <c:pt idx="9">
                  <c:v>73.076923076923066</c:v>
                </c:pt>
                <c:pt idx="10">
                  <c:v>80.769230769230759</c:v>
                </c:pt>
                <c:pt idx="11">
                  <c:v>88.461538461538453</c:v>
                </c:pt>
                <c:pt idx="12">
                  <c:v>96.153846153846146</c:v>
                </c:pt>
              </c:numCache>
            </c:numRef>
          </c:xVal>
          <c:yVal>
            <c:numRef>
              <c:f>'Correlation &amp; Regression'!$G$62:$G$74</c:f>
              <c:numCache>
                <c:formatCode>General</c:formatCode>
                <c:ptCount val="13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13</c:v>
                </c:pt>
                <c:pt idx="12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A-422B-AE0E-A95C3287E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12488"/>
        <c:axId val="858215008"/>
      </c:scatterChart>
      <c:valAx>
        <c:axId val="858212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5008"/>
        <c:crosses val="autoZero"/>
        <c:crossBetween val="midCat"/>
      </c:valAx>
      <c:valAx>
        <c:axId val="8582150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Studied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582124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Scatter &amp; Plot (X &amp; 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'Correlation &amp; Regression'!$B$3</c:f>
              <c:strCache>
                <c:ptCount val="1"/>
                <c:pt idx="0">
                  <c:v>Examp Grade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58718569553805777"/>
                  <c:y val="-0.24098242927967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Regression'!$A$4:$A$16</c:f>
              <c:numCache>
                <c:formatCode>General</c:formatCode>
                <c:ptCount val="13"/>
                <c:pt idx="0">
                  <c:v>8</c:v>
                </c:pt>
                <c:pt idx="1">
                  <c:v>11</c:v>
                </c:pt>
                <c:pt idx="2">
                  <c:v>3</c:v>
                </c:pt>
                <c:pt idx="3">
                  <c:v>6</c:v>
                </c:pt>
                <c:pt idx="4">
                  <c:v>14</c:v>
                </c:pt>
                <c:pt idx="5">
                  <c:v>9</c:v>
                </c:pt>
                <c:pt idx="6">
                  <c:v>2</c:v>
                </c:pt>
                <c:pt idx="7">
                  <c:v>0</c:v>
                </c:pt>
                <c:pt idx="8">
                  <c:v>7</c:v>
                </c:pt>
                <c:pt idx="9">
                  <c:v>13</c:v>
                </c:pt>
                <c:pt idx="10">
                  <c:v>10</c:v>
                </c:pt>
                <c:pt idx="11">
                  <c:v>4</c:v>
                </c:pt>
                <c:pt idx="12">
                  <c:v>9</c:v>
                </c:pt>
              </c:numCache>
            </c:numRef>
          </c:xVal>
          <c:yVal>
            <c:numRef>
              <c:f>'Correlation &amp; Regression'!$B$4:$B$16</c:f>
              <c:numCache>
                <c:formatCode>General</c:formatCode>
                <c:ptCount val="13"/>
                <c:pt idx="0">
                  <c:v>82</c:v>
                </c:pt>
                <c:pt idx="1">
                  <c:v>94</c:v>
                </c:pt>
                <c:pt idx="2">
                  <c:v>70</c:v>
                </c:pt>
                <c:pt idx="3">
                  <c:v>75</c:v>
                </c:pt>
                <c:pt idx="4">
                  <c:v>98</c:v>
                </c:pt>
                <c:pt idx="5">
                  <c:v>80</c:v>
                </c:pt>
                <c:pt idx="6">
                  <c:v>68</c:v>
                </c:pt>
                <c:pt idx="7">
                  <c:v>53</c:v>
                </c:pt>
                <c:pt idx="8">
                  <c:v>76</c:v>
                </c:pt>
                <c:pt idx="9">
                  <c:v>87</c:v>
                </c:pt>
                <c:pt idx="10">
                  <c:v>89</c:v>
                </c:pt>
                <c:pt idx="11">
                  <c:v>83</c:v>
                </c:pt>
                <c:pt idx="12">
                  <c:v>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1C-4ED5-8EB7-760EC196D5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06360"/>
        <c:axId val="846703120"/>
      </c:scatterChart>
      <c:valAx>
        <c:axId val="846706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3120"/>
        <c:crosses val="autoZero"/>
        <c:crossBetween val="midCat"/>
      </c:valAx>
      <c:valAx>
        <c:axId val="84670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06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Chart'!$B$7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rgbClr val="FF0000"/>
            </a:solidFill>
            <a:ln w="12700" cap="flat" cmpd="sng" algn="ctr">
              <a:solidFill>
                <a:srgbClr val="00B050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Chart'!$A$8:$A$12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Chart'!$B$8:$B$12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D-40C8-9474-E7E8DE96B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29441696"/>
        <c:axId val="729439176"/>
      </c:barChart>
      <c:catAx>
        <c:axId val="729441696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39176"/>
        <c:crosses val="autoZero"/>
        <c:auto val="1"/>
        <c:lblAlgn val="ctr"/>
        <c:lblOffset val="100"/>
        <c:noMultiLvlLbl val="0"/>
      </c:catAx>
      <c:valAx>
        <c:axId val="7294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44169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'Column Chart'!$B$81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Chart'!$B$82:$B$86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83-4FDA-8BB6-6D68937D48EE}"/>
            </c:ext>
          </c:extLst>
        </c:ser>
        <c:ser>
          <c:idx val="1"/>
          <c:order val="1"/>
          <c:tx>
            <c:strRef>
              <c:f>'Column Chart'!$C$81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Chart'!$A$82:$A$86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Chart'!$C$82:$C$86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83-4FDA-8BB6-6D68937D4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87877880"/>
        <c:axId val="1187867800"/>
      </c:barChart>
      <c:catAx>
        <c:axId val="1187877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67800"/>
        <c:crosses val="autoZero"/>
        <c:auto val="1"/>
        <c:lblAlgn val="ctr"/>
        <c:lblOffset val="100"/>
        <c:noMultiLvlLbl val="0"/>
      </c:catAx>
      <c:valAx>
        <c:axId val="1187867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77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Actual Vs. Budget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Chart'!$B$134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Chart'!$B$135:$B$139</c:f>
              <c:numCache>
                <c:formatCode>General</c:formatCode>
                <c:ptCount val="5"/>
                <c:pt idx="0">
                  <c:v>102</c:v>
                </c:pt>
                <c:pt idx="1">
                  <c:v>119</c:v>
                </c:pt>
                <c:pt idx="2">
                  <c:v>300</c:v>
                </c:pt>
                <c:pt idx="3">
                  <c:v>89</c:v>
                </c:pt>
                <c:pt idx="4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190031552"/>
        <c:axId val="1190034792"/>
      </c:barChart>
      <c:lineChart>
        <c:grouping val="standard"/>
        <c:varyColors val="0"/>
        <c:ser>
          <c:idx val="1"/>
          <c:order val="1"/>
          <c:tx>
            <c:strRef>
              <c:f>'Column Chart'!$C$134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'Column Chart'!$A$135:$A$139</c:f>
              <c:strCache>
                <c:ptCount val="5"/>
                <c:pt idx="0">
                  <c:v>Fightrr</c:v>
                </c:pt>
                <c:pt idx="1">
                  <c:v>Kryptis</c:v>
                </c:pt>
                <c:pt idx="2">
                  <c:v>Perino</c:v>
                </c:pt>
                <c:pt idx="3">
                  <c:v>Hackrr</c:v>
                </c:pt>
                <c:pt idx="4">
                  <c:v>WenCaL</c:v>
                </c:pt>
              </c:strCache>
            </c:strRef>
          </c:cat>
          <c:val>
            <c:numRef>
              <c:f>'Column Chart'!$C$135:$C$139</c:f>
              <c:numCache>
                <c:formatCode>0</c:formatCode>
                <c:ptCount val="5"/>
                <c:pt idx="0">
                  <c:v>112.2</c:v>
                </c:pt>
                <c:pt idx="1">
                  <c:v>130.9</c:v>
                </c:pt>
                <c:pt idx="2">
                  <c:v>330</c:v>
                </c:pt>
                <c:pt idx="3">
                  <c:v>97.9</c:v>
                </c:pt>
                <c:pt idx="4">
                  <c:v>248.60000000000002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1D-4293-9D48-A756CEC970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190031552"/>
        <c:axId val="1190034792"/>
      </c:lineChart>
      <c:catAx>
        <c:axId val="11900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4792"/>
        <c:crosses val="autoZero"/>
        <c:auto val="1"/>
        <c:lblAlgn val="ctr"/>
        <c:lblOffset val="100"/>
        <c:noMultiLvlLbl val="0"/>
      </c:catAx>
      <c:valAx>
        <c:axId val="11900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0315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28CC9DD-C4CC-4C08-A0B3-3112D5EE258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>
          <cx:spPr>
            <a:ln>
              <a:noFill/>
            </a:ln>
          </cx:spPr>
        </cx:majorGridlines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Box &amp; Whisker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 &amp; Whisker </a:t>
          </a:r>
        </a:p>
      </cx:txPr>
    </cx:title>
    <cx:plotArea>
      <cx:plotAreaRegion>
        <cx:series layoutId="boxWhisker" uniqueId="{08E17417-EBB4-4A4C-9D17-1B9BDB8A4EAB}">
          <cx:spPr>
            <a:noFill/>
          </cx:spPr>
          <cx:dataLabels>
            <cx:visibility seriesName="0" categoryName="0" value="1"/>
            <cx:separator>, </cx:separator>
            <cx:dataLabel idx="9">
              <cx:visibility seriesName="0" categoryName="0" value="1"/>
              <cx:separator>, </cx:separator>
            </cx:dataLabel>
          </cx:dataLabels>
          <cx:dataId val="0"/>
          <cx:layoutPr>
            <cx:visibility meanLine="1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  <cx:data id="1">
      <cx:numDim type="val">
        <cx:f>_xlchart.v1.5</cx:f>
      </cx:numDim>
    </cx:data>
  </cx:chartData>
  <cx:chart>
    <cx:title pos="t" align="ctr" overlay="0">
      <cx:tx>
        <cx:txData>
          <cx:v>2 Box &amp; Whisker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 Box &amp; Whisker</a:t>
          </a:r>
        </a:p>
      </cx:txPr>
    </cx:title>
    <cx:plotArea>
      <cx:plotAreaRegion>
        <cx:series layoutId="boxWhisker" uniqueId="{155A4B63-E5A4-4D44-9646-C396C235B32B}">
          <cx:tx>
            <cx:txData>
              <cx:f>_xlchart.v1.2</cx:f>
              <cx:v>Group 1</cx:v>
            </cx:txData>
          </cx:tx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34928595-E593-4EBB-BAA8-3FF3E3372472}">
          <cx:tx>
            <cx:txData>
              <cx:f>_xlchart.v1.4</cx:f>
              <cx:v>Group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</cx:chartData>
  <cx:chart>
    <cx:title pos="t" align="ctr" overlay="0"/>
    <cx:plotArea>
      <cx:plotAreaRegion>
        <cx:plotSurface>
          <cx:spPr>
            <a:ln>
              <a:solidFill>
                <a:schemeClr val="accent1"/>
              </a:solidFill>
            </a:ln>
          </cx:spPr>
        </cx:plotSurface>
        <cx:series layoutId="clusteredColumn" uniqueId="{95137A93-9372-48D8-A03E-50CCA59848FD}">
          <cx:tx>
            <cx:txData>
              <cx:f>_xlchart.v1.8</cx:f>
              <cx:v>Yearly Salary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 b="1"/>
                </a:pPr>
                <a:endParaRPr lang="en-US" sz="12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binning intervalClosed="r" underflow="30000" overflow="200000">
              <cx:binSize val="40000"/>
            </cx:binning>
          </cx:layoutPr>
        </cx:series>
      </cx:plotAreaRegion>
      <cx:axis id="0">
        <cx:catScaling gapWidth="0"/>
        <cx:tickLabels/>
      </cx:axis>
      <cx:axis id="1" hidden="1">
        <cx:valScaling/>
        <cx:majorGridlines>
          <cx:spPr>
            <a:ln>
              <a:noFill/>
            </a:ln>
          </cx:spPr>
        </cx:majorGridlines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4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3.png"/><Relationship Id="rId2" Type="http://schemas.openxmlformats.org/officeDocument/2006/relationships/image" Target="../media/image24.png"/><Relationship Id="rId16" Type="http://schemas.openxmlformats.org/officeDocument/2006/relationships/chart" Target="../charts/chart9.xml"/><Relationship Id="rId1" Type="http://schemas.openxmlformats.org/officeDocument/2006/relationships/chart" Target="../charts/chart7.xml"/><Relationship Id="rId6" Type="http://schemas.openxmlformats.org/officeDocument/2006/relationships/image" Target="../media/image28.png"/><Relationship Id="rId11" Type="http://schemas.openxmlformats.org/officeDocument/2006/relationships/image" Target="../media/image32.png"/><Relationship Id="rId5" Type="http://schemas.openxmlformats.org/officeDocument/2006/relationships/image" Target="../media/image27.png"/><Relationship Id="rId15" Type="http://schemas.openxmlformats.org/officeDocument/2006/relationships/image" Target="../media/image36.png"/><Relationship Id="rId10" Type="http://schemas.openxmlformats.org/officeDocument/2006/relationships/chart" Target="../charts/chart8.xml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5.png"/></Relationships>
</file>

<file path=xl/drawings/_rels/drawing1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37.png"/><Relationship Id="rId1" Type="http://schemas.openxmlformats.org/officeDocument/2006/relationships/chart" Target="../charts/chart10.xml"/><Relationship Id="rId6" Type="http://schemas.openxmlformats.org/officeDocument/2006/relationships/image" Target="../media/image41.png"/><Relationship Id="rId5" Type="http://schemas.openxmlformats.org/officeDocument/2006/relationships/image" Target="../media/image40.png"/><Relationship Id="rId4" Type="http://schemas.openxmlformats.org/officeDocument/2006/relationships/image" Target="../media/image39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2" Type="http://schemas.openxmlformats.org/officeDocument/2006/relationships/image" Target="../media/image43.png"/><Relationship Id="rId1" Type="http://schemas.openxmlformats.org/officeDocument/2006/relationships/chart" Target="../charts/chart13.xml"/><Relationship Id="rId6" Type="http://schemas.openxmlformats.org/officeDocument/2006/relationships/image" Target="../media/image47.png"/><Relationship Id="rId5" Type="http://schemas.openxmlformats.org/officeDocument/2006/relationships/image" Target="../media/image46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3.png"/><Relationship Id="rId2" Type="http://schemas.openxmlformats.org/officeDocument/2006/relationships/image" Target="../media/image52.png"/><Relationship Id="rId1" Type="http://schemas.openxmlformats.org/officeDocument/2006/relationships/image" Target="../media/image5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microsoft.com/office/2014/relationships/chartEx" Target="../charts/chartEx2.xml"/><Relationship Id="rId6" Type="http://schemas.microsoft.com/office/2014/relationships/chartEx" Target="../charts/chartEx3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6.png"/><Relationship Id="rId1" Type="http://schemas.openxmlformats.org/officeDocument/2006/relationships/chart" Target="../charts/chart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7.png"/><Relationship Id="rId6" Type="http://schemas.openxmlformats.org/officeDocument/2006/relationships/image" Target="../media/image18.png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3</xdr:row>
      <xdr:rowOff>47625</xdr:rowOff>
    </xdr:from>
    <xdr:to>
      <xdr:col>14</xdr:col>
      <xdr:colOff>590550</xdr:colOff>
      <xdr:row>17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97830F3-038E-C7A0-D62D-C76334FA68B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24286" y="628650"/>
              <a:ext cx="6672264" cy="2695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600075</xdr:colOff>
      <xdr:row>22</xdr:row>
      <xdr:rowOff>2414</xdr:rowOff>
    </xdr:from>
    <xdr:to>
      <xdr:col>9</xdr:col>
      <xdr:colOff>286421</xdr:colOff>
      <xdr:row>27</xdr:row>
      <xdr:rowOff>76524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5E10A1-386A-57A1-53B8-D9C4406FE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95800" y="3621914"/>
          <a:ext cx="2124746" cy="102661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13</xdr:row>
      <xdr:rowOff>0</xdr:rowOff>
    </xdr:from>
    <xdr:to>
      <xdr:col>12</xdr:col>
      <xdr:colOff>410313</xdr:colOff>
      <xdr:row>38</xdr:row>
      <xdr:rowOff>181672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8C1950-51A4-BB2D-9E46-F1E42FFC7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0" y="2524125"/>
          <a:ext cx="5287113" cy="499179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200151</xdr:colOff>
      <xdr:row>36</xdr:row>
      <xdr:rowOff>66737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6AD9DC-283F-2521-2E74-26BE5D5E2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300" y="6572250"/>
          <a:ext cx="905001" cy="44773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</xdr:row>
      <xdr:rowOff>0</xdr:rowOff>
    </xdr:from>
    <xdr:to>
      <xdr:col>12</xdr:col>
      <xdr:colOff>381734</xdr:colOff>
      <xdr:row>38</xdr:row>
      <xdr:rowOff>162619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3B029-9C23-71C7-2A53-6D9802F45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00350" y="2524125"/>
          <a:ext cx="5258534" cy="497274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37</xdr:row>
      <xdr:rowOff>0</xdr:rowOff>
    </xdr:from>
    <xdr:to>
      <xdr:col>6</xdr:col>
      <xdr:colOff>25400</xdr:colOff>
      <xdr:row>52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073085-3B2B-92B0-2E74-C3C1C1099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8312150" cy="2914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409575</xdr:colOff>
      <xdr:row>12</xdr:row>
      <xdr:rowOff>28575</xdr:rowOff>
    </xdr:from>
    <xdr:to>
      <xdr:col>6</xdr:col>
      <xdr:colOff>505486</xdr:colOff>
      <xdr:row>32</xdr:row>
      <xdr:rowOff>76738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578BCC7-59CC-6BBE-3BFA-4F85E6B1A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8350" y="2314575"/>
          <a:ext cx="4734586" cy="385816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185737</xdr:rowOff>
    </xdr:from>
    <xdr:to>
      <xdr:col>6</xdr:col>
      <xdr:colOff>209550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D5C07E-60EB-1C99-AC52-F4F810421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209550</xdr:colOff>
      <xdr:row>15</xdr:row>
      <xdr:rowOff>133350</xdr:rowOff>
    </xdr:from>
    <xdr:to>
      <xdr:col>9</xdr:col>
      <xdr:colOff>276490</xdr:colOff>
      <xdr:row>27</xdr:row>
      <xdr:rowOff>28879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78DDAE-A942-A81A-1AAA-56D912C09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2990850"/>
          <a:ext cx="1895740" cy="21815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191135</xdr:colOff>
      <xdr:row>46</xdr:row>
      <xdr:rowOff>19425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471D707-59EC-10D9-6836-2BD29ADF1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096000"/>
          <a:ext cx="4553585" cy="26864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2</xdr:col>
      <xdr:colOff>495638</xdr:colOff>
      <xdr:row>52</xdr:row>
      <xdr:rowOff>133502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99E796-883C-76BE-EB78-C75242F47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8953500"/>
          <a:ext cx="2419688" cy="10860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6</xdr:col>
      <xdr:colOff>114925</xdr:colOff>
      <xdr:row>44</xdr:row>
      <xdr:rowOff>114635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7D0810A-B0AD-3EED-E1A0-446B30EFC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6096000"/>
          <a:ext cx="4477375" cy="24006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1</xdr:col>
      <xdr:colOff>428882</xdr:colOff>
      <xdr:row>59</xdr:row>
      <xdr:rowOff>9659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CE28BD8-97E2-9804-7718-155C773E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0287000"/>
          <a:ext cx="1838582" cy="96215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6</xdr:col>
      <xdr:colOff>181609</xdr:colOff>
      <xdr:row>73</xdr:row>
      <xdr:rowOff>114662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19C4778-19A4-72ED-8E8A-50CBDB590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1430000"/>
          <a:ext cx="4544059" cy="259116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3</xdr:col>
      <xdr:colOff>38459</xdr:colOff>
      <xdr:row>96</xdr:row>
      <xdr:rowOff>57344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83CC9F-B162-3CD0-9C14-3CA66491A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9812000"/>
          <a:ext cx="2572109" cy="139084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90</xdr:row>
      <xdr:rowOff>0</xdr:rowOff>
    </xdr:from>
    <xdr:to>
      <xdr:col>8</xdr:col>
      <xdr:colOff>171814</xdr:colOff>
      <xdr:row>97</xdr:row>
      <xdr:rowOff>57344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411B19-1B78-B7B8-33D1-24AB85AD3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143250" y="20002500"/>
          <a:ext cx="2610214" cy="1390844"/>
        </a:xfrm>
        <a:prstGeom prst="rect">
          <a:avLst/>
        </a:prstGeom>
      </xdr:spPr>
    </xdr:pic>
    <xdr:clientData/>
  </xdr:twoCellAnchor>
  <xdr:twoCellAnchor>
    <xdr:from>
      <xdr:col>0</xdr:col>
      <xdr:colOff>14287</xdr:colOff>
      <xdr:row>96</xdr:row>
      <xdr:rowOff>185737</xdr:rowOff>
    </xdr:from>
    <xdr:to>
      <xdr:col>6</xdr:col>
      <xdr:colOff>209550</xdr:colOff>
      <xdr:row>111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5B11835-A18B-B883-8D8D-75C53FEE3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0</xdr:colOff>
      <xdr:row>113</xdr:row>
      <xdr:rowOff>0</xdr:rowOff>
    </xdr:from>
    <xdr:to>
      <xdr:col>2</xdr:col>
      <xdr:colOff>190795</xdr:colOff>
      <xdr:row>127</xdr:row>
      <xdr:rowOff>38478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DCB9DA9-BEF8-1F05-9338-7B6E3862A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21526500"/>
          <a:ext cx="2114845" cy="270547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113</xdr:row>
      <xdr:rowOff>0</xdr:rowOff>
    </xdr:from>
    <xdr:to>
      <xdr:col>12</xdr:col>
      <xdr:colOff>48397</xdr:colOff>
      <xdr:row>128</xdr:row>
      <xdr:rowOff>76609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2C77F13-AF27-6F6E-9E91-7CA13C8E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533650" y="21526500"/>
          <a:ext cx="5534797" cy="2934109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113</xdr:row>
      <xdr:rowOff>0</xdr:rowOff>
    </xdr:from>
    <xdr:to>
      <xdr:col>17</xdr:col>
      <xdr:colOff>381394</xdr:colOff>
      <xdr:row>120</xdr:row>
      <xdr:rowOff>76397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E3133FD-A1EF-F082-60E6-312F25CB4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29650" y="21526500"/>
          <a:ext cx="2819794" cy="140989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133</xdr:row>
      <xdr:rowOff>0</xdr:rowOff>
    </xdr:from>
    <xdr:to>
      <xdr:col>7</xdr:col>
      <xdr:colOff>305098</xdr:colOff>
      <xdr:row>134</xdr:row>
      <xdr:rowOff>133395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1282C8F-1E5D-35B1-99D7-1497E917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143250" y="25336500"/>
          <a:ext cx="2133898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9525</xdr:rowOff>
    </xdr:from>
    <xdr:to>
      <xdr:col>8</xdr:col>
      <xdr:colOff>362780</xdr:colOff>
      <xdr:row>169</xdr:row>
      <xdr:rowOff>67454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9D66D6B-901E-24FE-91F5-C6588B1FC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26679525"/>
          <a:ext cx="5944430" cy="5582429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170</xdr:row>
      <xdr:rowOff>14287</xdr:rowOff>
    </xdr:from>
    <xdr:to>
      <xdr:col>6</xdr:col>
      <xdr:colOff>209550</xdr:colOff>
      <xdr:row>184</xdr:row>
      <xdr:rowOff>90487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BC8F78C-5BE4-68F2-0888-E7D0993D8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161925</xdr:colOff>
      <xdr:row>4</xdr:row>
      <xdr:rowOff>23811</xdr:rowOff>
    </xdr:from>
    <xdr:to>
      <xdr:col>13</xdr:col>
      <xdr:colOff>161925</xdr:colOff>
      <xdr:row>18</xdr:row>
      <xdr:rowOff>104774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35E57EC-F7B6-B8D9-7A10-590D75B8E6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19425" y="785811"/>
              <a:ext cx="6096000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55</xdr:row>
      <xdr:rowOff>176212</xdr:rowOff>
    </xdr:from>
    <xdr:to>
      <xdr:col>8</xdr:col>
      <xdr:colOff>333375</xdr:colOff>
      <xdr:row>70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5610DB-593F-13EA-74FE-7CB63B4BCC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28</xdr:row>
      <xdr:rowOff>0</xdr:rowOff>
    </xdr:from>
    <xdr:to>
      <xdr:col>3</xdr:col>
      <xdr:colOff>38361</xdr:colOff>
      <xdr:row>29</xdr:row>
      <xdr:rowOff>85764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1AD597-C996-31AC-76F8-E4E7D95CE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1867161" cy="276264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11</xdr:row>
      <xdr:rowOff>171450</xdr:rowOff>
    </xdr:from>
    <xdr:to>
      <xdr:col>8</xdr:col>
      <xdr:colOff>305445</xdr:colOff>
      <xdr:row>26</xdr:row>
      <xdr:rowOff>9901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9018E8-1F1A-D31E-9BA3-8C366900E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975" y="2266950"/>
          <a:ext cx="4620270" cy="269595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115082</xdr:colOff>
      <xdr:row>34</xdr:row>
      <xdr:rowOff>38238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2AEB16-3CCE-6680-546C-4786ED202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5524500"/>
          <a:ext cx="560148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10</xdr:col>
      <xdr:colOff>766</xdr:colOff>
      <xdr:row>33</xdr:row>
      <xdr:rowOff>114422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AF2671E-90D6-B6D0-91EA-C4FBFDB3F4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5524500"/>
          <a:ext cx="5487166" cy="876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8</xdr:col>
      <xdr:colOff>305438</xdr:colOff>
      <xdr:row>52</xdr:row>
      <xdr:rowOff>38478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BEB113F-F185-2868-E578-E3A0C8B46F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9600" y="7239000"/>
          <a:ext cx="4572638" cy="270547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533399</xdr:colOff>
      <xdr:row>9</xdr:row>
      <xdr:rowOff>100012</xdr:rowOff>
    </xdr:from>
    <xdr:to>
      <xdr:col>10</xdr:col>
      <xdr:colOff>219075</xdr:colOff>
      <xdr:row>23</xdr:row>
      <xdr:rowOff>176212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A612EE80-FF24-A05A-7412-F2B53D9598F9}"/>
            </a:ext>
          </a:extLst>
        </xdr:cNvPr>
        <xdr:cNvGrpSpPr/>
      </xdr:nvGrpSpPr>
      <xdr:grpSpPr>
        <a:xfrm>
          <a:off x="533399" y="1814512"/>
          <a:ext cx="5934076" cy="2743200"/>
          <a:chOff x="1219199" y="1919287"/>
          <a:chExt cx="5934076" cy="2743200"/>
        </a:xfrm>
      </xdr:grpSpPr>
      <xdr:graphicFrame macro="">
        <xdr:nvGraphicFramePr>
          <xdr:cNvPr id="2" name="Chart 1">
            <a:extLst>
              <a:ext uri="{FF2B5EF4-FFF2-40B4-BE49-F238E27FC236}">
                <a16:creationId xmlns:a16="http://schemas.microsoft.com/office/drawing/2014/main" id="{D8431880-051D-822B-99A2-E99864C38A4F}"/>
              </a:ext>
            </a:extLst>
          </xdr:cNvPr>
          <xdr:cNvGraphicFramePr/>
        </xdr:nvGraphicFramePr>
        <xdr:xfrm>
          <a:off x="1219199" y="1919287"/>
          <a:ext cx="356235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A852CFDB-68A4-E264-3E1D-5AFB88BDC61E}"/>
              </a:ext>
            </a:extLst>
          </xdr:cNvPr>
          <xdr:cNvGraphicFramePr/>
        </xdr:nvGraphicFramePr>
        <xdr:xfrm>
          <a:off x="4467225" y="1924050"/>
          <a:ext cx="2686050" cy="27336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180976</xdr:colOff>
      <xdr:row>43</xdr:row>
      <xdr:rowOff>4761</xdr:rowOff>
    </xdr:from>
    <xdr:to>
      <xdr:col>7</xdr:col>
      <xdr:colOff>466726</xdr:colOff>
      <xdr:row>58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9A17C6-390B-C740-58BC-9EA1CCD07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9525</xdr:colOff>
      <xdr:row>5</xdr:row>
      <xdr:rowOff>0</xdr:rowOff>
    </xdr:from>
    <xdr:to>
      <xdr:col>8</xdr:col>
      <xdr:colOff>524202</xdr:colOff>
      <xdr:row>22</xdr:row>
      <xdr:rowOff>76663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7F592F5-EE95-8396-30C9-99662A2FE3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76650" y="952500"/>
          <a:ext cx="2343477" cy="33151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9</xdr:col>
      <xdr:colOff>9525</xdr:colOff>
      <xdr:row>5</xdr:row>
      <xdr:rowOff>47625</xdr:rowOff>
    </xdr:from>
    <xdr:to>
      <xdr:col>14</xdr:col>
      <xdr:colOff>381831</xdr:colOff>
      <xdr:row>17</xdr:row>
      <xdr:rowOff>181313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805D60-8F0A-6F0E-7023-244240F3D0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15050" y="1000125"/>
          <a:ext cx="5953956" cy="2419688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5</xdr:row>
      <xdr:rowOff>9525</xdr:rowOff>
    </xdr:from>
    <xdr:to>
      <xdr:col>22</xdr:col>
      <xdr:colOff>343542</xdr:colOff>
      <xdr:row>19</xdr:row>
      <xdr:rowOff>95634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4CE459F-FD4C-D759-3626-24D936E27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06300" y="962025"/>
          <a:ext cx="4601217" cy="2753109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25</xdr:row>
      <xdr:rowOff>38100</xdr:rowOff>
    </xdr:from>
    <xdr:to>
      <xdr:col>10</xdr:col>
      <xdr:colOff>2286645</xdr:colOff>
      <xdr:row>39</xdr:row>
      <xdr:rowOff>133736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3E107BE-6F95-5A42-912F-D13FE9C36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543425" y="4800600"/>
          <a:ext cx="4620270" cy="2762636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41</xdr:row>
      <xdr:rowOff>0</xdr:rowOff>
    </xdr:from>
    <xdr:to>
      <xdr:col>10</xdr:col>
      <xdr:colOff>2486542</xdr:colOff>
      <xdr:row>56</xdr:row>
      <xdr:rowOff>124241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7A87C1-EC3B-CA7D-2234-1A6F4FEBF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95925" y="7810500"/>
          <a:ext cx="3705742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59</xdr:row>
      <xdr:rowOff>0</xdr:rowOff>
    </xdr:from>
    <xdr:to>
      <xdr:col>10</xdr:col>
      <xdr:colOff>1648225</xdr:colOff>
      <xdr:row>70</xdr:row>
      <xdr:rowOff>47924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31BDDEF-C53F-F064-C2E7-0502A45B2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495925" y="11239500"/>
          <a:ext cx="2867425" cy="21434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3</xdr:col>
      <xdr:colOff>143237</xdr:colOff>
      <xdr:row>76</xdr:row>
      <xdr:rowOff>57610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1E4686-6350-1F1A-DF84-292B48800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1239500"/>
          <a:ext cx="2591162" cy="329611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0</xdr:rowOff>
    </xdr:from>
    <xdr:to>
      <xdr:col>4</xdr:col>
      <xdr:colOff>181341</xdr:colOff>
      <xdr:row>108</xdr:row>
      <xdr:rowOff>115060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F410247-3974-7CF3-9328-9CEC2C7A16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15240000"/>
          <a:ext cx="2619741" cy="54490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4762</xdr:rowOff>
    </xdr:from>
    <xdr:to>
      <xdr:col>14</xdr:col>
      <xdr:colOff>323850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0A8DB1-012C-54FF-1DD0-2C376A1F3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1009650</xdr:colOff>
      <xdr:row>22</xdr:row>
      <xdr:rowOff>9525</xdr:rowOff>
    </xdr:from>
    <xdr:to>
      <xdr:col>5</xdr:col>
      <xdr:colOff>400535</xdr:colOff>
      <xdr:row>39</xdr:row>
      <xdr:rowOff>162398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B910ED-07CD-9090-0007-C39964508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650" y="4210050"/>
          <a:ext cx="3477110" cy="339137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</xdr:row>
      <xdr:rowOff>19050</xdr:rowOff>
    </xdr:from>
    <xdr:to>
      <xdr:col>3</xdr:col>
      <xdr:colOff>285989</xdr:colOff>
      <xdr:row>59</xdr:row>
      <xdr:rowOff>133738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CBF3B1-26F6-D629-F1D4-08B04D9C9A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8225" y="8601075"/>
          <a:ext cx="1714739" cy="2781688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45</xdr:row>
      <xdr:rowOff>9525</xdr:rowOff>
    </xdr:from>
    <xdr:to>
      <xdr:col>8</xdr:col>
      <xdr:colOff>410060</xdr:colOff>
      <xdr:row>62</xdr:row>
      <xdr:rowOff>152872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F3BEF5-9981-7B33-027B-6532853BB4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76575" y="8591550"/>
          <a:ext cx="3477110" cy="338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704850</xdr:colOff>
      <xdr:row>20</xdr:row>
      <xdr:rowOff>9525</xdr:rowOff>
    </xdr:from>
    <xdr:to>
      <xdr:col>6</xdr:col>
      <xdr:colOff>3019425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11EACEB-C5EA-4CD6-F2DA-508262FF80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28875" y="38385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695325</xdr:colOff>
      <xdr:row>52</xdr:row>
      <xdr:rowOff>9525</xdr:rowOff>
    </xdr:from>
    <xdr:to>
      <xdr:col>6</xdr:col>
      <xdr:colOff>1372108</xdr:colOff>
      <xdr:row>68</xdr:row>
      <xdr:rowOff>67110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4E13136-BAA0-AA0C-4887-917E9496E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4500" y="9944100"/>
          <a:ext cx="3639058" cy="311511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0</xdr:rowOff>
    </xdr:from>
    <xdr:to>
      <xdr:col>2</xdr:col>
      <xdr:colOff>9526</xdr:colOff>
      <xdr:row>73</xdr:row>
      <xdr:rowOff>308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570941F-A465-8254-7221-5EF0DEA88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13754100"/>
          <a:ext cx="1028700" cy="190808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</xdr:colOff>
      <xdr:row>75</xdr:row>
      <xdr:rowOff>47625</xdr:rowOff>
    </xdr:from>
    <xdr:to>
      <xdr:col>1</xdr:col>
      <xdr:colOff>171467</xdr:colOff>
      <xdr:row>76</xdr:row>
      <xdr:rowOff>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3D340A6-F9D4-6CDF-DD1C-1C1837F5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5325" y="14373225"/>
          <a:ext cx="123842" cy="1428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76</xdr:row>
      <xdr:rowOff>57150</xdr:rowOff>
    </xdr:from>
    <xdr:to>
      <xdr:col>1</xdr:col>
      <xdr:colOff>133369</xdr:colOff>
      <xdr:row>76</xdr:row>
      <xdr:rowOff>180992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7B8456C-2F23-FD83-2F98-C90DA7891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0" y="14573250"/>
          <a:ext cx="133369" cy="123842"/>
        </a:xfrm>
        <a:prstGeom prst="rect">
          <a:avLst/>
        </a:prstGeom>
      </xdr:spPr>
    </xdr:pic>
    <xdr:clientData/>
  </xdr:twoCellAnchor>
  <xdr:twoCellAnchor>
    <xdr:from>
      <xdr:col>2</xdr:col>
      <xdr:colOff>295274</xdr:colOff>
      <xdr:row>91</xdr:row>
      <xdr:rowOff>171450</xdr:rowOff>
    </xdr:from>
    <xdr:to>
      <xdr:col>6</xdr:col>
      <xdr:colOff>1609725</xdr:colOff>
      <xdr:row>107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D5377316-8B6A-4DC4-A097-E5DB112859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4449" y="17545050"/>
              <a:ext cx="4276726" cy="3019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0</xdr:colOff>
      <xdr:row>125</xdr:row>
      <xdr:rowOff>0</xdr:rowOff>
    </xdr:from>
    <xdr:to>
      <xdr:col>6</xdr:col>
      <xdr:colOff>705362</xdr:colOff>
      <xdr:row>136</xdr:row>
      <xdr:rowOff>105082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91274-E4CB-E632-D256-01DB2600F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19175" y="23850600"/>
          <a:ext cx="3667637" cy="22005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4</xdr:col>
      <xdr:colOff>1743494</xdr:colOff>
      <xdr:row>42</xdr:row>
      <xdr:rowOff>152501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C17E47-1145-00A7-05A4-7054E93C1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" y="7620000"/>
          <a:ext cx="3000794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</xdr:colOff>
      <xdr:row>2</xdr:row>
      <xdr:rowOff>38100</xdr:rowOff>
    </xdr:from>
    <xdr:to>
      <xdr:col>10</xdr:col>
      <xdr:colOff>309562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C655D7-7695-34F1-DFF6-5F5E56FA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24</xdr:row>
      <xdr:rowOff>0</xdr:rowOff>
    </xdr:from>
    <xdr:to>
      <xdr:col>9</xdr:col>
      <xdr:colOff>133930</xdr:colOff>
      <xdr:row>37</xdr:row>
      <xdr:rowOff>162293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7B0E0-A8E3-8CD9-6596-4CC18199BC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95625" y="4572000"/>
          <a:ext cx="4153480" cy="2638793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39</xdr:row>
      <xdr:rowOff>0</xdr:rowOff>
    </xdr:from>
    <xdr:to>
      <xdr:col>8</xdr:col>
      <xdr:colOff>333838</xdr:colOff>
      <xdr:row>44</xdr:row>
      <xdr:rowOff>76344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15D62C-F5C8-48B1-D702-EC1CB65F0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95625" y="7429500"/>
          <a:ext cx="3315163" cy="1028844"/>
        </a:xfrm>
        <a:prstGeom prst="rect">
          <a:avLst/>
        </a:prstGeom>
      </xdr:spPr>
    </xdr:pic>
    <xdr:clientData/>
  </xdr:twoCellAnchor>
  <xdr:twoCellAnchor editAs="oneCell">
    <xdr:from>
      <xdr:col>4</xdr:col>
      <xdr:colOff>66675</xdr:colOff>
      <xdr:row>96</xdr:row>
      <xdr:rowOff>19050</xdr:rowOff>
    </xdr:from>
    <xdr:to>
      <xdr:col>7</xdr:col>
      <xdr:colOff>219427</xdr:colOff>
      <xdr:row>106</xdr:row>
      <xdr:rowOff>85947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2BCEE9-EB2D-0628-1466-B2D426F1B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62300" y="18307050"/>
          <a:ext cx="2524477" cy="1590897"/>
        </a:xfrm>
        <a:prstGeom prst="rect">
          <a:avLst/>
        </a:prstGeom>
      </xdr:spPr>
    </xdr:pic>
    <xdr:clientData/>
  </xdr:twoCellAnchor>
  <xdr:twoCellAnchor editAs="oneCell">
    <xdr:from>
      <xdr:col>4</xdr:col>
      <xdr:colOff>85725</xdr:colOff>
      <xdr:row>107</xdr:row>
      <xdr:rowOff>0</xdr:rowOff>
    </xdr:from>
    <xdr:to>
      <xdr:col>6</xdr:col>
      <xdr:colOff>257474</xdr:colOff>
      <xdr:row>121</xdr:row>
      <xdr:rowOff>105082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C33E188-1A1C-FC16-7FB4-7A235A2501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81350" y="20002500"/>
          <a:ext cx="2143424" cy="2200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2</xdr:row>
      <xdr:rowOff>95250</xdr:rowOff>
    </xdr:from>
    <xdr:to>
      <xdr:col>6</xdr:col>
      <xdr:colOff>533812</xdr:colOff>
      <xdr:row>18</xdr:row>
      <xdr:rowOff>95675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5FE9C-2F62-A7C0-0833-6979B76B7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00200" y="476250"/>
          <a:ext cx="2953162" cy="304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20</xdr:row>
      <xdr:rowOff>47625</xdr:rowOff>
    </xdr:from>
    <xdr:to>
      <xdr:col>7</xdr:col>
      <xdr:colOff>486009</xdr:colOff>
      <xdr:row>29</xdr:row>
      <xdr:rowOff>38338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D032E4-2096-3DC8-8B82-B0B6A2814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38525" y="3857625"/>
          <a:ext cx="1676634" cy="170521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0</xdr:rowOff>
    </xdr:from>
    <xdr:to>
      <xdr:col>4</xdr:col>
      <xdr:colOff>38512</xdr:colOff>
      <xdr:row>17</xdr:row>
      <xdr:rowOff>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1CF10EE-2C91-91EB-BBB5-D1B29E2A9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8175" y="2857500"/>
          <a:ext cx="2953162" cy="1905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4</xdr:col>
      <xdr:colOff>57565</xdr:colOff>
      <xdr:row>22</xdr:row>
      <xdr:rowOff>57185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542CD1-3515-C918-E056-D13B1ECBE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8175" y="3810000"/>
          <a:ext cx="2972215" cy="24768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71436</xdr:colOff>
      <xdr:row>3</xdr:row>
      <xdr:rowOff>166686</xdr:rowOff>
    </xdr:from>
    <xdr:to>
      <xdr:col>17</xdr:col>
      <xdr:colOff>9525</xdr:colOff>
      <xdr:row>25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9A359A-8D71-BEC0-3004-8C033533E5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27</xdr:row>
      <xdr:rowOff>28574</xdr:rowOff>
    </xdr:from>
    <xdr:to>
      <xdr:col>11</xdr:col>
      <xdr:colOff>581025</xdr:colOff>
      <xdr:row>52</xdr:row>
      <xdr:rowOff>107705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E4EB6AC-2457-3051-1FD3-957C2601C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05675" y="5172074"/>
          <a:ext cx="2667000" cy="4841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19</xdr:row>
      <xdr:rowOff>171450</xdr:rowOff>
    </xdr:from>
    <xdr:to>
      <xdr:col>10</xdr:col>
      <xdr:colOff>10037</xdr:colOff>
      <xdr:row>27</xdr:row>
      <xdr:rowOff>609900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61CE60-01C9-E4D4-BC06-2F870E2966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62275" y="3790950"/>
          <a:ext cx="3667637" cy="2152950"/>
        </a:xfrm>
        <a:prstGeom prst="rect">
          <a:avLst/>
        </a:prstGeom>
      </xdr:spPr>
    </xdr:pic>
    <xdr:clientData/>
  </xdr:twoCellAnchor>
  <xdr:twoCellAnchor>
    <xdr:from>
      <xdr:col>3</xdr:col>
      <xdr:colOff>47625</xdr:colOff>
      <xdr:row>36</xdr:row>
      <xdr:rowOff>114300</xdr:rowOff>
    </xdr:from>
    <xdr:to>
      <xdr:col>9</xdr:col>
      <xdr:colOff>47625</xdr:colOff>
      <xdr:row>46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F6EC87-F306-84CA-0A2B-D69ABEB7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133350</xdr:colOff>
      <xdr:row>43</xdr:row>
      <xdr:rowOff>0</xdr:rowOff>
    </xdr:from>
    <xdr:to>
      <xdr:col>15</xdr:col>
      <xdr:colOff>133350</xdr:colOff>
      <xdr:row>52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FBDAC-F686-A7E4-D8BF-AD8457A4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142875</xdr:colOff>
      <xdr:row>53</xdr:row>
      <xdr:rowOff>0</xdr:rowOff>
    </xdr:from>
    <xdr:to>
      <xdr:col>15</xdr:col>
      <xdr:colOff>142875</xdr:colOff>
      <xdr:row>63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F224CC-DFB8-D5C4-2CB4-AA480EB84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</xdr:colOff>
      <xdr:row>1</xdr:row>
      <xdr:rowOff>176212</xdr:rowOff>
    </xdr:from>
    <xdr:to>
      <xdr:col>18</xdr:col>
      <xdr:colOff>314325</xdr:colOff>
      <xdr:row>16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7ABA10-3DFA-1042-D006-1C3494B1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13</xdr:col>
      <xdr:colOff>0</xdr:colOff>
      <xdr:row>20</xdr:row>
      <xdr:rowOff>0</xdr:rowOff>
    </xdr:from>
    <xdr:to>
      <xdr:col>16</xdr:col>
      <xdr:colOff>255</xdr:colOff>
      <xdr:row>27</xdr:row>
      <xdr:rowOff>505108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951D47-127D-EFF0-CD11-CF06001214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34400" y="3810000"/>
          <a:ext cx="1829055" cy="20291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hwi\Downloads\Lookup-Function-XelPlus.xlsx" TargetMode="External"/><Relationship Id="rId1" Type="http://schemas.openxmlformats.org/officeDocument/2006/relationships/externalLinkPath" Target="/Users/ashwi/Downloads/Lookup-Function-XelPl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ookup"/>
      <sheetName val="Lookup Advanced"/>
    </sheetNames>
    <sheetDataSet>
      <sheetData sheetId="0">
        <row r="1">
          <cell r="A1" t="str">
            <v>Employee</v>
          </cell>
          <cell r="B1" t="str">
            <v>Salary</v>
          </cell>
          <cell r="C1" t="str">
            <v>Find Bonus</v>
          </cell>
          <cell r="D1" t="str">
            <v>Find ID</v>
          </cell>
        </row>
        <row r="2">
          <cell r="A2" t="str">
            <v>Kim West</v>
          </cell>
          <cell r="B2">
            <v>89500</v>
          </cell>
        </row>
        <row r="3">
          <cell r="A3" t="str">
            <v>Ann Withers</v>
          </cell>
          <cell r="B3">
            <v>110000</v>
          </cell>
        </row>
        <row r="4">
          <cell r="A4" t="str">
            <v>James Willard</v>
          </cell>
          <cell r="B4">
            <v>39627</v>
          </cell>
        </row>
        <row r="5">
          <cell r="A5" t="str">
            <v>Corinna Schmidt</v>
          </cell>
          <cell r="B5">
            <v>51800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hwin Pal" refreshedDate="45300.548739583333" createdVersion="8" refreshedVersion="8" minRefreshableVersion="3" recordCount="31" xr:uid="{8C6119AE-7057-433B-8A15-FE3437BE7526}">
  <cacheSource type="worksheet">
    <worksheetSource name="Table17"/>
  </cacheSource>
  <cacheFields count="6">
    <cacheField name="Name" numFmtId="0">
      <sharedItems count="31">
        <s v="Gary Miller"/>
        <s v="James Willard"/>
        <s v="Richard Elliot"/>
        <s v="Robert Spear"/>
        <s v="Roger Mun"/>
        <s v="Paul Garza"/>
        <s v="Robert Marquez"/>
        <s v="Natalie Porter"/>
        <s v="Kim West"/>
        <s v="Stevie Bridge"/>
        <s v="Andre Cooper"/>
        <s v="Crystal Doyle"/>
        <s v="Robert Musser"/>
        <s v="Daniel Garrett"/>
        <s v="Ann Withers"/>
        <s v="Paul Hill"/>
        <s v="Corinna Schmidt"/>
        <s v="Ewan Thompson"/>
        <s v="Walter Miller"/>
        <s v="Paul Wells"/>
        <s v="Betina Bauer"/>
        <s v="Daniela Schreiber"/>
        <s v="Dan Ziegler"/>
        <s v="Peter Ramsy"/>
        <s v="Wolfgang Ramjac"/>
        <s v="Robert Richardson"/>
        <s v="Brigitte Bond"/>
        <s v="Robert Blume"/>
        <s v="Mike Saban"/>
        <s v="Maria Tot"/>
        <s v="Lukas Hofer"/>
      </sharedItems>
    </cacheField>
    <cacheField name="Entry Date" numFmtId="14">
      <sharedItems containsSemiMixedTypes="0" containsNonDate="0" containsDate="1" containsString="0" minDate="2000-05-01T00:00:00" maxDate="2019-02-02T00:00:00" count="26">
        <d v="2006-09-01T00:00:00"/>
        <d v="2009-12-01T00:00:00"/>
        <d v="2016-04-01T00:00:00"/>
        <d v="2005-01-01T00:00:00"/>
        <d v="2011-09-01T00:00:00"/>
        <d v="2017-03-01T00:00:00"/>
        <d v="2019-02-01T00:00:00"/>
        <d v="2014-02-01T00:00:00"/>
        <d v="2011-10-01T00:00:00"/>
        <d v="2012-12-01T00:00:00"/>
        <d v="2018-10-01T00:00:00"/>
        <d v="2004-08-01T00:00:00"/>
        <d v="2001-09-01T00:00:00"/>
        <d v="2006-04-05T00:00:00"/>
        <d v="2010-07-15T00:00:00"/>
        <d v="2009-01-15T00:00:00"/>
        <d v="2016-09-01T00:00:00"/>
        <d v="2019-01-01T00:00:00"/>
        <d v="2000-05-01T00:00:00"/>
        <d v="2002-07-01T00:00:00"/>
        <d v="2016-11-01T00:00:00"/>
        <d v="2016-02-01T00:00:00"/>
        <d v="2016-07-01T00:00:00"/>
        <d v="2015-08-08T00:00:00"/>
        <d v="2015-01-01T00:00:00"/>
        <d v="2018-09-24T00:00:00"/>
      </sharedItems>
      <fieldGroup par="5"/>
    </cacheField>
    <cacheField name="Yearly Salary" numFmtId="165">
      <sharedItems containsSemiMixedTypes="0" containsString="0" containsNumber="1" minValue="21971.600000000002" maxValue="225000.02000000002" count="29">
        <n v="60270"/>
        <n v="39627.279999999999"/>
        <n v="29726.760000000002"/>
        <n v="93668.260000000009"/>
        <n v="134000.02000000002"/>
        <n v="34808.200000000004"/>
        <n v="134468.18000000002"/>
        <n v="45000.06"/>
        <n v="89500.04"/>
        <n v="21971.600000000002"/>
        <n v="80000.06"/>
        <n v="185000.06"/>
        <n v="50545.04"/>
        <n v="140000"/>
        <n v="100000.04"/>
        <n v="68357.099999999991"/>
        <n v="46054.82"/>
        <n v="65708.58"/>
        <n v="46406.64"/>
        <n v="73816.960000000006"/>
        <n v="45686.48"/>
        <n v="45431.96"/>
        <n v="115999.93999999999"/>
        <n v="59784.479999999996"/>
        <n v="225000.02000000002"/>
        <n v="38820.6"/>
        <n v="102500.02"/>
        <n v="87999.94"/>
        <n v="49000"/>
      </sharedItems>
    </cacheField>
    <cacheField name="Months (Entry Date)" numFmtId="0" databaseField="0">
      <fieldGroup base="1">
        <rangePr groupBy="months" startDate="2000-05-01T00:00:00" endDate="2019-02-02T00:00:00"/>
        <groupItems count="14">
          <s v="&lt;2000-05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9-02-02"/>
        </groupItems>
      </fieldGroup>
    </cacheField>
    <cacheField name="Quarters (Entry Date)" numFmtId="0" databaseField="0">
      <fieldGroup base="1">
        <rangePr groupBy="quarters" startDate="2000-05-01T00:00:00" endDate="2019-02-02T00:00:00"/>
        <groupItems count="6">
          <s v="&lt;2000-05-01"/>
          <s v="Qtr1"/>
          <s v="Qtr2"/>
          <s v="Qtr3"/>
          <s v="Qtr4"/>
          <s v="&gt;2019-02-02"/>
        </groupItems>
      </fieldGroup>
    </cacheField>
    <cacheField name="Years (Entry Date)" numFmtId="0" databaseField="0">
      <fieldGroup base="1">
        <rangePr groupBy="years" startDate="2000-05-01T00:00:00" endDate="2019-02-02T00:00:00"/>
        <groupItems count="22">
          <s v="&lt;2000-05-01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&gt;2019-02-0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3"/>
    <x v="5"/>
  </r>
  <r>
    <x v="6"/>
    <x v="5"/>
    <x v="6"/>
  </r>
  <r>
    <x v="7"/>
    <x v="6"/>
    <x v="7"/>
  </r>
  <r>
    <x v="8"/>
    <x v="7"/>
    <x v="8"/>
  </r>
  <r>
    <x v="9"/>
    <x v="8"/>
    <x v="9"/>
  </r>
  <r>
    <x v="10"/>
    <x v="8"/>
    <x v="10"/>
  </r>
  <r>
    <x v="11"/>
    <x v="9"/>
    <x v="11"/>
  </r>
  <r>
    <x v="12"/>
    <x v="10"/>
    <x v="12"/>
  </r>
  <r>
    <x v="13"/>
    <x v="11"/>
    <x v="13"/>
  </r>
  <r>
    <x v="14"/>
    <x v="12"/>
    <x v="14"/>
  </r>
  <r>
    <x v="15"/>
    <x v="13"/>
    <x v="15"/>
  </r>
  <r>
    <x v="16"/>
    <x v="14"/>
    <x v="16"/>
  </r>
  <r>
    <x v="17"/>
    <x v="0"/>
    <x v="0"/>
  </r>
  <r>
    <x v="18"/>
    <x v="15"/>
    <x v="17"/>
  </r>
  <r>
    <x v="19"/>
    <x v="16"/>
    <x v="18"/>
  </r>
  <r>
    <x v="20"/>
    <x v="17"/>
    <x v="19"/>
  </r>
  <r>
    <x v="21"/>
    <x v="17"/>
    <x v="20"/>
  </r>
  <r>
    <x v="22"/>
    <x v="6"/>
    <x v="13"/>
  </r>
  <r>
    <x v="23"/>
    <x v="18"/>
    <x v="21"/>
  </r>
  <r>
    <x v="24"/>
    <x v="19"/>
    <x v="22"/>
  </r>
  <r>
    <x v="25"/>
    <x v="20"/>
    <x v="23"/>
  </r>
  <r>
    <x v="26"/>
    <x v="21"/>
    <x v="24"/>
  </r>
  <r>
    <x v="27"/>
    <x v="22"/>
    <x v="25"/>
  </r>
  <r>
    <x v="28"/>
    <x v="23"/>
    <x v="26"/>
  </r>
  <r>
    <x v="29"/>
    <x v="24"/>
    <x v="27"/>
  </r>
  <r>
    <x v="30"/>
    <x v="25"/>
    <x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F6277-943D-443A-8AA6-DF6F61F30B2A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5:G37" firstHeaderRow="1" firstDataRow="1" firstDataCol="1" rowPageCount="2" colPageCount="1"/>
  <pivotFields count="6">
    <pivotField axis="axisRow" showAll="0" sortType="ascending">
      <items count="32">
        <item x="10"/>
        <item x="14"/>
        <item x="20"/>
        <item x="26"/>
        <item x="16"/>
        <item x="11"/>
        <item x="22"/>
        <item x="13"/>
        <item x="21"/>
        <item x="17"/>
        <item x="0"/>
        <item x="1"/>
        <item x="8"/>
        <item x="30"/>
        <item x="29"/>
        <item x="28"/>
        <item x="7"/>
        <item x="5"/>
        <item x="15"/>
        <item x="19"/>
        <item x="23"/>
        <item x="2"/>
        <item x="27"/>
        <item x="6"/>
        <item x="12"/>
        <item x="25"/>
        <item x="3"/>
        <item x="4"/>
        <item x="9"/>
        <item x="18"/>
        <item x="2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numFmtId="14" multipleItemSelectionAllowed="1" showAll="0">
      <items count="27">
        <item x="18"/>
        <item x="12"/>
        <item x="19"/>
        <item x="11"/>
        <item x="3"/>
        <item x="13"/>
        <item x="0"/>
        <item x="15"/>
        <item x="1"/>
        <item x="14"/>
        <item x="4"/>
        <item x="8"/>
        <item x="9"/>
        <item x="7"/>
        <item x="24"/>
        <item x="23"/>
        <item x="21"/>
        <item x="2"/>
        <item x="22"/>
        <item x="16"/>
        <item x="20"/>
        <item x="5"/>
        <item x="25"/>
        <item x="10"/>
        <item x="17"/>
        <item x="6"/>
        <item t="default"/>
      </items>
    </pivotField>
    <pivotField axis="axisPage" dataField="1" numFmtId="165" multipleItemSelectionAllowed="1" showAll="0">
      <items count="30">
        <item x="9"/>
        <item x="2"/>
        <item x="5"/>
        <item x="25"/>
        <item x="1"/>
        <item x="7"/>
        <item x="21"/>
        <item x="20"/>
        <item x="16"/>
        <item x="18"/>
        <item x="28"/>
        <item x="12"/>
        <item x="23"/>
        <item x="0"/>
        <item x="17"/>
        <item x="15"/>
        <item x="19"/>
        <item x="10"/>
        <item x="27"/>
        <item x="8"/>
        <item x="3"/>
        <item x="14"/>
        <item x="26"/>
        <item x="22"/>
        <item x="4"/>
        <item x="6"/>
        <item x="13"/>
        <item x="11"/>
        <item x="24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2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t="default"/>
      </items>
    </pivotField>
  </pivotFields>
  <rowFields count="1">
    <field x="0"/>
  </rowFields>
  <rowItems count="32">
    <i>
      <x v="28"/>
    </i>
    <i>
      <x v="21"/>
    </i>
    <i>
      <x v="17"/>
    </i>
    <i>
      <x v="22"/>
    </i>
    <i>
      <x v="11"/>
    </i>
    <i>
      <x v="16"/>
    </i>
    <i>
      <x v="20"/>
    </i>
    <i>
      <x v="8"/>
    </i>
    <i>
      <x v="4"/>
    </i>
    <i>
      <x v="19"/>
    </i>
    <i>
      <x v="13"/>
    </i>
    <i>
      <x v="24"/>
    </i>
    <i>
      <x v="25"/>
    </i>
    <i>
      <x v="9"/>
    </i>
    <i>
      <x v="10"/>
    </i>
    <i>
      <x v="29"/>
    </i>
    <i>
      <x v="18"/>
    </i>
    <i>
      <x v="2"/>
    </i>
    <i>
      <x/>
    </i>
    <i>
      <x v="14"/>
    </i>
    <i>
      <x v="12"/>
    </i>
    <i>
      <x v="26"/>
    </i>
    <i>
      <x v="1"/>
    </i>
    <i>
      <x v="15"/>
    </i>
    <i>
      <x v="30"/>
    </i>
    <i>
      <x v="27"/>
    </i>
    <i>
      <x v="23"/>
    </i>
    <i>
      <x v="6"/>
    </i>
    <i>
      <x v="7"/>
    </i>
    <i>
      <x v="5"/>
    </i>
    <i>
      <x v="3"/>
    </i>
    <i t="grand">
      <x/>
    </i>
  </rowItems>
  <colItems count="1">
    <i/>
  </colItems>
  <pageFields count="2">
    <pageField fld="2" hier="-1"/>
    <pageField fld="1" hier="-1"/>
  </pageFields>
  <dataFields count="1">
    <dataField name="Sum of Yearly Salary" fld="2" baseField="0" baseItem="0" numFmtId="165"/>
  </dataFields>
  <formats count="1">
    <format dxfId="1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A15F439-1F65-43D5-A1DA-2626509D143E}" name="Table6" displayName="Table6" ref="A1:C20" totalsRowShown="0" headerRowDxfId="19">
  <autoFilter ref="A1:C20" xr:uid="{1A15F439-1F65-43D5-A1DA-2626509D143E}"/>
  <tableColumns count="3">
    <tableColumn id="1" xr3:uid="{394D10DA-E678-4D0C-8A7A-7A4BF038575A}" name="Sales Agent"/>
    <tableColumn id="2" xr3:uid="{364C3FFD-F381-48D8-80BA-596C65827580}" name="Region"/>
    <tableColumn id="3" xr3:uid="{DE630365-1A22-430B-B80F-5595F246278B}" name="Sales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87B97-6AD2-4FCA-BA87-1F4E4BA3B339}" name="Table13" displayName="Table13" ref="A81:C86" totalsRowShown="0">
  <autoFilter ref="A81:C86" xr:uid="{17A87B97-6AD2-4FCA-BA87-1F4E4BA3B339}"/>
  <tableColumns count="3">
    <tableColumn id="1" xr3:uid="{9DA49086-E787-4D18-9BD7-C504B0A1DD48}" name="Column1"/>
    <tableColumn id="2" xr3:uid="{68068CB8-B824-4963-BB0F-0F6AD1D2F381}" name="Sales"/>
    <tableColumn id="4" xr3:uid="{CDAD2CDC-01A4-4CA0-908A-989D376A9ADB}" name="Budget" dataDxfId="5">
      <calculatedColumnFormula>Table13[[#This Row],[Sales]]*1.1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77AD0A-B5C4-48C3-B657-695DC1903725}" name="Table134" displayName="Table134" ref="A134:C139" totalsRowShown="0">
  <autoFilter ref="A134:C139" xr:uid="{BF77AD0A-B5C4-48C3-B657-695DC1903725}"/>
  <tableColumns count="3">
    <tableColumn id="1" xr3:uid="{07F07276-E5F0-4B12-BDAF-879DBA94D1EC}" name="Column1"/>
    <tableColumn id="2" xr3:uid="{0139825E-E491-40AA-BF45-BD907C6BF684}" name="Actual"/>
    <tableColumn id="4" xr3:uid="{D8FF3F33-841E-4BA0-91E5-D64384D8AEA8}" name="Budget" dataDxfId="4">
      <calculatedColumnFormula>Table134[[#This Row],[Actual]]*1.1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7980FA0-4ADA-47B4-8DA2-1348499AEB97}" name="Table68" displayName="Table68" ref="A25:C39" totalsRowShown="0" headerRowDxfId="18">
  <autoFilter ref="A25:C39" xr:uid="{D7980FA0-4ADA-47B4-8DA2-1348499AEB97}"/>
  <tableColumns count="3">
    <tableColumn id="1" xr3:uid="{8901C072-80A8-4A41-A9DA-32794CC03EFE}" name="Sales Agent"/>
    <tableColumn id="2" xr3:uid="{B034D4B2-DEAF-42F6-8DE8-4F6AB957A338}" name="Region"/>
    <tableColumn id="3" xr3:uid="{B0C11E32-17CA-46CB-A75C-107591F492EE}" name="Sale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FD336C0-B787-4212-A529-051B988A4EB3}" name="Table610" displayName="Table610" ref="A50:C69" totalsRowShown="0" headerRowDxfId="17">
  <autoFilter ref="A50:C69" xr:uid="{AFD336C0-B787-4212-A529-051B988A4EB3}"/>
  <tableColumns count="3">
    <tableColumn id="1" xr3:uid="{9FD073AC-E3C3-44ED-B4AC-825912301185}" name="Sales Agent"/>
    <tableColumn id="2" xr3:uid="{0150466C-C149-4AE3-B806-B4180E33F9A5}" name="Region"/>
    <tableColumn id="3" xr3:uid="{4C8178D2-1B13-4579-BA31-EC284C454E80}" name="Sale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BA02B6B-C1F6-4400-952E-8F3A8CD137E0}" name="Table61011" displayName="Table61011" ref="A74:C93" totalsRowShown="0" headerRowDxfId="16">
  <autoFilter ref="A74:C93" xr:uid="{9BA02B6B-C1F6-4400-952E-8F3A8CD137E0}"/>
  <tableColumns count="3">
    <tableColumn id="1" xr3:uid="{F364245D-31E1-45BE-BA23-2B9C5580BFEE}" name="Sales Agent"/>
    <tableColumn id="2" xr3:uid="{46998E4D-6A9F-4B0A-A061-367E296ED0FC}" name="Region"/>
    <tableColumn id="3" xr3:uid="{1389FB24-0979-4CF0-9A42-E48BF7DF0947}" name="Sales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CE5C82E-4FFE-4BBA-B9D7-AA11BD93D203}" name="Table616" displayName="Table616" ref="A98:C117" totalsRowShown="0" headerRowDxfId="15">
  <tableColumns count="3">
    <tableColumn id="1" xr3:uid="{9DE22DFD-C51D-484E-999B-7BCB340371F9}" name="Sales Agent"/>
    <tableColumn id="2" xr3:uid="{CD0CA1A2-426D-4C9B-BC5E-CEF45ECB940A}" name="Region"/>
    <tableColumn id="3" xr3:uid="{873E143F-BC79-40D6-B621-379B31457D95}" name="Sales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EE58889-900D-462B-8536-D157092D67CC}" name="Table11" displayName="Table11" ref="A1:A17" totalsRowShown="0" headerRowDxfId="14" tableBorderDxfId="13">
  <autoFilter ref="A1:A17" xr:uid="{FEE58889-900D-462B-8536-D157092D67CC}"/>
  <tableColumns count="1">
    <tableColumn id="1" xr3:uid="{A299776B-FACA-4A63-9CAD-0F528ADD3545}" name="Sales Person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D4E1D9F-53BB-4770-AFBB-0FE2B084971E}" name="Table1113" displayName="Table1113" ref="A22:A30" totalsRowShown="0" headerRowDxfId="12" tableBorderDxfId="11">
  <autoFilter ref="A22:A30" xr:uid="{4D4E1D9F-53BB-4770-AFBB-0FE2B084971E}"/>
  <tableColumns count="1">
    <tableColumn id="1" xr3:uid="{DBC25539-45EC-4347-8128-B553E33EDDE7}" name="Sales Person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998BF58-4E21-466A-AB79-27B45D3C7245}" name="Table17" displayName="Table17" ref="A1:C32" totalsRowShown="0" headerRowDxfId="9" tableBorderDxfId="8">
  <autoFilter ref="A1:C32" xr:uid="{4998BF58-4E21-466A-AB79-27B45D3C7245}"/>
  <sortState xmlns:xlrd2="http://schemas.microsoft.com/office/spreadsheetml/2017/richdata2" ref="A2:C32">
    <sortCondition ref="B1:B32"/>
  </sortState>
  <tableColumns count="3">
    <tableColumn id="1" xr3:uid="{86B3C51A-0A22-4902-AF4F-C831E4C53667}" name="Name"/>
    <tableColumn id="2" xr3:uid="{7E6E99C3-16D2-4A1F-8E70-FCF7DCECC1D5}" name="Entry Date" dataDxfId="7"/>
    <tableColumn id="3" xr3:uid="{BFD1F6A4-57EE-4823-B633-9EBF145D7EEF}" name="Yearly Salary" dataDxfId="6" dataCellStyle="Currency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1570F4-C2E2-4364-8E0F-A84076A9F261}" name="Table1" displayName="Table1" ref="A7:B12" totalsRowShown="0">
  <autoFilter ref="A7:B12" xr:uid="{7F1570F4-C2E2-4364-8E0F-A84076A9F261}"/>
  <tableColumns count="2">
    <tableColumn id="1" xr3:uid="{969829ED-C192-4561-9B62-92EA9407C275}" name="Column1"/>
    <tableColumn id="2" xr3:uid="{82EC924A-9DCB-406E-8531-47FE1888C427}" name="Sal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andy@fake.com" TargetMode="External"/><Relationship Id="rId3" Type="http://schemas.openxmlformats.org/officeDocument/2006/relationships/hyperlink" Target="mailto:anna@fake.com" TargetMode="External"/><Relationship Id="rId7" Type="http://schemas.openxmlformats.org/officeDocument/2006/relationships/hyperlink" Target="mailto:abbie@fake.com" TargetMode="External"/><Relationship Id="rId2" Type="http://schemas.openxmlformats.org/officeDocument/2006/relationships/hyperlink" Target="mailto:chris@fake.com" TargetMode="External"/><Relationship Id="rId1" Type="http://schemas.openxmlformats.org/officeDocument/2006/relationships/hyperlink" Target="mailto:jim@fake.com" TargetMode="External"/><Relationship Id="rId6" Type="http://schemas.openxmlformats.org/officeDocument/2006/relationships/hyperlink" Target="mailto:ros@fake.com" TargetMode="External"/><Relationship Id="rId5" Type="http://schemas.openxmlformats.org/officeDocument/2006/relationships/hyperlink" Target="mailto:eleanor@fake.com" TargetMode="External"/><Relationship Id="rId4" Type="http://schemas.openxmlformats.org/officeDocument/2006/relationships/hyperlink" Target="mailto:danielle@fake.com" TargetMode="External"/><Relationship Id="rId9" Type="http://schemas.openxmlformats.org/officeDocument/2006/relationships/hyperlink" Target="mailto:david@fake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13.xml"/><Relationship Id="rId4" Type="http://schemas.openxmlformats.org/officeDocument/2006/relationships/table" Target="../tables/table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hyperlink" Target="https://www.xelplus.com/simple-excel-dynamic-map-chart-with-drop-down/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8C23-DC93-4D12-AE80-FBC7692B93C7}">
  <dimension ref="A1:D34"/>
  <sheetViews>
    <sheetView workbookViewId="0">
      <selection activeCell="B27" sqref="B27"/>
    </sheetView>
  </sheetViews>
  <sheetFormatPr defaultRowHeight="15" x14ac:dyDescent="0.25"/>
  <cols>
    <col min="1" max="1" width="11" bestFit="1" customWidth="1"/>
    <col min="2" max="2" width="52.140625" bestFit="1" customWidth="1"/>
    <col min="3" max="3" width="17.7109375" bestFit="1" customWidth="1"/>
    <col min="4" max="4" width="12" bestFit="1" customWidth="1"/>
  </cols>
  <sheetData>
    <row r="1" spans="1:4" x14ac:dyDescent="0.25">
      <c r="A1" s="1" t="s">
        <v>20</v>
      </c>
      <c r="B1" s="1" t="s">
        <v>9</v>
      </c>
      <c r="C1" s="1" t="s">
        <v>11</v>
      </c>
      <c r="D1" s="1" t="s">
        <v>10</v>
      </c>
    </row>
    <row r="2" spans="1:4" x14ac:dyDescent="0.25">
      <c r="A2">
        <v>1</v>
      </c>
    </row>
    <row r="3" spans="1:4" x14ac:dyDescent="0.25">
      <c r="A3">
        <v>2</v>
      </c>
      <c r="B3" s="1" t="s">
        <v>19</v>
      </c>
      <c r="C3" t="s">
        <v>12</v>
      </c>
      <c r="D3">
        <f>AVERAGE(A2:A32)</f>
        <v>4.45</v>
      </c>
    </row>
    <row r="4" spans="1:4" x14ac:dyDescent="0.25">
      <c r="A4">
        <v>3</v>
      </c>
      <c r="B4" s="1" t="s">
        <v>18</v>
      </c>
      <c r="C4" t="s">
        <v>13</v>
      </c>
      <c r="D4">
        <f>MEDIAN((A2:A11))</f>
        <v>4.25</v>
      </c>
    </row>
    <row r="5" spans="1:4" x14ac:dyDescent="0.25">
      <c r="A5">
        <v>4</v>
      </c>
      <c r="B5" s="1" t="s">
        <v>17</v>
      </c>
      <c r="C5" t="s">
        <v>14</v>
      </c>
      <c r="D5">
        <f>MODE(A2:A32)</f>
        <v>4</v>
      </c>
    </row>
    <row r="6" spans="1:4" x14ac:dyDescent="0.25">
      <c r="A6">
        <v>4</v>
      </c>
      <c r="B6" s="1" t="s">
        <v>7</v>
      </c>
      <c r="C6" t="s">
        <v>15</v>
      </c>
      <c r="D6">
        <f>_xlfn.VAR.S(A2:A32)</f>
        <v>4.6916666666666664</v>
      </c>
    </row>
    <row r="7" spans="1:4" x14ac:dyDescent="0.25">
      <c r="A7">
        <v>4.5</v>
      </c>
      <c r="B7" s="1" t="s">
        <v>8</v>
      </c>
      <c r="C7" t="s">
        <v>16</v>
      </c>
      <c r="D7">
        <f>_xlfn.STDEV.S(A2:A32)</f>
        <v>2.1660255461712974</v>
      </c>
    </row>
    <row r="8" spans="1:4" x14ac:dyDescent="0.25">
      <c r="A8">
        <v>5</v>
      </c>
    </row>
    <row r="9" spans="1:4" x14ac:dyDescent="0.25">
      <c r="A9">
        <v>6</v>
      </c>
      <c r="B9" s="2" t="s">
        <v>5</v>
      </c>
      <c r="C9" s="2"/>
    </row>
    <row r="10" spans="1:4" x14ac:dyDescent="0.25">
      <c r="A10">
        <v>7</v>
      </c>
      <c r="B10" s="3" t="s">
        <v>6</v>
      </c>
      <c r="C10" s="3"/>
    </row>
    <row r="11" spans="1:4" ht="15.75" thickBot="1" x14ac:dyDescent="0.3">
      <c r="A11" s="13">
        <v>8</v>
      </c>
    </row>
    <row r="33" spans="2:3" x14ac:dyDescent="0.25">
      <c r="B33" s="2"/>
      <c r="C33" s="2"/>
    </row>
    <row r="34" spans="2:3" x14ac:dyDescent="0.25">
      <c r="B34" s="3"/>
      <c r="C34" s="3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40A19-9240-47D2-9893-F7EDBE25FD9D}">
  <dimension ref="A1:Q20"/>
  <sheetViews>
    <sheetView workbookViewId="0">
      <selection activeCell="L26" sqref="L26"/>
    </sheetView>
  </sheetViews>
  <sheetFormatPr defaultRowHeight="15" x14ac:dyDescent="0.25"/>
  <cols>
    <col min="1" max="1" width="7" bestFit="1" customWidth="1"/>
    <col min="2" max="2" width="11.5703125" bestFit="1" customWidth="1"/>
    <col min="3" max="3" width="8" bestFit="1" customWidth="1"/>
    <col min="4" max="4" width="14" bestFit="1" customWidth="1"/>
    <col min="10" max="10" width="10.5703125" bestFit="1" customWidth="1"/>
  </cols>
  <sheetData>
    <row r="1" spans="1:17" x14ac:dyDescent="0.25">
      <c r="A1" s="68" t="s">
        <v>278</v>
      </c>
      <c r="B1" s="68" t="s">
        <v>305</v>
      </c>
      <c r="C1" s="68" t="s">
        <v>192</v>
      </c>
      <c r="D1" s="68" t="s">
        <v>306</v>
      </c>
      <c r="K1" s="1" t="s">
        <v>11</v>
      </c>
    </row>
    <row r="2" spans="1:17" x14ac:dyDescent="0.25">
      <c r="A2" t="s">
        <v>307</v>
      </c>
      <c r="B2" t="s">
        <v>308</v>
      </c>
      <c r="C2" t="s">
        <v>309</v>
      </c>
      <c r="D2" s="21">
        <v>546</v>
      </c>
      <c r="G2" s="1" t="s">
        <v>317</v>
      </c>
      <c r="K2" s="1"/>
    </row>
    <row r="3" spans="1:17" x14ac:dyDescent="0.25">
      <c r="A3" t="s">
        <v>307</v>
      </c>
      <c r="B3" t="s">
        <v>310</v>
      </c>
      <c r="C3" t="s">
        <v>309</v>
      </c>
      <c r="D3" s="21">
        <v>519</v>
      </c>
      <c r="G3" s="1"/>
      <c r="K3" s="1"/>
    </row>
    <row r="4" spans="1:17" x14ac:dyDescent="0.25">
      <c r="A4" t="s">
        <v>311</v>
      </c>
      <c r="B4" t="s">
        <v>308</v>
      </c>
      <c r="C4" t="s">
        <v>309</v>
      </c>
      <c r="D4" s="21">
        <v>492</v>
      </c>
      <c r="G4" s="1" t="s">
        <v>319</v>
      </c>
      <c r="K4" s="1"/>
    </row>
    <row r="5" spans="1:17" x14ac:dyDescent="0.25">
      <c r="A5" t="s">
        <v>311</v>
      </c>
      <c r="B5" t="s">
        <v>310</v>
      </c>
      <c r="C5" t="s">
        <v>309</v>
      </c>
      <c r="D5" s="21">
        <v>559</v>
      </c>
      <c r="G5" s="1" t="s">
        <v>320</v>
      </c>
      <c r="K5" s="1"/>
    </row>
    <row r="6" spans="1:17" x14ac:dyDescent="0.25">
      <c r="A6" t="s">
        <v>311</v>
      </c>
      <c r="B6" t="s">
        <v>308</v>
      </c>
      <c r="C6" t="s">
        <v>309</v>
      </c>
      <c r="D6" s="21">
        <v>591</v>
      </c>
    </row>
    <row r="7" spans="1:17" x14ac:dyDescent="0.25">
      <c r="A7" t="s">
        <v>311</v>
      </c>
      <c r="B7" t="s">
        <v>308</v>
      </c>
      <c r="C7" t="s">
        <v>309</v>
      </c>
      <c r="D7" s="21">
        <v>535</v>
      </c>
      <c r="G7" s="1" t="s">
        <v>315</v>
      </c>
    </row>
    <row r="8" spans="1:17" x14ac:dyDescent="0.25">
      <c r="A8" t="s">
        <v>311</v>
      </c>
      <c r="B8" t="s">
        <v>310</v>
      </c>
      <c r="C8" t="s">
        <v>309</v>
      </c>
      <c r="D8" s="21">
        <v>550</v>
      </c>
      <c r="G8" t="s">
        <v>311</v>
      </c>
      <c r="J8" s="69">
        <f>SUMIF(A2:A20,G8,D2:D20)</f>
        <v>4103</v>
      </c>
      <c r="K8" t="s">
        <v>316</v>
      </c>
    </row>
    <row r="9" spans="1:17" x14ac:dyDescent="0.25">
      <c r="A9" t="s">
        <v>311</v>
      </c>
      <c r="B9" t="s">
        <v>312</v>
      </c>
      <c r="C9" t="s">
        <v>309</v>
      </c>
      <c r="D9" s="21">
        <v>517</v>
      </c>
      <c r="G9" t="s">
        <v>311</v>
      </c>
      <c r="H9" t="s">
        <v>308</v>
      </c>
      <c r="J9" s="69">
        <f>SUMIFS(D2:D20,A2:A20,G9,B2:B20,H9)</f>
        <v>2028</v>
      </c>
      <c r="K9" t="s">
        <v>318</v>
      </c>
    </row>
    <row r="10" spans="1:17" x14ac:dyDescent="0.25">
      <c r="A10" t="s">
        <v>311</v>
      </c>
      <c r="B10" t="s">
        <v>310</v>
      </c>
      <c r="C10" t="s">
        <v>194</v>
      </c>
      <c r="D10" s="21">
        <v>449</v>
      </c>
      <c r="G10" t="s">
        <v>311</v>
      </c>
      <c r="H10" s="71" t="s">
        <v>308</v>
      </c>
      <c r="I10" t="s">
        <v>309</v>
      </c>
      <c r="J10" s="69">
        <f>SUMIFS(D2:D20,A2:A20,G10,B2:B20,H10,C2:C20,I10)</f>
        <v>1618</v>
      </c>
      <c r="K10" t="s">
        <v>321</v>
      </c>
    </row>
    <row r="11" spans="1:17" x14ac:dyDescent="0.25">
      <c r="A11" t="s">
        <v>311</v>
      </c>
      <c r="B11" t="s">
        <v>308</v>
      </c>
      <c r="C11" t="s">
        <v>194</v>
      </c>
      <c r="D11" s="21">
        <v>410</v>
      </c>
      <c r="G11" t="s">
        <v>311</v>
      </c>
      <c r="H11" s="71" t="s">
        <v>308</v>
      </c>
      <c r="I11" t="s">
        <v>309</v>
      </c>
      <c r="J11" s="69">
        <f>SUMIFS(D3:D21,A3:A21,G11,B3:B21,"Shirt wh*",C3:C21,I11)</f>
        <v>1618</v>
      </c>
      <c r="K11" t="s">
        <v>322</v>
      </c>
      <c r="Q11" t="s">
        <v>323</v>
      </c>
    </row>
    <row r="12" spans="1:17" x14ac:dyDescent="0.25">
      <c r="A12" t="s">
        <v>313</v>
      </c>
      <c r="B12" t="s">
        <v>308</v>
      </c>
      <c r="C12" t="s">
        <v>194</v>
      </c>
      <c r="D12" s="21">
        <v>435</v>
      </c>
    </row>
    <row r="13" spans="1:17" x14ac:dyDescent="0.25">
      <c r="A13" t="s">
        <v>313</v>
      </c>
      <c r="B13" t="s">
        <v>312</v>
      </c>
      <c r="C13" t="s">
        <v>309</v>
      </c>
      <c r="D13" s="21">
        <v>468</v>
      </c>
    </row>
    <row r="14" spans="1:17" x14ac:dyDescent="0.25">
      <c r="A14" t="s">
        <v>314</v>
      </c>
      <c r="B14" t="s">
        <v>310</v>
      </c>
      <c r="C14" t="s">
        <v>309</v>
      </c>
      <c r="D14" s="21">
        <v>568</v>
      </c>
    </row>
    <row r="15" spans="1:17" x14ac:dyDescent="0.25">
      <c r="A15" t="s">
        <v>314</v>
      </c>
      <c r="B15" t="s">
        <v>308</v>
      </c>
      <c r="C15" t="s">
        <v>309</v>
      </c>
      <c r="D15" s="21">
        <v>432</v>
      </c>
    </row>
    <row r="16" spans="1:17" x14ac:dyDescent="0.25">
      <c r="A16" t="s">
        <v>314</v>
      </c>
      <c r="B16" t="s">
        <v>308</v>
      </c>
      <c r="C16" t="s">
        <v>309</v>
      </c>
      <c r="D16" s="21">
        <v>431</v>
      </c>
    </row>
    <row r="17" spans="1:4" x14ac:dyDescent="0.25">
      <c r="A17" t="s">
        <v>314</v>
      </c>
      <c r="B17" t="s">
        <v>310</v>
      </c>
      <c r="C17" t="s">
        <v>194</v>
      </c>
      <c r="D17" s="21">
        <v>479</v>
      </c>
    </row>
    <row r="18" spans="1:4" x14ac:dyDescent="0.25">
      <c r="A18" t="s">
        <v>314</v>
      </c>
      <c r="B18" t="s">
        <v>312</v>
      </c>
      <c r="C18" t="s">
        <v>194</v>
      </c>
      <c r="D18" s="21">
        <v>471</v>
      </c>
    </row>
    <row r="19" spans="1:4" x14ac:dyDescent="0.25">
      <c r="A19" t="s">
        <v>283</v>
      </c>
      <c r="B19" t="s">
        <v>312</v>
      </c>
      <c r="C19" t="s">
        <v>309</v>
      </c>
      <c r="D19" s="21">
        <v>534</v>
      </c>
    </row>
    <row r="20" spans="1:4" x14ac:dyDescent="0.25">
      <c r="A20" t="s">
        <v>283</v>
      </c>
      <c r="B20" t="s">
        <v>308</v>
      </c>
      <c r="C20" t="s">
        <v>194</v>
      </c>
      <c r="D20" s="21">
        <v>409</v>
      </c>
    </row>
  </sheetData>
  <phoneticPr fontId="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26B35-CED0-4294-ACC5-D72CF6CA27EF}">
  <dimension ref="A1:H105"/>
  <sheetViews>
    <sheetView topLeftCell="A65" workbookViewId="0">
      <selection activeCell="A112" sqref="A112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21.140625" bestFit="1" customWidth="1"/>
    <col min="4" max="4" width="13.28515625" bestFit="1" customWidth="1"/>
    <col min="5" max="6" width="10.5703125" bestFit="1" customWidth="1"/>
  </cols>
  <sheetData>
    <row r="1" spans="1:5" x14ac:dyDescent="0.25">
      <c r="A1" s="1" t="s">
        <v>332</v>
      </c>
      <c r="B1" s="1" t="s">
        <v>336</v>
      </c>
      <c r="C1" s="1" t="s">
        <v>337</v>
      </c>
      <c r="D1" s="1" t="s">
        <v>334</v>
      </c>
    </row>
    <row r="2" spans="1:5" x14ac:dyDescent="0.25">
      <c r="A2" t="s">
        <v>333</v>
      </c>
      <c r="C2" t="s">
        <v>338</v>
      </c>
      <c r="D2" t="s">
        <v>335</v>
      </c>
    </row>
    <row r="6" spans="1:5" x14ac:dyDescent="0.25">
      <c r="A6" s="1" t="e">
        <v>#VALUE!</v>
      </c>
    </row>
    <row r="8" spans="1:5" x14ac:dyDescent="0.25">
      <c r="A8" s="1" t="s">
        <v>324</v>
      </c>
      <c r="B8" s="1" t="s">
        <v>229</v>
      </c>
      <c r="C8" s="1" t="s">
        <v>325</v>
      </c>
      <c r="D8" s="1" t="s">
        <v>340</v>
      </c>
    </row>
    <row r="9" spans="1:5" x14ac:dyDescent="0.25">
      <c r="A9" t="s">
        <v>326</v>
      </c>
      <c r="B9" s="21">
        <v>2500</v>
      </c>
      <c r="C9">
        <v>1900</v>
      </c>
      <c r="D9" s="24">
        <f>B9-C9</f>
        <v>600</v>
      </c>
    </row>
    <row r="10" spans="1:5" x14ac:dyDescent="0.25">
      <c r="A10" t="s">
        <v>327</v>
      </c>
      <c r="B10" s="21">
        <v>2800</v>
      </c>
      <c r="D10" s="24">
        <f t="shared" ref="D10:D14" si="0">B10-C10</f>
        <v>2800</v>
      </c>
      <c r="E10" t="s">
        <v>346</v>
      </c>
    </row>
    <row r="11" spans="1:5" x14ac:dyDescent="0.25">
      <c r="A11" t="s">
        <v>328</v>
      </c>
      <c r="B11" s="21">
        <v>2500</v>
      </c>
      <c r="C11">
        <v>3200</v>
      </c>
      <c r="D11" s="24">
        <f t="shared" si="0"/>
        <v>-700</v>
      </c>
    </row>
    <row r="12" spans="1:5" x14ac:dyDescent="0.25">
      <c r="A12" t="s">
        <v>329</v>
      </c>
      <c r="B12" s="21">
        <v>1500</v>
      </c>
      <c r="C12">
        <v>1400</v>
      </c>
      <c r="D12" s="24">
        <f t="shared" si="0"/>
        <v>100</v>
      </c>
    </row>
    <row r="13" spans="1:5" x14ac:dyDescent="0.25">
      <c r="A13" t="s">
        <v>330</v>
      </c>
      <c r="B13" s="73">
        <v>2500</v>
      </c>
      <c r="C13" s="1" t="s">
        <v>339</v>
      </c>
      <c r="D13" s="72" t="e">
        <f>B13-C13</f>
        <v>#VALUE!</v>
      </c>
    </row>
    <row r="14" spans="1:5" x14ac:dyDescent="0.25">
      <c r="A14" t="s">
        <v>331</v>
      </c>
      <c r="B14" s="21">
        <v>6500</v>
      </c>
      <c r="C14">
        <v>7000</v>
      </c>
      <c r="D14" s="24">
        <f t="shared" si="0"/>
        <v>-500</v>
      </c>
    </row>
    <row r="16" spans="1:5" x14ac:dyDescent="0.25">
      <c r="A16" t="s">
        <v>341</v>
      </c>
    </row>
    <row r="18" spans="1:5" x14ac:dyDescent="0.25">
      <c r="B18" t="s">
        <v>342</v>
      </c>
    </row>
    <row r="20" spans="1:5" x14ac:dyDescent="0.25">
      <c r="A20" t="s">
        <v>343</v>
      </c>
      <c r="B20" t="s">
        <v>344</v>
      </c>
    </row>
    <row r="21" spans="1:5" x14ac:dyDescent="0.25">
      <c r="A21" t="s">
        <v>330</v>
      </c>
      <c r="B21" s="73">
        <v>2500</v>
      </c>
      <c r="C21" s="1" t="s">
        <v>339</v>
      </c>
      <c r="D21" s="72">
        <f>B21-SUM(C21)</f>
        <v>2500</v>
      </c>
      <c r="E21" t="s">
        <v>345</v>
      </c>
    </row>
    <row r="26" spans="1:5" x14ac:dyDescent="0.25">
      <c r="A26" s="1" t="s">
        <v>347</v>
      </c>
      <c r="B26" t="s">
        <v>348</v>
      </c>
    </row>
    <row r="29" spans="1:5" x14ac:dyDescent="0.25">
      <c r="A29" s="1" t="e">
        <v>#NAME?</v>
      </c>
    </row>
    <row r="31" spans="1:5" x14ac:dyDescent="0.25">
      <c r="A31" s="1" t="s">
        <v>324</v>
      </c>
      <c r="B31" s="1" t="s">
        <v>229</v>
      </c>
      <c r="C31" s="1" t="s">
        <v>325</v>
      </c>
    </row>
    <row r="32" spans="1:5" x14ac:dyDescent="0.25">
      <c r="A32" t="s">
        <v>326</v>
      </c>
      <c r="B32" s="21">
        <v>2500</v>
      </c>
      <c r="C32">
        <v>1900</v>
      </c>
    </row>
    <row r="33" spans="1:5" x14ac:dyDescent="0.25">
      <c r="A33" t="s">
        <v>327</v>
      </c>
      <c r="B33" s="21">
        <v>2800</v>
      </c>
    </row>
    <row r="34" spans="1:5" x14ac:dyDescent="0.25">
      <c r="A34" t="s">
        <v>328</v>
      </c>
      <c r="B34" s="21">
        <v>2500</v>
      </c>
      <c r="C34">
        <v>3200</v>
      </c>
    </row>
    <row r="35" spans="1:5" x14ac:dyDescent="0.25">
      <c r="A35" t="s">
        <v>329</v>
      </c>
      <c r="B35" s="21">
        <v>1500</v>
      </c>
      <c r="C35">
        <v>1400</v>
      </c>
    </row>
    <row r="36" spans="1:5" x14ac:dyDescent="0.25">
      <c r="A36" t="s">
        <v>330</v>
      </c>
      <c r="B36" s="74">
        <v>2500</v>
      </c>
    </row>
    <row r="37" spans="1:5" x14ac:dyDescent="0.25">
      <c r="A37" t="s">
        <v>331</v>
      </c>
      <c r="B37" s="21">
        <v>6500</v>
      </c>
      <c r="C37">
        <v>7000</v>
      </c>
    </row>
    <row r="38" spans="1:5" x14ac:dyDescent="0.25">
      <c r="B38" t="e">
        <f ca="1">add(B32:B37)</f>
        <v>#NAME?</v>
      </c>
      <c r="C38" t="e">
        <f ca="1">add(C32:C37)</f>
        <v>#NAME?</v>
      </c>
    </row>
    <row r="39" spans="1:5" x14ac:dyDescent="0.25">
      <c r="B39" t="s">
        <v>351</v>
      </c>
      <c r="C39" s="1" t="s">
        <v>350</v>
      </c>
    </row>
    <row r="40" spans="1:5" x14ac:dyDescent="0.25">
      <c r="B40" t="s">
        <v>352</v>
      </c>
      <c r="C40" t="s">
        <v>353</v>
      </c>
    </row>
    <row r="44" spans="1:5" x14ac:dyDescent="0.25">
      <c r="A44" s="1" t="s">
        <v>354</v>
      </c>
    </row>
    <row r="46" spans="1:5" x14ac:dyDescent="0.25">
      <c r="A46" s="1" t="s">
        <v>324</v>
      </c>
      <c r="B46" s="1" t="s">
        <v>325</v>
      </c>
    </row>
    <row r="47" spans="1:5" x14ac:dyDescent="0.25">
      <c r="A47" t="s">
        <v>326</v>
      </c>
      <c r="B47" s="140" t="s">
        <v>359</v>
      </c>
      <c r="C47">
        <v>1900</v>
      </c>
      <c r="D47" s="72" t="s">
        <v>355</v>
      </c>
      <c r="E47" s="1" t="s">
        <v>356</v>
      </c>
    </row>
    <row r="48" spans="1:5" x14ac:dyDescent="0.25">
      <c r="A48" t="s">
        <v>327</v>
      </c>
      <c r="B48" s="140"/>
      <c r="D48" s="24" t="e">
        <f>#REF!-C48</f>
        <v>#REF!</v>
      </c>
    </row>
    <row r="49" spans="1:4" x14ac:dyDescent="0.25">
      <c r="A49" t="s">
        <v>328</v>
      </c>
      <c r="B49" s="140"/>
      <c r="C49">
        <v>3200</v>
      </c>
      <c r="D49" s="24" t="e">
        <f>#REF!-C49</f>
        <v>#REF!</v>
      </c>
    </row>
    <row r="50" spans="1:4" x14ac:dyDescent="0.25">
      <c r="A50" t="s">
        <v>329</v>
      </c>
      <c r="B50" s="140"/>
      <c r="C50">
        <v>1400</v>
      </c>
      <c r="D50" s="24" t="e">
        <f>#REF!-C50</f>
        <v>#REF!</v>
      </c>
    </row>
    <row r="51" spans="1:4" x14ac:dyDescent="0.25">
      <c r="A51" t="s">
        <v>330</v>
      </c>
      <c r="B51" s="140"/>
      <c r="D51" s="24" t="e">
        <f>#REF!-C51</f>
        <v>#REF!</v>
      </c>
    </row>
    <row r="52" spans="1:4" x14ac:dyDescent="0.25">
      <c r="A52" t="s">
        <v>331</v>
      </c>
      <c r="B52" s="140"/>
      <c r="C52">
        <v>7000</v>
      </c>
      <c r="D52" s="24" t="e">
        <f>#REF!-C52</f>
        <v>#REF!</v>
      </c>
    </row>
    <row r="54" spans="1:4" x14ac:dyDescent="0.25">
      <c r="A54" t="s">
        <v>326</v>
      </c>
      <c r="B54" s="21">
        <v>2500</v>
      </c>
      <c r="C54">
        <v>1900</v>
      </c>
      <c r="D54" s="24">
        <f>B54-C54</f>
        <v>600</v>
      </c>
    </row>
    <row r="55" spans="1:4" x14ac:dyDescent="0.25">
      <c r="A55" t="s">
        <v>327</v>
      </c>
      <c r="B55" s="21">
        <v>2800</v>
      </c>
      <c r="D55" s="24">
        <f t="shared" ref="D55:D59" si="1">B55-C55</f>
        <v>2800</v>
      </c>
    </row>
    <row r="56" spans="1:4" x14ac:dyDescent="0.25">
      <c r="A56" t="s">
        <v>328</v>
      </c>
      <c r="B56" s="21">
        <v>2500</v>
      </c>
      <c r="C56">
        <v>3200</v>
      </c>
      <c r="D56" s="24">
        <f t="shared" si="1"/>
        <v>-700</v>
      </c>
    </row>
    <row r="57" spans="1:4" x14ac:dyDescent="0.25">
      <c r="A57" t="s">
        <v>329</v>
      </c>
      <c r="B57" s="21">
        <v>1500</v>
      </c>
      <c r="C57">
        <v>1400</v>
      </c>
      <c r="D57" s="24">
        <f t="shared" si="1"/>
        <v>100</v>
      </c>
    </row>
    <row r="58" spans="1:4" x14ac:dyDescent="0.25">
      <c r="A58" t="s">
        <v>330</v>
      </c>
      <c r="B58" s="74">
        <v>2500</v>
      </c>
      <c r="D58" s="24">
        <f t="shared" si="1"/>
        <v>2500</v>
      </c>
    </row>
    <row r="59" spans="1:4" x14ac:dyDescent="0.25">
      <c r="A59" t="s">
        <v>331</v>
      </c>
      <c r="B59" s="21">
        <v>6500</v>
      </c>
      <c r="C59">
        <v>7000</v>
      </c>
      <c r="D59" s="24">
        <f t="shared" si="1"/>
        <v>-500</v>
      </c>
    </row>
    <row r="61" spans="1:4" x14ac:dyDescent="0.25">
      <c r="A61" s="24" t="e">
        <f>#REF!-#REF!</f>
        <v>#REF!</v>
      </c>
      <c r="B61" t="s">
        <v>357</v>
      </c>
    </row>
    <row r="62" spans="1:4" x14ac:dyDescent="0.25">
      <c r="A62" s="24" t="e">
        <f t="shared" ref="A62" si="2">#REF!-#REF!</f>
        <v>#REF!</v>
      </c>
      <c r="C62" t="s">
        <v>358</v>
      </c>
    </row>
    <row r="63" spans="1:4" x14ac:dyDescent="0.25">
      <c r="A63" s="24" t="e">
        <f t="shared" ref="A63" si="3">#REF!-#REF!</f>
        <v>#REF!</v>
      </c>
    </row>
    <row r="64" spans="1:4" x14ac:dyDescent="0.25">
      <c r="A64" s="24" t="e">
        <f t="shared" ref="A64" si="4">#REF!-#REF!</f>
        <v>#REF!</v>
      </c>
    </row>
    <row r="65" spans="1:5" x14ac:dyDescent="0.25">
      <c r="A65" s="24" t="e">
        <f t="shared" ref="A65" si="5">#REF!-#REF!</f>
        <v>#REF!</v>
      </c>
    </row>
    <row r="66" spans="1:5" x14ac:dyDescent="0.25">
      <c r="A66" s="24" t="e">
        <f t="shared" ref="A66" si="6">#REF!-#REF!</f>
        <v>#REF!</v>
      </c>
    </row>
    <row r="71" spans="1:5" x14ac:dyDescent="0.25">
      <c r="A71" s="1" t="e">
        <v>#DIV/0!</v>
      </c>
      <c r="B71" t="s">
        <v>360</v>
      </c>
    </row>
    <row r="73" spans="1:5" x14ac:dyDescent="0.25">
      <c r="A73" s="1" t="s">
        <v>324</v>
      </c>
      <c r="B73" s="1" t="s">
        <v>229</v>
      </c>
      <c r="C73" s="1" t="s">
        <v>325</v>
      </c>
      <c r="D73" s="1"/>
      <c r="E73" t="s">
        <v>361</v>
      </c>
    </row>
    <row r="74" spans="1:5" x14ac:dyDescent="0.25">
      <c r="A74" t="s">
        <v>326</v>
      </c>
      <c r="B74" s="21">
        <v>2500</v>
      </c>
      <c r="C74">
        <v>1900</v>
      </c>
      <c r="D74" s="1" t="e">
        <f>B74/0</f>
        <v>#DIV/0!</v>
      </c>
    </row>
    <row r="75" spans="1:5" x14ac:dyDescent="0.25">
      <c r="A75" t="s">
        <v>327</v>
      </c>
      <c r="B75" s="21">
        <v>2800</v>
      </c>
    </row>
    <row r="76" spans="1:5" x14ac:dyDescent="0.25">
      <c r="A76" t="s">
        <v>328</v>
      </c>
      <c r="B76" s="21">
        <v>2500</v>
      </c>
      <c r="C76">
        <v>3200</v>
      </c>
    </row>
    <row r="77" spans="1:5" x14ac:dyDescent="0.25">
      <c r="A77" t="s">
        <v>329</v>
      </c>
      <c r="B77" s="21">
        <v>1500</v>
      </c>
      <c r="C77">
        <v>1400</v>
      </c>
    </row>
    <row r="78" spans="1:5" x14ac:dyDescent="0.25">
      <c r="A78" t="s">
        <v>330</v>
      </c>
      <c r="B78" s="74">
        <v>2500</v>
      </c>
    </row>
    <row r="79" spans="1:5" x14ac:dyDescent="0.25">
      <c r="A79" t="s">
        <v>331</v>
      </c>
      <c r="B79" s="21">
        <v>6500</v>
      </c>
      <c r="C79">
        <v>7000</v>
      </c>
    </row>
    <row r="84" spans="1:8" x14ac:dyDescent="0.25">
      <c r="A84" s="1" t="e">
        <v>#N/A</v>
      </c>
      <c r="B84" t="s">
        <v>369</v>
      </c>
    </row>
    <row r="86" spans="1:8" x14ac:dyDescent="0.25">
      <c r="A86" s="1" t="s">
        <v>324</v>
      </c>
      <c r="B86" s="1" t="s">
        <v>229</v>
      </c>
      <c r="C86" s="1" t="s">
        <v>325</v>
      </c>
      <c r="E86" s="1" t="s">
        <v>23</v>
      </c>
      <c r="F86" s="1" t="s">
        <v>229</v>
      </c>
    </row>
    <row r="87" spans="1:8" x14ac:dyDescent="0.25">
      <c r="A87" t="s">
        <v>326</v>
      </c>
      <c r="B87" s="21">
        <v>2500</v>
      </c>
      <c r="C87">
        <v>1900</v>
      </c>
      <c r="E87" t="str">
        <f>A88</f>
        <v>Loco</v>
      </c>
      <c r="F87" s="21">
        <f>VLOOKUP($E87,$A$87:$B$92,2,FALSE)</f>
        <v>2800</v>
      </c>
      <c r="G87" t="s">
        <v>371</v>
      </c>
    </row>
    <row r="88" spans="1:8" x14ac:dyDescent="0.25">
      <c r="A88" t="s">
        <v>327</v>
      </c>
      <c r="B88" s="21">
        <v>2800</v>
      </c>
      <c r="E88" t="s">
        <v>370</v>
      </c>
      <c r="F88" s="73" t="e">
        <f t="shared" ref="F88:F89" si="7">VLOOKUP($E88,$A$87:$B$92,2,FALSE)</f>
        <v>#N/A</v>
      </c>
      <c r="G88" s="1" t="s">
        <v>372</v>
      </c>
    </row>
    <row r="89" spans="1:8" x14ac:dyDescent="0.25">
      <c r="A89" t="s">
        <v>328</v>
      </c>
      <c r="B89" s="21">
        <v>2500</v>
      </c>
      <c r="C89">
        <v>3200</v>
      </c>
      <c r="E89" t="str">
        <f>A91</f>
        <v>Tampay</v>
      </c>
      <c r="F89" s="21">
        <f t="shared" si="7"/>
        <v>2500</v>
      </c>
    </row>
    <row r="90" spans="1:8" x14ac:dyDescent="0.25">
      <c r="A90" t="s">
        <v>329</v>
      </c>
      <c r="B90" s="21">
        <v>1500</v>
      </c>
      <c r="C90">
        <v>1400</v>
      </c>
    </row>
    <row r="91" spans="1:8" x14ac:dyDescent="0.25">
      <c r="A91" t="s">
        <v>330</v>
      </c>
      <c r="B91" s="74">
        <v>2500</v>
      </c>
      <c r="C91">
        <v>2400</v>
      </c>
    </row>
    <row r="92" spans="1:8" x14ac:dyDescent="0.25">
      <c r="A92" t="s">
        <v>331</v>
      </c>
      <c r="B92" s="21">
        <v>6500</v>
      </c>
      <c r="C92">
        <v>7000</v>
      </c>
    </row>
    <row r="94" spans="1:8" x14ac:dyDescent="0.25">
      <c r="A94" t="s">
        <v>334</v>
      </c>
      <c r="B94" t="s">
        <v>373</v>
      </c>
      <c r="D94" s="1" t="s">
        <v>376</v>
      </c>
      <c r="H94" t="s">
        <v>375</v>
      </c>
    </row>
    <row r="96" spans="1:8" x14ac:dyDescent="0.25">
      <c r="A96" s="1" t="s">
        <v>324</v>
      </c>
      <c r="B96" s="1" t="s">
        <v>229</v>
      </c>
      <c r="C96" s="1" t="s">
        <v>325</v>
      </c>
      <c r="E96" s="1" t="s">
        <v>23</v>
      </c>
      <c r="F96" s="1" t="s">
        <v>229</v>
      </c>
    </row>
    <row r="97" spans="1:7" x14ac:dyDescent="0.25">
      <c r="A97" t="s">
        <v>326</v>
      </c>
      <c r="B97" s="21">
        <v>2500</v>
      </c>
      <c r="C97">
        <v>1900</v>
      </c>
      <c r="E97" t="str">
        <f>A98</f>
        <v>Loco</v>
      </c>
      <c r="F97" s="21">
        <f>_xlfn.IFNA(VLOOKUP($E97,$A$87:$B$92,2,FALSE),"Person does not exist")</f>
        <v>2800</v>
      </c>
    </row>
    <row r="98" spans="1:7" x14ac:dyDescent="0.25">
      <c r="A98" t="s">
        <v>327</v>
      </c>
      <c r="B98" s="21">
        <v>2800</v>
      </c>
      <c r="E98" t="s">
        <v>370</v>
      </c>
      <c r="F98" s="73" t="str">
        <f>_xlfn.IFNA(VLOOKUP($E98,$A$87:$B$92,2,FALSE),"who?")</f>
        <v>who?</v>
      </c>
      <c r="G98" s="1" t="s">
        <v>374</v>
      </c>
    </row>
    <row r="99" spans="1:7" x14ac:dyDescent="0.25">
      <c r="A99" t="s">
        <v>328</v>
      </c>
      <c r="B99" s="21">
        <v>2500</v>
      </c>
      <c r="C99">
        <v>3200</v>
      </c>
      <c r="E99" t="str">
        <f>A101</f>
        <v>Tampay</v>
      </c>
      <c r="F99" s="21">
        <f t="shared" ref="F99" si="8">_xlfn.IFNA(VLOOKUP($E99,$A$87:$B$92,2,FALSE),"Person does not exist")</f>
        <v>2500</v>
      </c>
    </row>
    <row r="100" spans="1:7" x14ac:dyDescent="0.25">
      <c r="A100" t="s">
        <v>329</v>
      </c>
      <c r="B100" s="21">
        <v>1500</v>
      </c>
      <c r="C100">
        <v>1400</v>
      </c>
    </row>
    <row r="101" spans="1:7" x14ac:dyDescent="0.25">
      <c r="A101" t="s">
        <v>330</v>
      </c>
      <c r="B101" s="74">
        <v>2500</v>
      </c>
      <c r="C101">
        <v>2400</v>
      </c>
    </row>
    <row r="102" spans="1:7" x14ac:dyDescent="0.25">
      <c r="A102" t="s">
        <v>331</v>
      </c>
      <c r="B102" s="21">
        <v>6500</v>
      </c>
      <c r="C102">
        <v>7000</v>
      </c>
    </row>
    <row r="104" spans="1:7" x14ac:dyDescent="0.25">
      <c r="A104" t="s">
        <v>334</v>
      </c>
      <c r="B104" s="1" t="s">
        <v>377</v>
      </c>
    </row>
    <row r="105" spans="1:7" x14ac:dyDescent="0.25">
      <c r="B105" t="s">
        <v>378</v>
      </c>
    </row>
  </sheetData>
  <mergeCells count="1">
    <mergeCell ref="B47:B52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6EF9-CDB0-4263-B275-C50E82094565}">
  <dimension ref="A2:F28"/>
  <sheetViews>
    <sheetView workbookViewId="0">
      <selection activeCell="A31" sqref="A31"/>
    </sheetView>
  </sheetViews>
  <sheetFormatPr defaultRowHeight="15" x14ac:dyDescent="0.25"/>
  <sheetData>
    <row r="2" spans="1:6" x14ac:dyDescent="0.25">
      <c r="A2" s="1" t="e">
        <v>#DIV/0!</v>
      </c>
      <c r="B2" s="1" t="s">
        <v>377</v>
      </c>
    </row>
    <row r="3" spans="1:6" x14ac:dyDescent="0.25">
      <c r="A3" s="1"/>
    </row>
    <row r="4" spans="1:6" x14ac:dyDescent="0.25">
      <c r="A4" s="1" t="s">
        <v>324</v>
      </c>
      <c r="B4" s="1" t="s">
        <v>229</v>
      </c>
      <c r="C4" s="1" t="s">
        <v>325</v>
      </c>
      <c r="D4" s="1" t="s">
        <v>85</v>
      </c>
    </row>
    <row r="5" spans="1:6" x14ac:dyDescent="0.25">
      <c r="A5" t="s">
        <v>326</v>
      </c>
      <c r="B5" s="21">
        <v>2500</v>
      </c>
      <c r="C5">
        <v>1900</v>
      </c>
      <c r="D5" s="50">
        <f>B5/C5-1</f>
        <v>0.31578947368421062</v>
      </c>
    </row>
    <row r="6" spans="1:6" x14ac:dyDescent="0.25">
      <c r="A6" t="s">
        <v>327</v>
      </c>
      <c r="B6" s="21">
        <v>2800</v>
      </c>
      <c r="D6" s="50" t="e">
        <f t="shared" ref="D6:D10" si="0">B6/C6-1</f>
        <v>#DIV/0!</v>
      </c>
      <c r="E6" t="s">
        <v>362</v>
      </c>
      <c r="F6" t="s">
        <v>364</v>
      </c>
    </row>
    <row r="7" spans="1:6" x14ac:dyDescent="0.25">
      <c r="A7" t="s">
        <v>328</v>
      </c>
      <c r="B7" s="21">
        <v>2500</v>
      </c>
      <c r="C7">
        <v>3200</v>
      </c>
      <c r="D7" s="50">
        <f t="shared" si="0"/>
        <v>-0.21875</v>
      </c>
    </row>
    <row r="8" spans="1:6" x14ac:dyDescent="0.25">
      <c r="A8" t="s">
        <v>329</v>
      </c>
      <c r="B8" s="21">
        <v>1500</v>
      </c>
      <c r="C8">
        <v>1400</v>
      </c>
      <c r="D8" s="50">
        <f t="shared" si="0"/>
        <v>7.1428571428571397E-2</v>
      </c>
    </row>
    <row r="9" spans="1:6" x14ac:dyDescent="0.25">
      <c r="A9" t="s">
        <v>330</v>
      </c>
      <c r="B9" s="74">
        <v>2500</v>
      </c>
      <c r="C9">
        <v>0</v>
      </c>
      <c r="D9" s="50" t="e">
        <f t="shared" si="0"/>
        <v>#DIV/0!</v>
      </c>
      <c r="F9" t="s">
        <v>363</v>
      </c>
    </row>
    <row r="10" spans="1:6" x14ac:dyDescent="0.25">
      <c r="A10" t="s">
        <v>331</v>
      </c>
      <c r="B10" s="21">
        <v>6500</v>
      </c>
      <c r="C10">
        <v>7000</v>
      </c>
      <c r="D10" s="50">
        <f t="shared" si="0"/>
        <v>-7.1428571428571397E-2</v>
      </c>
    </row>
    <row r="12" spans="1:6" x14ac:dyDescent="0.25">
      <c r="A12" t="s">
        <v>367</v>
      </c>
    </row>
    <row r="14" spans="1:6" x14ac:dyDescent="0.25">
      <c r="A14" s="1" t="s">
        <v>324</v>
      </c>
      <c r="B14" s="1" t="s">
        <v>229</v>
      </c>
      <c r="C14" s="1" t="s">
        <v>325</v>
      </c>
      <c r="D14" s="1" t="s">
        <v>85</v>
      </c>
    </row>
    <row r="15" spans="1:6" x14ac:dyDescent="0.25">
      <c r="A15" t="s">
        <v>326</v>
      </c>
      <c r="B15" s="21">
        <v>2500</v>
      </c>
      <c r="C15">
        <v>1900</v>
      </c>
      <c r="D15" s="50">
        <f>IFERROR(B15/C15-1, "")</f>
        <v>0.31578947368421062</v>
      </c>
      <c r="E15" s="50" t="s">
        <v>365</v>
      </c>
    </row>
    <row r="16" spans="1:6" x14ac:dyDescent="0.25">
      <c r="A16" t="s">
        <v>327</v>
      </c>
      <c r="B16" s="21">
        <v>2800</v>
      </c>
      <c r="D16" s="75" t="str">
        <f t="shared" ref="D16:D17" si="1">IFERROR(B16/C16-1, "")</f>
        <v/>
      </c>
      <c r="E16" s="75" t="s">
        <v>368</v>
      </c>
    </row>
    <row r="17" spans="1:6" x14ac:dyDescent="0.25">
      <c r="A17" t="s">
        <v>328</v>
      </c>
      <c r="B17" s="21">
        <v>2500</v>
      </c>
      <c r="C17">
        <v>3200</v>
      </c>
      <c r="D17" s="50">
        <f t="shared" si="1"/>
        <v>-0.21875</v>
      </c>
      <c r="E17" s="50"/>
    </row>
    <row r="18" spans="1:6" x14ac:dyDescent="0.25">
      <c r="A18" t="s">
        <v>329</v>
      </c>
      <c r="B18" s="21">
        <v>1500</v>
      </c>
      <c r="C18">
        <v>1400</v>
      </c>
      <c r="D18" s="50">
        <f>IFERROR(B18/C18-1, "Error")</f>
        <v>7.1428571428571397E-2</v>
      </c>
      <c r="E18" s="50"/>
    </row>
    <row r="19" spans="1:6" x14ac:dyDescent="0.25">
      <c r="A19" t="s">
        <v>330</v>
      </c>
      <c r="B19" s="74">
        <v>2500</v>
      </c>
      <c r="C19">
        <v>0</v>
      </c>
      <c r="D19" s="75" t="str">
        <f t="shared" ref="D19:D20" si="2">IFERROR(B19/C19-1, "Error")</f>
        <v>Error</v>
      </c>
      <c r="E19" s="75" t="s">
        <v>366</v>
      </c>
    </row>
    <row r="20" spans="1:6" x14ac:dyDescent="0.25">
      <c r="A20" t="s">
        <v>331</v>
      </c>
      <c r="B20" s="21">
        <v>6500</v>
      </c>
      <c r="C20">
        <v>7000</v>
      </c>
      <c r="D20" s="50">
        <f t="shared" si="2"/>
        <v>-7.1428571428571397E-2</v>
      </c>
      <c r="E20" s="50"/>
    </row>
    <row r="25" spans="1:6" x14ac:dyDescent="0.25">
      <c r="A25" s="1" t="s">
        <v>379</v>
      </c>
      <c r="B25" s="1" t="s">
        <v>380</v>
      </c>
      <c r="C25" s="1" t="s">
        <v>381</v>
      </c>
      <c r="D25" s="1" t="s">
        <v>383</v>
      </c>
      <c r="E25" s="1" t="s">
        <v>384</v>
      </c>
      <c r="F25" s="1" t="s">
        <v>11</v>
      </c>
    </row>
    <row r="26" spans="1:6" x14ac:dyDescent="0.25">
      <c r="A26">
        <v>5</v>
      </c>
      <c r="B26">
        <v>1</v>
      </c>
      <c r="C26" s="76" t="s">
        <v>382</v>
      </c>
      <c r="D26">
        <f>$A$26/$B$26</f>
        <v>5</v>
      </c>
      <c r="E26">
        <f>IFERROR($A$26/$B$26, "Invalid")</f>
        <v>5</v>
      </c>
    </row>
    <row r="27" spans="1:6" x14ac:dyDescent="0.25">
      <c r="A27">
        <v>5</v>
      </c>
      <c r="B27">
        <v>0</v>
      </c>
      <c r="C27" t="s">
        <v>382</v>
      </c>
      <c r="D27" t="e">
        <f>$A$27/$B$27</f>
        <v>#DIV/0!</v>
      </c>
      <c r="E27" t="str">
        <f>IFERROR($A$27/$B$27, "Invalid")</f>
        <v>Invalid</v>
      </c>
      <c r="F27" t="s">
        <v>385</v>
      </c>
    </row>
    <row r="28" spans="1:6" x14ac:dyDescent="0.25">
      <c r="A28">
        <v>5</v>
      </c>
      <c r="C28" t="s">
        <v>382</v>
      </c>
      <c r="D28" t="e">
        <f>$A$28/$B$28</f>
        <v>#DIV/0!</v>
      </c>
      <c r="E28" t="str">
        <f>IFERROR($A$28/$B$28, "Invalid")</f>
        <v>Invalid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6E651-BC5A-4173-B8E8-478C7EABAA64}">
  <dimension ref="A1:I33"/>
  <sheetViews>
    <sheetView topLeftCell="A11" workbookViewId="0">
      <selection activeCell="D39" sqref="D39"/>
    </sheetView>
  </sheetViews>
  <sheetFormatPr defaultColWidth="9.28515625" defaultRowHeight="15" x14ac:dyDescent="0.25"/>
  <cols>
    <col min="1" max="1" width="15.5703125" bestFit="1" customWidth="1"/>
    <col min="2" max="2" width="12.5703125" bestFit="1" customWidth="1"/>
    <col min="3" max="3" width="10.7109375" bestFit="1" customWidth="1"/>
    <col min="4" max="4" width="31" bestFit="1" customWidth="1"/>
    <col min="5" max="5" width="12.7109375" bestFit="1" customWidth="1"/>
    <col min="8" max="8" width="10" bestFit="1" customWidth="1"/>
    <col min="9" max="9" width="6.42578125" bestFit="1" customWidth="1"/>
  </cols>
  <sheetData>
    <row r="1" spans="1:9" s="1" customFormat="1" x14ac:dyDescent="0.25">
      <c r="A1" s="1" t="str">
        <f>[1]Lookup!A1</f>
        <v>Employee</v>
      </c>
      <c r="B1" s="1" t="str">
        <f>[1]Lookup!B1</f>
        <v>Salary</v>
      </c>
      <c r="C1" s="1" t="str">
        <f>[1]Lookup!C1</f>
        <v>Find Bonus</v>
      </c>
      <c r="D1" s="1" t="s">
        <v>11</v>
      </c>
      <c r="E1" s="1" t="str">
        <f>[1]Lookup!D1</f>
        <v>Find ID</v>
      </c>
      <c r="H1" s="77" t="s">
        <v>386</v>
      </c>
      <c r="I1" s="77" t="s">
        <v>387</v>
      </c>
    </row>
    <row r="2" spans="1:9" x14ac:dyDescent="0.25">
      <c r="A2" t="str">
        <f>[1]Lookup!A2</f>
        <v>Kim West</v>
      </c>
      <c r="B2" s="81">
        <f>[1]Lookup!B2</f>
        <v>89500</v>
      </c>
      <c r="C2" s="78">
        <f>LOOKUP($B2,$H$2:H6,$I$2:$I$6)</f>
        <v>0.1</v>
      </c>
      <c r="D2" s="79" t="s">
        <v>393</v>
      </c>
      <c r="H2" s="82">
        <v>10000</v>
      </c>
      <c r="I2" s="83">
        <v>0</v>
      </c>
    </row>
    <row r="3" spans="1:9" x14ac:dyDescent="0.25">
      <c r="A3" t="str">
        <f>[1]Lookup!A3</f>
        <v>Ann Withers</v>
      </c>
      <c r="B3" s="21">
        <f>[1]Lookup!B3</f>
        <v>110000</v>
      </c>
      <c r="C3" s="78">
        <f ca="1">LOOKUP($B3,$H$2:H7,$I$2:$I$6)</f>
        <v>0.15</v>
      </c>
      <c r="D3" s="79"/>
      <c r="H3" s="82">
        <v>30000</v>
      </c>
      <c r="I3" s="83">
        <v>0.05</v>
      </c>
    </row>
    <row r="4" spans="1:9" x14ac:dyDescent="0.25">
      <c r="A4" t="str">
        <f>[1]Lookup!A4</f>
        <v>James Willard</v>
      </c>
      <c r="B4" s="21">
        <f>[1]Lookup!B4</f>
        <v>39627</v>
      </c>
      <c r="C4" s="78">
        <f ca="1">LOOKUP($B4,$H$2:H8,$I$2:$I$6)</f>
        <v>0.05</v>
      </c>
      <c r="D4" s="79"/>
      <c r="H4" s="82">
        <v>50000</v>
      </c>
      <c r="I4" s="83">
        <v>0.08</v>
      </c>
    </row>
    <row r="5" spans="1:9" x14ac:dyDescent="0.25">
      <c r="A5" t="str">
        <f>[1]Lookup!A5</f>
        <v>Corinna Schmidt</v>
      </c>
      <c r="B5" s="21">
        <f>[1]Lookup!B5</f>
        <v>51800</v>
      </c>
      <c r="C5" s="78">
        <f ca="1">LOOKUP($B5,$H$2:H9,$I$2:$I$6)</f>
        <v>0.08</v>
      </c>
      <c r="D5" s="79"/>
      <c r="H5" s="82">
        <v>60000</v>
      </c>
      <c r="I5" s="83">
        <v>0.1</v>
      </c>
    </row>
    <row r="6" spans="1:9" x14ac:dyDescent="0.25">
      <c r="H6" s="82">
        <v>100000</v>
      </c>
      <c r="I6" s="83">
        <v>0.15</v>
      </c>
    </row>
    <row r="8" spans="1:9" ht="75" x14ac:dyDescent="0.25">
      <c r="B8" s="80" t="s">
        <v>388</v>
      </c>
      <c r="H8" s="80" t="s">
        <v>392</v>
      </c>
      <c r="I8" s="80" t="s">
        <v>391</v>
      </c>
    </row>
    <row r="10" spans="1:9" x14ac:dyDescent="0.25">
      <c r="A10" s="1" t="s">
        <v>389</v>
      </c>
    </row>
    <row r="11" spans="1:9" x14ac:dyDescent="0.25">
      <c r="A11" s="1" t="s">
        <v>390</v>
      </c>
    </row>
    <row r="13" spans="1:9" x14ac:dyDescent="0.25">
      <c r="A13" s="84" t="s">
        <v>394</v>
      </c>
    </row>
    <row r="15" spans="1:9" x14ac:dyDescent="0.25">
      <c r="A15" t="s">
        <v>395</v>
      </c>
    </row>
    <row r="16" spans="1:9" x14ac:dyDescent="0.25">
      <c r="A16" t="s">
        <v>396</v>
      </c>
    </row>
    <row r="20" spans="1:7" x14ac:dyDescent="0.25">
      <c r="A20" t="s">
        <v>397</v>
      </c>
    </row>
    <row r="24" spans="1:7" x14ac:dyDescent="0.25">
      <c r="A24" s="1" t="s">
        <v>398</v>
      </c>
      <c r="B24" s="1" t="s">
        <v>23</v>
      </c>
      <c r="C24" s="1" t="s">
        <v>399</v>
      </c>
      <c r="D24" s="1" t="s">
        <v>400</v>
      </c>
      <c r="E24" s="1"/>
      <c r="F24" s="1"/>
      <c r="G24" s="1"/>
    </row>
    <row r="25" spans="1:7" x14ac:dyDescent="0.25">
      <c r="A25">
        <v>101</v>
      </c>
      <c r="B25" t="s">
        <v>403</v>
      </c>
      <c r="C25" s="86" t="s">
        <v>412</v>
      </c>
      <c r="D25" t="s">
        <v>229</v>
      </c>
      <c r="E25" t="s">
        <v>401</v>
      </c>
      <c r="F25" t="s">
        <v>402</v>
      </c>
    </row>
    <row r="26" spans="1:7" x14ac:dyDescent="0.25">
      <c r="A26">
        <v>102</v>
      </c>
      <c r="B26" t="s">
        <v>404</v>
      </c>
      <c r="C26" s="86" t="s">
        <v>413</v>
      </c>
      <c r="D26" t="s">
        <v>421</v>
      </c>
      <c r="E26" s="1">
        <v>103</v>
      </c>
      <c r="F26" s="85" t="str">
        <f>LOOKUP(E26,A25:A33,C25:C33)</f>
        <v>anna@fake.com</v>
      </c>
    </row>
    <row r="27" spans="1:7" x14ac:dyDescent="0.25">
      <c r="A27">
        <v>103</v>
      </c>
      <c r="B27" t="s">
        <v>405</v>
      </c>
      <c r="C27" s="86" t="s">
        <v>414</v>
      </c>
      <c r="D27" t="s">
        <v>422</v>
      </c>
      <c r="F27" t="s">
        <v>424</v>
      </c>
    </row>
    <row r="28" spans="1:7" x14ac:dyDescent="0.25">
      <c r="A28">
        <v>104</v>
      </c>
      <c r="B28" t="s">
        <v>406</v>
      </c>
      <c r="C28" s="86" t="s">
        <v>415</v>
      </c>
      <c r="D28" t="s">
        <v>423</v>
      </c>
    </row>
    <row r="29" spans="1:7" x14ac:dyDescent="0.25">
      <c r="A29">
        <v>105</v>
      </c>
      <c r="B29" t="s">
        <v>407</v>
      </c>
      <c r="C29" s="86" t="s">
        <v>416</v>
      </c>
      <c r="D29" t="s">
        <v>229</v>
      </c>
      <c r="E29" s="84" t="s">
        <v>425</v>
      </c>
    </row>
    <row r="30" spans="1:7" x14ac:dyDescent="0.25">
      <c r="A30">
        <v>106</v>
      </c>
      <c r="B30" t="s">
        <v>408</v>
      </c>
      <c r="C30" s="86" t="s">
        <v>417</v>
      </c>
      <c r="D30" t="s">
        <v>421</v>
      </c>
    </row>
    <row r="31" spans="1:7" x14ac:dyDescent="0.25">
      <c r="A31">
        <v>107</v>
      </c>
      <c r="B31" t="s">
        <v>409</v>
      </c>
      <c r="C31" s="86" t="s">
        <v>418</v>
      </c>
      <c r="D31" t="s">
        <v>229</v>
      </c>
    </row>
    <row r="32" spans="1:7" x14ac:dyDescent="0.25">
      <c r="A32">
        <v>108</v>
      </c>
      <c r="B32" t="s">
        <v>410</v>
      </c>
      <c r="C32" s="86" t="s">
        <v>419</v>
      </c>
      <c r="D32" t="s">
        <v>229</v>
      </c>
    </row>
    <row r="33" spans="1:4" x14ac:dyDescent="0.25">
      <c r="A33">
        <v>109</v>
      </c>
      <c r="B33" t="s">
        <v>411</v>
      </c>
      <c r="C33" s="86" t="s">
        <v>420</v>
      </c>
      <c r="D33" t="s">
        <v>229</v>
      </c>
    </row>
  </sheetData>
  <hyperlinks>
    <hyperlink ref="C25" r:id="rId1" xr:uid="{F464D9E9-FDF1-45E9-92CC-CFD85250B5AE}"/>
    <hyperlink ref="C26" r:id="rId2" xr:uid="{662FE665-7605-41DE-9CDB-E42CCCD0B909}"/>
    <hyperlink ref="C27" r:id="rId3" xr:uid="{C3229239-B2F6-48A1-A11A-05972E216D17}"/>
    <hyperlink ref="C28" r:id="rId4" xr:uid="{4527A86D-05A4-4E9B-B334-262DC8E04E7C}"/>
    <hyperlink ref="C29" r:id="rId5" xr:uid="{B40343FB-E0AB-4C45-824D-EBD52F22544B}"/>
    <hyperlink ref="C30" r:id="rId6" xr:uid="{A2D2FB54-F11E-4C2B-8CBF-D859CA151335}"/>
    <hyperlink ref="C31" r:id="rId7" xr:uid="{A91E8879-437A-4157-A0FD-179B0F3F3CF9}"/>
    <hyperlink ref="C32" r:id="rId8" xr:uid="{CDEA94FA-38E5-41CB-8CE0-9DE78E099D06}"/>
    <hyperlink ref="C33" r:id="rId9" xr:uid="{4DBD4429-C939-4C6A-8E70-D933BF4207C6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13CB-BBB7-4894-940B-D579B7E8211C}">
  <dimension ref="A1:L11"/>
  <sheetViews>
    <sheetView tabSelected="1" workbookViewId="0">
      <selection activeCell="G18" sqref="G18"/>
    </sheetView>
  </sheetViews>
  <sheetFormatPr defaultRowHeight="15" x14ac:dyDescent="0.25"/>
  <cols>
    <col min="2" max="2" width="6.28515625" bestFit="1" customWidth="1"/>
    <col min="3" max="3" width="4.42578125" bestFit="1" customWidth="1"/>
    <col min="4" max="4" width="6" bestFit="1" customWidth="1"/>
    <col min="7" max="7" width="13.140625" bestFit="1" customWidth="1"/>
    <col min="8" max="8" width="4" bestFit="1" customWidth="1"/>
    <col min="9" max="9" width="5.5703125" bestFit="1" customWidth="1"/>
  </cols>
  <sheetData>
    <row r="1" spans="1:12" x14ac:dyDescent="0.25">
      <c r="B1" s="1" t="s">
        <v>435</v>
      </c>
    </row>
    <row r="2" spans="1:12" x14ac:dyDescent="0.25">
      <c r="B2" s="1" t="s">
        <v>436</v>
      </c>
      <c r="L2" t="s">
        <v>437</v>
      </c>
    </row>
    <row r="3" spans="1:12" x14ac:dyDescent="0.25">
      <c r="L3" t="s">
        <v>438</v>
      </c>
    </row>
    <row r="4" spans="1:12" x14ac:dyDescent="0.25">
      <c r="A4" t="s">
        <v>440</v>
      </c>
      <c r="B4" s="5">
        <v>1</v>
      </c>
      <c r="C4" s="5">
        <v>2</v>
      </c>
      <c r="D4" s="5">
        <v>3</v>
      </c>
    </row>
    <row r="5" spans="1:12" x14ac:dyDescent="0.25">
      <c r="B5" s="44" t="s">
        <v>23</v>
      </c>
      <c r="C5" s="44" t="s">
        <v>142</v>
      </c>
      <c r="D5" s="44" t="s">
        <v>426</v>
      </c>
    </row>
    <row r="6" spans="1:12" x14ac:dyDescent="0.25">
      <c r="B6" s="43" t="s">
        <v>404</v>
      </c>
      <c r="C6" s="43">
        <v>41</v>
      </c>
      <c r="D6" s="43">
        <v>53800</v>
      </c>
      <c r="G6" t="s">
        <v>429</v>
      </c>
      <c r="H6" s="87" t="str">
        <f>B7</f>
        <v>Joe</v>
      </c>
      <c r="I6" s="85">
        <f>VLOOKUP(H6,B5:C8,2,FALSE)</f>
        <v>56</v>
      </c>
      <c r="K6" t="s">
        <v>439</v>
      </c>
    </row>
    <row r="7" spans="1:12" x14ac:dyDescent="0.25">
      <c r="B7" s="43" t="s">
        <v>428</v>
      </c>
      <c r="C7" s="43">
        <v>56</v>
      </c>
      <c r="D7" s="43">
        <v>86500</v>
      </c>
    </row>
    <row r="8" spans="1:12" x14ac:dyDescent="0.25">
      <c r="B8" s="43" t="s">
        <v>427</v>
      </c>
      <c r="C8" s="43">
        <v>25</v>
      </c>
      <c r="D8" s="43">
        <v>90210</v>
      </c>
      <c r="G8" t="s">
        <v>432</v>
      </c>
      <c r="J8" t="s">
        <v>433</v>
      </c>
    </row>
    <row r="9" spans="1:12" x14ac:dyDescent="0.25">
      <c r="G9" t="s">
        <v>434</v>
      </c>
    </row>
    <row r="10" spans="1:12" x14ac:dyDescent="0.25">
      <c r="G10" t="s">
        <v>430</v>
      </c>
    </row>
    <row r="11" spans="1:12" x14ac:dyDescent="0.25">
      <c r="G11" t="s">
        <v>431</v>
      </c>
    </row>
  </sheetData>
  <sortState xmlns:xlrd2="http://schemas.microsoft.com/office/spreadsheetml/2017/richdata2" ref="B6:D8">
    <sortCondition ref="B6:B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EAD29-CA1F-44F5-B414-EFA82998FB31}">
  <dimension ref="A2:G19"/>
  <sheetViews>
    <sheetView workbookViewId="0">
      <selection activeCell="I23" sqref="I23"/>
    </sheetView>
  </sheetViews>
  <sheetFormatPr defaultRowHeight="15" x14ac:dyDescent="0.25"/>
  <cols>
    <col min="1" max="1" width="10.5703125" bestFit="1" customWidth="1"/>
    <col min="2" max="3" width="8" bestFit="1" customWidth="1"/>
    <col min="4" max="4" width="6.42578125" bestFit="1" customWidth="1"/>
    <col min="5" max="5" width="8" bestFit="1" customWidth="1"/>
    <col min="6" max="6" width="6.42578125" bestFit="1" customWidth="1"/>
  </cols>
  <sheetData>
    <row r="2" spans="1:7" ht="15.75" thickBot="1" x14ac:dyDescent="0.3"/>
    <row r="3" spans="1:7" x14ac:dyDescent="0.25">
      <c r="A3" s="88" t="s">
        <v>441</v>
      </c>
      <c r="B3" s="91" t="s">
        <v>447</v>
      </c>
      <c r="C3" s="92" t="s">
        <v>448</v>
      </c>
      <c r="D3" s="92" t="s">
        <v>449</v>
      </c>
      <c r="E3" s="92" t="s">
        <v>450</v>
      </c>
      <c r="F3" s="93" t="s">
        <v>451</v>
      </c>
      <c r="G3" s="55" t="s">
        <v>454</v>
      </c>
    </row>
    <row r="4" spans="1:7" x14ac:dyDescent="0.25">
      <c r="A4" s="89" t="s">
        <v>442</v>
      </c>
      <c r="B4" s="94">
        <v>1</v>
      </c>
      <c r="C4" s="55">
        <v>2</v>
      </c>
      <c r="D4" s="55">
        <v>3</v>
      </c>
      <c r="E4" s="55">
        <v>4</v>
      </c>
      <c r="F4" s="95">
        <v>5</v>
      </c>
      <c r="G4" t="s">
        <v>455</v>
      </c>
    </row>
    <row r="5" spans="1:7" ht="15.75" thickBot="1" x14ac:dyDescent="0.3">
      <c r="A5" s="90" t="s">
        <v>386</v>
      </c>
      <c r="B5" s="96">
        <v>500</v>
      </c>
      <c r="C5" s="97">
        <v>1000</v>
      </c>
      <c r="D5" s="97">
        <v>1500</v>
      </c>
      <c r="E5" s="97">
        <v>2000</v>
      </c>
      <c r="F5" s="98">
        <v>2500</v>
      </c>
      <c r="G5" t="s">
        <v>456</v>
      </c>
    </row>
    <row r="9" spans="1:7" x14ac:dyDescent="0.25">
      <c r="A9" s="1" t="str">
        <f>A3</f>
        <v>Emp Name</v>
      </c>
      <c r="B9" s="1" t="str">
        <f>A4</f>
        <v>Emp ID</v>
      </c>
      <c r="C9" s="1" t="str">
        <f>A5</f>
        <v>Salary</v>
      </c>
    </row>
    <row r="10" spans="1:7" x14ac:dyDescent="0.25">
      <c r="A10" t="s">
        <v>449</v>
      </c>
      <c r="B10" s="85">
        <f>HLOOKUP(A10,A3:F5,2,FALSE)</f>
        <v>3</v>
      </c>
      <c r="C10" s="85">
        <f>HLOOKUP(A10,B3:F5,3,FALSE)</f>
        <v>1500</v>
      </c>
      <c r="D10" t="s">
        <v>452</v>
      </c>
    </row>
    <row r="14" spans="1:7" ht="15.75" thickBot="1" x14ac:dyDescent="0.3"/>
    <row r="15" spans="1:7" x14ac:dyDescent="0.25">
      <c r="A15" s="88" t="s">
        <v>231</v>
      </c>
      <c r="B15" s="99" t="s">
        <v>443</v>
      </c>
      <c r="C15" s="99" t="s">
        <v>444</v>
      </c>
      <c r="D15" s="99" t="s">
        <v>445</v>
      </c>
      <c r="E15" s="100" t="s">
        <v>446</v>
      </c>
      <c r="F15" s="5" t="s">
        <v>454</v>
      </c>
    </row>
    <row r="16" spans="1:7" ht="15.75" thickBot="1" x14ac:dyDescent="0.3">
      <c r="A16" s="90" t="s">
        <v>229</v>
      </c>
      <c r="B16" s="101">
        <v>200</v>
      </c>
      <c r="C16" s="101">
        <v>350</v>
      </c>
      <c r="D16" s="101">
        <v>275</v>
      </c>
      <c r="E16" s="102">
        <v>410</v>
      </c>
      <c r="F16" t="s">
        <v>455</v>
      </c>
    </row>
    <row r="19" spans="1:3" x14ac:dyDescent="0.25">
      <c r="A19" t="s">
        <v>445</v>
      </c>
      <c r="B19" s="85">
        <f>HLOOKUP(A19,B15:E16,2,FALSE)</f>
        <v>275</v>
      </c>
      <c r="C19" t="s">
        <v>453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E5C1-0843-4EC4-87F3-E28975F1FA4F}">
  <dimension ref="A1:G37"/>
  <sheetViews>
    <sheetView topLeftCell="E7" workbookViewId="0">
      <selection activeCell="K2" sqref="K2"/>
    </sheetView>
  </sheetViews>
  <sheetFormatPr defaultRowHeight="15" x14ac:dyDescent="0.25"/>
  <cols>
    <col min="1" max="1" width="17.42578125" bestFit="1" customWidth="1"/>
    <col min="2" max="2" width="12.42578125" bestFit="1" customWidth="1"/>
    <col min="3" max="3" width="14.42578125" customWidth="1"/>
    <col min="6" max="6" width="17.42578125" bestFit="1" customWidth="1"/>
    <col min="7" max="7" width="19.140625" bestFit="1" customWidth="1"/>
    <col min="8" max="32" width="10.42578125" bestFit="1" customWidth="1"/>
    <col min="33" max="33" width="11.5703125" bestFit="1" customWidth="1"/>
    <col min="34" max="34" width="10.42578125" bestFit="1" customWidth="1"/>
    <col min="35" max="35" width="9" bestFit="1" customWidth="1"/>
    <col min="36" max="36" width="9.7109375" bestFit="1" customWidth="1"/>
    <col min="37" max="37" width="10.42578125" bestFit="1" customWidth="1"/>
    <col min="39" max="39" width="9.7109375" bestFit="1" customWidth="1"/>
    <col min="40" max="40" width="10" bestFit="1" customWidth="1"/>
    <col min="41" max="41" width="10.42578125" bestFit="1" customWidth="1"/>
    <col min="42" max="42" width="9" bestFit="1" customWidth="1"/>
    <col min="43" max="43" width="9.7109375" bestFit="1" customWidth="1"/>
    <col min="44" max="44" width="9.85546875" bestFit="1" customWidth="1"/>
    <col min="45" max="45" width="10.42578125" bestFit="1" customWidth="1"/>
    <col min="46" max="47" width="10" bestFit="1" customWidth="1"/>
    <col min="48" max="48" width="10.42578125" bestFit="1" customWidth="1"/>
    <col min="49" max="51" width="10" bestFit="1" customWidth="1"/>
    <col min="52" max="52" width="10.42578125" bestFit="1" customWidth="1"/>
    <col min="53" max="55" width="10" bestFit="1" customWidth="1"/>
    <col min="56" max="56" width="10.42578125" bestFit="1" customWidth="1"/>
    <col min="58" max="58" width="9.7109375" bestFit="1" customWidth="1"/>
    <col min="59" max="59" width="9.85546875" bestFit="1" customWidth="1"/>
    <col min="60" max="60" width="10.42578125" bestFit="1" customWidth="1"/>
    <col min="61" max="61" width="9" bestFit="1" customWidth="1"/>
    <col min="62" max="62" width="9.7109375" bestFit="1" customWidth="1"/>
    <col min="63" max="63" width="10.42578125" bestFit="1" customWidth="1"/>
    <col min="64" max="66" width="10" bestFit="1" customWidth="1"/>
    <col min="67" max="67" width="10.42578125" bestFit="1" customWidth="1"/>
    <col min="68" max="69" width="10" bestFit="1" customWidth="1"/>
    <col min="70" max="70" width="10.42578125" bestFit="1" customWidth="1"/>
    <col min="71" max="71" width="9" bestFit="1" customWidth="1"/>
    <col min="72" max="72" width="9.7109375" bestFit="1" customWidth="1"/>
    <col min="73" max="73" width="10.42578125" bestFit="1" customWidth="1"/>
    <col min="74" max="74" width="9" bestFit="1" customWidth="1"/>
    <col min="75" max="75" width="10.42578125" bestFit="1" customWidth="1"/>
    <col min="77" max="77" width="9.7109375" bestFit="1" customWidth="1"/>
    <col min="78" max="78" width="10.42578125" bestFit="1" customWidth="1"/>
    <col min="79" max="79" width="9.42578125" bestFit="1" customWidth="1"/>
    <col min="80" max="80" width="9.7109375" bestFit="1" customWidth="1"/>
    <col min="81" max="81" width="10" bestFit="1" customWidth="1"/>
    <col min="82" max="82" width="10.42578125" bestFit="1" customWidth="1"/>
    <col min="83" max="85" width="10" bestFit="1" customWidth="1"/>
    <col min="86" max="86" width="10.42578125" bestFit="1" customWidth="1"/>
    <col min="88" max="88" width="9.7109375" bestFit="1" customWidth="1"/>
    <col min="89" max="89" width="10.42578125" bestFit="1" customWidth="1"/>
    <col min="90" max="90" width="9" bestFit="1" customWidth="1"/>
    <col min="91" max="91" width="9.7109375" bestFit="1" customWidth="1"/>
    <col min="92" max="92" width="9.85546875" bestFit="1" customWidth="1"/>
    <col min="93" max="93" width="10.42578125" bestFit="1" customWidth="1"/>
    <col min="94" max="94" width="10" bestFit="1" customWidth="1"/>
    <col min="95" max="95" width="10.42578125" bestFit="1" customWidth="1"/>
    <col min="96" max="98" width="10" bestFit="1" customWidth="1"/>
    <col min="99" max="99" width="11.5703125" bestFit="1" customWidth="1"/>
  </cols>
  <sheetData>
    <row r="1" spans="1:7" x14ac:dyDescent="0.25">
      <c r="A1" s="1" t="s">
        <v>23</v>
      </c>
      <c r="B1" s="1" t="s">
        <v>24</v>
      </c>
      <c r="C1" s="1" t="s">
        <v>25</v>
      </c>
      <c r="E1">
        <v>1</v>
      </c>
      <c r="F1" t="s">
        <v>513</v>
      </c>
    </row>
    <row r="2" spans="1:7" x14ac:dyDescent="0.25">
      <c r="A2" t="s">
        <v>50</v>
      </c>
      <c r="B2" s="4">
        <v>36647</v>
      </c>
      <c r="C2" s="70">
        <v>45431.96</v>
      </c>
      <c r="E2">
        <v>2</v>
      </c>
      <c r="F2" s="111" t="s">
        <v>25</v>
      </c>
      <c r="G2" t="s">
        <v>512</v>
      </c>
    </row>
    <row r="3" spans="1:7" x14ac:dyDescent="0.25">
      <c r="A3" t="s">
        <v>41</v>
      </c>
      <c r="B3" s="4">
        <v>37135</v>
      </c>
      <c r="C3" s="70">
        <v>100000.04</v>
      </c>
      <c r="F3" s="111" t="s">
        <v>24</v>
      </c>
      <c r="G3" t="s">
        <v>512</v>
      </c>
    </row>
    <row r="4" spans="1:7" x14ac:dyDescent="0.25">
      <c r="A4" t="s">
        <v>51</v>
      </c>
      <c r="B4" s="4">
        <v>37438</v>
      </c>
      <c r="C4" s="70">
        <v>115999.93999999999</v>
      </c>
    </row>
    <row r="5" spans="1:7" x14ac:dyDescent="0.25">
      <c r="A5" t="s">
        <v>40</v>
      </c>
      <c r="B5" s="4">
        <v>38200</v>
      </c>
      <c r="C5" s="70">
        <v>140000</v>
      </c>
      <c r="F5" s="111" t="s">
        <v>509</v>
      </c>
      <c r="G5" t="s">
        <v>511</v>
      </c>
    </row>
    <row r="6" spans="1:7" x14ac:dyDescent="0.25">
      <c r="A6" t="s">
        <v>32</v>
      </c>
      <c r="B6" s="4">
        <v>38353</v>
      </c>
      <c r="C6" s="70">
        <v>34808.200000000004</v>
      </c>
      <c r="F6" s="55" t="s">
        <v>36</v>
      </c>
      <c r="G6" s="24">
        <v>21971.600000000002</v>
      </c>
    </row>
    <row r="7" spans="1:7" x14ac:dyDescent="0.25">
      <c r="A7" t="s">
        <v>30</v>
      </c>
      <c r="B7" s="4">
        <v>38353</v>
      </c>
      <c r="C7" s="70">
        <v>93668.260000000009</v>
      </c>
      <c r="F7" s="55" t="s">
        <v>29</v>
      </c>
      <c r="G7" s="24">
        <v>29726.760000000002</v>
      </c>
    </row>
    <row r="8" spans="1:7" x14ac:dyDescent="0.25">
      <c r="A8" t="s">
        <v>42</v>
      </c>
      <c r="B8" s="4">
        <v>38812</v>
      </c>
      <c r="C8" s="70">
        <v>68357.099999999991</v>
      </c>
      <c r="F8" s="55" t="s">
        <v>32</v>
      </c>
      <c r="G8" s="24">
        <v>34808.200000000004</v>
      </c>
    </row>
    <row r="9" spans="1:7" x14ac:dyDescent="0.25">
      <c r="A9" t="s">
        <v>44</v>
      </c>
      <c r="B9" s="4">
        <v>38961</v>
      </c>
      <c r="C9" s="70">
        <v>60270</v>
      </c>
      <c r="F9" s="55" t="s">
        <v>54</v>
      </c>
      <c r="G9" s="24">
        <v>38820.6</v>
      </c>
    </row>
    <row r="10" spans="1:7" x14ac:dyDescent="0.25">
      <c r="A10" t="s">
        <v>27</v>
      </c>
      <c r="B10" s="4">
        <v>38961</v>
      </c>
      <c r="C10" s="70">
        <v>60270</v>
      </c>
      <c r="F10" s="55" t="s">
        <v>28</v>
      </c>
      <c r="G10" s="24">
        <v>39627.279999999999</v>
      </c>
    </row>
    <row r="11" spans="1:7" x14ac:dyDescent="0.25">
      <c r="A11" t="s">
        <v>45</v>
      </c>
      <c r="B11" s="4">
        <v>39828</v>
      </c>
      <c r="C11" s="70">
        <v>65708.58</v>
      </c>
      <c r="F11" s="55" t="s">
        <v>34</v>
      </c>
      <c r="G11" s="24">
        <v>45000.06</v>
      </c>
    </row>
    <row r="12" spans="1:7" x14ac:dyDescent="0.25">
      <c r="A12" t="s">
        <v>28</v>
      </c>
      <c r="B12" s="4">
        <v>40148</v>
      </c>
      <c r="C12" s="70">
        <v>39627.279999999999</v>
      </c>
      <c r="F12" s="55" t="s">
        <v>50</v>
      </c>
      <c r="G12" s="24">
        <v>45431.96</v>
      </c>
    </row>
    <row r="13" spans="1:7" x14ac:dyDescent="0.25">
      <c r="A13" t="s">
        <v>43</v>
      </c>
      <c r="B13" s="4">
        <v>40374</v>
      </c>
      <c r="C13" s="70">
        <v>46054.82</v>
      </c>
      <c r="F13" s="55" t="s">
        <v>48</v>
      </c>
      <c r="G13" s="24">
        <v>45686.48</v>
      </c>
    </row>
    <row r="14" spans="1:7" x14ac:dyDescent="0.25">
      <c r="A14" t="s">
        <v>31</v>
      </c>
      <c r="B14" s="4">
        <v>40787</v>
      </c>
      <c r="C14" s="70">
        <v>134000.02000000002</v>
      </c>
      <c r="F14" s="55" t="s">
        <v>43</v>
      </c>
      <c r="G14" s="24">
        <v>46054.82</v>
      </c>
    </row>
    <row r="15" spans="1:7" x14ac:dyDescent="0.25">
      <c r="A15" t="s">
        <v>36</v>
      </c>
      <c r="B15" s="4">
        <v>40817</v>
      </c>
      <c r="C15" s="70">
        <v>21971.600000000002</v>
      </c>
      <c r="F15" s="55" t="s">
        <v>46</v>
      </c>
      <c r="G15" s="24">
        <v>46406.64</v>
      </c>
    </row>
    <row r="16" spans="1:7" x14ac:dyDescent="0.25">
      <c r="A16" t="s">
        <v>37</v>
      </c>
      <c r="B16" s="4">
        <v>40817</v>
      </c>
      <c r="C16" s="70">
        <v>80000.06</v>
      </c>
      <c r="F16" s="55" t="s">
        <v>57</v>
      </c>
      <c r="G16" s="24">
        <v>49000</v>
      </c>
    </row>
    <row r="17" spans="1:7" x14ac:dyDescent="0.25">
      <c r="A17" t="s">
        <v>38</v>
      </c>
      <c r="B17" s="4">
        <v>41244</v>
      </c>
      <c r="C17" s="70">
        <v>185000.06</v>
      </c>
      <c r="F17" s="55" t="s">
        <v>39</v>
      </c>
      <c r="G17" s="24">
        <v>50545.04</v>
      </c>
    </row>
    <row r="18" spans="1:7" x14ac:dyDescent="0.25">
      <c r="A18" t="s">
        <v>35</v>
      </c>
      <c r="B18" s="4">
        <v>41671</v>
      </c>
      <c r="C18" s="70">
        <v>89500.04</v>
      </c>
      <c r="F18" s="55" t="s">
        <v>52</v>
      </c>
      <c r="G18" s="24">
        <v>59784.479999999996</v>
      </c>
    </row>
    <row r="19" spans="1:7" x14ac:dyDescent="0.25">
      <c r="A19" t="s">
        <v>56</v>
      </c>
      <c r="B19" s="4">
        <v>42005</v>
      </c>
      <c r="C19" s="70">
        <v>87999.94</v>
      </c>
      <c r="F19" s="55" t="s">
        <v>44</v>
      </c>
      <c r="G19" s="24">
        <v>60270</v>
      </c>
    </row>
    <row r="20" spans="1:7" x14ac:dyDescent="0.25">
      <c r="A20" t="s">
        <v>55</v>
      </c>
      <c r="B20" s="4">
        <v>42224</v>
      </c>
      <c r="C20" s="70">
        <v>102500.02</v>
      </c>
      <c r="F20" s="55" t="s">
        <v>27</v>
      </c>
      <c r="G20" s="24">
        <v>60270</v>
      </c>
    </row>
    <row r="21" spans="1:7" x14ac:dyDescent="0.25">
      <c r="A21" t="s">
        <v>53</v>
      </c>
      <c r="B21" s="4">
        <v>42401</v>
      </c>
      <c r="C21" s="70">
        <v>225000.02000000002</v>
      </c>
      <c r="F21" s="55" t="s">
        <v>45</v>
      </c>
      <c r="G21" s="24">
        <v>65708.58</v>
      </c>
    </row>
    <row r="22" spans="1:7" x14ac:dyDescent="0.25">
      <c r="A22" t="s">
        <v>29</v>
      </c>
      <c r="B22" s="4">
        <v>42461</v>
      </c>
      <c r="C22" s="70">
        <v>29726.760000000002</v>
      </c>
      <c r="F22" s="55" t="s">
        <v>42</v>
      </c>
      <c r="G22" s="24">
        <v>68357.099999999991</v>
      </c>
    </row>
    <row r="23" spans="1:7" x14ac:dyDescent="0.25">
      <c r="A23" t="s">
        <v>54</v>
      </c>
      <c r="B23" s="4">
        <v>42552</v>
      </c>
      <c r="C23" s="70">
        <v>38820.6</v>
      </c>
      <c r="F23" s="55" t="s">
        <v>47</v>
      </c>
      <c r="G23" s="24">
        <v>73816.960000000006</v>
      </c>
    </row>
    <row r="24" spans="1:7" x14ac:dyDescent="0.25">
      <c r="A24" t="s">
        <v>46</v>
      </c>
      <c r="B24" s="4">
        <v>42614</v>
      </c>
      <c r="C24" s="70">
        <v>46406.64</v>
      </c>
      <c r="F24" s="55" t="s">
        <v>37</v>
      </c>
      <c r="G24" s="24">
        <v>80000.06</v>
      </c>
    </row>
    <row r="25" spans="1:7" x14ac:dyDescent="0.25">
      <c r="A25" t="s">
        <v>52</v>
      </c>
      <c r="B25" s="4">
        <v>42675</v>
      </c>
      <c r="C25" s="70">
        <v>59784.479999999996</v>
      </c>
      <c r="F25" s="55" t="s">
        <v>56</v>
      </c>
      <c r="G25" s="24">
        <v>87999.94</v>
      </c>
    </row>
    <row r="26" spans="1:7" x14ac:dyDescent="0.25">
      <c r="A26" t="s">
        <v>33</v>
      </c>
      <c r="B26" s="4">
        <v>42795</v>
      </c>
      <c r="C26" s="70">
        <v>134468.18000000002</v>
      </c>
      <c r="F26" s="55" t="s">
        <v>35</v>
      </c>
      <c r="G26" s="24">
        <v>89500.04</v>
      </c>
    </row>
    <row r="27" spans="1:7" x14ac:dyDescent="0.25">
      <c r="A27" t="s">
        <v>57</v>
      </c>
      <c r="B27" s="4">
        <v>43367</v>
      </c>
      <c r="C27" s="70">
        <v>49000</v>
      </c>
      <c r="F27" s="55" t="s">
        <v>30</v>
      </c>
      <c r="G27" s="24">
        <v>93668.260000000009</v>
      </c>
    </row>
    <row r="28" spans="1:7" x14ac:dyDescent="0.25">
      <c r="A28" t="s">
        <v>39</v>
      </c>
      <c r="B28" s="4">
        <v>43374</v>
      </c>
      <c r="C28" s="70">
        <v>50545.04</v>
      </c>
      <c r="F28" s="55" t="s">
        <v>41</v>
      </c>
      <c r="G28" s="24">
        <v>100000.04</v>
      </c>
    </row>
    <row r="29" spans="1:7" x14ac:dyDescent="0.25">
      <c r="A29" t="s">
        <v>48</v>
      </c>
      <c r="B29" s="4">
        <v>43466</v>
      </c>
      <c r="C29" s="70">
        <v>45686.48</v>
      </c>
      <c r="F29" s="55" t="s">
        <v>55</v>
      </c>
      <c r="G29" s="24">
        <v>102500.02</v>
      </c>
    </row>
    <row r="30" spans="1:7" x14ac:dyDescent="0.25">
      <c r="A30" t="s">
        <v>47</v>
      </c>
      <c r="B30" s="4">
        <v>43466</v>
      </c>
      <c r="C30" s="70">
        <v>73816.960000000006</v>
      </c>
      <c r="F30" s="55" t="s">
        <v>51</v>
      </c>
      <c r="G30" s="24">
        <v>115999.93999999999</v>
      </c>
    </row>
    <row r="31" spans="1:7" x14ac:dyDescent="0.25">
      <c r="A31" t="s">
        <v>34</v>
      </c>
      <c r="B31" s="4">
        <v>43497</v>
      </c>
      <c r="C31" s="70">
        <v>45000.06</v>
      </c>
      <c r="F31" s="55" t="s">
        <v>31</v>
      </c>
      <c r="G31" s="24">
        <v>134000.02000000002</v>
      </c>
    </row>
    <row r="32" spans="1:7" x14ac:dyDescent="0.25">
      <c r="A32" t="s">
        <v>49</v>
      </c>
      <c r="B32" s="4">
        <v>43497</v>
      </c>
      <c r="C32" s="70">
        <v>140000</v>
      </c>
      <c r="F32" s="55" t="s">
        <v>33</v>
      </c>
      <c r="G32" s="24">
        <v>134468.18000000002</v>
      </c>
    </row>
    <row r="33" spans="6:7" x14ac:dyDescent="0.25">
      <c r="F33" s="55" t="s">
        <v>49</v>
      </c>
      <c r="G33" s="24">
        <v>140000</v>
      </c>
    </row>
    <row r="34" spans="6:7" x14ac:dyDescent="0.25">
      <c r="F34" s="55" t="s">
        <v>40</v>
      </c>
      <c r="G34" s="24">
        <v>140000</v>
      </c>
    </row>
    <row r="35" spans="6:7" x14ac:dyDescent="0.25">
      <c r="F35" s="55" t="s">
        <v>38</v>
      </c>
      <c r="G35" s="24">
        <v>185000.06</v>
      </c>
    </row>
    <row r="36" spans="6:7" x14ac:dyDescent="0.25">
      <c r="F36" s="55" t="s">
        <v>53</v>
      </c>
      <c r="G36" s="24">
        <v>225000.02000000002</v>
      </c>
    </row>
    <row r="37" spans="6:7" x14ac:dyDescent="0.25">
      <c r="F37" s="55" t="s">
        <v>510</v>
      </c>
      <c r="G37" s="24">
        <v>2509423.14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05629-9CC3-4AD3-8219-12E516BD57B7}">
  <dimension ref="A1:W75"/>
  <sheetViews>
    <sheetView topLeftCell="J1" workbookViewId="0">
      <selection activeCell="S26" sqref="S26"/>
    </sheetView>
  </sheetViews>
  <sheetFormatPr defaultRowHeight="15" x14ac:dyDescent="0.25"/>
  <cols>
    <col min="1" max="1" width="13.5703125" bestFit="1" customWidth="1"/>
    <col min="2" max="2" width="13.85546875" bestFit="1" customWidth="1"/>
  </cols>
  <sheetData>
    <row r="1" spans="1:23" x14ac:dyDescent="0.25">
      <c r="A1" s="141" t="s">
        <v>20</v>
      </c>
      <c r="B1" s="142"/>
      <c r="D1" t="s">
        <v>459</v>
      </c>
    </row>
    <row r="2" spans="1:23" x14ac:dyDescent="0.25">
      <c r="A2" s="115" t="s">
        <v>517</v>
      </c>
      <c r="B2" s="116" t="s">
        <v>518</v>
      </c>
      <c r="E2" t="s">
        <v>460</v>
      </c>
      <c r="T2" s="1" t="s">
        <v>519</v>
      </c>
    </row>
    <row r="3" spans="1:23" x14ac:dyDescent="0.25">
      <c r="A3" s="117" t="s">
        <v>457</v>
      </c>
      <c r="B3" s="118" t="s">
        <v>458</v>
      </c>
      <c r="T3" t="s">
        <v>522</v>
      </c>
      <c r="V3" t="s">
        <v>523</v>
      </c>
    </row>
    <row r="4" spans="1:23" x14ac:dyDescent="0.25">
      <c r="A4" s="112">
        <v>8</v>
      </c>
      <c r="B4" s="113">
        <v>82</v>
      </c>
      <c r="D4" t="s">
        <v>461</v>
      </c>
      <c r="T4" t="s">
        <v>519</v>
      </c>
      <c r="U4" s="19">
        <f>SLOPE(B4:B16,A4:A16)</f>
        <v>2.4277108433734944</v>
      </c>
      <c r="V4" t="s">
        <v>521</v>
      </c>
    </row>
    <row r="5" spans="1:23" x14ac:dyDescent="0.25">
      <c r="A5" s="112">
        <v>11</v>
      </c>
      <c r="B5" s="113">
        <v>94</v>
      </c>
      <c r="E5" t="s">
        <v>462</v>
      </c>
      <c r="T5" t="s">
        <v>524</v>
      </c>
    </row>
    <row r="6" spans="1:23" x14ac:dyDescent="0.25">
      <c r="A6" s="112">
        <v>3</v>
      </c>
      <c r="B6" s="113">
        <v>70</v>
      </c>
    </row>
    <row r="7" spans="1:23" x14ac:dyDescent="0.25">
      <c r="A7" s="112">
        <v>6</v>
      </c>
      <c r="B7" s="113">
        <v>75</v>
      </c>
      <c r="D7" t="s">
        <v>463</v>
      </c>
    </row>
    <row r="8" spans="1:23" x14ac:dyDescent="0.25">
      <c r="A8" s="112">
        <v>14</v>
      </c>
      <c r="B8" s="113">
        <v>98</v>
      </c>
      <c r="E8" t="s">
        <v>464</v>
      </c>
      <c r="T8" s="1" t="s">
        <v>520</v>
      </c>
    </row>
    <row r="9" spans="1:23" x14ac:dyDescent="0.25">
      <c r="A9" s="112">
        <v>9</v>
      </c>
      <c r="B9" s="113">
        <v>80</v>
      </c>
      <c r="T9" t="s">
        <v>527</v>
      </c>
    </row>
    <row r="10" spans="1:23" x14ac:dyDescent="0.25">
      <c r="A10" s="112">
        <v>2</v>
      </c>
      <c r="B10" s="113">
        <v>68</v>
      </c>
      <c r="D10" t="s">
        <v>465</v>
      </c>
      <c r="T10" t="s">
        <v>525</v>
      </c>
      <c r="V10">
        <f>INTERCEPT(B4:B16,A4:A16)</f>
        <v>61.072289156626503</v>
      </c>
      <c r="W10" t="s">
        <v>526</v>
      </c>
    </row>
    <row r="11" spans="1:23" x14ac:dyDescent="0.25">
      <c r="A11" s="112">
        <v>0</v>
      </c>
      <c r="B11" s="113">
        <v>53</v>
      </c>
      <c r="E11" t="s">
        <v>466</v>
      </c>
      <c r="T11" t="s">
        <v>528</v>
      </c>
    </row>
    <row r="12" spans="1:23" x14ac:dyDescent="0.25">
      <c r="A12" s="112">
        <v>7</v>
      </c>
      <c r="B12" s="113">
        <v>76</v>
      </c>
      <c r="U12" t="s">
        <v>529</v>
      </c>
    </row>
    <row r="13" spans="1:23" x14ac:dyDescent="0.25">
      <c r="A13" s="112">
        <v>13</v>
      </c>
      <c r="B13" s="113">
        <v>87</v>
      </c>
      <c r="D13" t="s">
        <v>467</v>
      </c>
      <c r="U13" t="s">
        <v>349</v>
      </c>
    </row>
    <row r="14" spans="1:23" x14ac:dyDescent="0.25">
      <c r="A14" s="112">
        <v>10</v>
      </c>
      <c r="B14" s="113">
        <v>89</v>
      </c>
      <c r="E14" t="s">
        <v>468</v>
      </c>
      <c r="U14" t="s">
        <v>530</v>
      </c>
    </row>
    <row r="15" spans="1:23" x14ac:dyDescent="0.25">
      <c r="A15" s="112">
        <v>4</v>
      </c>
      <c r="B15" s="113">
        <v>83</v>
      </c>
    </row>
    <row r="16" spans="1:23" x14ac:dyDescent="0.25">
      <c r="A16" s="114">
        <v>9</v>
      </c>
      <c r="B16" s="110">
        <v>72</v>
      </c>
      <c r="D16" s="1" t="s">
        <v>469</v>
      </c>
      <c r="T16" s="1" t="s">
        <v>531</v>
      </c>
    </row>
    <row r="17" spans="1:22" x14ac:dyDescent="0.25">
      <c r="E17" t="s">
        <v>470</v>
      </c>
      <c r="T17" s="119" t="s">
        <v>533</v>
      </c>
      <c r="U17">
        <f>SQRT(0.8574)</f>
        <v>0.92595896237360331</v>
      </c>
      <c r="V17" t="s">
        <v>532</v>
      </c>
    </row>
    <row r="18" spans="1:22" x14ac:dyDescent="0.25">
      <c r="E18" s="103" t="s">
        <v>471</v>
      </c>
      <c r="M18" t="s">
        <v>514</v>
      </c>
    </row>
    <row r="19" spans="1:22" x14ac:dyDescent="0.25">
      <c r="E19" t="s">
        <v>472</v>
      </c>
    </row>
    <row r="20" spans="1:22" x14ac:dyDescent="0.25">
      <c r="M20" t="s">
        <v>515</v>
      </c>
    </row>
    <row r="22" spans="1:22" x14ac:dyDescent="0.25">
      <c r="A22" s="1" t="s">
        <v>473</v>
      </c>
    </row>
    <row r="23" spans="1:22" ht="30" x14ac:dyDescent="0.25">
      <c r="C23" s="107" t="s">
        <v>458</v>
      </c>
    </row>
    <row r="24" spans="1:22" x14ac:dyDescent="0.25">
      <c r="A24" s="105"/>
      <c r="B24" s="106" t="s">
        <v>457</v>
      </c>
      <c r="C24" s="108">
        <f>B26</f>
        <v>0.86046243974891357</v>
      </c>
    </row>
    <row r="25" spans="1:22" x14ac:dyDescent="0.25">
      <c r="A25" s="33" t="s">
        <v>457</v>
      </c>
      <c r="B25" s="5">
        <v>1</v>
      </c>
      <c r="C25" s="110">
        <v>1</v>
      </c>
    </row>
    <row r="26" spans="1:22" x14ac:dyDescent="0.25">
      <c r="A26" s="34" t="s">
        <v>458</v>
      </c>
      <c r="B26" s="109">
        <v>0.86046243974891357</v>
      </c>
    </row>
    <row r="27" spans="1:22" ht="15" customHeight="1" x14ac:dyDescent="0.25">
      <c r="C27" s="104"/>
    </row>
    <row r="28" spans="1:22" ht="75" x14ac:dyDescent="0.25">
      <c r="A28" s="104" t="s">
        <v>474</v>
      </c>
      <c r="B28" s="104"/>
      <c r="C28" s="104"/>
    </row>
    <row r="29" spans="1:22" x14ac:dyDescent="0.25">
      <c r="A29" s="104"/>
      <c r="B29" s="104"/>
      <c r="D29" s="1" t="s">
        <v>531</v>
      </c>
    </row>
    <row r="30" spans="1:22" ht="15.75" thickBot="1" x14ac:dyDescent="0.3">
      <c r="D30" s="119" t="s">
        <v>533</v>
      </c>
      <c r="E30">
        <f>SQRT(0.8574)</f>
        <v>0.92595896237360331</v>
      </c>
      <c r="F30" t="s">
        <v>532</v>
      </c>
    </row>
    <row r="31" spans="1:22" x14ac:dyDescent="0.25">
      <c r="A31" s="143">
        <v>0</v>
      </c>
      <c r="B31" s="144"/>
      <c r="C31" s="144" t="s">
        <v>535</v>
      </c>
      <c r="D31" s="149"/>
      <c r="M31" s="84" t="s">
        <v>516</v>
      </c>
    </row>
    <row r="32" spans="1:22" x14ac:dyDescent="0.25">
      <c r="A32" s="145" t="s">
        <v>534</v>
      </c>
      <c r="B32" s="146"/>
      <c r="C32" s="150" t="s">
        <v>475</v>
      </c>
      <c r="D32" s="151"/>
    </row>
    <row r="33" spans="1:6" ht="15.75" thickBot="1" x14ac:dyDescent="0.3">
      <c r="A33" s="147" t="s">
        <v>477</v>
      </c>
      <c r="B33" s="148"/>
      <c r="C33" s="148" t="s">
        <v>476</v>
      </c>
      <c r="D33" s="152"/>
    </row>
    <row r="34" spans="1:6" x14ac:dyDescent="0.25">
      <c r="C34" s="55"/>
    </row>
    <row r="36" spans="1:6" x14ac:dyDescent="0.25">
      <c r="F36" t="s">
        <v>508</v>
      </c>
    </row>
    <row r="37" spans="1:6" x14ac:dyDescent="0.25">
      <c r="A37" s="1" t="s">
        <v>478</v>
      </c>
    </row>
    <row r="39" spans="1:6" x14ac:dyDescent="0.25">
      <c r="A39" t="s">
        <v>479</v>
      </c>
    </row>
    <row r="40" spans="1:6" ht="15.75" thickBot="1" x14ac:dyDescent="0.3"/>
    <row r="41" spans="1:6" x14ac:dyDescent="0.25">
      <c r="A41" s="28" t="s">
        <v>480</v>
      </c>
      <c r="B41" s="28"/>
    </row>
    <row r="42" spans="1:6" x14ac:dyDescent="0.25">
      <c r="A42" t="s">
        <v>481</v>
      </c>
      <c r="B42">
        <v>0.86046243974891334</v>
      </c>
    </row>
    <row r="43" spans="1:6" x14ac:dyDescent="0.25">
      <c r="A43" t="s">
        <v>482</v>
      </c>
      <c r="B43">
        <v>0.74039561021865241</v>
      </c>
    </row>
    <row r="44" spans="1:6" x14ac:dyDescent="0.25">
      <c r="A44" t="s">
        <v>483</v>
      </c>
      <c r="B44">
        <v>0.71679521114762079</v>
      </c>
    </row>
    <row r="45" spans="1:6" x14ac:dyDescent="0.25">
      <c r="A45" t="s">
        <v>132</v>
      </c>
      <c r="B45">
        <v>2.2634270506749301</v>
      </c>
    </row>
    <row r="46" spans="1:6" ht="15.75" thickBot="1" x14ac:dyDescent="0.3">
      <c r="A46" s="13" t="s">
        <v>484</v>
      </c>
      <c r="B46" s="13">
        <v>13</v>
      </c>
    </row>
    <row r="47" spans="1:6" ht="15.75" thickBot="1" x14ac:dyDescent="0.3"/>
    <row r="48" spans="1:6" ht="15.75" thickBot="1" x14ac:dyDescent="0.3">
      <c r="A48" t="s">
        <v>485</v>
      </c>
      <c r="C48" s="27" t="s">
        <v>491</v>
      </c>
      <c r="D48" s="27" t="s">
        <v>492</v>
      </c>
      <c r="E48" s="27" t="s">
        <v>493</v>
      </c>
      <c r="F48" s="27" t="s">
        <v>494</v>
      </c>
    </row>
    <row r="49" spans="1:9" x14ac:dyDescent="0.25">
      <c r="A49" s="27"/>
      <c r="B49" s="27" t="s">
        <v>490</v>
      </c>
      <c r="C49">
        <v>160.72280092592595</v>
      </c>
      <c r="D49">
        <v>160.72280092592595</v>
      </c>
      <c r="E49">
        <v>31.372164851544987</v>
      </c>
      <c r="F49">
        <v>1.6005267389610699E-4</v>
      </c>
    </row>
    <row r="50" spans="1:9" x14ac:dyDescent="0.25">
      <c r="A50" t="s">
        <v>486</v>
      </c>
      <c r="B50">
        <v>1</v>
      </c>
      <c r="C50">
        <v>56.354122150997149</v>
      </c>
      <c r="D50">
        <v>5.1231020137270136</v>
      </c>
    </row>
    <row r="51" spans="1:9" ht="15.75" thickBot="1" x14ac:dyDescent="0.3">
      <c r="A51" t="s">
        <v>487</v>
      </c>
      <c r="B51">
        <v>11</v>
      </c>
      <c r="C51" s="13">
        <v>217.07692307692309</v>
      </c>
      <c r="D51" s="13"/>
      <c r="E51" s="13"/>
      <c r="F51" s="13"/>
    </row>
    <row r="52" spans="1:9" ht="15.75" thickBot="1" x14ac:dyDescent="0.3">
      <c r="A52" s="13" t="s">
        <v>488</v>
      </c>
      <c r="B52" s="13">
        <v>12</v>
      </c>
    </row>
    <row r="53" spans="1:9" ht="15.75" thickBot="1" x14ac:dyDescent="0.3">
      <c r="C53" s="27" t="s">
        <v>132</v>
      </c>
      <c r="D53" s="27" t="s">
        <v>496</v>
      </c>
      <c r="E53" s="27" t="s">
        <v>497</v>
      </c>
      <c r="F53" s="27" t="s">
        <v>498</v>
      </c>
      <c r="G53" s="27" t="s">
        <v>499</v>
      </c>
      <c r="H53" s="27" t="s">
        <v>500</v>
      </c>
      <c r="I53" s="27" t="s">
        <v>501</v>
      </c>
    </row>
    <row r="54" spans="1:9" x14ac:dyDescent="0.25">
      <c r="A54" s="27"/>
      <c r="B54" s="27" t="s">
        <v>495</v>
      </c>
      <c r="C54">
        <v>4.3470840955198717</v>
      </c>
      <c r="D54">
        <v>-3.8436238049548752</v>
      </c>
      <c r="E54">
        <v>2.7293873506893961E-3</v>
      </c>
      <c r="F54">
        <v>-26.276423495590528</v>
      </c>
      <c r="G54">
        <v>-7.1406883277712918</v>
      </c>
      <c r="H54">
        <v>-26.276423495590528</v>
      </c>
      <c r="I54">
        <v>-7.1406883277712918</v>
      </c>
    </row>
    <row r="55" spans="1:9" ht="15.75" thickBot="1" x14ac:dyDescent="0.3">
      <c r="A55" t="s">
        <v>489</v>
      </c>
      <c r="B55">
        <v>-16.708555911680911</v>
      </c>
      <c r="C55" s="13">
        <v>5.4449592374927164E-2</v>
      </c>
      <c r="D55" s="13">
        <v>5.6010860421479833</v>
      </c>
      <c r="E55" s="13">
        <v>1.6005267389610742E-4</v>
      </c>
      <c r="F55" s="13">
        <v>0.18513410706159827</v>
      </c>
      <c r="G55" s="13">
        <v>0.42481959664210533</v>
      </c>
      <c r="H55" s="13">
        <v>0.18513410706159827</v>
      </c>
      <c r="I55" s="13">
        <v>0.42481959664210533</v>
      </c>
    </row>
    <row r="56" spans="1:9" ht="15.75" thickBot="1" x14ac:dyDescent="0.3">
      <c r="A56" s="13" t="s">
        <v>458</v>
      </c>
      <c r="B56" s="13">
        <v>0.3049768518518518</v>
      </c>
    </row>
    <row r="59" spans="1:9" x14ac:dyDescent="0.25">
      <c r="F59" t="s">
        <v>507</v>
      </c>
    </row>
    <row r="60" spans="1:9" ht="15.75" thickBot="1" x14ac:dyDescent="0.3">
      <c r="A60" t="s">
        <v>502</v>
      </c>
    </row>
    <row r="61" spans="1:9" ht="15.75" thickBot="1" x14ac:dyDescent="0.3">
      <c r="C61" s="27" t="s">
        <v>505</v>
      </c>
      <c r="D61" s="27" t="s">
        <v>506</v>
      </c>
      <c r="F61" s="27" t="s">
        <v>159</v>
      </c>
      <c r="G61" s="27" t="s">
        <v>457</v>
      </c>
    </row>
    <row r="62" spans="1:9" x14ac:dyDescent="0.25">
      <c r="A62" s="27" t="s">
        <v>503</v>
      </c>
      <c r="B62" s="27" t="s">
        <v>504</v>
      </c>
      <c r="C62">
        <v>-0.29954594017093683</v>
      </c>
      <c r="D62">
        <v>-0.13822646972550809</v>
      </c>
      <c r="F62">
        <v>3.8461538461538463</v>
      </c>
      <c r="G62">
        <v>0</v>
      </c>
    </row>
    <row r="63" spans="1:9" x14ac:dyDescent="0.25">
      <c r="A63">
        <v>1</v>
      </c>
      <c r="B63">
        <v>8.2995459401709368</v>
      </c>
      <c r="C63">
        <v>-0.95926816239315826</v>
      </c>
      <c r="D63">
        <v>-0.44265748196091459</v>
      </c>
      <c r="F63">
        <v>11.538461538461538</v>
      </c>
      <c r="G63">
        <v>2</v>
      </c>
    </row>
    <row r="64" spans="1:9" x14ac:dyDescent="0.25">
      <c r="A64">
        <v>2</v>
      </c>
      <c r="B64">
        <v>11.959268162393158</v>
      </c>
      <c r="C64">
        <v>-1.6398237179487154</v>
      </c>
      <c r="D64">
        <v>-0.75670210510901925</v>
      </c>
      <c r="F64">
        <v>19.23076923076923</v>
      </c>
      <c r="G64">
        <v>3</v>
      </c>
    </row>
    <row r="65" spans="1:7" x14ac:dyDescent="0.25">
      <c r="A65">
        <v>3</v>
      </c>
      <c r="B65">
        <v>4.6398237179487154</v>
      </c>
      <c r="C65">
        <v>-0.16470797720797492</v>
      </c>
      <c r="D65">
        <v>-7.6005043540552625E-2</v>
      </c>
      <c r="F65">
        <v>26.923076923076923</v>
      </c>
      <c r="G65">
        <v>4</v>
      </c>
    </row>
    <row r="66" spans="1:7" x14ac:dyDescent="0.25">
      <c r="A66">
        <v>4</v>
      </c>
      <c r="B66">
        <v>6.1647079772079749</v>
      </c>
      <c r="C66">
        <v>0.82082443019943341</v>
      </c>
      <c r="D66">
        <v>0.37877216157953369</v>
      </c>
      <c r="F66">
        <v>34.615384615384613</v>
      </c>
      <c r="G66">
        <v>6</v>
      </c>
    </row>
    <row r="67" spans="1:7" x14ac:dyDescent="0.25">
      <c r="A67">
        <v>5</v>
      </c>
      <c r="B67">
        <v>13.179175569800567</v>
      </c>
      <c r="C67">
        <v>1.3104077635327656</v>
      </c>
      <c r="D67">
        <v>0.60469201802791406</v>
      </c>
      <c r="F67">
        <v>42.307692307692307</v>
      </c>
      <c r="G67">
        <v>7</v>
      </c>
    </row>
    <row r="68" spans="1:7" x14ac:dyDescent="0.25">
      <c r="A68">
        <v>6</v>
      </c>
      <c r="B68">
        <v>7.6895922364672344</v>
      </c>
      <c r="C68">
        <v>-2.029870014245013</v>
      </c>
      <c r="D68">
        <v>-0.9366902649745148</v>
      </c>
      <c r="F68">
        <v>50</v>
      </c>
      <c r="G68">
        <v>8</v>
      </c>
    </row>
    <row r="69" spans="1:7" x14ac:dyDescent="0.25">
      <c r="A69">
        <v>7</v>
      </c>
      <c r="B69">
        <v>4.029870014245013</v>
      </c>
      <c r="C69">
        <v>0.54478276353276556</v>
      </c>
      <c r="D69">
        <v>0.25139181698629709</v>
      </c>
      <c r="F69">
        <v>57.692307692307693</v>
      </c>
      <c r="G69">
        <v>9</v>
      </c>
    </row>
    <row r="70" spans="1:7" x14ac:dyDescent="0.25">
      <c r="A70">
        <v>8</v>
      </c>
      <c r="B70">
        <v>-0.54478276353276556</v>
      </c>
      <c r="C70">
        <v>0.53031517094017389</v>
      </c>
      <c r="D70">
        <v>0.24471569829692458</v>
      </c>
      <c r="F70">
        <v>65.384615384615387</v>
      </c>
      <c r="G70">
        <v>9</v>
      </c>
    </row>
    <row r="71" spans="1:7" x14ac:dyDescent="0.25">
      <c r="A71">
        <v>9</v>
      </c>
      <c r="B71">
        <v>6.4696848290598261</v>
      </c>
      <c r="C71">
        <v>3.1755698005698036</v>
      </c>
      <c r="D71">
        <v>1.4653772394618763</v>
      </c>
      <c r="F71">
        <v>73.076923076923066</v>
      </c>
      <c r="G71">
        <v>10</v>
      </c>
    </row>
    <row r="72" spans="1:7" x14ac:dyDescent="0.25">
      <c r="A72">
        <v>10</v>
      </c>
      <c r="B72">
        <v>9.8244301994301964</v>
      </c>
      <c r="C72">
        <v>-0.43438390313389874</v>
      </c>
      <c r="D72">
        <v>-0.20044789591046358</v>
      </c>
      <c r="F72">
        <v>80.769230769230759</v>
      </c>
      <c r="G72">
        <v>11</v>
      </c>
    </row>
    <row r="73" spans="1:7" x14ac:dyDescent="0.25">
      <c r="A73">
        <v>11</v>
      </c>
      <c r="B73">
        <v>10.434383903133899</v>
      </c>
      <c r="C73">
        <v>-4.604522792022788</v>
      </c>
      <c r="D73">
        <v>-2.124772346935325</v>
      </c>
      <c r="F73">
        <v>88.461538461538453</v>
      </c>
      <c r="G73">
        <v>13</v>
      </c>
    </row>
    <row r="74" spans="1:7" ht="15.75" thickBot="1" x14ac:dyDescent="0.3">
      <c r="A74">
        <v>12</v>
      </c>
      <c r="B74">
        <v>8.604522792022788</v>
      </c>
      <c r="C74" s="13">
        <v>3.7502225783475822</v>
      </c>
      <c r="D74" s="13">
        <v>1.7305526738037704</v>
      </c>
      <c r="F74" s="13">
        <v>96.153846153846146</v>
      </c>
      <c r="G74" s="13">
        <v>14</v>
      </c>
    </row>
    <row r="75" spans="1:7" ht="15.75" thickBot="1" x14ac:dyDescent="0.3">
      <c r="A75" s="13">
        <v>13</v>
      </c>
      <c r="B75" s="13">
        <v>5.2497774216524178</v>
      </c>
    </row>
  </sheetData>
  <sortState xmlns:xlrd2="http://schemas.microsoft.com/office/spreadsheetml/2017/richdata2" ref="G62:G74">
    <sortCondition ref="G62"/>
  </sortState>
  <mergeCells count="7">
    <mergeCell ref="A1:B1"/>
    <mergeCell ref="A31:B31"/>
    <mergeCell ref="A32:B32"/>
    <mergeCell ref="A33:B33"/>
    <mergeCell ref="C31:D31"/>
    <mergeCell ref="C32:D32"/>
    <mergeCell ref="C33:D3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B3749-CE6E-4773-8D37-D89227865196}">
  <dimension ref="A1:F34"/>
  <sheetViews>
    <sheetView topLeftCell="A5" workbookViewId="0">
      <selection activeCell="A40" sqref="A40"/>
    </sheetView>
  </sheetViews>
  <sheetFormatPr defaultRowHeight="15" x14ac:dyDescent="0.25"/>
  <cols>
    <col min="1" max="1" width="13.140625" bestFit="1" customWidth="1"/>
    <col min="2" max="2" width="10.5703125" bestFit="1" customWidth="1"/>
  </cols>
  <sheetData>
    <row r="1" spans="1:6" x14ac:dyDescent="0.25">
      <c r="E1" t="s">
        <v>547</v>
      </c>
    </row>
    <row r="2" spans="1:6" ht="15.75" thickBot="1" x14ac:dyDescent="0.3">
      <c r="A2" s="153" t="s">
        <v>172</v>
      </c>
      <c r="B2" s="153"/>
      <c r="C2" s="153"/>
      <c r="F2" t="s">
        <v>548</v>
      </c>
    </row>
    <row r="3" spans="1:6" ht="15.75" thickBot="1" x14ac:dyDescent="0.3">
      <c r="A3" t="s">
        <v>536</v>
      </c>
      <c r="B3" s="120">
        <v>658</v>
      </c>
      <c r="C3" t="s">
        <v>542</v>
      </c>
      <c r="F3" t="s">
        <v>549</v>
      </c>
    </row>
    <row r="4" spans="1:6" ht="15.75" thickBot="1" x14ac:dyDescent="0.3">
      <c r="A4" t="s">
        <v>537</v>
      </c>
      <c r="B4" s="121">
        <v>3.8</v>
      </c>
      <c r="C4" t="s">
        <v>542</v>
      </c>
    </row>
    <row r="5" spans="1:6" x14ac:dyDescent="0.25">
      <c r="A5" t="s">
        <v>538</v>
      </c>
      <c r="B5" s="122">
        <f>$B$3*$B$4</f>
        <v>2500.4</v>
      </c>
      <c r="C5" t="s">
        <v>543</v>
      </c>
    </row>
    <row r="7" spans="1:6" ht="15.75" thickBot="1" x14ac:dyDescent="0.3"/>
    <row r="8" spans="1:6" ht="15.75" thickBot="1" x14ac:dyDescent="0.3">
      <c r="A8" t="s">
        <v>539</v>
      </c>
      <c r="B8" s="121">
        <v>1.5</v>
      </c>
      <c r="C8" t="s">
        <v>542</v>
      </c>
    </row>
    <row r="9" spans="1:6" x14ac:dyDescent="0.25">
      <c r="A9" t="s">
        <v>540</v>
      </c>
      <c r="B9" s="122">
        <f>$B$3*$B$8</f>
        <v>987</v>
      </c>
      <c r="C9" t="s">
        <v>544</v>
      </c>
    </row>
    <row r="11" spans="1:6" x14ac:dyDescent="0.25">
      <c r="A11" t="s">
        <v>541</v>
      </c>
      <c r="B11" s="122">
        <f>$B$5-$B$9</f>
        <v>1513.4</v>
      </c>
      <c r="C11" t="s">
        <v>545</v>
      </c>
    </row>
    <row r="13" spans="1:6" x14ac:dyDescent="0.25">
      <c r="A13" t="s">
        <v>558</v>
      </c>
    </row>
    <row r="14" spans="1:6" x14ac:dyDescent="0.25">
      <c r="A14" s="1" t="s">
        <v>546</v>
      </c>
    </row>
    <row r="15" spans="1:6" ht="15.75" thickBot="1" x14ac:dyDescent="0.3"/>
    <row r="16" spans="1:6" ht="15.75" thickBot="1" x14ac:dyDescent="0.3">
      <c r="A16" t="s">
        <v>536</v>
      </c>
      <c r="B16" s="120">
        <v>800</v>
      </c>
      <c r="C16" t="s">
        <v>542</v>
      </c>
    </row>
    <row r="17" spans="1:3" ht="15.75" thickBot="1" x14ac:dyDescent="0.3">
      <c r="A17" t="s">
        <v>537</v>
      </c>
      <c r="B17" s="121">
        <v>3.9999999999999996</v>
      </c>
      <c r="C17" t="s">
        <v>542</v>
      </c>
    </row>
    <row r="18" spans="1:3" x14ac:dyDescent="0.25">
      <c r="A18" t="s">
        <v>538</v>
      </c>
      <c r="B18" s="122">
        <f>$B$16*$B$17</f>
        <v>3199.9999999999995</v>
      </c>
      <c r="C18" t="s">
        <v>550</v>
      </c>
    </row>
    <row r="20" spans="1:3" ht="15.75" thickBot="1" x14ac:dyDescent="0.3"/>
    <row r="21" spans="1:3" ht="15.75" thickBot="1" x14ac:dyDescent="0.3">
      <c r="A21" t="s">
        <v>539</v>
      </c>
      <c r="B21" s="121">
        <v>1.5</v>
      </c>
      <c r="C21" t="s">
        <v>542</v>
      </c>
    </row>
    <row r="22" spans="1:3" x14ac:dyDescent="0.25">
      <c r="A22" t="s">
        <v>540</v>
      </c>
      <c r="B22" s="122">
        <f>$B$16*$B$21</f>
        <v>1200</v>
      </c>
      <c r="C22" t="s">
        <v>559</v>
      </c>
    </row>
    <row r="24" spans="1:3" x14ac:dyDescent="0.25">
      <c r="A24" t="s">
        <v>541</v>
      </c>
      <c r="B24" s="123">
        <f>$B$18-$B$22</f>
        <v>1999.9999999999995</v>
      </c>
      <c r="C24" t="s">
        <v>551</v>
      </c>
    </row>
    <row r="26" spans="1:3" x14ac:dyDescent="0.25">
      <c r="A26" t="s">
        <v>552</v>
      </c>
      <c r="B26" t="s">
        <v>553</v>
      </c>
    </row>
    <row r="27" spans="1:3" x14ac:dyDescent="0.25">
      <c r="B27" t="s">
        <v>554</v>
      </c>
    </row>
    <row r="29" spans="1:3" x14ac:dyDescent="0.25">
      <c r="A29" t="s">
        <v>555</v>
      </c>
    </row>
    <row r="30" spans="1:3" x14ac:dyDescent="0.25">
      <c r="B30" s="154" t="s">
        <v>556</v>
      </c>
      <c r="C30" s="154"/>
    </row>
    <row r="31" spans="1:3" x14ac:dyDescent="0.25">
      <c r="B31" s="154"/>
      <c r="C31" s="154"/>
    </row>
    <row r="32" spans="1:3" x14ac:dyDescent="0.25">
      <c r="B32" s="154"/>
      <c r="C32" s="154"/>
    </row>
    <row r="34" spans="1:1" x14ac:dyDescent="0.25">
      <c r="A34" t="s">
        <v>557</v>
      </c>
    </row>
  </sheetData>
  <mergeCells count="2">
    <mergeCell ref="A2:C2"/>
    <mergeCell ref="B30:C3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D72BA-E172-43FB-B58A-F83A50968237}">
  <dimension ref="A1:F43"/>
  <sheetViews>
    <sheetView workbookViewId="0">
      <pane ySplit="1" topLeftCell="A2" activePane="bottomLeft" state="frozen"/>
      <selection pane="bottomLeft" sqref="A1:F1"/>
    </sheetView>
  </sheetViews>
  <sheetFormatPr defaultColWidth="15.42578125" defaultRowHeight="15" x14ac:dyDescent="0.25"/>
  <cols>
    <col min="1" max="1" width="27.140625" bestFit="1" customWidth="1"/>
    <col min="2" max="2" width="13.140625" bestFit="1" customWidth="1"/>
    <col min="3" max="3" width="12.5703125" bestFit="1" customWidth="1"/>
    <col min="4" max="4" width="33.28515625" bestFit="1" customWidth="1"/>
    <col min="5" max="5" width="37" bestFit="1" customWidth="1"/>
    <col min="6" max="6" width="36.140625" bestFit="1" customWidth="1"/>
  </cols>
  <sheetData>
    <row r="1" spans="1:6" x14ac:dyDescent="0.25">
      <c r="A1" s="1" t="s">
        <v>561</v>
      </c>
      <c r="B1" s="1" t="s">
        <v>562</v>
      </c>
      <c r="C1" s="1" t="s">
        <v>11</v>
      </c>
      <c r="D1" s="1"/>
      <c r="E1" s="1"/>
      <c r="F1" s="1" t="s">
        <v>9</v>
      </c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t="s">
        <v>563</v>
      </c>
      <c r="B3" s="1" t="s">
        <v>560</v>
      </c>
      <c r="C3" t="str">
        <f>LEFT(A3)</f>
        <v>1</v>
      </c>
      <c r="D3" t="s">
        <v>566</v>
      </c>
      <c r="E3" t="s">
        <v>575</v>
      </c>
      <c r="F3" t="s">
        <v>567</v>
      </c>
    </row>
    <row r="4" spans="1:6" x14ac:dyDescent="0.25">
      <c r="A4" t="s">
        <v>563</v>
      </c>
      <c r="B4" t="s">
        <v>560</v>
      </c>
      <c r="C4" t="str">
        <f>LEFT(A4,2)</f>
        <v>12</v>
      </c>
      <c r="D4" t="s">
        <v>564</v>
      </c>
      <c r="F4" t="s">
        <v>565</v>
      </c>
    </row>
    <row r="6" spans="1:6" x14ac:dyDescent="0.25">
      <c r="A6" t="s">
        <v>563</v>
      </c>
      <c r="B6" s="1" t="s">
        <v>568</v>
      </c>
      <c r="C6" t="str">
        <f>RIGHT(A6)</f>
        <v>r</v>
      </c>
      <c r="D6" t="s">
        <v>570</v>
      </c>
      <c r="E6" t="s">
        <v>576</v>
      </c>
      <c r="F6" t="s">
        <v>569</v>
      </c>
    </row>
    <row r="7" spans="1:6" x14ac:dyDescent="0.25">
      <c r="A7" t="s">
        <v>563</v>
      </c>
      <c r="B7" t="s">
        <v>568</v>
      </c>
      <c r="C7" t="str">
        <f>RIGHT(A7,2)</f>
        <v>cr</v>
      </c>
      <c r="D7" t="s">
        <v>571</v>
      </c>
      <c r="F7" t="s">
        <v>572</v>
      </c>
    </row>
    <row r="9" spans="1:6" x14ac:dyDescent="0.25">
      <c r="A9" t="s">
        <v>563</v>
      </c>
      <c r="B9" s="1" t="s">
        <v>573</v>
      </c>
      <c r="C9" t="str">
        <f>MID(A9,5,1)</f>
        <v>B</v>
      </c>
      <c r="D9" t="s">
        <v>574</v>
      </c>
      <c r="E9" t="s">
        <v>577</v>
      </c>
    </row>
    <row r="10" spans="1:6" x14ac:dyDescent="0.25">
      <c r="F10" t="s">
        <v>580</v>
      </c>
    </row>
    <row r="11" spans="1:6" x14ac:dyDescent="0.25">
      <c r="F11" t="s">
        <v>579</v>
      </c>
    </row>
    <row r="12" spans="1:6" x14ac:dyDescent="0.25">
      <c r="F12" t="s">
        <v>581</v>
      </c>
    </row>
    <row r="14" spans="1:6" x14ac:dyDescent="0.25">
      <c r="A14" t="s">
        <v>563</v>
      </c>
      <c r="B14" s="1" t="s">
        <v>578</v>
      </c>
      <c r="C14">
        <f>FIND("-",A14)</f>
        <v>4</v>
      </c>
      <c r="D14" t="s">
        <v>582</v>
      </c>
      <c r="E14" t="s">
        <v>583</v>
      </c>
      <c r="F14" t="s">
        <v>584</v>
      </c>
    </row>
    <row r="15" spans="1:6" x14ac:dyDescent="0.25">
      <c r="F15" t="s">
        <v>585</v>
      </c>
    </row>
    <row r="16" spans="1:6" x14ac:dyDescent="0.25">
      <c r="F16" t="s">
        <v>588</v>
      </c>
    </row>
    <row r="17" spans="1:6" x14ac:dyDescent="0.25">
      <c r="A17" t="s">
        <v>563</v>
      </c>
      <c r="B17" s="1" t="s">
        <v>590</v>
      </c>
      <c r="C17">
        <f>FIND("-",A17,FIND("-",A17)+1)</f>
        <v>6</v>
      </c>
      <c r="D17" t="s">
        <v>586</v>
      </c>
      <c r="E17" t="s">
        <v>589</v>
      </c>
      <c r="F17" t="s">
        <v>587</v>
      </c>
    </row>
    <row r="19" spans="1:6" x14ac:dyDescent="0.25">
      <c r="A19" t="s">
        <v>563</v>
      </c>
      <c r="B19" s="1" t="s">
        <v>591</v>
      </c>
      <c r="C19">
        <f>LEN(A19)</f>
        <v>9</v>
      </c>
      <c r="D19" t="s">
        <v>592</v>
      </c>
      <c r="E19" t="s">
        <v>593</v>
      </c>
    </row>
    <row r="21" spans="1:6" x14ac:dyDescent="0.25">
      <c r="A21" s="5">
        <v>123</v>
      </c>
      <c r="B21" s="1" t="s">
        <v>595</v>
      </c>
      <c r="C21" t="str">
        <f>CONCATENATE(A21,"-",A22,"-",A23)</f>
        <v>123-B-ccr</v>
      </c>
      <c r="D21" t="s">
        <v>596</v>
      </c>
      <c r="E21" t="s">
        <v>597</v>
      </c>
    </row>
    <row r="22" spans="1:6" x14ac:dyDescent="0.25">
      <c r="A22" s="5" t="s">
        <v>448</v>
      </c>
    </row>
    <row r="23" spans="1:6" x14ac:dyDescent="0.25">
      <c r="A23" s="5" t="s">
        <v>594</v>
      </c>
    </row>
    <row r="25" spans="1:6" x14ac:dyDescent="0.25">
      <c r="A25" s="5">
        <v>123</v>
      </c>
      <c r="B25" s="1" t="s">
        <v>598</v>
      </c>
      <c r="C25" t="str">
        <f>(A25&amp;"-"&amp;A26&amp;"-"&amp;A27)</f>
        <v>123-B-ccr</v>
      </c>
      <c r="D25" t="s">
        <v>599</v>
      </c>
    </row>
    <row r="26" spans="1:6" x14ac:dyDescent="0.25">
      <c r="A26" s="5" t="s">
        <v>448</v>
      </c>
    </row>
    <row r="27" spans="1:6" x14ac:dyDescent="0.25">
      <c r="A27" s="5" t="s">
        <v>594</v>
      </c>
    </row>
    <row r="29" spans="1:6" x14ac:dyDescent="0.25">
      <c r="A29" s="84" t="s">
        <v>600</v>
      </c>
    </row>
    <row r="31" spans="1:6" x14ac:dyDescent="0.25">
      <c r="A31" t="s">
        <v>601</v>
      </c>
      <c r="B31" s="1" t="s">
        <v>602</v>
      </c>
      <c r="C31" t="str">
        <f>LOWER(A31)</f>
        <v>kelly xu</v>
      </c>
      <c r="D31" t="s">
        <v>603</v>
      </c>
      <c r="E31" t="s">
        <v>604</v>
      </c>
    </row>
    <row r="33" spans="1:6" x14ac:dyDescent="0.25">
      <c r="A33" t="s">
        <v>601</v>
      </c>
      <c r="B33" s="1" t="s">
        <v>605</v>
      </c>
      <c r="C33" t="str">
        <f>UPPER((A33))</f>
        <v>KELLY XU</v>
      </c>
      <c r="D33" t="s">
        <v>606</v>
      </c>
      <c r="E33" t="s">
        <v>607</v>
      </c>
    </row>
    <row r="35" spans="1:6" x14ac:dyDescent="0.25">
      <c r="A35" t="s">
        <v>609</v>
      </c>
      <c r="B35" s="1" t="s">
        <v>608</v>
      </c>
      <c r="C35" t="str">
        <f>TRIM(A35)</f>
        <v>Big Fish</v>
      </c>
      <c r="D35" t="s">
        <v>610</v>
      </c>
      <c r="E35" t="s">
        <v>611</v>
      </c>
      <c r="F35" t="s">
        <v>612</v>
      </c>
    </row>
    <row r="37" spans="1:6" x14ac:dyDescent="0.25">
      <c r="A37" t="s">
        <v>614</v>
      </c>
      <c r="B37" s="1" t="s">
        <v>613</v>
      </c>
      <c r="C37" t="str">
        <f>PROPER(A37)</f>
        <v>This Is A Title</v>
      </c>
      <c r="D37" t="s">
        <v>617</v>
      </c>
      <c r="E37" t="s">
        <v>618</v>
      </c>
      <c r="F37" t="s">
        <v>619</v>
      </c>
    </row>
    <row r="38" spans="1:6" x14ac:dyDescent="0.25">
      <c r="A38" t="s">
        <v>615</v>
      </c>
      <c r="C38" t="str">
        <f t="shared" ref="C38:C39" si="0">PROPER(A38)</f>
        <v>2-Way Street</v>
      </c>
    </row>
    <row r="39" spans="1:6" x14ac:dyDescent="0.25">
      <c r="A39" t="s">
        <v>616</v>
      </c>
      <c r="C39" t="str">
        <f t="shared" si="0"/>
        <v>76Budget</v>
      </c>
    </row>
    <row r="41" spans="1:6" x14ac:dyDescent="0.25">
      <c r="A41" t="s">
        <v>621</v>
      </c>
      <c r="B41" s="1" t="s">
        <v>620</v>
      </c>
      <c r="C41" t="str">
        <f>SUBSTITUTE(A41,"Sales","HR")</f>
        <v>HR Data</v>
      </c>
      <c r="D41" t="s">
        <v>622</v>
      </c>
      <c r="E41" t="s">
        <v>623</v>
      </c>
      <c r="F41" t="s">
        <v>624</v>
      </c>
    </row>
    <row r="43" spans="1:6" x14ac:dyDescent="0.25">
      <c r="A43" t="s">
        <v>621</v>
      </c>
      <c r="B43" s="1" t="s">
        <v>625</v>
      </c>
      <c r="C43" t="str">
        <f>REPLACE(A43,2,4,"uck")</f>
        <v>Suck Data</v>
      </c>
      <c r="D43" t="s">
        <v>627</v>
      </c>
      <c r="E43" t="s">
        <v>628</v>
      </c>
      <c r="F43" t="s">
        <v>626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7E74F-5818-431B-B06C-A678F263F371}">
  <dimension ref="A1:J52"/>
  <sheetViews>
    <sheetView workbookViewId="0">
      <selection activeCell="A5" sqref="A5:C36"/>
    </sheetView>
  </sheetViews>
  <sheetFormatPr defaultRowHeight="15" x14ac:dyDescent="0.25"/>
  <cols>
    <col min="1" max="1" width="17.42578125" bestFit="1" customWidth="1"/>
    <col min="2" max="2" width="18" bestFit="1" customWidth="1"/>
    <col min="3" max="3" width="12.5703125" bestFit="1" customWidth="1"/>
  </cols>
  <sheetData>
    <row r="1" spans="1:6" x14ac:dyDescent="0.25">
      <c r="A1" t="s">
        <v>77</v>
      </c>
    </row>
    <row r="2" spans="1:6" ht="15.75" thickBot="1" x14ac:dyDescent="0.3"/>
    <row r="3" spans="1:6" x14ac:dyDescent="0.25">
      <c r="A3" s="136" t="s">
        <v>22</v>
      </c>
      <c r="B3" s="137"/>
      <c r="C3" s="138"/>
      <c r="E3" t="s">
        <v>58</v>
      </c>
      <c r="F3" t="s">
        <v>59</v>
      </c>
    </row>
    <row r="4" spans="1:6" x14ac:dyDescent="0.25">
      <c r="A4" s="7"/>
      <c r="C4" s="8"/>
    </row>
    <row r="5" spans="1:6" x14ac:dyDescent="0.25">
      <c r="A5" s="9" t="s">
        <v>23</v>
      </c>
      <c r="B5" s="1" t="s">
        <v>24</v>
      </c>
      <c r="C5" s="10" t="s">
        <v>25</v>
      </c>
    </row>
    <row r="6" spans="1:6" x14ac:dyDescent="0.25">
      <c r="A6" s="7" t="s">
        <v>27</v>
      </c>
      <c r="B6" s="4">
        <v>38961</v>
      </c>
      <c r="C6" s="22">
        <v>60270</v>
      </c>
    </row>
    <row r="7" spans="1:6" x14ac:dyDescent="0.25">
      <c r="A7" s="7" t="s">
        <v>28</v>
      </c>
      <c r="B7" s="4">
        <v>40148</v>
      </c>
      <c r="C7" s="22">
        <v>39627.279999999999</v>
      </c>
    </row>
    <row r="8" spans="1:6" x14ac:dyDescent="0.25">
      <c r="A8" s="7" t="s">
        <v>29</v>
      </c>
      <c r="B8" s="4">
        <v>42461</v>
      </c>
      <c r="C8" s="22">
        <v>29726.760000000002</v>
      </c>
    </row>
    <row r="9" spans="1:6" x14ac:dyDescent="0.25">
      <c r="A9" s="7" t="s">
        <v>30</v>
      </c>
      <c r="B9" s="4">
        <v>38353</v>
      </c>
      <c r="C9" s="22">
        <v>93668.260000000009</v>
      </c>
    </row>
    <row r="10" spans="1:6" x14ac:dyDescent="0.25">
      <c r="A10" s="7" t="s">
        <v>31</v>
      </c>
      <c r="B10" s="4">
        <v>40787</v>
      </c>
      <c r="C10" s="22">
        <v>134000.02000000002</v>
      </c>
    </row>
    <row r="11" spans="1:6" x14ac:dyDescent="0.25">
      <c r="A11" s="7" t="s">
        <v>32</v>
      </c>
      <c r="B11" s="4">
        <v>38353</v>
      </c>
      <c r="C11" s="22">
        <v>34808.200000000004</v>
      </c>
    </row>
    <row r="12" spans="1:6" x14ac:dyDescent="0.25">
      <c r="A12" s="7" t="s">
        <v>33</v>
      </c>
      <c r="B12" s="4">
        <v>42795</v>
      </c>
      <c r="C12" s="22">
        <v>134468.18000000002</v>
      </c>
    </row>
    <row r="13" spans="1:6" x14ac:dyDescent="0.25">
      <c r="A13" s="7" t="s">
        <v>34</v>
      </c>
      <c r="B13" s="4">
        <v>43497</v>
      </c>
      <c r="C13" s="22">
        <v>45000.06</v>
      </c>
    </row>
    <row r="14" spans="1:6" x14ac:dyDescent="0.25">
      <c r="A14" s="7" t="s">
        <v>35</v>
      </c>
      <c r="B14" s="4">
        <v>41671</v>
      </c>
      <c r="C14" s="22">
        <v>89500.04</v>
      </c>
    </row>
    <row r="15" spans="1:6" x14ac:dyDescent="0.25">
      <c r="A15" s="7" t="s">
        <v>36</v>
      </c>
      <c r="B15" s="4">
        <v>40817</v>
      </c>
      <c r="C15" s="22">
        <v>21971.600000000002</v>
      </c>
    </row>
    <row r="16" spans="1:6" x14ac:dyDescent="0.25">
      <c r="A16" s="7" t="s">
        <v>37</v>
      </c>
      <c r="B16" s="4">
        <v>40817</v>
      </c>
      <c r="C16" s="22">
        <v>80000.06</v>
      </c>
    </row>
    <row r="17" spans="1:10" x14ac:dyDescent="0.25">
      <c r="A17" s="7" t="s">
        <v>38</v>
      </c>
      <c r="B17" s="4">
        <v>41244</v>
      </c>
      <c r="C17" s="22">
        <v>185000.06</v>
      </c>
    </row>
    <row r="18" spans="1:10" x14ac:dyDescent="0.25">
      <c r="A18" s="7" t="s">
        <v>39</v>
      </c>
      <c r="B18" s="4">
        <v>43374</v>
      </c>
      <c r="C18" s="22">
        <v>50545.04</v>
      </c>
    </row>
    <row r="19" spans="1:10" x14ac:dyDescent="0.25">
      <c r="A19" s="7" t="s">
        <v>40</v>
      </c>
      <c r="B19" s="4">
        <v>38200</v>
      </c>
      <c r="C19" s="22">
        <v>140000</v>
      </c>
      <c r="I19" s="139" t="s">
        <v>71</v>
      </c>
      <c r="J19" s="139"/>
    </row>
    <row r="20" spans="1:10" x14ac:dyDescent="0.25">
      <c r="A20" s="7" t="s">
        <v>41</v>
      </c>
      <c r="B20" s="4">
        <v>37135</v>
      </c>
      <c r="C20" s="22">
        <v>100000.04</v>
      </c>
      <c r="E20" t="s">
        <v>60</v>
      </c>
      <c r="F20" t="s">
        <v>61</v>
      </c>
    </row>
    <row r="21" spans="1:10" x14ac:dyDescent="0.25">
      <c r="A21" s="7" t="s">
        <v>42</v>
      </c>
      <c r="B21" s="4">
        <v>38812</v>
      </c>
      <c r="C21" s="22">
        <v>68357.099999999991</v>
      </c>
      <c r="F21" t="s">
        <v>62</v>
      </c>
    </row>
    <row r="22" spans="1:10" x14ac:dyDescent="0.25">
      <c r="A22" s="7" t="s">
        <v>43</v>
      </c>
      <c r="B22" s="4">
        <v>40374</v>
      </c>
      <c r="C22" s="22">
        <v>46054.82</v>
      </c>
      <c r="F22" t="s">
        <v>63</v>
      </c>
    </row>
    <row r="23" spans="1:10" x14ac:dyDescent="0.25">
      <c r="A23" s="7" t="s">
        <v>44</v>
      </c>
      <c r="B23" s="4">
        <v>38961</v>
      </c>
      <c r="C23" s="22">
        <v>60270</v>
      </c>
      <c r="F23" t="s">
        <v>64</v>
      </c>
    </row>
    <row r="24" spans="1:10" x14ac:dyDescent="0.25">
      <c r="A24" s="7" t="s">
        <v>45</v>
      </c>
      <c r="B24" s="4">
        <v>39828</v>
      </c>
      <c r="C24" s="22">
        <v>65708.58</v>
      </c>
    </row>
    <row r="25" spans="1:10" x14ac:dyDescent="0.25">
      <c r="A25" s="7" t="s">
        <v>46</v>
      </c>
      <c r="B25" s="4">
        <v>42614</v>
      </c>
      <c r="C25" s="22">
        <v>46406.64</v>
      </c>
    </row>
    <row r="26" spans="1:10" x14ac:dyDescent="0.25">
      <c r="A26" s="7" t="s">
        <v>47</v>
      </c>
      <c r="B26" s="4">
        <v>43466</v>
      </c>
      <c r="C26" s="22">
        <v>73816.960000000006</v>
      </c>
    </row>
    <row r="27" spans="1:10" x14ac:dyDescent="0.25">
      <c r="A27" s="7" t="s">
        <v>48</v>
      </c>
      <c r="B27" s="4">
        <v>43466</v>
      </c>
      <c r="C27" s="22">
        <v>45686.48</v>
      </c>
    </row>
    <row r="28" spans="1:10" x14ac:dyDescent="0.25">
      <c r="A28" s="7" t="s">
        <v>49</v>
      </c>
      <c r="B28" s="4">
        <v>43497</v>
      </c>
      <c r="C28" s="22">
        <v>140000</v>
      </c>
    </row>
    <row r="29" spans="1:10" x14ac:dyDescent="0.25">
      <c r="A29" s="7" t="s">
        <v>50</v>
      </c>
      <c r="B29" s="4">
        <v>36647</v>
      </c>
      <c r="C29" s="22">
        <v>45431.96</v>
      </c>
      <c r="F29" t="s">
        <v>65</v>
      </c>
    </row>
    <row r="30" spans="1:10" x14ac:dyDescent="0.25">
      <c r="A30" s="7" t="s">
        <v>51</v>
      </c>
      <c r="B30" s="4">
        <v>37438</v>
      </c>
      <c r="C30" s="22">
        <v>115999.93999999999</v>
      </c>
      <c r="F30" t="s">
        <v>66</v>
      </c>
    </row>
    <row r="31" spans="1:10" x14ac:dyDescent="0.25">
      <c r="A31" s="7" t="s">
        <v>52</v>
      </c>
      <c r="B31" s="4">
        <v>42675</v>
      </c>
      <c r="C31" s="22">
        <v>59784.479999999996</v>
      </c>
    </row>
    <row r="32" spans="1:10" x14ac:dyDescent="0.25">
      <c r="A32" s="7" t="s">
        <v>53</v>
      </c>
      <c r="B32" s="4">
        <v>42401</v>
      </c>
      <c r="C32" s="22">
        <v>225000.02000000002</v>
      </c>
      <c r="E32" t="s">
        <v>67</v>
      </c>
      <c r="F32" t="s">
        <v>68</v>
      </c>
    </row>
    <row r="33" spans="1:6" x14ac:dyDescent="0.25">
      <c r="A33" s="7" t="s">
        <v>54</v>
      </c>
      <c r="B33" s="4">
        <v>42552</v>
      </c>
      <c r="C33" s="22">
        <v>38820.6</v>
      </c>
      <c r="F33" t="s">
        <v>69</v>
      </c>
    </row>
    <row r="34" spans="1:6" x14ac:dyDescent="0.25">
      <c r="A34" s="7" t="s">
        <v>55</v>
      </c>
      <c r="B34" s="4">
        <v>42224</v>
      </c>
      <c r="C34" s="22">
        <v>102500.02</v>
      </c>
      <c r="F34" t="s">
        <v>70</v>
      </c>
    </row>
    <row r="35" spans="1:6" x14ac:dyDescent="0.25">
      <c r="A35" s="7" t="s">
        <v>56</v>
      </c>
      <c r="B35" s="4">
        <v>42005</v>
      </c>
      <c r="C35" s="22">
        <v>87999.94</v>
      </c>
    </row>
    <row r="36" spans="1:6" ht="15.75" thickBot="1" x14ac:dyDescent="0.3">
      <c r="A36" s="11" t="s">
        <v>57</v>
      </c>
      <c r="B36" s="12">
        <v>43367</v>
      </c>
      <c r="C36" s="23">
        <v>49000</v>
      </c>
      <c r="F36" t="s">
        <v>72</v>
      </c>
    </row>
    <row r="37" spans="1:6" ht="15.75" thickBot="1" x14ac:dyDescent="0.3">
      <c r="F37" t="s">
        <v>73</v>
      </c>
    </row>
    <row r="38" spans="1:6" x14ac:dyDescent="0.25">
      <c r="A38" s="136" t="s">
        <v>91</v>
      </c>
      <c r="B38" s="138"/>
    </row>
    <row r="39" spans="1:6" x14ac:dyDescent="0.25">
      <c r="A39" s="9" t="s">
        <v>92</v>
      </c>
      <c r="B39" s="22">
        <f>AVERAGE(C6:C36)</f>
        <v>80949.133548387108</v>
      </c>
    </row>
    <row r="40" spans="1:6" x14ac:dyDescent="0.25">
      <c r="A40" s="9" t="s">
        <v>1</v>
      </c>
      <c r="B40" s="22">
        <f>MEDIAN(C6:C36)</f>
        <v>65708.58</v>
      </c>
      <c r="F40" t="s">
        <v>74</v>
      </c>
    </row>
    <row r="41" spans="1:6" x14ac:dyDescent="0.25">
      <c r="A41" s="9" t="s">
        <v>2</v>
      </c>
      <c r="B41" s="22">
        <f>MODE(C6:C36)</f>
        <v>60270</v>
      </c>
      <c r="F41" t="s">
        <v>75</v>
      </c>
    </row>
    <row r="42" spans="1:6" x14ac:dyDescent="0.25">
      <c r="A42" s="7"/>
      <c r="B42" s="8"/>
    </row>
    <row r="43" spans="1:6" x14ac:dyDescent="0.25">
      <c r="A43" s="9" t="s">
        <v>3</v>
      </c>
      <c r="B43" s="22">
        <f>VAR(C6:C36)</f>
        <v>2272762653.5279837</v>
      </c>
    </row>
    <row r="44" spans="1:6" ht="15.75" thickBot="1" x14ac:dyDescent="0.3">
      <c r="A44" s="25" t="s">
        <v>93</v>
      </c>
      <c r="B44" s="23">
        <f>(_xlfn.STDEV.S(C6:C36))</f>
        <v>47673.500537803848</v>
      </c>
    </row>
    <row r="45" spans="1:6" x14ac:dyDescent="0.25">
      <c r="A45" s="1"/>
    </row>
    <row r="46" spans="1:6" x14ac:dyDescent="0.25">
      <c r="A46" s="1" t="s">
        <v>94</v>
      </c>
      <c r="B46" s="24">
        <f>MIN(C6:C36)</f>
        <v>21971.600000000002</v>
      </c>
    </row>
    <row r="47" spans="1:6" x14ac:dyDescent="0.25">
      <c r="A47" s="1" t="s">
        <v>94</v>
      </c>
      <c r="B47" s="24">
        <f>MAX(C6:C36)</f>
        <v>225000.02000000002</v>
      </c>
    </row>
    <row r="48" spans="1:6" x14ac:dyDescent="0.25">
      <c r="A48" s="14" t="s">
        <v>82</v>
      </c>
      <c r="B48" s="15"/>
    </row>
    <row r="49" spans="1:1" x14ac:dyDescent="0.25">
      <c r="A49" s="1"/>
    </row>
    <row r="50" spans="1:1" x14ac:dyDescent="0.25">
      <c r="A50" s="1" t="s">
        <v>76</v>
      </c>
    </row>
    <row r="51" spans="1:1" x14ac:dyDescent="0.25">
      <c r="A51" t="s">
        <v>21</v>
      </c>
    </row>
    <row r="52" spans="1:1" x14ac:dyDescent="0.25">
      <c r="A52" t="s">
        <v>26</v>
      </c>
    </row>
  </sheetData>
  <mergeCells count="3">
    <mergeCell ref="A3:C3"/>
    <mergeCell ref="I19:J19"/>
    <mergeCell ref="A38:B38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25F16-AE84-42F0-950D-8B9879C02CD1}">
  <dimension ref="A1:G38"/>
  <sheetViews>
    <sheetView workbookViewId="0">
      <pane ySplit="1" topLeftCell="A22" activePane="bottomLeft" state="frozen"/>
      <selection pane="bottomLeft" activeCell="D55" sqref="D55"/>
    </sheetView>
  </sheetViews>
  <sheetFormatPr defaultRowHeight="15" x14ac:dyDescent="0.25"/>
  <cols>
    <col min="1" max="1" width="15.5703125" style="33" bestFit="1" customWidth="1"/>
    <col min="2" max="2" width="10.42578125" bestFit="1" customWidth="1"/>
    <col min="3" max="3" width="16.42578125" style="33" bestFit="1" customWidth="1"/>
    <col min="4" max="4" width="15.5703125" bestFit="1" customWidth="1"/>
    <col min="5" max="5" width="31" bestFit="1" customWidth="1"/>
    <col min="6" max="6" width="35.28515625" bestFit="1" customWidth="1"/>
    <col min="7" max="7" width="60" bestFit="1" customWidth="1"/>
  </cols>
  <sheetData>
    <row r="1" spans="1:7" x14ac:dyDescent="0.25">
      <c r="A1" s="126" t="s">
        <v>635</v>
      </c>
      <c r="B1" s="1" t="s">
        <v>304</v>
      </c>
      <c r="C1" s="125" t="s">
        <v>562</v>
      </c>
      <c r="D1" s="1" t="s">
        <v>11</v>
      </c>
      <c r="E1" s="1"/>
      <c r="F1" s="1"/>
      <c r="G1" s="1" t="s">
        <v>9</v>
      </c>
    </row>
    <row r="2" spans="1:7" x14ac:dyDescent="0.25">
      <c r="C2" s="125" t="s">
        <v>629</v>
      </c>
      <c r="D2" s="4">
        <f ca="1">TODAY()</f>
        <v>45450</v>
      </c>
      <c r="E2" t="s">
        <v>629</v>
      </c>
      <c r="G2" t="s">
        <v>642</v>
      </c>
    </row>
    <row r="4" spans="1:7" x14ac:dyDescent="0.25">
      <c r="C4" s="125" t="s">
        <v>630</v>
      </c>
      <c r="D4" s="124">
        <f ca="1">NOW()</f>
        <v>45450.720647685186</v>
      </c>
      <c r="E4" t="s">
        <v>630</v>
      </c>
      <c r="G4" t="s">
        <v>643</v>
      </c>
    </row>
    <row r="6" spans="1:7" x14ac:dyDescent="0.25">
      <c r="A6" s="33" t="s">
        <v>632</v>
      </c>
      <c r="B6">
        <v>2024</v>
      </c>
      <c r="C6" s="125" t="s">
        <v>631</v>
      </c>
      <c r="D6" s="4">
        <f>DATE(B6,B7,B8)</f>
        <v>45292</v>
      </c>
      <c r="E6" t="s">
        <v>634</v>
      </c>
    </row>
    <row r="7" spans="1:7" x14ac:dyDescent="0.25">
      <c r="A7" s="33" t="s">
        <v>278</v>
      </c>
      <c r="B7">
        <v>1</v>
      </c>
    </row>
    <row r="8" spans="1:7" x14ac:dyDescent="0.25">
      <c r="A8" s="33" t="s">
        <v>633</v>
      </c>
      <c r="B8">
        <v>1</v>
      </c>
    </row>
    <row r="10" spans="1:7" x14ac:dyDescent="0.25">
      <c r="A10" s="156">
        <v>45293</v>
      </c>
      <c r="C10" s="125" t="s">
        <v>637</v>
      </c>
      <c r="D10">
        <f>YEAR(A10)</f>
        <v>2024</v>
      </c>
      <c r="E10" t="s">
        <v>639</v>
      </c>
    </row>
    <row r="11" spans="1:7" x14ac:dyDescent="0.25">
      <c r="A11" s="156"/>
      <c r="C11" s="125" t="s">
        <v>636</v>
      </c>
      <c r="D11">
        <f>MONTH(A10)</f>
        <v>1</v>
      </c>
      <c r="E11" t="s">
        <v>640</v>
      </c>
    </row>
    <row r="12" spans="1:7" x14ac:dyDescent="0.25">
      <c r="A12" s="156"/>
      <c r="C12" s="125" t="s">
        <v>638</v>
      </c>
      <c r="D12">
        <f>DAY(A10)</f>
        <v>2</v>
      </c>
      <c r="E12" t="s">
        <v>641</v>
      </c>
    </row>
    <row r="14" spans="1:7" x14ac:dyDescent="0.25">
      <c r="A14" s="33" t="s">
        <v>644</v>
      </c>
      <c r="B14">
        <v>13</v>
      </c>
      <c r="C14" s="125" t="s">
        <v>647</v>
      </c>
      <c r="D14" s="127">
        <f>TIME(B14,B15,B16)</f>
        <v>0.55633101851851852</v>
      </c>
      <c r="E14" t="s">
        <v>648</v>
      </c>
    </row>
    <row r="15" spans="1:7" x14ac:dyDescent="0.25">
      <c r="A15" s="33" t="s">
        <v>645</v>
      </c>
      <c r="B15">
        <v>21</v>
      </c>
    </row>
    <row r="16" spans="1:7" x14ac:dyDescent="0.25">
      <c r="A16" s="33" t="s">
        <v>646</v>
      </c>
      <c r="B16">
        <v>7</v>
      </c>
    </row>
    <row r="18" spans="1:7" x14ac:dyDescent="0.25">
      <c r="A18" s="155">
        <f ca="1">NOW()</f>
        <v>45450.720647685186</v>
      </c>
      <c r="C18" s="125" t="s">
        <v>649</v>
      </c>
      <c r="D18">
        <f ca="1">HOUR(A18)</f>
        <v>17</v>
      </c>
      <c r="E18" t="s">
        <v>652</v>
      </c>
    </row>
    <row r="19" spans="1:7" x14ac:dyDescent="0.25">
      <c r="A19" s="155"/>
      <c r="C19" s="125" t="s">
        <v>650</v>
      </c>
      <c r="D19">
        <f ca="1">MINUTE(A18)</f>
        <v>17</v>
      </c>
      <c r="E19" t="s">
        <v>653</v>
      </c>
    </row>
    <row r="20" spans="1:7" x14ac:dyDescent="0.25">
      <c r="A20" s="155"/>
      <c r="C20" s="125" t="s">
        <v>651</v>
      </c>
      <c r="D20">
        <f ca="1">SECOND(A18)</f>
        <v>44</v>
      </c>
      <c r="E20" t="s">
        <v>654</v>
      </c>
    </row>
    <row r="22" spans="1:7" x14ac:dyDescent="0.25">
      <c r="A22" s="33" t="s">
        <v>655</v>
      </c>
      <c r="B22" s="4">
        <v>44698</v>
      </c>
      <c r="C22" s="125" t="s">
        <v>657</v>
      </c>
      <c r="D22">
        <f ca="1">NETWORKDAYS(B22,B23)</f>
        <v>539</v>
      </c>
      <c r="E22" t="s">
        <v>658</v>
      </c>
      <c r="F22" t="s">
        <v>659</v>
      </c>
    </row>
    <row r="23" spans="1:7" x14ac:dyDescent="0.25">
      <c r="A23" s="33" t="s">
        <v>656</v>
      </c>
      <c r="B23" s="4">
        <f ca="1">TODAY()</f>
        <v>45450</v>
      </c>
    </row>
    <row r="25" spans="1:7" x14ac:dyDescent="0.25">
      <c r="A25" s="33" t="s">
        <v>660</v>
      </c>
      <c r="B25" s="4">
        <v>45284</v>
      </c>
      <c r="C25" s="33" t="s">
        <v>657</v>
      </c>
      <c r="D25">
        <f ca="1">NETWORKDAYS(B22,B23,B25:B26)</f>
        <v>538</v>
      </c>
      <c r="E25" t="s">
        <v>661</v>
      </c>
      <c r="G25" t="s">
        <v>662</v>
      </c>
    </row>
    <row r="26" spans="1:7" x14ac:dyDescent="0.25">
      <c r="B26" s="4">
        <v>45292</v>
      </c>
    </row>
    <row r="28" spans="1:7" x14ac:dyDescent="0.25">
      <c r="A28" s="33" t="s">
        <v>667</v>
      </c>
      <c r="B28" s="4">
        <v>44698</v>
      </c>
      <c r="C28" s="125" t="s">
        <v>663</v>
      </c>
      <c r="D28">
        <f>WEEKNUM(B28)</f>
        <v>21</v>
      </c>
      <c r="E28" t="s">
        <v>664</v>
      </c>
      <c r="F28" t="s">
        <v>665</v>
      </c>
      <c r="G28" t="s">
        <v>666</v>
      </c>
    </row>
    <row r="29" spans="1:7" x14ac:dyDescent="0.25">
      <c r="A29" s="33" t="s">
        <v>667</v>
      </c>
      <c r="B29" s="4">
        <v>45292</v>
      </c>
      <c r="D29">
        <f t="shared" ref="D29:D30" si="0">WEEKNUM(B29)</f>
        <v>1</v>
      </c>
      <c r="G29" t="s">
        <v>668</v>
      </c>
    </row>
    <row r="30" spans="1:7" x14ac:dyDescent="0.25">
      <c r="B30" s="4">
        <v>45298</v>
      </c>
      <c r="D30">
        <f t="shared" si="0"/>
        <v>2</v>
      </c>
    </row>
    <row r="32" spans="1:7" x14ac:dyDescent="0.25">
      <c r="B32" s="4">
        <v>45290</v>
      </c>
      <c r="C32" s="125" t="s">
        <v>669</v>
      </c>
      <c r="D32">
        <f>WEEKDAY(B32)</f>
        <v>7</v>
      </c>
      <c r="E32" t="s">
        <v>670</v>
      </c>
    </row>
    <row r="33" spans="1:7" x14ac:dyDescent="0.25">
      <c r="B33" s="4">
        <v>45291</v>
      </c>
      <c r="D33">
        <f>WEEKDAY(B33)</f>
        <v>1</v>
      </c>
      <c r="E33" t="s">
        <v>671</v>
      </c>
    </row>
    <row r="35" spans="1:7" x14ac:dyDescent="0.25">
      <c r="B35">
        <v>123</v>
      </c>
      <c r="C35" s="125" t="s">
        <v>672</v>
      </c>
      <c r="D35" t="b">
        <f>ISTEXT(B35)</f>
        <v>0</v>
      </c>
      <c r="E35" t="s">
        <v>674</v>
      </c>
      <c r="G35" t="s">
        <v>675</v>
      </c>
    </row>
    <row r="36" spans="1:7" x14ac:dyDescent="0.25">
      <c r="B36" t="s">
        <v>673</v>
      </c>
      <c r="D36" t="b">
        <f>ISTEXT(B36)</f>
        <v>1</v>
      </c>
    </row>
    <row r="38" spans="1:7" x14ac:dyDescent="0.25">
      <c r="A38"/>
    </row>
  </sheetData>
  <mergeCells count="2">
    <mergeCell ref="A18:A20"/>
    <mergeCell ref="A10:A1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F83A-6B4C-4677-BD9A-0B227D06BB40}">
  <dimension ref="A1:C20"/>
  <sheetViews>
    <sheetView workbookViewId="0">
      <selection activeCell="E39" sqref="E39"/>
    </sheetView>
  </sheetViews>
  <sheetFormatPr defaultColWidth="12.140625" defaultRowHeight="15" x14ac:dyDescent="0.25"/>
  <cols>
    <col min="1" max="1" width="12.28515625" bestFit="1" customWidth="1"/>
    <col min="3" max="3" width="33.140625" bestFit="1" customWidth="1"/>
  </cols>
  <sheetData>
    <row r="1" spans="1:3" x14ac:dyDescent="0.25">
      <c r="A1" s="1" t="s">
        <v>677</v>
      </c>
    </row>
    <row r="2" spans="1:3" x14ac:dyDescent="0.25">
      <c r="A2" s="128">
        <v>44927.364583333336</v>
      </c>
    </row>
    <row r="3" spans="1:3" x14ac:dyDescent="0.25">
      <c r="A3" s="128">
        <v>44927.40625</v>
      </c>
    </row>
    <row r="4" spans="1:3" x14ac:dyDescent="0.25">
      <c r="A4" s="128">
        <v>44927.447916666701</v>
      </c>
    </row>
    <row r="5" spans="1:3" x14ac:dyDescent="0.25">
      <c r="A5" s="128">
        <v>44927.489583333299</v>
      </c>
    </row>
    <row r="6" spans="1:3" x14ac:dyDescent="0.25">
      <c r="A6" s="128">
        <v>44927.53125</v>
      </c>
    </row>
    <row r="7" spans="1:3" x14ac:dyDescent="0.25">
      <c r="A7" s="128">
        <v>44927.572916666701</v>
      </c>
    </row>
    <row r="8" spans="1:3" x14ac:dyDescent="0.25">
      <c r="A8" s="128">
        <v>44927.614583333299</v>
      </c>
    </row>
    <row r="9" spans="1:3" x14ac:dyDescent="0.25">
      <c r="A9" s="128">
        <v>44927.65625</v>
      </c>
    </row>
    <row r="11" spans="1:3" x14ac:dyDescent="0.25">
      <c r="C11" t="s">
        <v>676</v>
      </c>
    </row>
    <row r="12" spans="1:3" x14ac:dyDescent="0.25">
      <c r="A12" s="1" t="s">
        <v>677</v>
      </c>
    </row>
    <row r="13" spans="1:3" x14ac:dyDescent="0.25">
      <c r="A13" s="128">
        <v>44927</v>
      </c>
      <c r="B13" s="129">
        <v>0.36458333333333331</v>
      </c>
      <c r="C13" t="s">
        <v>678</v>
      </c>
    </row>
    <row r="14" spans="1:3" x14ac:dyDescent="0.25">
      <c r="A14" s="128">
        <v>44927</v>
      </c>
      <c r="B14" s="129">
        <v>0.40625</v>
      </c>
      <c r="C14" t="s">
        <v>678</v>
      </c>
    </row>
    <row r="15" spans="1:3" x14ac:dyDescent="0.25">
      <c r="A15" s="128">
        <v>44927</v>
      </c>
      <c r="B15" s="129">
        <v>0.44791666666666669</v>
      </c>
      <c r="C15" t="s">
        <v>678</v>
      </c>
    </row>
    <row r="16" spans="1:3" x14ac:dyDescent="0.25">
      <c r="A16" s="128">
        <v>44927</v>
      </c>
      <c r="B16" s="129">
        <v>0.48958333333333331</v>
      </c>
      <c r="C16" t="s">
        <v>678</v>
      </c>
    </row>
    <row r="17" spans="1:3" x14ac:dyDescent="0.25">
      <c r="A17" s="128">
        <v>44927</v>
      </c>
      <c r="B17" s="129">
        <v>0.53125</v>
      </c>
      <c r="C17" t="s">
        <v>679</v>
      </c>
    </row>
    <row r="18" spans="1:3" x14ac:dyDescent="0.25">
      <c r="A18" s="128">
        <v>44927</v>
      </c>
      <c r="B18" s="129">
        <v>7.2916666666666671E-2</v>
      </c>
      <c r="C18" t="s">
        <v>679</v>
      </c>
    </row>
    <row r="19" spans="1:3" x14ac:dyDescent="0.25">
      <c r="A19" s="128">
        <v>44927</v>
      </c>
      <c r="B19" s="129">
        <v>0.11458333333333333</v>
      </c>
      <c r="C19" t="s">
        <v>679</v>
      </c>
    </row>
    <row r="20" spans="1:3" x14ac:dyDescent="0.25">
      <c r="A20" s="128">
        <v>44927</v>
      </c>
      <c r="B20" s="129">
        <v>0.15625</v>
      </c>
      <c r="C20" t="s">
        <v>679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BB323-215D-4F59-A007-B1D9D3C3E809}">
  <dimension ref="A1:E139"/>
  <sheetViews>
    <sheetView topLeftCell="A163" workbookViewId="0">
      <selection activeCell="A187" sqref="A187"/>
    </sheetView>
  </sheetViews>
  <sheetFormatPr defaultRowHeight="15" x14ac:dyDescent="0.25"/>
  <cols>
    <col min="1" max="1" width="21.140625" bestFit="1" customWidth="1"/>
    <col min="2" max="2" width="7.7109375" customWidth="1"/>
  </cols>
  <sheetData>
    <row r="1" spans="1:5" x14ac:dyDescent="0.25">
      <c r="A1" s="1" t="s">
        <v>680</v>
      </c>
      <c r="D1" t="s">
        <v>687</v>
      </c>
    </row>
    <row r="2" spans="1:5" x14ac:dyDescent="0.25">
      <c r="A2" s="1"/>
    </row>
    <row r="3" spans="1:5" x14ac:dyDescent="0.25">
      <c r="A3" s="1"/>
      <c r="D3">
        <v>1</v>
      </c>
      <c r="E3" t="s">
        <v>693</v>
      </c>
    </row>
    <row r="4" spans="1:5" x14ac:dyDescent="0.25">
      <c r="A4" s="1" t="str">
        <f>E3</f>
        <v>Insert Table</v>
      </c>
      <c r="D4">
        <v>2</v>
      </c>
      <c r="E4" t="s">
        <v>688</v>
      </c>
    </row>
    <row r="5" spans="1:5" x14ac:dyDescent="0.25">
      <c r="A5" s="1"/>
      <c r="E5" t="s">
        <v>689</v>
      </c>
    </row>
    <row r="6" spans="1:5" x14ac:dyDescent="0.25">
      <c r="A6" t="s">
        <v>681</v>
      </c>
      <c r="E6" t="s">
        <v>690</v>
      </c>
    </row>
    <row r="7" spans="1:5" x14ac:dyDescent="0.25">
      <c r="A7" s="1" t="s">
        <v>694</v>
      </c>
      <c r="B7" s="1" t="s">
        <v>229</v>
      </c>
      <c r="E7" t="s">
        <v>691</v>
      </c>
    </row>
    <row r="8" spans="1:5" x14ac:dyDescent="0.25">
      <c r="A8" t="s">
        <v>682</v>
      </c>
      <c r="B8">
        <v>102</v>
      </c>
      <c r="E8" t="s">
        <v>692</v>
      </c>
    </row>
    <row r="9" spans="1:5" x14ac:dyDescent="0.25">
      <c r="A9" t="s">
        <v>683</v>
      </c>
      <c r="B9">
        <v>119</v>
      </c>
    </row>
    <row r="10" spans="1:5" x14ac:dyDescent="0.25">
      <c r="A10" t="s">
        <v>684</v>
      </c>
      <c r="B10">
        <v>300</v>
      </c>
    </row>
    <row r="11" spans="1:5" x14ac:dyDescent="0.25">
      <c r="A11" t="s">
        <v>685</v>
      </c>
      <c r="B11">
        <v>89</v>
      </c>
    </row>
    <row r="12" spans="1:5" x14ac:dyDescent="0.25">
      <c r="A12" t="s">
        <v>686</v>
      </c>
      <c r="B12">
        <v>226</v>
      </c>
    </row>
    <row r="15" spans="1:5" x14ac:dyDescent="0.25">
      <c r="A15" s="1" t="s">
        <v>688</v>
      </c>
    </row>
    <row r="29" spans="1:4" x14ac:dyDescent="0.25">
      <c r="C29" s="1"/>
      <c r="D29" s="1"/>
    </row>
    <row r="30" spans="1:4" x14ac:dyDescent="0.25">
      <c r="C30" s="1"/>
      <c r="D30" s="1"/>
    </row>
    <row r="31" spans="1:4" x14ac:dyDescent="0.25">
      <c r="A31" s="1"/>
    </row>
    <row r="78" spans="1:3" x14ac:dyDescent="0.25">
      <c r="A78" s="1" t="s">
        <v>695</v>
      </c>
    </row>
    <row r="80" spans="1:3" x14ac:dyDescent="0.25">
      <c r="A80" t="s">
        <v>681</v>
      </c>
      <c r="C80" t="s">
        <v>697</v>
      </c>
    </row>
    <row r="81" spans="1:3" x14ac:dyDescent="0.25">
      <c r="A81" s="1" t="s">
        <v>694</v>
      </c>
      <c r="B81" s="1" t="s">
        <v>229</v>
      </c>
      <c r="C81" s="1" t="s">
        <v>696</v>
      </c>
    </row>
    <row r="82" spans="1:3" x14ac:dyDescent="0.25">
      <c r="A82" t="s">
        <v>682</v>
      </c>
      <c r="B82">
        <v>102</v>
      </c>
      <c r="C82" s="130">
        <f>Table13[[#This Row],[Sales]]*1.1</f>
        <v>112.2</v>
      </c>
    </row>
    <row r="83" spans="1:3" x14ac:dyDescent="0.25">
      <c r="A83" t="s">
        <v>683</v>
      </c>
      <c r="B83">
        <v>119</v>
      </c>
      <c r="C83" s="130">
        <f>Table13[[#This Row],[Sales]]*1.1</f>
        <v>130.9</v>
      </c>
    </row>
    <row r="84" spans="1:3" x14ac:dyDescent="0.25">
      <c r="A84" t="s">
        <v>684</v>
      </c>
      <c r="B84">
        <v>300</v>
      </c>
      <c r="C84" s="130">
        <f>Table13[[#This Row],[Sales]]*1.1</f>
        <v>330</v>
      </c>
    </row>
    <row r="85" spans="1:3" x14ac:dyDescent="0.25">
      <c r="A85" t="s">
        <v>685</v>
      </c>
      <c r="B85">
        <v>89</v>
      </c>
      <c r="C85" s="130">
        <f>Table13[[#This Row],[Sales]]*1.1</f>
        <v>97.9</v>
      </c>
    </row>
    <row r="86" spans="1:3" x14ac:dyDescent="0.25">
      <c r="A86" t="s">
        <v>686</v>
      </c>
      <c r="B86">
        <v>226</v>
      </c>
      <c r="C86" s="130">
        <f>Table13[[#This Row],[Sales]]*1.1</f>
        <v>248.60000000000002</v>
      </c>
    </row>
    <row r="88" spans="1:3" x14ac:dyDescent="0.25">
      <c r="A88" t="s">
        <v>698</v>
      </c>
    </row>
    <row r="131" spans="1:5" x14ac:dyDescent="0.25">
      <c r="A131" s="1" t="s">
        <v>699</v>
      </c>
    </row>
    <row r="133" spans="1:5" x14ac:dyDescent="0.25">
      <c r="A133" t="s">
        <v>681</v>
      </c>
    </row>
    <row r="134" spans="1:5" x14ac:dyDescent="0.25">
      <c r="A134" s="1" t="s">
        <v>694</v>
      </c>
      <c r="B134" s="1" t="s">
        <v>701</v>
      </c>
      <c r="C134" s="1" t="s">
        <v>696</v>
      </c>
    </row>
    <row r="135" spans="1:5" x14ac:dyDescent="0.25">
      <c r="A135" t="s">
        <v>682</v>
      </c>
      <c r="B135">
        <v>102</v>
      </c>
      <c r="C135" s="130">
        <f>Table134[[#This Row],[Actual]]*1.1</f>
        <v>112.2</v>
      </c>
    </row>
    <row r="136" spans="1:5" x14ac:dyDescent="0.25">
      <c r="A136" t="s">
        <v>683</v>
      </c>
      <c r="B136">
        <v>119</v>
      </c>
      <c r="C136" s="130">
        <f>Table134[[#This Row],[Actual]]*1.1</f>
        <v>130.9</v>
      </c>
      <c r="E136" t="s">
        <v>700</v>
      </c>
    </row>
    <row r="137" spans="1:5" x14ac:dyDescent="0.25">
      <c r="A137" t="s">
        <v>684</v>
      </c>
      <c r="B137">
        <v>300</v>
      </c>
      <c r="C137" s="130">
        <f>Table134[[#This Row],[Actual]]*1.1</f>
        <v>330</v>
      </c>
    </row>
    <row r="138" spans="1:5" x14ac:dyDescent="0.25">
      <c r="A138" t="s">
        <v>685</v>
      </c>
      <c r="B138">
        <v>89</v>
      </c>
      <c r="C138" s="130">
        <f>Table134[[#This Row],[Actual]]*1.1</f>
        <v>97.9</v>
      </c>
    </row>
    <row r="139" spans="1:5" x14ac:dyDescent="0.25">
      <c r="A139" t="s">
        <v>686</v>
      </c>
      <c r="B139">
        <v>226</v>
      </c>
      <c r="C139" s="130">
        <f>Table134[[#This Row],[Actual]]*1.1</f>
        <v>248.60000000000002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B237E-70DE-40BF-9B96-3DE2AC4703F3}">
  <dimension ref="A1:C36"/>
  <sheetViews>
    <sheetView topLeftCell="B1" workbookViewId="0">
      <selection activeCell="G30" sqref="G30"/>
    </sheetView>
  </sheetViews>
  <sheetFormatPr defaultRowHeight="15" x14ac:dyDescent="0.25"/>
  <cols>
    <col min="1" max="1" width="17.42578125" bestFit="1" customWidth="1"/>
    <col min="2" max="2" width="12.85546875" customWidth="1"/>
    <col min="3" max="3" width="12.5703125" bestFit="1" customWidth="1"/>
  </cols>
  <sheetData>
    <row r="1" spans="1:3" x14ac:dyDescent="0.25">
      <c r="A1" s="1" t="s">
        <v>702</v>
      </c>
    </row>
    <row r="2" spans="1:3" x14ac:dyDescent="0.25">
      <c r="B2" t="s">
        <v>703</v>
      </c>
    </row>
    <row r="4" spans="1:3" x14ac:dyDescent="0.25">
      <c r="A4" s="139" t="s">
        <v>704</v>
      </c>
      <c r="B4" s="139"/>
      <c r="C4" s="139"/>
    </row>
    <row r="5" spans="1:3" x14ac:dyDescent="0.25">
      <c r="A5" s="1" t="s">
        <v>23</v>
      </c>
      <c r="B5" s="1" t="s">
        <v>24</v>
      </c>
      <c r="C5" s="1" t="s">
        <v>25</v>
      </c>
    </row>
    <row r="6" spans="1:3" x14ac:dyDescent="0.25">
      <c r="A6" t="s">
        <v>27</v>
      </c>
      <c r="B6" s="4">
        <v>38961</v>
      </c>
      <c r="C6" s="21">
        <v>60270</v>
      </c>
    </row>
    <row r="7" spans="1:3" x14ac:dyDescent="0.25">
      <c r="A7" t="s">
        <v>28</v>
      </c>
      <c r="B7" s="4">
        <v>40148</v>
      </c>
      <c r="C7" s="21">
        <v>39627.279999999999</v>
      </c>
    </row>
    <row r="8" spans="1:3" x14ac:dyDescent="0.25">
      <c r="A8" t="s">
        <v>29</v>
      </c>
      <c r="B8" s="4">
        <v>42461</v>
      </c>
      <c r="C8" s="21">
        <v>29726.760000000002</v>
      </c>
    </row>
    <row r="9" spans="1:3" x14ac:dyDescent="0.25">
      <c r="A9" t="s">
        <v>30</v>
      </c>
      <c r="B9" s="4">
        <v>38353</v>
      </c>
      <c r="C9" s="21">
        <v>93668.260000000009</v>
      </c>
    </row>
    <row r="10" spans="1:3" x14ac:dyDescent="0.25">
      <c r="A10" t="s">
        <v>31</v>
      </c>
      <c r="B10" s="4">
        <v>40787</v>
      </c>
      <c r="C10" s="21">
        <v>134000.02000000002</v>
      </c>
    </row>
    <row r="11" spans="1:3" x14ac:dyDescent="0.25">
      <c r="A11" t="s">
        <v>32</v>
      </c>
      <c r="B11" s="4">
        <v>38353</v>
      </c>
      <c r="C11" s="21">
        <v>34808.200000000004</v>
      </c>
    </row>
    <row r="12" spans="1:3" x14ac:dyDescent="0.25">
      <c r="A12" t="s">
        <v>33</v>
      </c>
      <c r="B12" s="4">
        <v>42795</v>
      </c>
      <c r="C12" s="21">
        <v>134468.18000000002</v>
      </c>
    </row>
    <row r="13" spans="1:3" x14ac:dyDescent="0.25">
      <c r="A13" t="s">
        <v>34</v>
      </c>
      <c r="B13" s="4">
        <v>43497</v>
      </c>
      <c r="C13" s="21">
        <v>45000.06</v>
      </c>
    </row>
    <row r="14" spans="1:3" x14ac:dyDescent="0.25">
      <c r="A14" t="s">
        <v>35</v>
      </c>
      <c r="B14" s="4">
        <v>41671</v>
      </c>
      <c r="C14" s="21">
        <v>89500.04</v>
      </c>
    </row>
    <row r="15" spans="1:3" x14ac:dyDescent="0.25">
      <c r="A15" t="s">
        <v>36</v>
      </c>
      <c r="B15" s="4">
        <v>40817</v>
      </c>
      <c r="C15" s="21">
        <v>21971.600000000002</v>
      </c>
    </row>
    <row r="16" spans="1:3" x14ac:dyDescent="0.25">
      <c r="A16" t="s">
        <v>37</v>
      </c>
      <c r="B16" s="4">
        <v>40817</v>
      </c>
      <c r="C16" s="21">
        <v>80000.06</v>
      </c>
    </row>
    <row r="17" spans="1:3" x14ac:dyDescent="0.25">
      <c r="A17" t="s">
        <v>38</v>
      </c>
      <c r="B17" s="4">
        <v>41244</v>
      </c>
      <c r="C17" s="21">
        <v>185000.06</v>
      </c>
    </row>
    <row r="18" spans="1:3" x14ac:dyDescent="0.25">
      <c r="A18" t="s">
        <v>39</v>
      </c>
      <c r="B18" s="4">
        <v>43374</v>
      </c>
      <c r="C18" s="21">
        <v>50545.04</v>
      </c>
    </row>
    <row r="19" spans="1:3" x14ac:dyDescent="0.25">
      <c r="A19" t="s">
        <v>40</v>
      </c>
      <c r="B19" s="4">
        <v>38200</v>
      </c>
      <c r="C19" s="21">
        <v>140000</v>
      </c>
    </row>
    <row r="20" spans="1:3" x14ac:dyDescent="0.25">
      <c r="A20" t="s">
        <v>41</v>
      </c>
      <c r="B20" s="4">
        <v>37135</v>
      </c>
      <c r="C20" s="21">
        <v>100000.04</v>
      </c>
    </row>
    <row r="21" spans="1:3" x14ac:dyDescent="0.25">
      <c r="A21" t="s">
        <v>42</v>
      </c>
      <c r="B21" s="4">
        <v>38812</v>
      </c>
      <c r="C21" s="21">
        <v>68357.099999999991</v>
      </c>
    </row>
    <row r="22" spans="1:3" x14ac:dyDescent="0.25">
      <c r="A22" t="s">
        <v>43</v>
      </c>
      <c r="B22" s="4">
        <v>40374</v>
      </c>
      <c r="C22" s="21">
        <v>46054.82</v>
      </c>
    </row>
    <row r="23" spans="1:3" x14ac:dyDescent="0.25">
      <c r="A23" t="s">
        <v>44</v>
      </c>
      <c r="B23" s="4">
        <v>38961</v>
      </c>
      <c r="C23" s="21">
        <v>60270</v>
      </c>
    </row>
    <row r="24" spans="1:3" x14ac:dyDescent="0.25">
      <c r="A24" t="s">
        <v>45</v>
      </c>
      <c r="B24" s="4">
        <v>39828</v>
      </c>
      <c r="C24" s="21">
        <v>65708.58</v>
      </c>
    </row>
    <row r="25" spans="1:3" x14ac:dyDescent="0.25">
      <c r="A25" t="s">
        <v>46</v>
      </c>
      <c r="B25" s="4">
        <v>42614</v>
      </c>
      <c r="C25" s="21">
        <v>46406.64</v>
      </c>
    </row>
    <row r="26" spans="1:3" x14ac:dyDescent="0.25">
      <c r="A26" t="s">
        <v>47</v>
      </c>
      <c r="B26" s="4">
        <v>43466</v>
      </c>
      <c r="C26" s="21">
        <v>73816.960000000006</v>
      </c>
    </row>
    <row r="27" spans="1:3" x14ac:dyDescent="0.25">
      <c r="A27" t="s">
        <v>48</v>
      </c>
      <c r="B27" s="4">
        <v>43466</v>
      </c>
      <c r="C27" s="21">
        <v>45686.48</v>
      </c>
    </row>
    <row r="28" spans="1:3" x14ac:dyDescent="0.25">
      <c r="A28" t="s">
        <v>49</v>
      </c>
      <c r="B28" s="4">
        <v>43497</v>
      </c>
      <c r="C28" s="21">
        <v>140000</v>
      </c>
    </row>
    <row r="29" spans="1:3" x14ac:dyDescent="0.25">
      <c r="A29" t="s">
        <v>50</v>
      </c>
      <c r="B29" s="4">
        <v>36647</v>
      </c>
      <c r="C29" s="21">
        <v>45431.96</v>
      </c>
    </row>
    <row r="30" spans="1:3" x14ac:dyDescent="0.25">
      <c r="A30" t="s">
        <v>51</v>
      </c>
      <c r="B30" s="4">
        <v>37438</v>
      </c>
      <c r="C30" s="21">
        <v>115999.93999999999</v>
      </c>
    </row>
    <row r="31" spans="1:3" x14ac:dyDescent="0.25">
      <c r="A31" t="s">
        <v>52</v>
      </c>
      <c r="B31" s="4">
        <v>42675</v>
      </c>
      <c r="C31" s="21">
        <v>59784.479999999996</v>
      </c>
    </row>
    <row r="32" spans="1:3" x14ac:dyDescent="0.25">
      <c r="A32" t="s">
        <v>53</v>
      </c>
      <c r="B32" s="4">
        <v>42401</v>
      </c>
      <c r="C32" s="21">
        <v>225000.02000000002</v>
      </c>
    </row>
    <row r="33" spans="1:3" x14ac:dyDescent="0.25">
      <c r="A33" t="s">
        <v>54</v>
      </c>
      <c r="B33" s="4">
        <v>42552</v>
      </c>
      <c r="C33" s="21">
        <v>38820.6</v>
      </c>
    </row>
    <row r="34" spans="1:3" x14ac:dyDescent="0.25">
      <c r="A34" t="s">
        <v>55</v>
      </c>
      <c r="B34" s="4">
        <v>42224</v>
      </c>
      <c r="C34" s="21">
        <v>102500.02</v>
      </c>
    </row>
    <row r="35" spans="1:3" x14ac:dyDescent="0.25">
      <c r="A35" t="s">
        <v>56</v>
      </c>
      <c r="B35" s="4">
        <v>42005</v>
      </c>
      <c r="C35" s="21">
        <v>87999.94</v>
      </c>
    </row>
    <row r="36" spans="1:3" x14ac:dyDescent="0.25">
      <c r="A36" t="s">
        <v>57</v>
      </c>
      <c r="B36" s="4">
        <v>43367</v>
      </c>
      <c r="C36" s="21">
        <v>49000</v>
      </c>
    </row>
  </sheetData>
  <mergeCells count="1">
    <mergeCell ref="A4:C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16752-0124-4E73-B883-A453D9CFFE54}">
  <dimension ref="A1:J73"/>
  <sheetViews>
    <sheetView topLeftCell="A43" workbookViewId="0">
      <selection activeCell="B73" sqref="B73"/>
    </sheetView>
  </sheetViews>
  <sheetFormatPr defaultRowHeight="15" x14ac:dyDescent="0.25"/>
  <sheetData>
    <row r="1" spans="1:10" x14ac:dyDescent="0.25">
      <c r="A1" t="s">
        <v>705</v>
      </c>
      <c r="J1" t="s">
        <v>710</v>
      </c>
    </row>
    <row r="4" spans="1:10" x14ac:dyDescent="0.25">
      <c r="B4" t="s">
        <v>706</v>
      </c>
      <c r="F4" s="153" t="s">
        <v>712</v>
      </c>
      <c r="G4" s="153"/>
    </row>
    <row r="5" spans="1:10" x14ac:dyDescent="0.25">
      <c r="B5" s="6">
        <v>2014</v>
      </c>
      <c r="C5" s="6">
        <v>2015</v>
      </c>
      <c r="D5" s="6">
        <v>2016</v>
      </c>
      <c r="E5" s="6">
        <v>2017</v>
      </c>
      <c r="F5" s="6" t="s">
        <v>517</v>
      </c>
      <c r="G5" s="6" t="s">
        <v>518</v>
      </c>
    </row>
    <row r="6" spans="1:10" x14ac:dyDescent="0.25">
      <c r="A6" s="1" t="s">
        <v>232</v>
      </c>
      <c r="B6" s="5">
        <v>1600</v>
      </c>
      <c r="C6" s="5">
        <v>1300</v>
      </c>
      <c r="D6" s="5">
        <v>1000</v>
      </c>
      <c r="E6" s="5">
        <v>900</v>
      </c>
      <c r="F6" s="5">
        <f>COUNT(B5:E5)+0.3</f>
        <v>4.3</v>
      </c>
      <c r="G6" s="5">
        <f>SUM($E$6:E6)-E6/2</f>
        <v>450</v>
      </c>
    </row>
    <row r="7" spans="1:10" x14ac:dyDescent="0.25">
      <c r="A7" s="1" t="s">
        <v>707</v>
      </c>
      <c r="B7" s="5">
        <v>410</v>
      </c>
      <c r="C7" s="5">
        <v>300</v>
      </c>
      <c r="D7" s="5">
        <v>500</v>
      </c>
      <c r="E7" s="5">
        <v>900</v>
      </c>
      <c r="F7" s="5">
        <f t="shared" ref="F7:F8" si="0">COUNT(B6:E6)+0.3</f>
        <v>4.3</v>
      </c>
      <c r="G7" s="5">
        <f>SUM($E$6:E7)-E7/2</f>
        <v>1350</v>
      </c>
    </row>
    <row r="8" spans="1:10" x14ac:dyDescent="0.25">
      <c r="A8" s="1" t="s">
        <v>708</v>
      </c>
      <c r="B8" s="5">
        <v>150</v>
      </c>
      <c r="C8" s="5">
        <v>170</v>
      </c>
      <c r="D8" s="5">
        <v>200</v>
      </c>
      <c r="E8" s="5">
        <v>210</v>
      </c>
      <c r="F8" s="5">
        <f t="shared" si="0"/>
        <v>4.3</v>
      </c>
      <c r="G8" s="5">
        <f>SUM($E$6:E8)-E8/2</f>
        <v>1905</v>
      </c>
    </row>
    <row r="9" spans="1:10" x14ac:dyDescent="0.25">
      <c r="A9" s="1" t="s">
        <v>488</v>
      </c>
      <c r="B9" s="6">
        <f>SUM(B6:B8)</f>
        <v>2160</v>
      </c>
      <c r="C9" s="6">
        <f t="shared" ref="C9:E9" si="1">SUM(C6:C8)</f>
        <v>1770</v>
      </c>
      <c r="D9" s="6">
        <f t="shared" si="1"/>
        <v>1700</v>
      </c>
      <c r="E9" s="6">
        <f t="shared" si="1"/>
        <v>2010</v>
      </c>
      <c r="F9" s="5"/>
      <c r="G9" s="5"/>
    </row>
    <row r="10" spans="1:10" x14ac:dyDescent="0.25">
      <c r="A10" s="1"/>
    </row>
    <row r="11" spans="1:10" x14ac:dyDescent="0.25">
      <c r="A11" s="1" t="s">
        <v>713</v>
      </c>
    </row>
    <row r="27" spans="1:1" x14ac:dyDescent="0.25">
      <c r="A27" t="s">
        <v>709</v>
      </c>
    </row>
    <row r="56" spans="1:1" x14ac:dyDescent="0.25">
      <c r="A56" t="s">
        <v>711</v>
      </c>
    </row>
    <row r="73" spans="1:1" x14ac:dyDescent="0.25">
      <c r="A73" t="s">
        <v>714</v>
      </c>
    </row>
  </sheetData>
  <mergeCells count="1">
    <mergeCell ref="F4:G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5993-AE38-4A51-90E0-D0044A7C2429}">
  <dimension ref="A3:E9"/>
  <sheetViews>
    <sheetView workbookViewId="0">
      <selection activeCell="H33" sqref="H33"/>
    </sheetView>
  </sheetViews>
  <sheetFormatPr defaultRowHeight="15" x14ac:dyDescent="0.25"/>
  <cols>
    <col min="1" max="1" width="9.5703125" bestFit="1" customWidth="1"/>
    <col min="2" max="2" width="6.5703125" bestFit="1" customWidth="1"/>
    <col min="3" max="3" width="7.28515625" bestFit="1" customWidth="1"/>
    <col min="4" max="4" width="10.42578125" bestFit="1" customWidth="1"/>
    <col min="5" max="5" width="14.140625" bestFit="1" customWidth="1"/>
  </cols>
  <sheetData>
    <row r="3" spans="1:5" x14ac:dyDescent="0.25">
      <c r="A3" s="139" t="s">
        <v>723</v>
      </c>
      <c r="B3" s="139"/>
      <c r="C3" s="139"/>
      <c r="D3" s="1" t="s">
        <v>720</v>
      </c>
    </row>
    <row r="4" spans="1:5" x14ac:dyDescent="0.25">
      <c r="B4" s="1" t="s">
        <v>701</v>
      </c>
      <c r="C4" s="1" t="s">
        <v>696</v>
      </c>
      <c r="D4" s="1" t="s">
        <v>721</v>
      </c>
      <c r="E4" s="1" t="s">
        <v>722</v>
      </c>
    </row>
    <row r="5" spans="1:5" x14ac:dyDescent="0.25">
      <c r="A5" t="s">
        <v>715</v>
      </c>
      <c r="B5" s="131">
        <v>580</v>
      </c>
      <c r="C5" s="131">
        <v>600</v>
      </c>
      <c r="D5">
        <f>B5-C5</f>
        <v>-20</v>
      </c>
      <c r="E5" t="str">
        <f>IF(B5=MAX($B$5:$B$9),B5,"")</f>
        <v/>
      </c>
    </row>
    <row r="6" spans="1:5" x14ac:dyDescent="0.25">
      <c r="A6" t="s">
        <v>716</v>
      </c>
      <c r="B6" s="131">
        <v>1360</v>
      </c>
      <c r="C6" s="131">
        <v>1260</v>
      </c>
      <c r="D6">
        <f t="shared" ref="D6:D9" si="0">B6-C6</f>
        <v>100</v>
      </c>
      <c r="E6">
        <f t="shared" ref="E6:E9" si="1">IF(B6=MAX($B$5:$B$9),B6,"")</f>
        <v>1360</v>
      </c>
    </row>
    <row r="7" spans="1:5" x14ac:dyDescent="0.25">
      <c r="A7" t="s">
        <v>717</v>
      </c>
      <c r="B7" s="131">
        <v>950</v>
      </c>
      <c r="C7" s="131">
        <v>940</v>
      </c>
      <c r="D7">
        <f t="shared" si="0"/>
        <v>10</v>
      </c>
      <c r="E7" t="str">
        <f t="shared" si="1"/>
        <v/>
      </c>
    </row>
    <row r="8" spans="1:5" x14ac:dyDescent="0.25">
      <c r="A8" t="s">
        <v>718</v>
      </c>
      <c r="B8" s="131">
        <v>150</v>
      </c>
      <c r="C8" s="131">
        <v>183</v>
      </c>
      <c r="D8">
        <f t="shared" si="0"/>
        <v>-33</v>
      </c>
      <c r="E8" t="str">
        <f t="shared" si="1"/>
        <v/>
      </c>
    </row>
    <row r="9" spans="1:5" x14ac:dyDescent="0.25">
      <c r="A9" t="s">
        <v>719</v>
      </c>
      <c r="B9" s="131">
        <v>1350</v>
      </c>
      <c r="C9" s="131">
        <v>1300</v>
      </c>
      <c r="D9">
        <f t="shared" si="0"/>
        <v>50</v>
      </c>
      <c r="E9" t="str">
        <f t="shared" si="1"/>
        <v/>
      </c>
    </row>
  </sheetData>
  <mergeCells count="1">
    <mergeCell ref="A3:C3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BBEA-3662-46C5-B7AD-E74FACF2CD27}">
  <dimension ref="A1:K113"/>
  <sheetViews>
    <sheetView topLeftCell="A41" workbookViewId="0">
      <selection activeCell="E63" sqref="E63"/>
    </sheetView>
  </sheetViews>
  <sheetFormatPr defaultRowHeight="15" x14ac:dyDescent="0.25"/>
  <cols>
    <col min="1" max="1" width="11.7109375" bestFit="1" customWidth="1"/>
    <col min="2" max="2" width="14" bestFit="1" customWidth="1"/>
    <col min="3" max="3" width="11" customWidth="1"/>
    <col min="4" max="4" width="11.5703125" bestFit="1" customWidth="1"/>
    <col min="11" max="11" width="47.140625" bestFit="1" customWidth="1"/>
  </cols>
  <sheetData>
    <row r="1" spans="1:11" x14ac:dyDescent="0.25">
      <c r="A1" s="139" t="s">
        <v>724</v>
      </c>
      <c r="B1" s="139"/>
      <c r="K1" t="s">
        <v>725</v>
      </c>
    </row>
    <row r="2" spans="1:11" x14ac:dyDescent="0.25">
      <c r="A2" s="6"/>
      <c r="B2" s="6"/>
      <c r="K2" s="86" t="s">
        <v>730</v>
      </c>
    </row>
    <row r="3" spans="1:11" x14ac:dyDescent="0.25">
      <c r="A3" t="s">
        <v>726</v>
      </c>
      <c r="B3" t="s">
        <v>231</v>
      </c>
      <c r="C3" t="s">
        <v>538</v>
      </c>
      <c r="F3" t="s">
        <v>731</v>
      </c>
    </row>
    <row r="4" spans="1:11" x14ac:dyDescent="0.25">
      <c r="A4" t="s">
        <v>727</v>
      </c>
      <c r="B4" t="s">
        <v>234</v>
      </c>
      <c r="C4">
        <v>44196</v>
      </c>
    </row>
    <row r="5" spans="1:11" x14ac:dyDescent="0.25">
      <c r="A5" t="s">
        <v>727</v>
      </c>
      <c r="B5" t="s">
        <v>235</v>
      </c>
      <c r="C5">
        <v>20898</v>
      </c>
      <c r="F5" t="s">
        <v>732</v>
      </c>
    </row>
    <row r="6" spans="1:11" x14ac:dyDescent="0.25">
      <c r="A6" t="s">
        <v>727</v>
      </c>
      <c r="B6" t="s">
        <v>233</v>
      </c>
      <c r="C6">
        <v>46994</v>
      </c>
    </row>
    <row r="7" spans="1:11" x14ac:dyDescent="0.25">
      <c r="A7" t="s">
        <v>727</v>
      </c>
      <c r="B7" t="s">
        <v>232</v>
      </c>
      <c r="C7">
        <v>43695</v>
      </c>
    </row>
    <row r="8" spans="1:11" x14ac:dyDescent="0.25">
      <c r="A8" t="s">
        <v>727</v>
      </c>
      <c r="B8" t="s">
        <v>200</v>
      </c>
      <c r="C8">
        <v>34196</v>
      </c>
    </row>
    <row r="9" spans="1:11" x14ac:dyDescent="0.25">
      <c r="A9" t="s">
        <v>727</v>
      </c>
      <c r="B9" t="s">
        <v>234</v>
      </c>
      <c r="C9">
        <v>34155</v>
      </c>
    </row>
    <row r="10" spans="1:11" x14ac:dyDescent="0.25">
      <c r="A10" t="s">
        <v>728</v>
      </c>
      <c r="B10" t="s">
        <v>235</v>
      </c>
      <c r="C10">
        <v>24396</v>
      </c>
    </row>
    <row r="11" spans="1:11" x14ac:dyDescent="0.25">
      <c r="A11" t="s">
        <v>728</v>
      </c>
      <c r="B11" t="s">
        <v>233</v>
      </c>
      <c r="C11">
        <v>29276</v>
      </c>
    </row>
    <row r="12" spans="1:11" x14ac:dyDescent="0.25">
      <c r="A12" t="s">
        <v>728</v>
      </c>
      <c r="B12" t="s">
        <v>232</v>
      </c>
      <c r="C12">
        <v>45540</v>
      </c>
    </row>
    <row r="13" spans="1:11" x14ac:dyDescent="0.25">
      <c r="A13" t="s">
        <v>728</v>
      </c>
      <c r="B13" t="s">
        <v>200</v>
      </c>
      <c r="C13">
        <v>29277</v>
      </c>
    </row>
    <row r="14" spans="1:11" x14ac:dyDescent="0.25">
      <c r="A14" t="s">
        <v>728</v>
      </c>
      <c r="B14" t="s">
        <v>234</v>
      </c>
      <c r="C14">
        <v>44675</v>
      </c>
    </row>
    <row r="15" spans="1:11" x14ac:dyDescent="0.25">
      <c r="A15" t="s">
        <v>729</v>
      </c>
      <c r="B15" t="s">
        <v>235</v>
      </c>
      <c r="C15">
        <v>42569</v>
      </c>
    </row>
    <row r="16" spans="1:11" x14ac:dyDescent="0.25">
      <c r="A16" t="s">
        <v>729</v>
      </c>
      <c r="B16" t="s">
        <v>233</v>
      </c>
      <c r="C16">
        <v>43784</v>
      </c>
    </row>
    <row r="17" spans="1:6" x14ac:dyDescent="0.25">
      <c r="A17" t="s">
        <v>729</v>
      </c>
      <c r="B17" t="s">
        <v>232</v>
      </c>
      <c r="C17">
        <v>46336</v>
      </c>
    </row>
    <row r="18" spans="1:6" x14ac:dyDescent="0.25">
      <c r="A18" t="s">
        <v>729</v>
      </c>
      <c r="B18" t="s">
        <v>200</v>
      </c>
      <c r="C18">
        <v>49656</v>
      </c>
    </row>
    <row r="24" spans="1:6" x14ac:dyDescent="0.25">
      <c r="A24" s="139" t="s">
        <v>720</v>
      </c>
      <c r="B24" s="139"/>
      <c r="F24" t="s">
        <v>733</v>
      </c>
    </row>
    <row r="25" spans="1:6" x14ac:dyDescent="0.25">
      <c r="A25" s="6" t="s">
        <v>517</v>
      </c>
      <c r="B25" s="6" t="s">
        <v>518</v>
      </c>
      <c r="C25" s="1" t="str">
        <f>'Dynamic Maps'!$B$3</f>
        <v>Region</v>
      </c>
      <c r="D25" s="1" t="str">
        <f>'Dynamic Maps'!$C$3</f>
        <v>Revenue</v>
      </c>
      <c r="E25" s="1" t="s">
        <v>743</v>
      </c>
      <c r="F25" s="1" t="s">
        <v>746</v>
      </c>
    </row>
    <row r="26" spans="1:6" x14ac:dyDescent="0.25">
      <c r="A26" s="5">
        <v>1.3</v>
      </c>
      <c r="B26" s="5">
        <v>7.2</v>
      </c>
      <c r="C26" t="s">
        <v>234</v>
      </c>
      <c r="D26" s="21">
        <f>SUMIFS($C$4:$C$18,$B$4:$B$18,$C26,$A$4:$A$18,$C$33)</f>
        <v>0</v>
      </c>
      <c r="E26" t="str">
        <f>IF(D26=MAX($D$26:$D$30),D26,"")</f>
        <v/>
      </c>
      <c r="F26">
        <f>IF(D26=MIN($D$26:$D$30),D26,"")</f>
        <v>0</v>
      </c>
    </row>
    <row r="27" spans="1:6" x14ac:dyDescent="0.25">
      <c r="A27" s="5">
        <v>2.4</v>
      </c>
      <c r="B27" s="5">
        <v>2.1</v>
      </c>
      <c r="C27" t="s">
        <v>235</v>
      </c>
      <c r="D27" s="21">
        <f t="shared" ref="D27:D30" si="0">SUMIFS($C$4:$C$18,$B$4:$B$18,$C27,$A$4:$A$18,$C$33)</f>
        <v>42569</v>
      </c>
      <c r="E27" t="str">
        <f t="shared" ref="E27:E30" si="1">IF(D27=MAX($D$26:$D$30),D27,"")</f>
        <v/>
      </c>
      <c r="F27" t="str">
        <f>IF(D27=MIN($D$26:$D$30),D27,"")</f>
        <v/>
      </c>
    </row>
    <row r="28" spans="1:6" x14ac:dyDescent="0.25">
      <c r="A28" s="5">
        <v>7.3</v>
      </c>
      <c r="B28" s="5">
        <v>7</v>
      </c>
      <c r="C28" t="s">
        <v>233</v>
      </c>
      <c r="D28" s="21">
        <f t="shared" si="0"/>
        <v>43784</v>
      </c>
      <c r="E28" t="str">
        <f t="shared" si="1"/>
        <v/>
      </c>
      <c r="F28" t="str">
        <f t="shared" ref="F28:F30" si="2">IF(D28=MIN($D$26:$D$30),D28,"")</f>
        <v/>
      </c>
    </row>
    <row r="29" spans="1:6" x14ac:dyDescent="0.25">
      <c r="A29" s="5">
        <v>5</v>
      </c>
      <c r="B29" s="5">
        <v>7.8</v>
      </c>
      <c r="C29" t="s">
        <v>232</v>
      </c>
      <c r="D29" s="21">
        <f t="shared" si="0"/>
        <v>46336</v>
      </c>
      <c r="E29" t="str">
        <f t="shared" si="1"/>
        <v/>
      </c>
      <c r="F29" t="str">
        <f t="shared" si="2"/>
        <v/>
      </c>
    </row>
    <row r="30" spans="1:6" x14ac:dyDescent="0.25">
      <c r="A30" s="5">
        <v>9.1</v>
      </c>
      <c r="B30" s="5">
        <v>1.6</v>
      </c>
      <c r="C30" t="s">
        <v>200</v>
      </c>
      <c r="D30" s="21">
        <f t="shared" si="0"/>
        <v>49656</v>
      </c>
      <c r="E30">
        <f t="shared" si="1"/>
        <v>49656</v>
      </c>
      <c r="F30" t="str">
        <f t="shared" si="2"/>
        <v/>
      </c>
    </row>
    <row r="33" spans="1:3" x14ac:dyDescent="0.25">
      <c r="A33" s="153" t="s">
        <v>734</v>
      </c>
      <c r="B33" s="153"/>
      <c r="C33" s="85" t="s">
        <v>729</v>
      </c>
    </row>
    <row r="34" spans="1:3" x14ac:dyDescent="0.25">
      <c r="A34" t="s">
        <v>735</v>
      </c>
    </row>
    <row r="36" spans="1:3" x14ac:dyDescent="0.25">
      <c r="A36" t="s">
        <v>736</v>
      </c>
    </row>
    <row r="37" spans="1:3" x14ac:dyDescent="0.25">
      <c r="B37" t="s">
        <v>737</v>
      </c>
    </row>
    <row r="39" spans="1:3" x14ac:dyDescent="0.25">
      <c r="A39" t="s">
        <v>738</v>
      </c>
    </row>
    <row r="40" spans="1:3" x14ac:dyDescent="0.25">
      <c r="B40" t="s">
        <v>739</v>
      </c>
    </row>
    <row r="59" spans="9:9" x14ac:dyDescent="0.25">
      <c r="I59" t="s">
        <v>740</v>
      </c>
    </row>
    <row r="79" spans="1:1" x14ac:dyDescent="0.25">
      <c r="A79" t="s">
        <v>741</v>
      </c>
    </row>
    <row r="111" spans="1:2" x14ac:dyDescent="0.25">
      <c r="A111" t="s">
        <v>742</v>
      </c>
    </row>
    <row r="112" spans="1:2" x14ac:dyDescent="0.25">
      <c r="B112" t="s">
        <v>744</v>
      </c>
    </row>
    <row r="113" spans="2:2" x14ac:dyDescent="0.25">
      <c r="B113" t="s">
        <v>745</v>
      </c>
    </row>
  </sheetData>
  <mergeCells count="3">
    <mergeCell ref="A1:B1"/>
    <mergeCell ref="A24:B24"/>
    <mergeCell ref="A33:B33"/>
  </mergeCells>
  <dataValidations count="1">
    <dataValidation type="list" allowBlank="1" showInputMessage="1" showErrorMessage="1" sqref="C33" xr:uid="{45832785-9554-4D29-BB45-67691D778177}">
      <formula1>"Utility,Productivity,Game"</formula1>
    </dataValidation>
  </dataValidations>
  <hyperlinks>
    <hyperlink ref="K2" r:id="rId1" xr:uid="{E503AD20-D918-4E22-B22D-E6803A298E37}"/>
  </hyperlinks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A094-9C4A-40D1-9064-FA83E7CFF145}">
  <dimension ref="A1:N14"/>
  <sheetViews>
    <sheetView workbookViewId="0">
      <selection activeCell="D29" sqref="D29"/>
    </sheetView>
  </sheetViews>
  <sheetFormatPr defaultRowHeight="15" x14ac:dyDescent="0.25"/>
  <cols>
    <col min="1" max="1" width="10.42578125" bestFit="1" customWidth="1"/>
  </cols>
  <sheetData>
    <row r="1" spans="1:14" x14ac:dyDescent="0.25">
      <c r="A1" s="1" t="s">
        <v>278</v>
      </c>
      <c r="B1" s="1" t="s">
        <v>747</v>
      </c>
      <c r="C1" s="1" t="s">
        <v>748</v>
      </c>
      <c r="D1" s="1" t="s">
        <v>749</v>
      </c>
      <c r="E1" s="1" t="s">
        <v>488</v>
      </c>
      <c r="F1" s="1"/>
      <c r="G1" s="1" t="s">
        <v>750</v>
      </c>
      <c r="N1" t="s">
        <v>751</v>
      </c>
    </row>
    <row r="2" spans="1:14" x14ac:dyDescent="0.25">
      <c r="A2" s="4">
        <v>45292</v>
      </c>
      <c r="B2">
        <f ca="1">RANDBETWEEN(0,999)</f>
        <v>761</v>
      </c>
      <c r="C2">
        <f t="shared" ref="C2:D13" ca="1" si="0">RANDBETWEEN(0,999)</f>
        <v>804</v>
      </c>
      <c r="D2">
        <f t="shared" ca="1" si="0"/>
        <v>203</v>
      </c>
      <c r="E2" s="1">
        <f ca="1">SUM(B2:D2)</f>
        <v>1768</v>
      </c>
    </row>
    <row r="3" spans="1:14" x14ac:dyDescent="0.25">
      <c r="A3" s="4">
        <v>45323</v>
      </c>
      <c r="B3">
        <f t="shared" ref="B3:B13" ca="1" si="1">RANDBETWEEN(0,999)</f>
        <v>626</v>
      </c>
      <c r="C3">
        <f t="shared" ca="1" si="0"/>
        <v>983</v>
      </c>
      <c r="D3">
        <f t="shared" ca="1" si="0"/>
        <v>562</v>
      </c>
      <c r="E3" s="1">
        <f t="shared" ref="E3:E13" ca="1" si="2">SUM(B3:D3)</f>
        <v>2171</v>
      </c>
    </row>
    <row r="4" spans="1:14" x14ac:dyDescent="0.25">
      <c r="A4" s="4">
        <v>45352</v>
      </c>
      <c r="B4">
        <f t="shared" ca="1" si="1"/>
        <v>261</v>
      </c>
      <c r="C4">
        <f t="shared" ca="1" si="0"/>
        <v>396</v>
      </c>
      <c r="D4">
        <f t="shared" ca="1" si="0"/>
        <v>448</v>
      </c>
      <c r="E4" s="1">
        <f t="shared" ca="1" si="2"/>
        <v>1105</v>
      </c>
    </row>
    <row r="5" spans="1:14" x14ac:dyDescent="0.25">
      <c r="A5" s="4">
        <v>45383</v>
      </c>
      <c r="B5">
        <f t="shared" ca="1" si="1"/>
        <v>74</v>
      </c>
      <c r="C5">
        <f t="shared" ca="1" si="0"/>
        <v>753</v>
      </c>
      <c r="D5">
        <f t="shared" ca="1" si="0"/>
        <v>976</v>
      </c>
      <c r="E5" s="1">
        <f t="shared" ca="1" si="2"/>
        <v>1803</v>
      </c>
    </row>
    <row r="6" spans="1:14" x14ac:dyDescent="0.25">
      <c r="A6" s="4">
        <v>45413</v>
      </c>
      <c r="B6">
        <f t="shared" ca="1" si="1"/>
        <v>375</v>
      </c>
      <c r="C6">
        <f t="shared" ca="1" si="0"/>
        <v>561</v>
      </c>
      <c r="D6">
        <f t="shared" ca="1" si="0"/>
        <v>659</v>
      </c>
      <c r="E6" s="1">
        <f t="shared" ca="1" si="2"/>
        <v>1595</v>
      </c>
    </row>
    <row r="7" spans="1:14" x14ac:dyDescent="0.25">
      <c r="A7" s="4">
        <v>45444</v>
      </c>
      <c r="B7">
        <f t="shared" ca="1" si="1"/>
        <v>872</v>
      </c>
      <c r="C7">
        <f t="shared" ca="1" si="0"/>
        <v>454</v>
      </c>
      <c r="D7">
        <f t="shared" ca="1" si="0"/>
        <v>415</v>
      </c>
      <c r="E7" s="1">
        <f t="shared" ca="1" si="2"/>
        <v>1741</v>
      </c>
    </row>
    <row r="8" spans="1:14" x14ac:dyDescent="0.25">
      <c r="A8" s="4">
        <v>45474</v>
      </c>
      <c r="B8">
        <f t="shared" ca="1" si="1"/>
        <v>764</v>
      </c>
      <c r="C8">
        <f t="shared" ca="1" si="0"/>
        <v>149</v>
      </c>
      <c r="D8">
        <f t="shared" ca="1" si="0"/>
        <v>66</v>
      </c>
      <c r="E8" s="1">
        <f t="shared" ca="1" si="2"/>
        <v>979</v>
      </c>
    </row>
    <row r="9" spans="1:14" x14ac:dyDescent="0.25">
      <c r="A9" s="4">
        <v>45505</v>
      </c>
      <c r="B9">
        <f t="shared" ca="1" si="1"/>
        <v>266</v>
      </c>
      <c r="C9">
        <f t="shared" ca="1" si="0"/>
        <v>939</v>
      </c>
      <c r="D9">
        <f t="shared" ca="1" si="0"/>
        <v>137</v>
      </c>
      <c r="E9" s="1">
        <f t="shared" ca="1" si="2"/>
        <v>1342</v>
      </c>
    </row>
    <row r="10" spans="1:14" x14ac:dyDescent="0.25">
      <c r="A10" s="4">
        <v>45536</v>
      </c>
      <c r="B10">
        <f t="shared" ca="1" si="1"/>
        <v>737</v>
      </c>
      <c r="C10">
        <f t="shared" ca="1" si="0"/>
        <v>822</v>
      </c>
      <c r="D10">
        <f t="shared" ca="1" si="0"/>
        <v>406</v>
      </c>
      <c r="E10" s="1">
        <f t="shared" ca="1" si="2"/>
        <v>1965</v>
      </c>
    </row>
    <row r="11" spans="1:14" x14ac:dyDescent="0.25">
      <c r="A11" s="4">
        <v>45566</v>
      </c>
      <c r="B11">
        <f t="shared" ca="1" si="1"/>
        <v>863</v>
      </c>
      <c r="C11">
        <f t="shared" ca="1" si="0"/>
        <v>573</v>
      </c>
      <c r="D11">
        <f t="shared" ca="1" si="0"/>
        <v>927</v>
      </c>
      <c r="E11" s="1">
        <f t="shared" ca="1" si="2"/>
        <v>2363</v>
      </c>
    </row>
    <row r="12" spans="1:14" x14ac:dyDescent="0.25">
      <c r="A12" s="4">
        <v>45597</v>
      </c>
      <c r="B12">
        <f t="shared" ca="1" si="1"/>
        <v>574</v>
      </c>
      <c r="C12">
        <f t="shared" ca="1" si="0"/>
        <v>411</v>
      </c>
      <c r="D12">
        <f t="shared" ca="1" si="0"/>
        <v>474</v>
      </c>
      <c r="E12" s="1">
        <f t="shared" ca="1" si="2"/>
        <v>1459</v>
      </c>
    </row>
    <row r="13" spans="1:14" x14ac:dyDescent="0.25">
      <c r="A13" s="4">
        <v>45627</v>
      </c>
      <c r="B13">
        <f t="shared" ca="1" si="1"/>
        <v>461</v>
      </c>
      <c r="C13">
        <f t="shared" ca="1" si="0"/>
        <v>184</v>
      </c>
      <c r="D13">
        <f t="shared" ca="1" si="0"/>
        <v>822</v>
      </c>
      <c r="E13" s="1">
        <f t="shared" ca="1" si="2"/>
        <v>1467</v>
      </c>
    </row>
    <row r="14" spans="1:14" x14ac:dyDescent="0.25">
      <c r="A14" s="1" t="s">
        <v>488</v>
      </c>
      <c r="B14" s="1">
        <f ca="1">SUM(B2:B13)</f>
        <v>6634</v>
      </c>
      <c r="C14" s="1">
        <f t="shared" ref="C14:E14" ca="1" si="3">SUM(C2:C13)</f>
        <v>7029</v>
      </c>
      <c r="D14" s="1">
        <f t="shared" ca="1" si="3"/>
        <v>6095</v>
      </c>
      <c r="E14" s="1">
        <f t="shared" ca="1" si="3"/>
        <v>19758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2D887-B8C7-47FB-9C89-68055AA323F2}">
  <dimension ref="A1:M45"/>
  <sheetViews>
    <sheetView topLeftCell="C1" workbookViewId="0">
      <selection activeCell="K29" sqref="K29"/>
    </sheetView>
  </sheetViews>
  <sheetFormatPr defaultRowHeight="15" x14ac:dyDescent="0.25"/>
  <cols>
    <col min="1" max="1" width="15.28515625" customWidth="1"/>
    <col min="2" max="2" width="12.5703125" bestFit="1" customWidth="1"/>
    <col min="5" max="5" width="15.140625" customWidth="1"/>
    <col min="6" max="6" width="12.5703125" bestFit="1" customWidth="1"/>
    <col min="9" max="9" width="15.140625" customWidth="1"/>
    <col min="10" max="10" width="10.7109375" customWidth="1"/>
  </cols>
  <sheetData>
    <row r="1" spans="1:13" x14ac:dyDescent="0.25">
      <c r="A1" s="132" t="s">
        <v>752</v>
      </c>
      <c r="B1" s="133"/>
      <c r="C1" s="133"/>
      <c r="D1" s="133"/>
      <c r="E1" s="133"/>
      <c r="I1" t="s">
        <v>760</v>
      </c>
    </row>
    <row r="2" spans="1:13" x14ac:dyDescent="0.25">
      <c r="A2" t="s">
        <v>753</v>
      </c>
    </row>
    <row r="3" spans="1:13" x14ac:dyDescent="0.25">
      <c r="B3" s="134">
        <v>80000</v>
      </c>
    </row>
    <row r="4" spans="1:13" x14ac:dyDescent="0.25">
      <c r="B4" t="s">
        <v>754</v>
      </c>
      <c r="J4" t="s">
        <v>755</v>
      </c>
    </row>
    <row r="5" spans="1:13" ht="15.75" thickBot="1" x14ac:dyDescent="0.3">
      <c r="A5" s="135" t="s">
        <v>23</v>
      </c>
      <c r="B5" s="135" t="s">
        <v>25</v>
      </c>
      <c r="I5" s="135" t="s">
        <v>23</v>
      </c>
      <c r="J5" s="135" t="s">
        <v>25</v>
      </c>
      <c r="L5" s="135" t="s">
        <v>23</v>
      </c>
      <c r="M5" s="135" t="s">
        <v>25</v>
      </c>
    </row>
    <row r="6" spans="1:13" x14ac:dyDescent="0.25">
      <c r="A6" t="s">
        <v>27</v>
      </c>
      <c r="B6" s="21">
        <v>60270</v>
      </c>
      <c r="C6" t="b">
        <f>$B6&gt;=$B$3</f>
        <v>0</v>
      </c>
      <c r="I6" t="s">
        <v>27</v>
      </c>
      <c r="J6" s="21">
        <v>60270</v>
      </c>
      <c r="L6" t="b">
        <f>$J6&gt;=$B$3</f>
        <v>0</v>
      </c>
      <c r="M6" t="b">
        <f>$J6&gt;=$B$3</f>
        <v>0</v>
      </c>
    </row>
    <row r="7" spans="1:13" x14ac:dyDescent="0.25">
      <c r="A7" t="s">
        <v>28</v>
      </c>
      <c r="B7" s="21">
        <v>39627.279999999999</v>
      </c>
      <c r="C7" t="b">
        <f t="shared" ref="C7:C20" si="0">$B7&gt;=$B$3</f>
        <v>0</v>
      </c>
      <c r="I7" t="s">
        <v>28</v>
      </c>
      <c r="J7" s="21">
        <v>39627.279999999999</v>
      </c>
      <c r="L7" t="b">
        <f t="shared" ref="L7:M20" si="1">$J7&gt;=$B$3</f>
        <v>0</v>
      </c>
      <c r="M7" t="b">
        <f t="shared" si="1"/>
        <v>0</v>
      </c>
    </row>
    <row r="8" spans="1:13" x14ac:dyDescent="0.25">
      <c r="A8" t="s">
        <v>29</v>
      </c>
      <c r="B8" s="21">
        <v>18000</v>
      </c>
      <c r="C8" t="b">
        <f t="shared" si="0"/>
        <v>0</v>
      </c>
      <c r="I8" t="s">
        <v>29</v>
      </c>
      <c r="J8" s="21">
        <v>18000</v>
      </c>
      <c r="L8" t="b">
        <f t="shared" si="1"/>
        <v>0</v>
      </c>
      <c r="M8" t="b">
        <f t="shared" si="1"/>
        <v>0</v>
      </c>
    </row>
    <row r="9" spans="1:13" x14ac:dyDescent="0.25">
      <c r="A9" t="s">
        <v>30</v>
      </c>
      <c r="B9" s="21">
        <v>93668.260000000009</v>
      </c>
      <c r="C9" t="b">
        <f t="shared" si="0"/>
        <v>1</v>
      </c>
      <c r="I9" t="s">
        <v>30</v>
      </c>
      <c r="J9" s="21">
        <v>93668.260000000009</v>
      </c>
      <c r="L9" t="b">
        <f t="shared" si="1"/>
        <v>1</v>
      </c>
      <c r="M9" t="b">
        <f t="shared" si="1"/>
        <v>1</v>
      </c>
    </row>
    <row r="10" spans="1:13" x14ac:dyDescent="0.25">
      <c r="A10" t="s">
        <v>31</v>
      </c>
      <c r="B10" s="21">
        <v>134000.01999999999</v>
      </c>
      <c r="C10" t="b">
        <f t="shared" si="0"/>
        <v>1</v>
      </c>
      <c r="I10" t="s">
        <v>31</v>
      </c>
      <c r="J10" s="21">
        <v>134000.02000000002</v>
      </c>
      <c r="L10" t="b">
        <f t="shared" si="1"/>
        <v>1</v>
      </c>
      <c r="M10" t="b">
        <f t="shared" si="1"/>
        <v>1</v>
      </c>
    </row>
    <row r="11" spans="1:13" x14ac:dyDescent="0.25">
      <c r="A11" t="s">
        <v>32</v>
      </c>
      <c r="B11" s="21">
        <v>34808.200000000004</v>
      </c>
      <c r="C11" t="b">
        <f t="shared" si="0"/>
        <v>0</v>
      </c>
      <c r="I11" t="s">
        <v>32</v>
      </c>
      <c r="J11" s="21">
        <v>34808.200000000004</v>
      </c>
      <c r="L11" t="b">
        <f t="shared" si="1"/>
        <v>0</v>
      </c>
      <c r="M11" t="b">
        <f t="shared" si="1"/>
        <v>0</v>
      </c>
    </row>
    <row r="12" spans="1:13" x14ac:dyDescent="0.25">
      <c r="A12" t="s">
        <v>33</v>
      </c>
      <c r="B12" s="21">
        <v>134468.18000000002</v>
      </c>
      <c r="C12" t="b">
        <f t="shared" si="0"/>
        <v>1</v>
      </c>
      <c r="I12" t="s">
        <v>33</v>
      </c>
      <c r="J12" s="21">
        <v>134468.18000000002</v>
      </c>
      <c r="L12" t="b">
        <f t="shared" si="1"/>
        <v>1</v>
      </c>
      <c r="M12" t="b">
        <f t="shared" si="1"/>
        <v>1</v>
      </c>
    </row>
    <row r="13" spans="1:13" x14ac:dyDescent="0.25">
      <c r="A13" t="s">
        <v>34</v>
      </c>
      <c r="B13" s="21">
        <v>45000.06</v>
      </c>
      <c r="C13" t="b">
        <f t="shared" si="0"/>
        <v>0</v>
      </c>
      <c r="I13" t="s">
        <v>34</v>
      </c>
      <c r="J13" s="21">
        <v>45000.06</v>
      </c>
      <c r="L13" t="b">
        <f t="shared" si="1"/>
        <v>0</v>
      </c>
      <c r="M13" t="b">
        <f t="shared" si="1"/>
        <v>0</v>
      </c>
    </row>
    <row r="14" spans="1:13" x14ac:dyDescent="0.25">
      <c r="A14" t="s">
        <v>35</v>
      </c>
      <c r="B14" s="21">
        <v>89500.04</v>
      </c>
      <c r="C14" t="b">
        <f t="shared" si="0"/>
        <v>1</v>
      </c>
      <c r="I14" t="s">
        <v>35</v>
      </c>
      <c r="J14" s="21">
        <v>89500.04</v>
      </c>
      <c r="L14" t="b">
        <f t="shared" si="1"/>
        <v>1</v>
      </c>
      <c r="M14" t="b">
        <f t="shared" si="1"/>
        <v>1</v>
      </c>
    </row>
    <row r="15" spans="1:13" x14ac:dyDescent="0.25">
      <c r="A15" t="s">
        <v>36</v>
      </c>
      <c r="B15" s="21">
        <v>21971.600000000002</v>
      </c>
      <c r="C15" t="b">
        <f t="shared" si="0"/>
        <v>0</v>
      </c>
      <c r="I15" t="s">
        <v>36</v>
      </c>
      <c r="J15" s="21">
        <v>21971.600000000002</v>
      </c>
      <c r="L15" t="b">
        <f t="shared" si="1"/>
        <v>0</v>
      </c>
      <c r="M15" t="b">
        <f t="shared" si="1"/>
        <v>0</v>
      </c>
    </row>
    <row r="16" spans="1:13" x14ac:dyDescent="0.25">
      <c r="A16" t="s">
        <v>37</v>
      </c>
      <c r="B16" s="21">
        <v>81000</v>
      </c>
      <c r="C16" t="b">
        <f t="shared" si="0"/>
        <v>1</v>
      </c>
      <c r="I16" t="s">
        <v>37</v>
      </c>
      <c r="J16" s="21">
        <v>81000</v>
      </c>
      <c r="L16" t="b">
        <f t="shared" si="1"/>
        <v>1</v>
      </c>
      <c r="M16" t="b">
        <f t="shared" si="1"/>
        <v>1</v>
      </c>
    </row>
    <row r="17" spans="1:13" x14ac:dyDescent="0.25">
      <c r="A17" t="s">
        <v>38</v>
      </c>
      <c r="B17" s="21">
        <v>185000.06</v>
      </c>
      <c r="C17" t="b">
        <f t="shared" si="0"/>
        <v>1</v>
      </c>
      <c r="I17" t="s">
        <v>38</v>
      </c>
      <c r="J17" s="21">
        <v>185000.06</v>
      </c>
      <c r="L17" t="b">
        <f t="shared" si="1"/>
        <v>1</v>
      </c>
      <c r="M17" t="b">
        <f t="shared" si="1"/>
        <v>1</v>
      </c>
    </row>
    <row r="18" spans="1:13" x14ac:dyDescent="0.25">
      <c r="A18" t="s">
        <v>39</v>
      </c>
      <c r="B18" s="21">
        <v>50545.04</v>
      </c>
      <c r="C18" t="b">
        <f t="shared" si="0"/>
        <v>0</v>
      </c>
      <c r="I18" t="s">
        <v>39</v>
      </c>
      <c r="J18" s="21">
        <v>50545.04</v>
      </c>
      <c r="L18" t="b">
        <f t="shared" si="1"/>
        <v>0</v>
      </c>
      <c r="M18" t="b">
        <f t="shared" si="1"/>
        <v>0</v>
      </c>
    </row>
    <row r="19" spans="1:13" x14ac:dyDescent="0.25">
      <c r="A19" t="s">
        <v>40</v>
      </c>
      <c r="B19" s="21">
        <v>140000</v>
      </c>
      <c r="C19" t="b">
        <f t="shared" si="0"/>
        <v>1</v>
      </c>
      <c r="I19" t="s">
        <v>40</v>
      </c>
      <c r="J19" s="21">
        <v>140000</v>
      </c>
      <c r="L19" t="b">
        <f t="shared" si="1"/>
        <v>1</v>
      </c>
      <c r="M19" t="b">
        <f t="shared" si="1"/>
        <v>1</v>
      </c>
    </row>
    <row r="20" spans="1:13" x14ac:dyDescent="0.25">
      <c r="A20" t="s">
        <v>41</v>
      </c>
      <c r="B20" s="21">
        <v>100000.04</v>
      </c>
      <c r="C20" t="b">
        <f t="shared" si="0"/>
        <v>1</v>
      </c>
      <c r="I20" t="s">
        <v>41</v>
      </c>
      <c r="J20" s="21">
        <v>100000.04</v>
      </c>
      <c r="L20" t="b">
        <f t="shared" si="1"/>
        <v>1</v>
      </c>
      <c r="M20" t="b">
        <f t="shared" si="1"/>
        <v>1</v>
      </c>
    </row>
    <row r="22" spans="1:13" x14ac:dyDescent="0.25">
      <c r="A22" t="s">
        <v>756</v>
      </c>
    </row>
    <row r="42" spans="2:2" x14ac:dyDescent="0.25">
      <c r="B42" t="s">
        <v>757</v>
      </c>
    </row>
    <row r="43" spans="2:2" x14ac:dyDescent="0.25">
      <c r="B43" t="s">
        <v>758</v>
      </c>
    </row>
    <row r="45" spans="2:2" x14ac:dyDescent="0.25">
      <c r="B45" t="s">
        <v>759</v>
      </c>
    </row>
  </sheetData>
  <conditionalFormatting sqref="B6:B7">
    <cfRule type="expression" dxfId="3" priority="6">
      <formula>B6&gt;=$B$3</formula>
    </cfRule>
  </conditionalFormatting>
  <conditionalFormatting sqref="B6:B20">
    <cfRule type="expression" dxfId="2" priority="4">
      <formula>B6&gt;=$B$3</formula>
    </cfRule>
  </conditionalFormatting>
  <conditionalFormatting sqref="I6:J20">
    <cfRule type="expression" dxfId="1" priority="1">
      <formula>$J6&gt;=$B$3</formula>
    </cfRule>
  </conditionalFormatting>
  <conditionalFormatting sqref="J6">
    <cfRule type="expression" dxfId="0" priority="2">
      <formula>$J6&gt;=$B$3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979EC-280D-4AFA-A486-D3791F0D358F}">
  <dimension ref="A1:G149"/>
  <sheetViews>
    <sheetView topLeftCell="A131" workbookViewId="0">
      <selection activeCell="D156" sqref="D156"/>
    </sheetView>
  </sheetViews>
  <sheetFormatPr defaultColWidth="84.140625" defaultRowHeight="15" x14ac:dyDescent="0.25"/>
  <cols>
    <col min="1" max="1" width="9.7109375" bestFit="1" customWidth="1"/>
    <col min="2" max="2" width="5.5703125" bestFit="1" customWidth="1"/>
    <col min="3" max="3" width="10.5703125" bestFit="1" customWidth="1"/>
    <col min="4" max="4" width="10.7109375" bestFit="1" customWidth="1"/>
    <col min="5" max="5" width="6.5703125" bestFit="1" customWidth="1"/>
    <col min="6" max="6" width="16.5703125" bestFit="1" customWidth="1"/>
  </cols>
  <sheetData>
    <row r="1" spans="1:7" x14ac:dyDescent="0.25">
      <c r="A1" s="1" t="s">
        <v>100</v>
      </c>
      <c r="D1" s="1"/>
    </row>
    <row r="3" spans="1:7" ht="15.75" thickBot="1" x14ac:dyDescent="0.3"/>
    <row r="4" spans="1:7" x14ac:dyDescent="0.25">
      <c r="A4" s="16" t="s">
        <v>78</v>
      </c>
      <c r="B4" s="1"/>
      <c r="C4" s="1" t="s">
        <v>86</v>
      </c>
      <c r="D4" s="1" t="s">
        <v>11</v>
      </c>
      <c r="E4" s="1" t="s">
        <v>85</v>
      </c>
      <c r="F4" s="1"/>
      <c r="G4" s="1" t="s">
        <v>9</v>
      </c>
    </row>
    <row r="5" spans="1:7" x14ac:dyDescent="0.25">
      <c r="A5" s="17">
        <v>40</v>
      </c>
      <c r="C5" s="1" t="s">
        <v>79</v>
      </c>
      <c r="D5" t="s">
        <v>88</v>
      </c>
      <c r="E5">
        <f>AVERAGE(A5:A14)</f>
        <v>61.9</v>
      </c>
      <c r="F5" t="s">
        <v>91</v>
      </c>
      <c r="G5" t="s">
        <v>97</v>
      </c>
    </row>
    <row r="6" spans="1:7" x14ac:dyDescent="0.25">
      <c r="A6" s="17">
        <v>51</v>
      </c>
      <c r="C6" s="1" t="s">
        <v>1</v>
      </c>
      <c r="D6" t="s">
        <v>89</v>
      </c>
      <c r="E6">
        <f>MEDIAN(A5:A14)</f>
        <v>58</v>
      </c>
      <c r="F6" t="s">
        <v>91</v>
      </c>
      <c r="G6" t="s">
        <v>98</v>
      </c>
    </row>
    <row r="7" spans="1:7" x14ac:dyDescent="0.25">
      <c r="A7" s="17">
        <v>66</v>
      </c>
      <c r="C7" s="1" t="s">
        <v>2</v>
      </c>
      <c r="D7" t="s">
        <v>90</v>
      </c>
      <c r="E7">
        <f>MODE(A5:A14)</f>
        <v>51</v>
      </c>
      <c r="F7" t="s">
        <v>91</v>
      </c>
      <c r="G7" t="s">
        <v>99</v>
      </c>
    </row>
    <row r="8" spans="1:7" x14ac:dyDescent="0.25">
      <c r="A8" s="17">
        <v>98</v>
      </c>
      <c r="C8" s="1"/>
    </row>
    <row r="9" spans="1:7" x14ac:dyDescent="0.25">
      <c r="A9" s="17">
        <v>42</v>
      </c>
      <c r="C9" s="1" t="s">
        <v>3</v>
      </c>
      <c r="E9" s="20">
        <f>_xlfn.VAR.S(A5:A14)</f>
        <v>405.87777777777796</v>
      </c>
      <c r="F9" t="s">
        <v>91</v>
      </c>
      <c r="G9" t="s">
        <v>95</v>
      </c>
    </row>
    <row r="10" spans="1:7" x14ac:dyDescent="0.25">
      <c r="A10" s="17">
        <v>43</v>
      </c>
      <c r="C10" s="1" t="s">
        <v>87</v>
      </c>
      <c r="E10" s="20">
        <f>_xlfn.STDEV.S(A5:A14)</f>
        <v>20.146408557799525</v>
      </c>
      <c r="F10" t="s">
        <v>91</v>
      </c>
      <c r="G10" t="s">
        <v>96</v>
      </c>
    </row>
    <row r="11" spans="1:7" x14ac:dyDescent="0.25">
      <c r="A11" s="17">
        <v>65</v>
      </c>
      <c r="C11" s="1"/>
    </row>
    <row r="12" spans="1:7" x14ac:dyDescent="0.25">
      <c r="A12" s="17">
        <v>88</v>
      </c>
      <c r="C12" s="1" t="s">
        <v>80</v>
      </c>
      <c r="D12" t="s">
        <v>83</v>
      </c>
      <c r="E12">
        <f>MAX(A5:A14)</f>
        <v>98</v>
      </c>
      <c r="F12" t="s">
        <v>91</v>
      </c>
    </row>
    <row r="13" spans="1:7" x14ac:dyDescent="0.25">
      <c r="A13" s="17">
        <v>75</v>
      </c>
      <c r="C13" s="1" t="s">
        <v>81</v>
      </c>
      <c r="D13" t="s">
        <v>84</v>
      </c>
      <c r="E13">
        <f>MIN(A5:A14)</f>
        <v>40</v>
      </c>
      <c r="F13" t="s">
        <v>91</v>
      </c>
    </row>
    <row r="14" spans="1:7" ht="15.75" thickBot="1" x14ac:dyDescent="0.3">
      <c r="A14" s="18">
        <v>51</v>
      </c>
      <c r="C14" s="14" t="s">
        <v>82</v>
      </c>
      <c r="D14" s="15" t="s">
        <v>101</v>
      </c>
      <c r="E14" s="15">
        <f>E12-E13</f>
        <v>58</v>
      </c>
      <c r="F14" t="s">
        <v>91</v>
      </c>
    </row>
    <row r="15" spans="1:7" x14ac:dyDescent="0.25">
      <c r="A15" s="17">
        <v>130</v>
      </c>
      <c r="B15" t="s">
        <v>129</v>
      </c>
      <c r="C15" s="1"/>
    </row>
    <row r="17" spans="1:3" x14ac:dyDescent="0.25">
      <c r="A17" t="s">
        <v>111</v>
      </c>
    </row>
    <row r="18" spans="1:3" x14ac:dyDescent="0.25">
      <c r="B18" t="s">
        <v>102</v>
      </c>
    </row>
    <row r="19" spans="1:3" x14ac:dyDescent="0.25">
      <c r="B19" t="s">
        <v>103</v>
      </c>
    </row>
    <row r="20" spans="1:3" x14ac:dyDescent="0.25">
      <c r="B20" t="s">
        <v>104</v>
      </c>
    </row>
    <row r="22" spans="1:3" x14ac:dyDescent="0.25">
      <c r="A22" s="1" t="s">
        <v>105</v>
      </c>
      <c r="B22">
        <f>QUARTILE(A5:A14,1)</f>
        <v>45</v>
      </c>
      <c r="C22" t="s">
        <v>108</v>
      </c>
    </row>
    <row r="23" spans="1:3" x14ac:dyDescent="0.25">
      <c r="A23" s="1" t="s">
        <v>106</v>
      </c>
      <c r="B23">
        <f>QUARTILE(A5:A14,3)</f>
        <v>72.75</v>
      </c>
      <c r="C23" t="s">
        <v>109</v>
      </c>
    </row>
    <row r="24" spans="1:3" x14ac:dyDescent="0.25">
      <c r="A24" s="1" t="s">
        <v>107</v>
      </c>
      <c r="B24">
        <f>B23-B22</f>
        <v>27.75</v>
      </c>
      <c r="C24" t="s">
        <v>110</v>
      </c>
    </row>
    <row r="26" spans="1:3" x14ac:dyDescent="0.25">
      <c r="A26" s="1" t="s">
        <v>112</v>
      </c>
    </row>
    <row r="27" spans="1:3" x14ac:dyDescent="0.25">
      <c r="A27" t="s">
        <v>80</v>
      </c>
      <c r="B27" t="s">
        <v>83</v>
      </c>
      <c r="C27">
        <f>MAX(A5:A14)</f>
        <v>98</v>
      </c>
    </row>
    <row r="28" spans="1:3" x14ac:dyDescent="0.25">
      <c r="A28" t="s">
        <v>81</v>
      </c>
      <c r="B28" t="s">
        <v>84</v>
      </c>
      <c r="C28">
        <f>MIN(A5:A14)</f>
        <v>40</v>
      </c>
    </row>
    <row r="29" spans="1:3" x14ac:dyDescent="0.25">
      <c r="A29" t="s">
        <v>115</v>
      </c>
      <c r="B29" s="20">
        <f>_xlfn.QUARTILE.EXC(A5:A14,1)</f>
        <v>42.75</v>
      </c>
    </row>
    <row r="30" spans="1:3" x14ac:dyDescent="0.25">
      <c r="A30" t="s">
        <v>116</v>
      </c>
      <c r="B30" s="20">
        <f>_xlfn.QUARTILE.EXC(A5:A14,3)</f>
        <v>78.25</v>
      </c>
    </row>
    <row r="32" spans="1:3" x14ac:dyDescent="0.25">
      <c r="A32" s="1" t="s">
        <v>113</v>
      </c>
    </row>
    <row r="33" spans="1:7" x14ac:dyDescent="0.25">
      <c r="A33" t="s">
        <v>114</v>
      </c>
    </row>
    <row r="34" spans="1:7" x14ac:dyDescent="0.25">
      <c r="A34" t="s">
        <v>80</v>
      </c>
      <c r="B34">
        <f>E12</f>
        <v>98</v>
      </c>
    </row>
    <row r="35" spans="1:7" x14ac:dyDescent="0.25">
      <c r="A35" t="s">
        <v>106</v>
      </c>
      <c r="B35" s="20">
        <f>_xlfn.QUARTILE.EXC(A5:A14,3)</f>
        <v>78.25</v>
      </c>
    </row>
    <row r="36" spans="1:7" x14ac:dyDescent="0.25">
      <c r="A36" t="s">
        <v>105</v>
      </c>
      <c r="B36" s="20">
        <f>_xlfn.QUARTILE.EXC(A5:A14,1)</f>
        <v>42.75</v>
      </c>
      <c r="E36" t="s">
        <v>117</v>
      </c>
      <c r="G36" t="s">
        <v>121</v>
      </c>
    </row>
    <row r="37" spans="1:7" x14ac:dyDescent="0.25">
      <c r="A37" t="s">
        <v>92</v>
      </c>
      <c r="B37" s="20">
        <f>E5</f>
        <v>61.9</v>
      </c>
      <c r="E37" t="s">
        <v>118</v>
      </c>
      <c r="G37" t="s">
        <v>120</v>
      </c>
    </row>
    <row r="38" spans="1:7" x14ac:dyDescent="0.25">
      <c r="A38" t="s">
        <v>1</v>
      </c>
      <c r="B38">
        <f>E6</f>
        <v>58</v>
      </c>
      <c r="E38" t="s">
        <v>119</v>
      </c>
    </row>
    <row r="39" spans="1:7" x14ac:dyDescent="0.25">
      <c r="A39" t="s">
        <v>81</v>
      </c>
      <c r="B39">
        <f>E13</f>
        <v>40</v>
      </c>
    </row>
    <row r="41" spans="1:7" x14ac:dyDescent="0.25">
      <c r="A41" s="1" t="s">
        <v>128</v>
      </c>
    </row>
    <row r="42" spans="1:7" x14ac:dyDescent="0.25">
      <c r="B42" t="s">
        <v>130</v>
      </c>
    </row>
    <row r="43" spans="1:7" x14ac:dyDescent="0.25">
      <c r="B43" t="s">
        <v>123</v>
      </c>
    </row>
    <row r="44" spans="1:7" x14ac:dyDescent="0.25">
      <c r="B44" s="1" t="s">
        <v>122</v>
      </c>
      <c r="C44" s="26">
        <f>B36-(B24*1.5)</f>
        <v>1.125</v>
      </c>
    </row>
    <row r="45" spans="1:7" x14ac:dyDescent="0.25">
      <c r="B45" t="s">
        <v>127</v>
      </c>
    </row>
    <row r="47" spans="1:7" x14ac:dyDescent="0.25">
      <c r="B47" t="s">
        <v>131</v>
      </c>
    </row>
    <row r="48" spans="1:7" x14ac:dyDescent="0.25">
      <c r="B48" t="s">
        <v>125</v>
      </c>
    </row>
    <row r="49" spans="1:3" x14ac:dyDescent="0.25">
      <c r="B49" s="1" t="s">
        <v>124</v>
      </c>
      <c r="C49" s="26">
        <f>B35+(B24*1.5)</f>
        <v>119.875</v>
      </c>
    </row>
    <row r="50" spans="1:3" x14ac:dyDescent="0.25">
      <c r="B50" t="s">
        <v>126</v>
      </c>
    </row>
    <row r="52" spans="1:3" ht="15.75" thickBot="1" x14ac:dyDescent="0.3">
      <c r="A52" t="s">
        <v>140</v>
      </c>
    </row>
    <row r="53" spans="1:3" x14ac:dyDescent="0.25">
      <c r="A53" s="28" t="s">
        <v>142</v>
      </c>
      <c r="B53" s="28"/>
    </row>
    <row r="55" spans="1:3" x14ac:dyDescent="0.25">
      <c r="A55" t="s">
        <v>0</v>
      </c>
      <c r="B55">
        <v>61.9</v>
      </c>
    </row>
    <row r="56" spans="1:3" x14ac:dyDescent="0.25">
      <c r="A56" t="s">
        <v>132</v>
      </c>
      <c r="B56">
        <v>6.3708537714954492</v>
      </c>
    </row>
    <row r="57" spans="1:3" x14ac:dyDescent="0.25">
      <c r="A57" t="s">
        <v>1</v>
      </c>
      <c r="B57">
        <v>58</v>
      </c>
    </row>
    <row r="58" spans="1:3" x14ac:dyDescent="0.25">
      <c r="A58" t="s">
        <v>2</v>
      </c>
      <c r="B58">
        <v>51</v>
      </c>
    </row>
    <row r="59" spans="1:3" x14ac:dyDescent="0.25">
      <c r="A59" t="s">
        <v>4</v>
      </c>
      <c r="B59">
        <v>20.146408557799525</v>
      </c>
    </row>
    <row r="60" spans="1:3" x14ac:dyDescent="0.25">
      <c r="A60" t="s">
        <v>133</v>
      </c>
      <c r="B60">
        <v>405.87777777777796</v>
      </c>
    </row>
    <row r="61" spans="1:3" x14ac:dyDescent="0.25">
      <c r="A61" t="s">
        <v>134</v>
      </c>
      <c r="B61">
        <v>-0.71590128133405528</v>
      </c>
    </row>
    <row r="62" spans="1:3" x14ac:dyDescent="0.25">
      <c r="A62" t="s">
        <v>135</v>
      </c>
      <c r="B62">
        <v>0.67001920568003448</v>
      </c>
    </row>
    <row r="63" spans="1:3" x14ac:dyDescent="0.25">
      <c r="A63" t="s">
        <v>82</v>
      </c>
      <c r="B63">
        <v>58</v>
      </c>
    </row>
    <row r="64" spans="1:3" x14ac:dyDescent="0.25">
      <c r="A64" t="s">
        <v>136</v>
      </c>
      <c r="B64">
        <v>40</v>
      </c>
    </row>
    <row r="65" spans="1:6" x14ac:dyDescent="0.25">
      <c r="A65" t="s">
        <v>137</v>
      </c>
      <c r="B65">
        <v>98</v>
      </c>
    </row>
    <row r="66" spans="1:6" x14ac:dyDescent="0.25">
      <c r="A66" t="s">
        <v>138</v>
      </c>
      <c r="B66">
        <v>619</v>
      </c>
    </row>
    <row r="67" spans="1:6" ht="15.75" thickBot="1" x14ac:dyDescent="0.3">
      <c r="A67" s="13" t="s">
        <v>139</v>
      </c>
      <c r="B67" s="13">
        <v>10</v>
      </c>
    </row>
    <row r="68" spans="1:6" x14ac:dyDescent="0.25">
      <c r="B68">
        <v>1</v>
      </c>
    </row>
    <row r="70" spans="1:6" x14ac:dyDescent="0.25">
      <c r="D70" t="s">
        <v>141</v>
      </c>
    </row>
    <row r="72" spans="1:6" x14ac:dyDescent="0.25">
      <c r="A72" t="s">
        <v>148</v>
      </c>
    </row>
    <row r="74" spans="1:6" x14ac:dyDescent="0.25">
      <c r="B74" t="s">
        <v>150</v>
      </c>
    </row>
    <row r="75" spans="1:6" x14ac:dyDescent="0.25">
      <c r="B75" t="s">
        <v>151</v>
      </c>
    </row>
    <row r="76" spans="1:6" x14ac:dyDescent="0.25">
      <c r="C76" t="s">
        <v>152</v>
      </c>
    </row>
    <row r="77" spans="1:6" x14ac:dyDescent="0.25">
      <c r="C77" t="s">
        <v>153</v>
      </c>
    </row>
    <row r="79" spans="1:6" x14ac:dyDescent="0.25">
      <c r="A79" s="1" t="s">
        <v>78</v>
      </c>
      <c r="B79" s="1" t="s">
        <v>149</v>
      </c>
      <c r="C79" s="1" t="s">
        <v>11</v>
      </c>
      <c r="E79" s="1" t="s">
        <v>155</v>
      </c>
    </row>
    <row r="80" spans="1:6" x14ac:dyDescent="0.25">
      <c r="A80">
        <v>40</v>
      </c>
      <c r="B80">
        <f>($A80-$B$55)/$B$59</f>
        <v>-1.0870423846101138</v>
      </c>
      <c r="C80" t="s">
        <v>154</v>
      </c>
      <c r="E80" s="20">
        <f>STANDARDIZE($A80,$B$55,$B$59)</f>
        <v>-1.0870423846101138</v>
      </c>
      <c r="F80" t="s">
        <v>156</v>
      </c>
    </row>
    <row r="81" spans="1:5" x14ac:dyDescent="0.25">
      <c r="A81">
        <v>51</v>
      </c>
      <c r="B81">
        <f t="shared" ref="B81:B89" si="0">($A81-$B$55)/$B$59</f>
        <v>-0.54103936037672329</v>
      </c>
      <c r="E81" s="20">
        <f t="shared" ref="E81:E89" si="1">STANDARDIZE($A81,$B$55,$B$59)</f>
        <v>-0.54103936037672329</v>
      </c>
    </row>
    <row r="82" spans="1:5" x14ac:dyDescent="0.25">
      <c r="A82">
        <v>66</v>
      </c>
      <c r="B82">
        <f t="shared" si="0"/>
        <v>0.20351021812335471</v>
      </c>
      <c r="E82" s="20">
        <f t="shared" si="1"/>
        <v>0.20351021812335471</v>
      </c>
    </row>
    <row r="83" spans="1:5" x14ac:dyDescent="0.25">
      <c r="A83">
        <v>98</v>
      </c>
      <c r="B83">
        <f t="shared" si="0"/>
        <v>1.7918826522568543</v>
      </c>
      <c r="E83" s="20">
        <f t="shared" si="1"/>
        <v>1.7918826522568543</v>
      </c>
    </row>
    <row r="84" spans="1:5" x14ac:dyDescent="0.25">
      <c r="A84">
        <v>42</v>
      </c>
      <c r="B84">
        <f t="shared" si="0"/>
        <v>-0.98776910747677005</v>
      </c>
      <c r="E84" s="20">
        <f t="shared" si="1"/>
        <v>-0.98776910747677005</v>
      </c>
    </row>
    <row r="85" spans="1:5" x14ac:dyDescent="0.25">
      <c r="A85">
        <v>43</v>
      </c>
      <c r="B85">
        <f t="shared" si="0"/>
        <v>-0.93813246891009816</v>
      </c>
      <c r="E85" s="20">
        <f t="shared" si="1"/>
        <v>-0.93813246891009816</v>
      </c>
    </row>
    <row r="86" spans="1:5" x14ac:dyDescent="0.25">
      <c r="A86">
        <v>65</v>
      </c>
      <c r="B86">
        <f t="shared" si="0"/>
        <v>0.15387357955668285</v>
      </c>
      <c r="E86" s="20">
        <f t="shared" si="1"/>
        <v>0.15387357955668285</v>
      </c>
    </row>
    <row r="87" spans="1:5" x14ac:dyDescent="0.25">
      <c r="A87">
        <v>88</v>
      </c>
      <c r="B87">
        <f t="shared" si="0"/>
        <v>1.2955162665901356</v>
      </c>
      <c r="E87" s="20">
        <f t="shared" si="1"/>
        <v>1.2955162665901356</v>
      </c>
    </row>
    <row r="88" spans="1:5" x14ac:dyDescent="0.25">
      <c r="A88">
        <v>75</v>
      </c>
      <c r="B88">
        <f t="shared" si="0"/>
        <v>0.65023996522340155</v>
      </c>
      <c r="E88" s="20">
        <f t="shared" si="1"/>
        <v>0.65023996522340155</v>
      </c>
    </row>
    <row r="89" spans="1:5" x14ac:dyDescent="0.25">
      <c r="A89">
        <v>51</v>
      </c>
      <c r="B89">
        <f t="shared" si="0"/>
        <v>-0.54103936037672329</v>
      </c>
      <c r="E89" s="20">
        <f t="shared" si="1"/>
        <v>-0.54103936037672329</v>
      </c>
    </row>
    <row r="90" spans="1:5" x14ac:dyDescent="0.25">
      <c r="E90" s="20"/>
    </row>
    <row r="91" spans="1:5" x14ac:dyDescent="0.25">
      <c r="E91" s="20"/>
    </row>
    <row r="93" spans="1:5" x14ac:dyDescent="0.25">
      <c r="A93" s="1" t="s">
        <v>143</v>
      </c>
      <c r="B93" s="1" t="s">
        <v>144</v>
      </c>
    </row>
    <row r="94" spans="1:5" x14ac:dyDescent="0.25">
      <c r="A94">
        <v>72</v>
      </c>
      <c r="B94">
        <v>60</v>
      </c>
    </row>
    <row r="95" spans="1:5" x14ac:dyDescent="0.25">
      <c r="A95">
        <v>80</v>
      </c>
      <c r="B95">
        <v>72</v>
      </c>
    </row>
    <row r="96" spans="1:5" x14ac:dyDescent="0.25">
      <c r="A96">
        <v>58</v>
      </c>
      <c r="B96">
        <v>57</v>
      </c>
    </row>
    <row r="97" spans="1:4" x14ac:dyDescent="0.25">
      <c r="A97">
        <v>60</v>
      </c>
      <c r="B97">
        <v>66</v>
      </c>
    </row>
    <row r="98" spans="1:4" x14ac:dyDescent="0.25">
      <c r="A98">
        <v>63</v>
      </c>
      <c r="B98">
        <v>60</v>
      </c>
    </row>
    <row r="99" spans="1:4" x14ac:dyDescent="0.25">
      <c r="A99">
        <v>67</v>
      </c>
      <c r="B99">
        <v>49</v>
      </c>
    </row>
    <row r="100" spans="1:4" x14ac:dyDescent="0.25">
      <c r="A100">
        <v>58</v>
      </c>
      <c r="B100">
        <v>48</v>
      </c>
    </row>
    <row r="101" spans="1:4" x14ac:dyDescent="0.25">
      <c r="A101">
        <v>70</v>
      </c>
      <c r="B101">
        <v>54</v>
      </c>
    </row>
    <row r="102" spans="1:4" x14ac:dyDescent="0.25">
      <c r="A102">
        <v>61</v>
      </c>
      <c r="B102">
        <v>77</v>
      </c>
    </row>
    <row r="103" spans="1:4" x14ac:dyDescent="0.25">
      <c r="A103">
        <v>45</v>
      </c>
    </row>
    <row r="104" spans="1:4" x14ac:dyDescent="0.25">
      <c r="A104">
        <v>30</v>
      </c>
    </row>
    <row r="109" spans="1:4" x14ac:dyDescent="0.25">
      <c r="D109" t="s">
        <v>147</v>
      </c>
    </row>
    <row r="110" spans="1:4" x14ac:dyDescent="0.25">
      <c r="A110" t="s">
        <v>146</v>
      </c>
    </row>
    <row r="111" spans="1:4" x14ac:dyDescent="0.25">
      <c r="B111" t="s">
        <v>145</v>
      </c>
    </row>
    <row r="113" spans="1:3" x14ac:dyDescent="0.25">
      <c r="A113" s="1" t="s">
        <v>128</v>
      </c>
    </row>
    <row r="114" spans="1:3" x14ac:dyDescent="0.25">
      <c r="B114" t="s">
        <v>130</v>
      </c>
    </row>
    <row r="115" spans="1:3" x14ac:dyDescent="0.25">
      <c r="B115" t="s">
        <v>123</v>
      </c>
    </row>
    <row r="116" spans="1:3" x14ac:dyDescent="0.25">
      <c r="B116" s="1" t="s">
        <v>122</v>
      </c>
      <c r="C116" s="26">
        <f>B107-(B95*1.5)</f>
        <v>-108</v>
      </c>
    </row>
    <row r="117" spans="1:3" x14ac:dyDescent="0.25">
      <c r="B117" t="s">
        <v>127</v>
      </c>
    </row>
    <row r="119" spans="1:3" x14ac:dyDescent="0.25">
      <c r="B119" t="s">
        <v>131</v>
      </c>
    </row>
    <row r="120" spans="1:3" x14ac:dyDescent="0.25">
      <c r="B120" t="s">
        <v>125</v>
      </c>
    </row>
    <row r="121" spans="1:3" x14ac:dyDescent="0.25">
      <c r="B121" s="1" t="s">
        <v>124</v>
      </c>
      <c r="C121" s="26">
        <f>B106+(B95*1.5)</f>
        <v>108</v>
      </c>
    </row>
    <row r="122" spans="1:3" x14ac:dyDescent="0.25">
      <c r="B122" t="s">
        <v>126</v>
      </c>
    </row>
    <row r="124" spans="1:3" x14ac:dyDescent="0.25">
      <c r="A124" t="s">
        <v>157</v>
      </c>
    </row>
    <row r="125" spans="1:3" x14ac:dyDescent="0.25">
      <c r="A125" t="s">
        <v>78</v>
      </c>
      <c r="C125" t="s">
        <v>162</v>
      </c>
    </row>
    <row r="126" spans="1:3" x14ac:dyDescent="0.25">
      <c r="A126">
        <v>40</v>
      </c>
    </row>
    <row r="127" spans="1:3" x14ac:dyDescent="0.25">
      <c r="A127">
        <v>51</v>
      </c>
    </row>
    <row r="128" spans="1:3" x14ac:dyDescent="0.25">
      <c r="A128">
        <v>66</v>
      </c>
    </row>
    <row r="129" spans="1:7" x14ac:dyDescent="0.25">
      <c r="A129">
        <v>98</v>
      </c>
    </row>
    <row r="130" spans="1:7" x14ac:dyDescent="0.25">
      <c r="A130">
        <v>42</v>
      </c>
    </row>
    <row r="131" spans="1:7" x14ac:dyDescent="0.25">
      <c r="A131">
        <v>43</v>
      </c>
    </row>
    <row r="132" spans="1:7" x14ac:dyDescent="0.25">
      <c r="A132">
        <v>65</v>
      </c>
    </row>
    <row r="133" spans="1:7" x14ac:dyDescent="0.25">
      <c r="A133">
        <v>88</v>
      </c>
    </row>
    <row r="134" spans="1:7" x14ac:dyDescent="0.25">
      <c r="A134">
        <v>75</v>
      </c>
    </row>
    <row r="135" spans="1:7" x14ac:dyDescent="0.25">
      <c r="A135">
        <v>51</v>
      </c>
    </row>
    <row r="137" spans="1:7" ht="15.75" thickBot="1" x14ac:dyDescent="0.3"/>
    <row r="138" spans="1:7" x14ac:dyDescent="0.25">
      <c r="A138" s="31" t="s">
        <v>160</v>
      </c>
      <c r="B138" s="31" t="s">
        <v>163</v>
      </c>
      <c r="C138" s="31" t="s">
        <v>158</v>
      </c>
      <c r="D138" s="31" t="s">
        <v>161</v>
      </c>
      <c r="E138" s="32" t="s">
        <v>166</v>
      </c>
      <c r="G138" s="32"/>
    </row>
    <row r="139" spans="1:7" x14ac:dyDescent="0.25">
      <c r="A139">
        <v>3</v>
      </c>
      <c r="B139">
        <v>98</v>
      </c>
      <c r="C139">
        <v>1</v>
      </c>
      <c r="D139" s="29">
        <v>1</v>
      </c>
      <c r="E139" t="s">
        <v>164</v>
      </c>
    </row>
    <row r="140" spans="1:7" x14ac:dyDescent="0.25">
      <c r="A140">
        <v>7</v>
      </c>
      <c r="B140">
        <v>88</v>
      </c>
      <c r="C140">
        <v>2</v>
      </c>
      <c r="D140" s="29">
        <v>0.875</v>
      </c>
      <c r="E140" t="s">
        <v>165</v>
      </c>
    </row>
    <row r="141" spans="1:7" x14ac:dyDescent="0.25">
      <c r="A141">
        <v>8</v>
      </c>
      <c r="B141">
        <v>75</v>
      </c>
      <c r="C141">
        <v>3</v>
      </c>
      <c r="D141" s="29">
        <v>0.75</v>
      </c>
      <c r="E141">
        <f>RANK($B141,$B$139:$B$147)</f>
        <v>3</v>
      </c>
    </row>
    <row r="142" spans="1:7" x14ac:dyDescent="0.25">
      <c r="A142">
        <v>2</v>
      </c>
      <c r="B142">
        <v>66</v>
      </c>
      <c r="C142">
        <v>4</v>
      </c>
      <c r="D142" s="29">
        <v>0.625</v>
      </c>
      <c r="E142">
        <f t="shared" ref="E142:E147" si="2">RANK($B142,$B$139:$B$147)</f>
        <v>4</v>
      </c>
    </row>
    <row r="143" spans="1:7" x14ac:dyDescent="0.25">
      <c r="A143">
        <v>6</v>
      </c>
      <c r="B143">
        <v>65</v>
      </c>
      <c r="C143">
        <v>5</v>
      </c>
      <c r="D143" s="29">
        <v>0.5</v>
      </c>
      <c r="E143">
        <f t="shared" si="2"/>
        <v>5</v>
      </c>
    </row>
    <row r="144" spans="1:7" x14ac:dyDescent="0.25">
      <c r="A144">
        <v>1</v>
      </c>
      <c r="B144">
        <v>51</v>
      </c>
      <c r="C144">
        <v>6</v>
      </c>
      <c r="D144" s="29">
        <v>0.25</v>
      </c>
      <c r="E144">
        <f t="shared" si="2"/>
        <v>6</v>
      </c>
    </row>
    <row r="145" spans="1:5" x14ac:dyDescent="0.25">
      <c r="A145">
        <v>9</v>
      </c>
      <c r="B145">
        <v>51</v>
      </c>
      <c r="C145">
        <v>6</v>
      </c>
      <c r="D145" s="29">
        <v>0.25</v>
      </c>
      <c r="E145">
        <f t="shared" si="2"/>
        <v>6</v>
      </c>
    </row>
    <row r="146" spans="1:5" x14ac:dyDescent="0.25">
      <c r="A146">
        <v>5</v>
      </c>
      <c r="B146">
        <v>43</v>
      </c>
      <c r="C146">
        <v>8</v>
      </c>
      <c r="D146" s="29">
        <v>0.125</v>
      </c>
      <c r="E146">
        <f t="shared" si="2"/>
        <v>8</v>
      </c>
    </row>
    <row r="147" spans="1:5" ht="15.75" thickBot="1" x14ac:dyDescent="0.3">
      <c r="A147" s="13">
        <v>4</v>
      </c>
      <c r="B147" s="13">
        <v>42</v>
      </c>
      <c r="C147" s="13">
        <v>9</v>
      </c>
      <c r="D147" s="30">
        <v>0</v>
      </c>
      <c r="E147">
        <f t="shared" si="2"/>
        <v>9</v>
      </c>
    </row>
    <row r="149" spans="1:5" x14ac:dyDescent="0.25">
      <c r="A149" s="44" t="s">
        <v>179</v>
      </c>
    </row>
  </sheetData>
  <sortState xmlns:xlrd2="http://schemas.microsoft.com/office/spreadsheetml/2017/richdata2" ref="A139:D147">
    <sortCondition ref="C140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AB9A2-E1C0-47D9-B948-2605302C3878}">
  <dimension ref="A1:H14"/>
  <sheetViews>
    <sheetView workbookViewId="0">
      <selection activeCell="C26" sqref="C26"/>
    </sheetView>
  </sheetViews>
  <sheetFormatPr defaultRowHeight="15" x14ac:dyDescent="0.25"/>
  <cols>
    <col min="1" max="1" width="9.7109375" bestFit="1" customWidth="1"/>
    <col min="2" max="2" width="9.7109375" customWidth="1"/>
    <col min="3" max="3" width="6.28515625" bestFit="1" customWidth="1"/>
    <col min="4" max="4" width="10.42578125" bestFit="1" customWidth="1"/>
    <col min="5" max="5" width="6" bestFit="1" customWidth="1"/>
    <col min="6" max="6" width="17.85546875" bestFit="1" customWidth="1"/>
    <col min="7" max="7" width="8.140625" bestFit="1" customWidth="1"/>
    <col min="8" max="8" width="22.140625" bestFit="1" customWidth="1"/>
  </cols>
  <sheetData>
    <row r="1" spans="1:8" x14ac:dyDescent="0.25">
      <c r="A1" s="16" t="s">
        <v>78</v>
      </c>
      <c r="B1" s="40"/>
      <c r="C1" s="35" t="s">
        <v>160</v>
      </c>
      <c r="D1" s="35" t="s">
        <v>78</v>
      </c>
      <c r="E1" s="35" t="s">
        <v>158</v>
      </c>
      <c r="F1" s="35" t="s">
        <v>166</v>
      </c>
      <c r="G1" s="35" t="s">
        <v>161</v>
      </c>
      <c r="H1" s="35" t="s">
        <v>167</v>
      </c>
    </row>
    <row r="2" spans="1:8" x14ac:dyDescent="0.25">
      <c r="A2" s="17" t="s">
        <v>172</v>
      </c>
      <c r="B2" s="41"/>
      <c r="C2" s="36"/>
      <c r="D2" s="36"/>
      <c r="E2" s="36"/>
      <c r="F2" s="36" t="s">
        <v>168</v>
      </c>
      <c r="G2" s="36"/>
      <c r="H2" s="36" t="s">
        <v>169</v>
      </c>
    </row>
    <row r="3" spans="1:8" x14ac:dyDescent="0.25">
      <c r="A3" s="17">
        <v>40</v>
      </c>
      <c r="B3" s="41"/>
      <c r="C3" s="36">
        <v>4</v>
      </c>
      <c r="D3" s="37">
        <v>98</v>
      </c>
      <c r="E3" s="36">
        <v>1</v>
      </c>
      <c r="F3" s="36" t="s">
        <v>173</v>
      </c>
      <c r="G3" s="38">
        <v>1</v>
      </c>
      <c r="H3" s="36" t="s">
        <v>175</v>
      </c>
    </row>
    <row r="4" spans="1:8" x14ac:dyDescent="0.25">
      <c r="A4" s="17">
        <v>51</v>
      </c>
      <c r="B4" s="41"/>
      <c r="C4" s="36">
        <v>8</v>
      </c>
      <c r="D4" s="37">
        <v>88</v>
      </c>
      <c r="E4" s="36">
        <v>2</v>
      </c>
      <c r="F4" s="36" t="s">
        <v>171</v>
      </c>
      <c r="G4" s="38">
        <v>0.88800000000000001</v>
      </c>
      <c r="H4" s="36" t="s">
        <v>176</v>
      </c>
    </row>
    <row r="5" spans="1:8" x14ac:dyDescent="0.25">
      <c r="A5" s="17">
        <v>66</v>
      </c>
      <c r="B5" s="41"/>
      <c r="C5" s="36">
        <v>9</v>
      </c>
      <c r="D5" s="39">
        <v>75</v>
      </c>
      <c r="E5" s="36">
        <v>3</v>
      </c>
      <c r="F5" s="36" t="s">
        <v>170</v>
      </c>
      <c r="G5" s="38">
        <v>0.77700000000000002</v>
      </c>
      <c r="H5" s="36" t="s">
        <v>177</v>
      </c>
    </row>
    <row r="6" spans="1:8" x14ac:dyDescent="0.25">
      <c r="A6" s="17">
        <v>98</v>
      </c>
      <c r="B6" s="41"/>
      <c r="C6" s="36">
        <v>3</v>
      </c>
      <c r="D6" s="37">
        <v>66</v>
      </c>
      <c r="E6" s="36">
        <v>4</v>
      </c>
      <c r="F6" s="36" t="s">
        <v>174</v>
      </c>
      <c r="G6" s="38">
        <v>0.66600000000000004</v>
      </c>
      <c r="H6" s="36" t="s">
        <v>178</v>
      </c>
    </row>
    <row r="7" spans="1:8" x14ac:dyDescent="0.25">
      <c r="A7" s="17">
        <v>42</v>
      </c>
      <c r="B7" s="41"/>
      <c r="C7" s="36">
        <v>7</v>
      </c>
      <c r="D7" s="37">
        <v>65</v>
      </c>
      <c r="E7" s="36">
        <v>5</v>
      </c>
      <c r="F7" s="36"/>
      <c r="G7" s="38">
        <v>0.55500000000000005</v>
      </c>
      <c r="H7" s="36"/>
    </row>
    <row r="8" spans="1:8" x14ac:dyDescent="0.25">
      <c r="A8" s="17">
        <v>43</v>
      </c>
      <c r="B8" s="41"/>
      <c r="C8" s="36">
        <v>2</v>
      </c>
      <c r="D8" s="37">
        <v>51</v>
      </c>
      <c r="E8" s="36">
        <v>6</v>
      </c>
      <c r="F8" s="36"/>
      <c r="G8" s="38">
        <v>0.33300000000000002</v>
      </c>
      <c r="H8" s="36"/>
    </row>
    <row r="9" spans="1:8" x14ac:dyDescent="0.25">
      <c r="A9" s="17">
        <v>65</v>
      </c>
      <c r="B9" s="41"/>
      <c r="C9" s="36">
        <v>10</v>
      </c>
      <c r="D9" s="37">
        <v>51</v>
      </c>
      <c r="E9" s="36">
        <v>6</v>
      </c>
      <c r="F9" s="36"/>
      <c r="G9" s="38">
        <v>0.33300000000000002</v>
      </c>
      <c r="H9" s="36"/>
    </row>
    <row r="10" spans="1:8" x14ac:dyDescent="0.25">
      <c r="A10" s="17">
        <v>88</v>
      </c>
      <c r="B10" s="41"/>
      <c r="C10" s="36">
        <v>6</v>
      </c>
      <c r="D10" s="37">
        <v>43</v>
      </c>
      <c r="E10" s="36">
        <v>8</v>
      </c>
      <c r="F10" s="36"/>
      <c r="G10" s="38">
        <v>0.222</v>
      </c>
      <c r="H10" s="36"/>
    </row>
    <row r="11" spans="1:8" x14ac:dyDescent="0.25">
      <c r="A11" s="17">
        <v>75</v>
      </c>
      <c r="B11" s="41"/>
      <c r="C11" s="36">
        <v>5</v>
      </c>
      <c r="D11" s="37">
        <v>42</v>
      </c>
      <c r="E11" s="36">
        <v>9</v>
      </c>
      <c r="F11" s="36"/>
      <c r="G11" s="38">
        <v>0.111</v>
      </c>
      <c r="H11" s="36"/>
    </row>
    <row r="12" spans="1:8" ht="15.75" thickBot="1" x14ac:dyDescent="0.3">
      <c r="A12" s="18">
        <v>51</v>
      </c>
      <c r="B12" s="42"/>
      <c r="C12" s="36">
        <v>1</v>
      </c>
      <c r="D12" s="37">
        <v>40</v>
      </c>
      <c r="E12" s="36">
        <v>10</v>
      </c>
      <c r="F12" s="36"/>
      <c r="G12" s="38">
        <v>0</v>
      </c>
      <c r="H12" s="36"/>
    </row>
    <row r="14" spans="1:8" x14ac:dyDescent="0.25">
      <c r="A14" t="s">
        <v>180</v>
      </c>
    </row>
  </sheetData>
  <sortState xmlns:xlrd2="http://schemas.microsoft.com/office/spreadsheetml/2017/richdata2" ref="C3:G12">
    <sortCondition ref="E4"/>
  </sortState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AD2C0-46C1-424D-9FE2-F6F1F2465391}">
  <dimension ref="A1:I61"/>
  <sheetViews>
    <sheetView topLeftCell="A31" workbookViewId="0">
      <selection activeCell="A45" sqref="A45:B60"/>
    </sheetView>
  </sheetViews>
  <sheetFormatPr defaultRowHeight="15" x14ac:dyDescent="0.25"/>
  <cols>
    <col min="1" max="1" width="12.5703125" bestFit="1" customWidth="1"/>
    <col min="2" max="2" width="10.28515625" bestFit="1" customWidth="1"/>
    <col min="3" max="3" width="4.140625" customWidth="1"/>
    <col min="4" max="4" width="4.42578125" customWidth="1"/>
    <col min="5" max="5" width="28.42578125" bestFit="1" customWidth="1"/>
    <col min="6" max="6" width="10" bestFit="1" customWidth="1"/>
    <col min="7" max="7" width="11.5703125" bestFit="1" customWidth="1"/>
    <col min="8" max="8" width="37.7109375" bestFit="1" customWidth="1"/>
  </cols>
  <sheetData>
    <row r="1" spans="1:9" x14ac:dyDescent="0.25">
      <c r="A1" s="139" t="s">
        <v>224</v>
      </c>
      <c r="B1" s="139"/>
      <c r="C1" s="139"/>
      <c r="D1" s="139"/>
      <c r="E1" s="139"/>
      <c r="F1" s="139"/>
      <c r="G1" s="139"/>
      <c r="H1" t="s">
        <v>225</v>
      </c>
    </row>
    <row r="2" spans="1:9" ht="45" x14ac:dyDescent="0.25">
      <c r="A2" s="1" t="s">
        <v>192</v>
      </c>
      <c r="B2" s="45" t="s">
        <v>193</v>
      </c>
      <c r="H2" s="1" t="s">
        <v>11</v>
      </c>
      <c r="I2" s="1" t="s">
        <v>9</v>
      </c>
    </row>
    <row r="3" spans="1:9" x14ac:dyDescent="0.25">
      <c r="B3" s="48"/>
      <c r="H3" t="s">
        <v>213</v>
      </c>
    </row>
    <row r="4" spans="1:9" x14ac:dyDescent="0.25">
      <c r="A4" t="s">
        <v>194</v>
      </c>
      <c r="B4" s="46">
        <v>42394</v>
      </c>
    </row>
    <row r="5" spans="1:9" x14ac:dyDescent="0.25">
      <c r="A5" t="s">
        <v>195</v>
      </c>
      <c r="B5" s="46">
        <v>46299</v>
      </c>
      <c r="E5" t="s">
        <v>208</v>
      </c>
      <c r="F5">
        <v>0.25</v>
      </c>
      <c r="G5" s="21">
        <f>_xlfn.PERCENTILE.INC($B$4:$B$17,0.25)</f>
        <v>48504</v>
      </c>
      <c r="H5" t="s">
        <v>212</v>
      </c>
    </row>
    <row r="6" spans="1:9" x14ac:dyDescent="0.25">
      <c r="A6" t="s">
        <v>196</v>
      </c>
      <c r="B6" s="46">
        <v>46508</v>
      </c>
      <c r="E6" t="s">
        <v>209</v>
      </c>
      <c r="F6">
        <v>0.5</v>
      </c>
      <c r="G6" s="21">
        <f>_xlfn.PERCENTILE.INC($B$4:$B$17,0.5)</f>
        <v>53847</v>
      </c>
    </row>
    <row r="7" spans="1:9" x14ac:dyDescent="0.25">
      <c r="A7" t="s">
        <v>197</v>
      </c>
      <c r="B7" s="46">
        <v>48271</v>
      </c>
      <c r="E7" t="s">
        <v>210</v>
      </c>
      <c r="F7">
        <v>0.75</v>
      </c>
      <c r="G7" s="21">
        <f>_xlfn.PERCENTILE.INC($B$4:$B$17,0.75)</f>
        <v>64201</v>
      </c>
      <c r="I7" t="s">
        <v>214</v>
      </c>
    </row>
    <row r="8" spans="1:9" x14ac:dyDescent="0.25">
      <c r="A8" t="s">
        <v>198</v>
      </c>
      <c r="B8" s="46">
        <v>49203</v>
      </c>
    </row>
    <row r="9" spans="1:9" x14ac:dyDescent="0.25">
      <c r="A9" t="s">
        <v>199</v>
      </c>
      <c r="B9" s="46">
        <v>51396</v>
      </c>
    </row>
    <row r="10" spans="1:9" x14ac:dyDescent="0.25">
      <c r="A10" t="s">
        <v>200</v>
      </c>
      <c r="B10" s="46">
        <v>53669</v>
      </c>
      <c r="E10" t="s">
        <v>211</v>
      </c>
      <c r="G10" s="49">
        <v>65000</v>
      </c>
    </row>
    <row r="11" spans="1:9" x14ac:dyDescent="0.25">
      <c r="A11" t="s">
        <v>201</v>
      </c>
      <c r="B11" s="46">
        <v>54025</v>
      </c>
    </row>
    <row r="12" spans="1:9" x14ac:dyDescent="0.25">
      <c r="A12" t="s">
        <v>202</v>
      </c>
      <c r="B12" s="46">
        <v>60162</v>
      </c>
      <c r="E12" t="s">
        <v>218</v>
      </c>
      <c r="G12" s="47">
        <f>_xlfn.PERCENTRANK.INC($B$4:$B$17,$G$10)</f>
        <v>0.77600000000000002</v>
      </c>
      <c r="H12" t="s">
        <v>216</v>
      </c>
    </row>
    <row r="13" spans="1:9" x14ac:dyDescent="0.25">
      <c r="A13" t="s">
        <v>203</v>
      </c>
      <c r="B13" s="46">
        <v>64198</v>
      </c>
      <c r="E13" t="s">
        <v>219</v>
      </c>
      <c r="G13" s="51">
        <f>$G$12</f>
        <v>0.77600000000000002</v>
      </c>
      <c r="H13" t="s">
        <v>215</v>
      </c>
    </row>
    <row r="14" spans="1:9" x14ac:dyDescent="0.25">
      <c r="A14" t="s">
        <v>204</v>
      </c>
      <c r="B14" s="46">
        <v>64202</v>
      </c>
    </row>
    <row r="15" spans="1:9" x14ac:dyDescent="0.25">
      <c r="A15" t="s">
        <v>205</v>
      </c>
      <c r="B15" s="46">
        <v>72151</v>
      </c>
      <c r="G15" s="1" t="str">
        <f>"If I make $"&amp;$G$10&amp;" this "&amp;$G$13*100&amp;"% are below my salary"</f>
        <v>If I make $65000 this 77.6% are below my salary</v>
      </c>
    </row>
    <row r="16" spans="1:9" x14ac:dyDescent="0.25">
      <c r="A16" t="s">
        <v>206</v>
      </c>
      <c r="B16" s="46">
        <v>95394</v>
      </c>
      <c r="G16" t="s">
        <v>217</v>
      </c>
    </row>
    <row r="17" spans="1:7" x14ac:dyDescent="0.25">
      <c r="A17" t="s">
        <v>207</v>
      </c>
      <c r="B17" s="46">
        <v>110638</v>
      </c>
    </row>
    <row r="18" spans="1:7" x14ac:dyDescent="0.25">
      <c r="G18" s="1" t="str">
        <f>TEXT($G$13,"0%") &amp; " of salaries are BELOW your salary"</f>
        <v>78% of salaries are BELOW your salary</v>
      </c>
    </row>
    <row r="19" spans="1:7" x14ac:dyDescent="0.25">
      <c r="G19" t="s">
        <v>220</v>
      </c>
    </row>
    <row r="21" spans="1:7" x14ac:dyDescent="0.25">
      <c r="G21" s="1" t="str">
        <f>TEXT(1-$G$13,"0%") &amp; " of salaries are ABOVE your salary"</f>
        <v>22% of salaries are ABOVE your salary</v>
      </c>
    </row>
    <row r="22" spans="1:7" x14ac:dyDescent="0.25">
      <c r="G22" t="s">
        <v>221</v>
      </c>
    </row>
    <row r="25" spans="1:7" x14ac:dyDescent="0.25">
      <c r="A25" t="s">
        <v>181</v>
      </c>
      <c r="B25" t="s">
        <v>182</v>
      </c>
    </row>
    <row r="26" spans="1:7" x14ac:dyDescent="0.25">
      <c r="B26" t="s">
        <v>183</v>
      </c>
    </row>
    <row r="27" spans="1:7" x14ac:dyDescent="0.25">
      <c r="C27" t="s">
        <v>184</v>
      </c>
    </row>
    <row r="28" spans="1:7" x14ac:dyDescent="0.25">
      <c r="C28" t="s">
        <v>185</v>
      </c>
    </row>
    <row r="30" spans="1:7" x14ac:dyDescent="0.25">
      <c r="A30" t="s">
        <v>186</v>
      </c>
    </row>
    <row r="31" spans="1:7" x14ac:dyDescent="0.25">
      <c r="B31" t="s">
        <v>189</v>
      </c>
    </row>
    <row r="32" spans="1:7" x14ac:dyDescent="0.25">
      <c r="B32" t="s">
        <v>190</v>
      </c>
    </row>
    <row r="34" spans="1:8" x14ac:dyDescent="0.25">
      <c r="A34" t="s">
        <v>187</v>
      </c>
    </row>
    <row r="35" spans="1:8" x14ac:dyDescent="0.25">
      <c r="B35" t="s">
        <v>188</v>
      </c>
    </row>
    <row r="36" spans="1:8" x14ac:dyDescent="0.25">
      <c r="B36" t="s">
        <v>191</v>
      </c>
    </row>
    <row r="38" spans="1:8" x14ac:dyDescent="0.25">
      <c r="A38" t="s">
        <v>222</v>
      </c>
    </row>
    <row r="39" spans="1:8" x14ac:dyDescent="0.25">
      <c r="B39" t="s">
        <v>223</v>
      </c>
    </row>
    <row r="45" spans="1:8" ht="45" x14ac:dyDescent="0.25">
      <c r="A45" s="1" t="s">
        <v>192</v>
      </c>
      <c r="B45" s="45" t="s">
        <v>193</v>
      </c>
      <c r="E45" s="52" t="s">
        <v>227</v>
      </c>
      <c r="F45" s="52" t="s">
        <v>226</v>
      </c>
      <c r="G45" s="52" t="s">
        <v>158</v>
      </c>
      <c r="H45" s="52" t="s">
        <v>161</v>
      </c>
    </row>
    <row r="46" spans="1:8" x14ac:dyDescent="0.25">
      <c r="B46" s="48"/>
      <c r="E46" s="36">
        <v>14</v>
      </c>
      <c r="F46" s="53">
        <v>110638</v>
      </c>
      <c r="G46" s="36">
        <v>1</v>
      </c>
      <c r="H46" s="38">
        <v>1</v>
      </c>
    </row>
    <row r="47" spans="1:8" x14ac:dyDescent="0.25">
      <c r="A47" t="s">
        <v>194</v>
      </c>
      <c r="B47" s="46">
        <v>42394</v>
      </c>
      <c r="E47" s="36">
        <v>13</v>
      </c>
      <c r="F47" s="53">
        <v>95394</v>
      </c>
      <c r="G47" s="36">
        <v>2</v>
      </c>
      <c r="H47" s="38">
        <v>0.92300000000000004</v>
      </c>
    </row>
    <row r="48" spans="1:8" x14ac:dyDescent="0.25">
      <c r="A48" t="s">
        <v>195</v>
      </c>
      <c r="B48" s="46">
        <v>46299</v>
      </c>
      <c r="E48" s="36">
        <v>12</v>
      </c>
      <c r="F48" s="53">
        <v>72151</v>
      </c>
      <c r="G48" s="36">
        <v>3</v>
      </c>
      <c r="H48" s="38">
        <v>0.84599999999999997</v>
      </c>
    </row>
    <row r="49" spans="1:8" x14ac:dyDescent="0.25">
      <c r="A49" t="s">
        <v>196</v>
      </c>
      <c r="B49" s="46">
        <v>46508</v>
      </c>
      <c r="E49" s="36">
        <v>11</v>
      </c>
      <c r="F49" s="53">
        <v>64202</v>
      </c>
      <c r="G49" s="36">
        <v>4</v>
      </c>
      <c r="H49" s="38">
        <v>0.76900000000000002</v>
      </c>
    </row>
    <row r="50" spans="1:8" x14ac:dyDescent="0.25">
      <c r="A50" t="s">
        <v>197</v>
      </c>
      <c r="B50" s="46">
        <v>48271</v>
      </c>
      <c r="E50" s="36">
        <v>10</v>
      </c>
      <c r="F50" s="53">
        <v>64198</v>
      </c>
      <c r="G50" s="36">
        <v>5</v>
      </c>
      <c r="H50" s="38">
        <v>0.69199999999999995</v>
      </c>
    </row>
    <row r="51" spans="1:8" x14ac:dyDescent="0.25">
      <c r="A51" t="s">
        <v>198</v>
      </c>
      <c r="B51" s="46">
        <v>49203</v>
      </c>
      <c r="E51" s="36">
        <v>9</v>
      </c>
      <c r="F51" s="53">
        <v>60162</v>
      </c>
      <c r="G51" s="36">
        <v>6</v>
      </c>
      <c r="H51" s="38">
        <v>0.61499999999999999</v>
      </c>
    </row>
    <row r="52" spans="1:8" x14ac:dyDescent="0.25">
      <c r="A52" t="s">
        <v>199</v>
      </c>
      <c r="B52" s="46">
        <v>51396</v>
      </c>
      <c r="E52" s="36">
        <v>8</v>
      </c>
      <c r="F52" s="53">
        <v>54025</v>
      </c>
      <c r="G52" s="36">
        <v>7</v>
      </c>
      <c r="H52" s="38">
        <v>0.53800000000000003</v>
      </c>
    </row>
    <row r="53" spans="1:8" x14ac:dyDescent="0.25">
      <c r="A53" t="s">
        <v>200</v>
      </c>
      <c r="B53" s="46">
        <v>53669</v>
      </c>
      <c r="E53" s="36">
        <v>7</v>
      </c>
      <c r="F53" s="53">
        <v>53669</v>
      </c>
      <c r="G53" s="36">
        <v>8</v>
      </c>
      <c r="H53" s="38">
        <v>0.46100000000000002</v>
      </c>
    </row>
    <row r="54" spans="1:8" x14ac:dyDescent="0.25">
      <c r="A54" t="s">
        <v>201</v>
      </c>
      <c r="B54" s="46">
        <v>54025</v>
      </c>
      <c r="E54" s="36">
        <v>6</v>
      </c>
      <c r="F54" s="53">
        <v>51396</v>
      </c>
      <c r="G54" s="36">
        <v>9</v>
      </c>
      <c r="H54" s="38">
        <v>0.38400000000000001</v>
      </c>
    </row>
    <row r="55" spans="1:8" x14ac:dyDescent="0.25">
      <c r="A55" t="s">
        <v>202</v>
      </c>
      <c r="B55" s="46">
        <v>60162</v>
      </c>
      <c r="E55" s="36">
        <v>5</v>
      </c>
      <c r="F55" s="53">
        <v>49203</v>
      </c>
      <c r="G55" s="36">
        <v>10</v>
      </c>
      <c r="H55" s="38">
        <v>0.307</v>
      </c>
    </row>
    <row r="56" spans="1:8" x14ac:dyDescent="0.25">
      <c r="A56" t="s">
        <v>203</v>
      </c>
      <c r="B56" s="46">
        <v>64198</v>
      </c>
      <c r="E56" s="36">
        <v>4</v>
      </c>
      <c r="F56" s="53">
        <v>48271</v>
      </c>
      <c r="G56" s="36">
        <v>11</v>
      </c>
      <c r="H56" s="38">
        <v>0.23</v>
      </c>
    </row>
    <row r="57" spans="1:8" x14ac:dyDescent="0.25">
      <c r="A57" t="s">
        <v>204</v>
      </c>
      <c r="B57" s="46">
        <v>64202</v>
      </c>
      <c r="E57" s="36">
        <v>3</v>
      </c>
      <c r="F57" s="53">
        <v>46508</v>
      </c>
      <c r="G57" s="36">
        <v>12</v>
      </c>
      <c r="H57" s="38">
        <v>0.153</v>
      </c>
    </row>
    <row r="58" spans="1:8" x14ac:dyDescent="0.25">
      <c r="A58" t="s">
        <v>205</v>
      </c>
      <c r="B58" s="46">
        <v>72151</v>
      </c>
      <c r="E58" s="36">
        <v>2</v>
      </c>
      <c r="F58" s="53">
        <v>46299</v>
      </c>
      <c r="G58" s="36">
        <v>13</v>
      </c>
      <c r="H58" s="38">
        <v>7.5999999999999998E-2</v>
      </c>
    </row>
    <row r="59" spans="1:8" x14ac:dyDescent="0.25">
      <c r="A59" t="s">
        <v>206</v>
      </c>
      <c r="B59" s="46">
        <v>95394</v>
      </c>
      <c r="E59" s="36">
        <v>1</v>
      </c>
      <c r="F59" s="53">
        <v>42394</v>
      </c>
      <c r="G59" s="36">
        <v>14</v>
      </c>
      <c r="H59" s="38">
        <v>0</v>
      </c>
    </row>
    <row r="60" spans="1:8" x14ac:dyDescent="0.25">
      <c r="A60" t="s">
        <v>207</v>
      </c>
      <c r="B60" s="46">
        <v>110638</v>
      </c>
      <c r="F60" s="24"/>
      <c r="H60" s="29"/>
    </row>
    <row r="61" spans="1:8" x14ac:dyDescent="0.25">
      <c r="F61" s="24"/>
      <c r="H61" s="29"/>
    </row>
  </sheetData>
  <sortState xmlns:xlrd2="http://schemas.microsoft.com/office/spreadsheetml/2017/richdata2" ref="E46:H59">
    <sortCondition ref="G47"/>
  </sortState>
  <mergeCells count="1">
    <mergeCell ref="A1:G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7A702-DBF4-4738-9CF3-45D500B332AF}">
  <dimension ref="A1:D15"/>
  <sheetViews>
    <sheetView workbookViewId="0">
      <selection activeCell="E31" sqref="E31"/>
    </sheetView>
  </sheetViews>
  <sheetFormatPr defaultRowHeight="15" x14ac:dyDescent="0.25"/>
  <cols>
    <col min="1" max="1" width="12.5703125" bestFit="1" customWidth="1"/>
    <col min="2" max="2" width="10" bestFit="1" customWidth="1"/>
  </cols>
  <sheetData>
    <row r="1" spans="1:4" ht="60" x14ac:dyDescent="0.25">
      <c r="A1" s="1" t="s">
        <v>192</v>
      </c>
      <c r="B1" s="45" t="s">
        <v>193</v>
      </c>
    </row>
    <row r="2" spans="1:4" x14ac:dyDescent="0.25">
      <c r="A2" t="s">
        <v>194</v>
      </c>
      <c r="B2" s="46">
        <v>42394</v>
      </c>
      <c r="D2" t="s">
        <v>228</v>
      </c>
    </row>
    <row r="3" spans="1:4" x14ac:dyDescent="0.25">
      <c r="A3" t="s">
        <v>195</v>
      </c>
      <c r="B3" s="46">
        <v>46299</v>
      </c>
    </row>
    <row r="4" spans="1:4" x14ac:dyDescent="0.25">
      <c r="A4" t="s">
        <v>196</v>
      </c>
      <c r="B4" s="46">
        <v>46508</v>
      </c>
    </row>
    <row r="5" spans="1:4" x14ac:dyDescent="0.25">
      <c r="A5" t="s">
        <v>197</v>
      </c>
      <c r="B5" s="46">
        <v>48271</v>
      </c>
    </row>
    <row r="6" spans="1:4" x14ac:dyDescent="0.25">
      <c r="A6" t="s">
        <v>198</v>
      </c>
      <c r="B6" s="46">
        <v>49203</v>
      </c>
    </row>
    <row r="7" spans="1:4" x14ac:dyDescent="0.25">
      <c r="A7" t="s">
        <v>199</v>
      </c>
      <c r="B7" s="46">
        <v>51396</v>
      </c>
    </row>
    <row r="8" spans="1:4" x14ac:dyDescent="0.25">
      <c r="A8" t="s">
        <v>200</v>
      </c>
      <c r="B8" s="46">
        <v>53669</v>
      </c>
    </row>
    <row r="9" spans="1:4" x14ac:dyDescent="0.25">
      <c r="A9" t="s">
        <v>201</v>
      </c>
      <c r="B9" s="46">
        <v>54025</v>
      </c>
    </row>
    <row r="10" spans="1:4" x14ac:dyDescent="0.25">
      <c r="A10" t="s">
        <v>202</v>
      </c>
      <c r="B10" s="46">
        <v>60162</v>
      </c>
    </row>
    <row r="11" spans="1:4" x14ac:dyDescent="0.25">
      <c r="A11" t="s">
        <v>203</v>
      </c>
      <c r="B11" s="46">
        <v>64198</v>
      </c>
    </row>
    <row r="12" spans="1:4" x14ac:dyDescent="0.25">
      <c r="A12" t="s">
        <v>204</v>
      </c>
      <c r="B12" s="46">
        <v>64202</v>
      </c>
    </row>
    <row r="13" spans="1:4" x14ac:dyDescent="0.25">
      <c r="A13" t="s">
        <v>205</v>
      </c>
      <c r="B13" s="46">
        <v>72151</v>
      </c>
    </row>
    <row r="14" spans="1:4" x14ac:dyDescent="0.25">
      <c r="A14" t="s">
        <v>206</v>
      </c>
      <c r="B14" s="46">
        <v>95394</v>
      </c>
    </row>
    <row r="15" spans="1:4" x14ac:dyDescent="0.25">
      <c r="A15" t="s">
        <v>207</v>
      </c>
      <c r="B15" s="46">
        <v>110638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9399-F890-4D06-BBC3-F24BB131EB2A}">
  <sheetPr filterMode="1"/>
  <dimension ref="A1:Q117"/>
  <sheetViews>
    <sheetView workbookViewId="0">
      <pane ySplit="1" topLeftCell="A2" activePane="bottomLeft" state="frozen"/>
      <selection pane="bottomLeft" activeCell="I14" sqref="I14"/>
    </sheetView>
  </sheetViews>
  <sheetFormatPr defaultRowHeight="15" x14ac:dyDescent="0.25"/>
  <cols>
    <col min="1" max="1" width="15.5703125" bestFit="1" customWidth="1"/>
    <col min="2" max="2" width="14" bestFit="1" customWidth="1"/>
    <col min="3" max="3" width="7.7109375" customWidth="1"/>
    <col min="5" max="5" width="15.5703125" bestFit="1" customWidth="1"/>
    <col min="6" max="6" width="14" bestFit="1" customWidth="1"/>
    <col min="7" max="7" width="6" bestFit="1" customWidth="1"/>
    <col min="9" max="9" width="15.5703125" bestFit="1" customWidth="1"/>
    <col min="10" max="10" width="14" bestFit="1" customWidth="1"/>
    <col min="11" max="11" width="6" bestFit="1" customWidth="1"/>
    <col min="13" max="13" width="15.5703125" bestFit="1" customWidth="1"/>
    <col min="14" max="14" width="14" bestFit="1" customWidth="1"/>
    <col min="15" max="15" width="7.85546875" bestFit="1" customWidth="1"/>
  </cols>
  <sheetData>
    <row r="1" spans="1:17" s="1" customFormat="1" x14ac:dyDescent="0.25">
      <c r="A1" s="1" t="s">
        <v>230</v>
      </c>
      <c r="B1" s="1" t="s">
        <v>231</v>
      </c>
      <c r="C1" s="1" t="s">
        <v>229</v>
      </c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t="s">
        <v>50</v>
      </c>
      <c r="B2" t="s">
        <v>232</v>
      </c>
      <c r="C2">
        <v>5254</v>
      </c>
      <c r="E2" t="s">
        <v>236</v>
      </c>
      <c r="H2" t="s">
        <v>247</v>
      </c>
    </row>
    <row r="3" spans="1:17" x14ac:dyDescent="0.25">
      <c r="A3" t="s">
        <v>36</v>
      </c>
      <c r="B3" t="s">
        <v>233</v>
      </c>
      <c r="C3">
        <v>4378</v>
      </c>
      <c r="H3" t="s">
        <v>248</v>
      </c>
    </row>
    <row r="4" spans="1:17" x14ac:dyDescent="0.25">
      <c r="A4" t="s">
        <v>50</v>
      </c>
      <c r="B4" t="s">
        <v>232</v>
      </c>
      <c r="C4">
        <v>230</v>
      </c>
    </row>
    <row r="5" spans="1:17" x14ac:dyDescent="0.25">
      <c r="A5" t="s">
        <v>36</v>
      </c>
      <c r="B5" t="s">
        <v>233</v>
      </c>
      <c r="C5">
        <v>4378</v>
      </c>
    </row>
    <row r="6" spans="1:17" x14ac:dyDescent="0.25">
      <c r="A6" t="s">
        <v>44</v>
      </c>
      <c r="B6" t="s">
        <v>234</v>
      </c>
      <c r="C6">
        <v>13135</v>
      </c>
    </row>
    <row r="7" spans="1:17" x14ac:dyDescent="0.25">
      <c r="A7" t="s">
        <v>47</v>
      </c>
      <c r="B7" t="s">
        <v>232</v>
      </c>
      <c r="C7">
        <v>3476</v>
      </c>
    </row>
    <row r="8" spans="1:17" x14ac:dyDescent="0.25">
      <c r="A8" t="s">
        <v>50</v>
      </c>
      <c r="B8" t="s">
        <v>232</v>
      </c>
      <c r="C8">
        <v>230</v>
      </c>
    </row>
    <row r="9" spans="1:17" x14ac:dyDescent="0.25">
      <c r="A9" t="s">
        <v>50</v>
      </c>
      <c r="B9" t="s">
        <v>233</v>
      </c>
      <c r="C9">
        <v>1490</v>
      </c>
    </row>
    <row r="10" spans="1:17" x14ac:dyDescent="0.25">
      <c r="A10" t="s">
        <v>36</v>
      </c>
      <c r="B10" t="s">
        <v>232</v>
      </c>
      <c r="C10">
        <v>497</v>
      </c>
    </row>
    <row r="11" spans="1:17" x14ac:dyDescent="0.25">
      <c r="A11" t="s">
        <v>50</v>
      </c>
      <c r="B11" t="s">
        <v>232</v>
      </c>
      <c r="C11">
        <v>5254</v>
      </c>
    </row>
    <row r="12" spans="1:17" x14ac:dyDescent="0.25">
      <c r="A12" t="s">
        <v>47</v>
      </c>
      <c r="B12" t="s">
        <v>233</v>
      </c>
      <c r="C12">
        <v>9267</v>
      </c>
    </row>
    <row r="13" spans="1:17" x14ac:dyDescent="0.25">
      <c r="A13" t="s">
        <v>47</v>
      </c>
      <c r="B13" t="s">
        <v>232</v>
      </c>
      <c r="C13">
        <v>3476</v>
      </c>
    </row>
    <row r="14" spans="1:17" x14ac:dyDescent="0.25">
      <c r="A14" t="s">
        <v>36</v>
      </c>
      <c r="B14" t="s">
        <v>234</v>
      </c>
      <c r="C14">
        <v>927</v>
      </c>
    </row>
    <row r="15" spans="1:17" x14ac:dyDescent="0.25">
      <c r="A15" t="s">
        <v>36</v>
      </c>
      <c r="B15" t="s">
        <v>233</v>
      </c>
      <c r="C15">
        <v>4378</v>
      </c>
    </row>
    <row r="16" spans="1:17" x14ac:dyDescent="0.25">
      <c r="A16" t="s">
        <v>47</v>
      </c>
      <c r="B16" t="s">
        <v>200</v>
      </c>
      <c r="C16">
        <v>463</v>
      </c>
    </row>
    <row r="17" spans="1:5" x14ac:dyDescent="0.25">
      <c r="A17" t="s">
        <v>50</v>
      </c>
      <c r="B17" t="s">
        <v>235</v>
      </c>
      <c r="C17">
        <v>2317</v>
      </c>
    </row>
    <row r="18" spans="1:5" x14ac:dyDescent="0.25">
      <c r="A18" t="s">
        <v>36</v>
      </c>
      <c r="B18" t="s">
        <v>200</v>
      </c>
      <c r="C18">
        <v>5361</v>
      </c>
    </row>
    <row r="19" spans="1:5" x14ac:dyDescent="0.25">
      <c r="A19" t="s">
        <v>44</v>
      </c>
      <c r="B19" t="s">
        <v>233</v>
      </c>
      <c r="C19">
        <v>4468</v>
      </c>
    </row>
    <row r="20" spans="1:5" x14ac:dyDescent="0.25">
      <c r="A20" t="s">
        <v>44</v>
      </c>
      <c r="B20" t="s">
        <v>232</v>
      </c>
      <c r="C20">
        <v>4468</v>
      </c>
    </row>
    <row r="22" spans="1:5" x14ac:dyDescent="0.25">
      <c r="A22" s="1" t="s">
        <v>237</v>
      </c>
    </row>
    <row r="23" spans="1:5" x14ac:dyDescent="0.25">
      <c r="A23" t="s">
        <v>238</v>
      </c>
      <c r="E23" t="s">
        <v>239</v>
      </c>
    </row>
    <row r="25" spans="1:5" x14ac:dyDescent="0.25">
      <c r="A25" s="1" t="s">
        <v>230</v>
      </c>
      <c r="B25" s="1" t="s">
        <v>231</v>
      </c>
      <c r="C25" s="1" t="s">
        <v>229</v>
      </c>
    </row>
    <row r="26" spans="1:5" x14ac:dyDescent="0.25">
      <c r="A26" t="s">
        <v>50</v>
      </c>
      <c r="B26" t="s">
        <v>232</v>
      </c>
      <c r="C26">
        <v>5254</v>
      </c>
    </row>
    <row r="27" spans="1:5" x14ac:dyDescent="0.25">
      <c r="A27" t="s">
        <v>36</v>
      </c>
      <c r="B27" t="s">
        <v>233</v>
      </c>
      <c r="C27">
        <v>4378</v>
      </c>
    </row>
    <row r="28" spans="1:5" x14ac:dyDescent="0.25">
      <c r="A28" t="s">
        <v>50</v>
      </c>
      <c r="B28" t="s">
        <v>232</v>
      </c>
      <c r="C28">
        <v>230</v>
      </c>
    </row>
    <row r="29" spans="1:5" x14ac:dyDescent="0.25">
      <c r="A29" t="s">
        <v>44</v>
      </c>
      <c r="B29" t="s">
        <v>234</v>
      </c>
      <c r="C29">
        <v>13135</v>
      </c>
    </row>
    <row r="30" spans="1:5" x14ac:dyDescent="0.25">
      <c r="A30" t="s">
        <v>47</v>
      </c>
      <c r="B30" t="s">
        <v>232</v>
      </c>
      <c r="C30">
        <v>3476</v>
      </c>
    </row>
    <row r="31" spans="1:5" x14ac:dyDescent="0.25">
      <c r="A31" t="s">
        <v>50</v>
      </c>
      <c r="B31" t="s">
        <v>233</v>
      </c>
      <c r="C31">
        <v>1490</v>
      </c>
    </row>
    <row r="32" spans="1:5" x14ac:dyDescent="0.25">
      <c r="A32" t="s">
        <v>36</v>
      </c>
      <c r="B32" t="s">
        <v>232</v>
      </c>
      <c r="C32">
        <v>497</v>
      </c>
    </row>
    <row r="33" spans="1:5" x14ac:dyDescent="0.25">
      <c r="A33" t="s">
        <v>47</v>
      </c>
      <c r="B33" t="s">
        <v>233</v>
      </c>
      <c r="C33">
        <v>9267</v>
      </c>
    </row>
    <row r="34" spans="1:5" x14ac:dyDescent="0.25">
      <c r="A34" t="s">
        <v>36</v>
      </c>
      <c r="B34" t="s">
        <v>234</v>
      </c>
      <c r="C34">
        <v>927</v>
      </c>
    </row>
    <row r="35" spans="1:5" x14ac:dyDescent="0.25">
      <c r="A35" t="s">
        <v>47</v>
      </c>
      <c r="B35" t="s">
        <v>200</v>
      </c>
      <c r="C35">
        <v>463</v>
      </c>
    </row>
    <row r="36" spans="1:5" x14ac:dyDescent="0.25">
      <c r="A36" t="s">
        <v>50</v>
      </c>
      <c r="B36" t="s">
        <v>235</v>
      </c>
      <c r="C36">
        <v>2317</v>
      </c>
    </row>
    <row r="37" spans="1:5" x14ac:dyDescent="0.25">
      <c r="A37" t="s">
        <v>36</v>
      </c>
      <c r="B37" t="s">
        <v>200</v>
      </c>
      <c r="C37">
        <v>5361</v>
      </c>
    </row>
    <row r="38" spans="1:5" x14ac:dyDescent="0.25">
      <c r="A38" t="s">
        <v>44</v>
      </c>
      <c r="B38" t="s">
        <v>233</v>
      </c>
      <c r="C38">
        <v>4468</v>
      </c>
    </row>
    <row r="39" spans="1:5" x14ac:dyDescent="0.25">
      <c r="A39" t="s">
        <v>44</v>
      </c>
      <c r="B39" t="s">
        <v>232</v>
      </c>
      <c r="C39">
        <v>4468</v>
      </c>
    </row>
    <row r="47" spans="1:5" x14ac:dyDescent="0.25">
      <c r="A47" s="1" t="s">
        <v>240</v>
      </c>
    </row>
    <row r="48" spans="1:5" x14ac:dyDescent="0.25">
      <c r="A48" t="s">
        <v>238</v>
      </c>
      <c r="E48" s="54" t="s">
        <v>241</v>
      </c>
    </row>
    <row r="49" spans="1:5" x14ac:dyDescent="0.25">
      <c r="E49" t="s">
        <v>243</v>
      </c>
    </row>
    <row r="50" spans="1:5" x14ac:dyDescent="0.25">
      <c r="A50" s="1" t="s">
        <v>230</v>
      </c>
      <c r="B50" s="1" t="s">
        <v>231</v>
      </c>
      <c r="C50" s="1" t="s">
        <v>229</v>
      </c>
      <c r="E50" t="s">
        <v>242</v>
      </c>
    </row>
    <row r="51" spans="1:5" x14ac:dyDescent="0.25">
      <c r="A51" t="s">
        <v>50</v>
      </c>
      <c r="B51" t="s">
        <v>232</v>
      </c>
      <c r="C51">
        <v>5254</v>
      </c>
    </row>
    <row r="52" spans="1:5" x14ac:dyDescent="0.25">
      <c r="A52" t="s">
        <v>36</v>
      </c>
      <c r="B52" t="s">
        <v>233</v>
      </c>
      <c r="C52">
        <v>4378</v>
      </c>
    </row>
    <row r="53" spans="1:5" x14ac:dyDescent="0.25">
      <c r="A53" t="s">
        <v>50</v>
      </c>
      <c r="B53" t="s">
        <v>232</v>
      </c>
      <c r="C53">
        <v>230</v>
      </c>
    </row>
    <row r="54" spans="1:5" x14ac:dyDescent="0.25">
      <c r="A54" t="s">
        <v>36</v>
      </c>
      <c r="B54" t="s">
        <v>233</v>
      </c>
      <c r="C54">
        <v>4378</v>
      </c>
    </row>
    <row r="55" spans="1:5" x14ac:dyDescent="0.25">
      <c r="A55" t="s">
        <v>44</v>
      </c>
      <c r="B55" t="s">
        <v>234</v>
      </c>
      <c r="C55">
        <v>13135</v>
      </c>
    </row>
    <row r="56" spans="1:5" x14ac:dyDescent="0.25">
      <c r="A56" t="s">
        <v>47</v>
      </c>
      <c r="B56" t="s">
        <v>232</v>
      </c>
      <c r="C56">
        <v>3476</v>
      </c>
    </row>
    <row r="57" spans="1:5" x14ac:dyDescent="0.25">
      <c r="A57" t="s">
        <v>50</v>
      </c>
      <c r="B57" t="s">
        <v>232</v>
      </c>
      <c r="C57">
        <v>230</v>
      </c>
    </row>
    <row r="58" spans="1:5" x14ac:dyDescent="0.25">
      <c r="A58" t="s">
        <v>50</v>
      </c>
      <c r="B58" t="s">
        <v>233</v>
      </c>
      <c r="C58">
        <v>1490</v>
      </c>
    </row>
    <row r="59" spans="1:5" x14ac:dyDescent="0.25">
      <c r="A59" t="s">
        <v>36</v>
      </c>
      <c r="B59" t="s">
        <v>232</v>
      </c>
      <c r="C59">
        <v>497</v>
      </c>
    </row>
    <row r="60" spans="1:5" x14ac:dyDescent="0.25">
      <c r="A60" t="s">
        <v>50</v>
      </c>
      <c r="B60" t="s">
        <v>232</v>
      </c>
      <c r="C60">
        <v>5254</v>
      </c>
    </row>
    <row r="61" spans="1:5" x14ac:dyDescent="0.25">
      <c r="A61" t="s">
        <v>47</v>
      </c>
      <c r="B61" t="s">
        <v>233</v>
      </c>
      <c r="C61">
        <v>9267</v>
      </c>
    </row>
    <row r="62" spans="1:5" x14ac:dyDescent="0.25">
      <c r="A62" t="s">
        <v>47</v>
      </c>
      <c r="B62" t="s">
        <v>232</v>
      </c>
      <c r="C62">
        <v>3476</v>
      </c>
    </row>
    <row r="63" spans="1:5" x14ac:dyDescent="0.25">
      <c r="A63" t="s">
        <v>36</v>
      </c>
      <c r="B63" t="s">
        <v>234</v>
      </c>
      <c r="C63">
        <v>927</v>
      </c>
    </row>
    <row r="64" spans="1:5" x14ac:dyDescent="0.25">
      <c r="A64" t="s">
        <v>36</v>
      </c>
      <c r="B64" t="s">
        <v>233</v>
      </c>
      <c r="C64">
        <v>4378</v>
      </c>
    </row>
    <row r="65" spans="1:5" x14ac:dyDescent="0.25">
      <c r="A65" t="s">
        <v>47</v>
      </c>
      <c r="B65" t="s">
        <v>200</v>
      </c>
      <c r="C65">
        <v>463</v>
      </c>
    </row>
    <row r="66" spans="1:5" x14ac:dyDescent="0.25">
      <c r="A66" t="s">
        <v>50</v>
      </c>
      <c r="B66" t="s">
        <v>235</v>
      </c>
      <c r="C66">
        <v>2317</v>
      </c>
    </row>
    <row r="67" spans="1:5" x14ac:dyDescent="0.25">
      <c r="A67" t="s">
        <v>36</v>
      </c>
      <c r="B67" t="s">
        <v>200</v>
      </c>
      <c r="C67">
        <v>5361</v>
      </c>
    </row>
    <row r="68" spans="1:5" x14ac:dyDescent="0.25">
      <c r="A68" t="s">
        <v>44</v>
      </c>
      <c r="B68" t="s">
        <v>233</v>
      </c>
      <c r="C68">
        <v>4468</v>
      </c>
    </row>
    <row r="69" spans="1:5" x14ac:dyDescent="0.25">
      <c r="A69" t="s">
        <v>44</v>
      </c>
      <c r="B69" t="s">
        <v>232</v>
      </c>
      <c r="C69">
        <v>4468</v>
      </c>
    </row>
    <row r="71" spans="1:5" x14ac:dyDescent="0.25">
      <c r="A71" s="1" t="s">
        <v>244</v>
      </c>
    </row>
    <row r="72" spans="1:5" x14ac:dyDescent="0.25">
      <c r="A72" t="s">
        <v>238</v>
      </c>
      <c r="E72" t="s">
        <v>245</v>
      </c>
    </row>
    <row r="73" spans="1:5" x14ac:dyDescent="0.25">
      <c r="E73" t="s">
        <v>246</v>
      </c>
    </row>
    <row r="74" spans="1:5" x14ac:dyDescent="0.25">
      <c r="A74" s="1" t="s">
        <v>230</v>
      </c>
      <c r="B74" s="1" t="s">
        <v>231</v>
      </c>
      <c r="C74" s="1" t="s">
        <v>229</v>
      </c>
    </row>
    <row r="75" spans="1:5" x14ac:dyDescent="0.25">
      <c r="A75" t="s">
        <v>50</v>
      </c>
      <c r="B75" t="s">
        <v>232</v>
      </c>
      <c r="C75">
        <v>5254</v>
      </c>
    </row>
    <row r="76" spans="1:5" x14ac:dyDescent="0.25">
      <c r="A76" t="s">
        <v>36</v>
      </c>
      <c r="B76" t="s">
        <v>233</v>
      </c>
      <c r="C76">
        <v>4378</v>
      </c>
    </row>
    <row r="77" spans="1:5" x14ac:dyDescent="0.25">
      <c r="A77" t="s">
        <v>50</v>
      </c>
      <c r="B77" t="s">
        <v>232</v>
      </c>
      <c r="C77">
        <v>230</v>
      </c>
    </row>
    <row r="78" spans="1:5" x14ac:dyDescent="0.25">
      <c r="A78" t="s">
        <v>36</v>
      </c>
      <c r="B78" t="s">
        <v>233</v>
      </c>
      <c r="C78">
        <v>4378</v>
      </c>
    </row>
    <row r="79" spans="1:5" x14ac:dyDescent="0.25">
      <c r="A79" t="s">
        <v>44</v>
      </c>
      <c r="B79" t="s">
        <v>234</v>
      </c>
      <c r="C79">
        <v>13135</v>
      </c>
    </row>
    <row r="80" spans="1:5" x14ac:dyDescent="0.25">
      <c r="A80" t="s">
        <v>47</v>
      </c>
      <c r="B80" t="s">
        <v>232</v>
      </c>
      <c r="C80">
        <v>3476</v>
      </c>
    </row>
    <row r="81" spans="1:5" x14ac:dyDescent="0.25">
      <c r="A81" t="s">
        <v>50</v>
      </c>
      <c r="B81" t="s">
        <v>232</v>
      </c>
      <c r="C81">
        <v>230</v>
      </c>
    </row>
    <row r="82" spans="1:5" x14ac:dyDescent="0.25">
      <c r="A82" t="s">
        <v>50</v>
      </c>
      <c r="B82" t="s">
        <v>233</v>
      </c>
      <c r="C82">
        <v>1490</v>
      </c>
    </row>
    <row r="83" spans="1:5" x14ac:dyDescent="0.25">
      <c r="A83" t="s">
        <v>36</v>
      </c>
      <c r="B83" t="s">
        <v>232</v>
      </c>
      <c r="C83">
        <v>497</v>
      </c>
    </row>
    <row r="84" spans="1:5" x14ac:dyDescent="0.25">
      <c r="A84" t="s">
        <v>50</v>
      </c>
      <c r="B84" t="s">
        <v>232</v>
      </c>
      <c r="C84">
        <v>5254</v>
      </c>
    </row>
    <row r="85" spans="1:5" x14ac:dyDescent="0.25">
      <c r="A85" t="s">
        <v>47</v>
      </c>
      <c r="B85" t="s">
        <v>233</v>
      </c>
      <c r="C85">
        <v>9267</v>
      </c>
    </row>
    <row r="86" spans="1:5" x14ac:dyDescent="0.25">
      <c r="A86" t="s">
        <v>47</v>
      </c>
      <c r="B86" t="s">
        <v>232</v>
      </c>
      <c r="C86">
        <v>3476</v>
      </c>
    </row>
    <row r="87" spans="1:5" x14ac:dyDescent="0.25">
      <c r="A87" t="s">
        <v>36</v>
      </c>
      <c r="B87" t="s">
        <v>234</v>
      </c>
      <c r="C87">
        <v>927</v>
      </c>
    </row>
    <row r="88" spans="1:5" x14ac:dyDescent="0.25">
      <c r="A88" t="s">
        <v>36</v>
      </c>
      <c r="B88" t="s">
        <v>233</v>
      </c>
      <c r="C88">
        <v>4378</v>
      </c>
    </row>
    <row r="89" spans="1:5" x14ac:dyDescent="0.25">
      <c r="A89" t="s">
        <v>47</v>
      </c>
      <c r="B89" t="s">
        <v>200</v>
      </c>
      <c r="C89">
        <v>463</v>
      </c>
    </row>
    <row r="90" spans="1:5" x14ac:dyDescent="0.25">
      <c r="A90" t="s">
        <v>50</v>
      </c>
      <c r="B90" t="s">
        <v>235</v>
      </c>
      <c r="C90">
        <v>2317</v>
      </c>
    </row>
    <row r="91" spans="1:5" x14ac:dyDescent="0.25">
      <c r="A91" t="s">
        <v>36</v>
      </c>
      <c r="B91" t="s">
        <v>200</v>
      </c>
      <c r="C91">
        <v>5361</v>
      </c>
    </row>
    <row r="92" spans="1:5" x14ac:dyDescent="0.25">
      <c r="A92" t="s">
        <v>44</v>
      </c>
      <c r="B92" t="s">
        <v>233</v>
      </c>
      <c r="C92">
        <v>4468</v>
      </c>
    </row>
    <row r="93" spans="1:5" x14ac:dyDescent="0.25">
      <c r="A93" t="s">
        <v>44</v>
      </c>
      <c r="B93" t="s">
        <v>232</v>
      </c>
      <c r="C93">
        <v>4468</v>
      </c>
    </row>
    <row r="95" spans="1:5" x14ac:dyDescent="0.25">
      <c r="A95" s="1" t="s">
        <v>263</v>
      </c>
    </row>
    <row r="96" spans="1:5" x14ac:dyDescent="0.25">
      <c r="A96" t="s">
        <v>238</v>
      </c>
      <c r="E96" t="s">
        <v>264</v>
      </c>
    </row>
    <row r="98" spans="1:3" x14ac:dyDescent="0.25">
      <c r="A98" s="1" t="s">
        <v>230</v>
      </c>
      <c r="B98" s="1" t="s">
        <v>231</v>
      </c>
      <c r="C98" s="1" t="s">
        <v>229</v>
      </c>
    </row>
    <row r="99" spans="1:3" x14ac:dyDescent="0.25">
      <c r="A99" t="s">
        <v>50</v>
      </c>
      <c r="B99" t="s">
        <v>232</v>
      </c>
      <c r="C99">
        <v>5254</v>
      </c>
    </row>
    <row r="100" spans="1:3" x14ac:dyDescent="0.25">
      <c r="A100" t="s">
        <v>36</v>
      </c>
      <c r="B100" t="s">
        <v>233</v>
      </c>
      <c r="C100">
        <v>4378</v>
      </c>
    </row>
    <row r="101" spans="1:3" x14ac:dyDescent="0.25">
      <c r="A101" t="s">
        <v>50</v>
      </c>
      <c r="B101" t="s">
        <v>232</v>
      </c>
      <c r="C101">
        <v>230</v>
      </c>
    </row>
    <row r="102" spans="1:3" hidden="1" x14ac:dyDescent="0.25">
      <c r="A102" t="s">
        <v>36</v>
      </c>
      <c r="B102" t="s">
        <v>233</v>
      </c>
      <c r="C102">
        <v>4378</v>
      </c>
    </row>
    <row r="103" spans="1:3" x14ac:dyDescent="0.25">
      <c r="A103" t="s">
        <v>44</v>
      </c>
      <c r="B103" t="s">
        <v>234</v>
      </c>
      <c r="C103">
        <v>13135</v>
      </c>
    </row>
    <row r="104" spans="1:3" x14ac:dyDescent="0.25">
      <c r="A104" t="s">
        <v>47</v>
      </c>
      <c r="B104" t="s">
        <v>232</v>
      </c>
      <c r="C104">
        <v>3476</v>
      </c>
    </row>
    <row r="105" spans="1:3" hidden="1" x14ac:dyDescent="0.25">
      <c r="A105" t="s">
        <v>50</v>
      </c>
      <c r="B105" t="s">
        <v>232</v>
      </c>
      <c r="C105">
        <v>230</v>
      </c>
    </row>
    <row r="106" spans="1:3" x14ac:dyDescent="0.25">
      <c r="A106" t="s">
        <v>50</v>
      </c>
      <c r="B106" t="s">
        <v>233</v>
      </c>
      <c r="C106">
        <v>1490</v>
      </c>
    </row>
    <row r="107" spans="1:3" x14ac:dyDescent="0.25">
      <c r="A107" t="s">
        <v>36</v>
      </c>
      <c r="B107" t="s">
        <v>232</v>
      </c>
      <c r="C107">
        <v>497</v>
      </c>
    </row>
    <row r="108" spans="1:3" hidden="1" x14ac:dyDescent="0.25">
      <c r="A108" t="s">
        <v>50</v>
      </c>
      <c r="B108" t="s">
        <v>232</v>
      </c>
      <c r="C108">
        <v>5254</v>
      </c>
    </row>
    <row r="109" spans="1:3" x14ac:dyDescent="0.25">
      <c r="A109" t="s">
        <v>47</v>
      </c>
      <c r="B109" t="s">
        <v>233</v>
      </c>
      <c r="C109">
        <v>9267</v>
      </c>
    </row>
    <row r="110" spans="1:3" hidden="1" x14ac:dyDescent="0.25">
      <c r="A110" t="s">
        <v>47</v>
      </c>
      <c r="B110" t="s">
        <v>232</v>
      </c>
      <c r="C110">
        <v>3476</v>
      </c>
    </row>
    <row r="111" spans="1:3" x14ac:dyDescent="0.25">
      <c r="A111" t="s">
        <v>36</v>
      </c>
      <c r="B111" t="s">
        <v>234</v>
      </c>
      <c r="C111">
        <v>927</v>
      </c>
    </row>
    <row r="112" spans="1:3" hidden="1" x14ac:dyDescent="0.25">
      <c r="A112" t="s">
        <v>36</v>
      </c>
      <c r="B112" t="s">
        <v>233</v>
      </c>
      <c r="C112">
        <v>4378</v>
      </c>
    </row>
    <row r="113" spans="1:3" x14ac:dyDescent="0.25">
      <c r="A113" t="s">
        <v>47</v>
      </c>
      <c r="B113" t="s">
        <v>200</v>
      </c>
      <c r="C113">
        <v>463</v>
      </c>
    </row>
    <row r="114" spans="1:3" x14ac:dyDescent="0.25">
      <c r="A114" t="s">
        <v>50</v>
      </c>
      <c r="B114" t="s">
        <v>235</v>
      </c>
      <c r="C114">
        <v>2317</v>
      </c>
    </row>
    <row r="115" spans="1:3" x14ac:dyDescent="0.25">
      <c r="A115" t="s">
        <v>36</v>
      </c>
      <c r="B115" t="s">
        <v>200</v>
      </c>
      <c r="C115">
        <v>5361</v>
      </c>
    </row>
    <row r="116" spans="1:3" x14ac:dyDescent="0.25">
      <c r="A116" t="s">
        <v>44</v>
      </c>
      <c r="B116" t="s">
        <v>233</v>
      </c>
      <c r="C116">
        <v>4468</v>
      </c>
    </row>
    <row r="117" spans="1:3" x14ac:dyDescent="0.25">
      <c r="A117" t="s">
        <v>44</v>
      </c>
      <c r="B117" t="s">
        <v>232</v>
      </c>
      <c r="C117">
        <v>4468</v>
      </c>
    </row>
  </sheetData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C035-8A3B-44B5-8458-19C0CC52EE47}">
  <dimension ref="A1:J32"/>
  <sheetViews>
    <sheetView topLeftCell="A7" workbookViewId="0">
      <selection activeCell="C37" sqref="C37"/>
    </sheetView>
  </sheetViews>
  <sheetFormatPr defaultRowHeight="15" x14ac:dyDescent="0.25"/>
  <cols>
    <col min="1" max="1" width="14.5703125" bestFit="1" customWidth="1"/>
  </cols>
  <sheetData>
    <row r="1" spans="1:10" x14ac:dyDescent="0.25">
      <c r="A1" s="1" t="s">
        <v>249</v>
      </c>
      <c r="C1" s="1" t="s">
        <v>257</v>
      </c>
      <c r="E1" s="5" t="s">
        <v>259</v>
      </c>
      <c r="F1" s="1" t="s">
        <v>260</v>
      </c>
      <c r="J1" t="s">
        <v>258</v>
      </c>
    </row>
    <row r="2" spans="1:10" x14ac:dyDescent="0.25">
      <c r="A2" t="s">
        <v>250</v>
      </c>
      <c r="C2" s="1" t="s">
        <v>255</v>
      </c>
      <c r="F2" s="1" t="s">
        <v>260</v>
      </c>
    </row>
    <row r="4" spans="1:10" x14ac:dyDescent="0.25">
      <c r="A4" t="s">
        <v>251</v>
      </c>
    </row>
    <row r="5" spans="1:10" x14ac:dyDescent="0.25">
      <c r="A5" t="s">
        <v>251</v>
      </c>
    </row>
    <row r="8" spans="1:10" x14ac:dyDescent="0.25">
      <c r="A8" t="s">
        <v>252</v>
      </c>
    </row>
    <row r="9" spans="1:10" x14ac:dyDescent="0.25">
      <c r="A9" t="s">
        <v>250</v>
      </c>
    </row>
    <row r="12" spans="1:10" x14ac:dyDescent="0.25">
      <c r="A12" t="s">
        <v>253</v>
      </c>
    </row>
    <row r="16" spans="1:10" x14ac:dyDescent="0.25">
      <c r="A16" t="s">
        <v>254</v>
      </c>
    </row>
    <row r="17" spans="1:6" x14ac:dyDescent="0.25">
      <c r="A17" t="s">
        <v>252</v>
      </c>
    </row>
    <row r="20" spans="1:6" x14ac:dyDescent="0.25">
      <c r="C20" t="s">
        <v>256</v>
      </c>
      <c r="E20" s="5" t="s">
        <v>259</v>
      </c>
      <c r="F20" t="s">
        <v>262</v>
      </c>
    </row>
    <row r="22" spans="1:6" x14ac:dyDescent="0.25">
      <c r="A22" s="1" t="s">
        <v>249</v>
      </c>
    </row>
    <row r="23" spans="1:6" x14ac:dyDescent="0.25">
      <c r="A23" t="s">
        <v>250</v>
      </c>
    </row>
    <row r="24" spans="1:6" x14ac:dyDescent="0.25">
      <c r="A24" t="s">
        <v>251</v>
      </c>
    </row>
    <row r="25" spans="1:6" x14ac:dyDescent="0.25">
      <c r="A25" t="s">
        <v>251</v>
      </c>
    </row>
    <row r="26" spans="1:6" x14ac:dyDescent="0.25">
      <c r="A26" t="s">
        <v>252</v>
      </c>
    </row>
    <row r="27" spans="1:6" x14ac:dyDescent="0.25">
      <c r="A27" t="s">
        <v>250</v>
      </c>
    </row>
    <row r="28" spans="1:6" x14ac:dyDescent="0.25">
      <c r="A28" t="s">
        <v>253</v>
      </c>
    </row>
    <row r="29" spans="1:6" x14ac:dyDescent="0.25">
      <c r="A29" t="s">
        <v>254</v>
      </c>
    </row>
    <row r="30" spans="1:6" x14ac:dyDescent="0.25">
      <c r="A30" t="s">
        <v>252</v>
      </c>
    </row>
    <row r="32" spans="1:6" x14ac:dyDescent="0.25">
      <c r="A32" s="1" t="s">
        <v>261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EA6EB-31CF-4D22-9383-8BE06DE9A5BC}">
  <dimension ref="A1:G57"/>
  <sheetViews>
    <sheetView topLeftCell="A35" workbookViewId="0">
      <selection activeCell="E65" sqref="E65"/>
    </sheetView>
  </sheetViews>
  <sheetFormatPr defaultRowHeight="15" x14ac:dyDescent="0.25"/>
  <cols>
    <col min="1" max="1" width="8.28515625" bestFit="1" customWidth="1"/>
    <col min="2" max="2" width="15.85546875" bestFit="1" customWidth="1"/>
    <col min="3" max="3" width="20.140625" bestFit="1" customWidth="1"/>
    <col min="6" max="6" width="9.140625" customWidth="1"/>
  </cols>
  <sheetData>
    <row r="1" spans="1:3" x14ac:dyDescent="0.25">
      <c r="A1" s="139" t="s">
        <v>268</v>
      </c>
      <c r="B1" s="139"/>
      <c r="C1" s="139"/>
    </row>
    <row r="2" spans="1:3" x14ac:dyDescent="0.25">
      <c r="A2" s="1" t="s">
        <v>265</v>
      </c>
      <c r="B2" s="1" t="s">
        <v>266</v>
      </c>
      <c r="C2" s="1" t="s">
        <v>11</v>
      </c>
    </row>
    <row r="3" spans="1:3" x14ac:dyDescent="0.25">
      <c r="A3" s="5">
        <v>88</v>
      </c>
      <c r="B3" s="5" t="str">
        <f>IF($A3&gt;50,"Yes","No")</f>
        <v>Yes</v>
      </c>
      <c r="C3" s="5" t="s">
        <v>267</v>
      </c>
    </row>
    <row r="4" spans="1:3" x14ac:dyDescent="0.25">
      <c r="A4" s="5">
        <v>55</v>
      </c>
      <c r="B4" s="5" t="str">
        <f t="shared" ref="B4:B6" si="0">IF($A4&gt;50,"Yes","No")</f>
        <v>Yes</v>
      </c>
      <c r="C4" s="5"/>
    </row>
    <row r="5" spans="1:3" x14ac:dyDescent="0.25">
      <c r="A5" s="5">
        <v>2</v>
      </c>
      <c r="B5" s="5" t="str">
        <f t="shared" si="0"/>
        <v>No</v>
      </c>
      <c r="C5" s="5"/>
    </row>
    <row r="6" spans="1:3" x14ac:dyDescent="0.25">
      <c r="A6" s="5">
        <v>40</v>
      </c>
      <c r="B6" s="5" t="str">
        <f t="shared" si="0"/>
        <v>No</v>
      </c>
      <c r="C6" s="5"/>
    </row>
    <row r="8" spans="1:3" x14ac:dyDescent="0.25">
      <c r="A8" s="139" t="s">
        <v>269</v>
      </c>
      <c r="B8" s="139"/>
      <c r="C8" s="139"/>
    </row>
    <row r="9" spans="1:3" x14ac:dyDescent="0.25">
      <c r="A9" s="5">
        <v>88</v>
      </c>
      <c r="B9" s="5">
        <v>33</v>
      </c>
      <c r="C9" s="5" t="str">
        <f>IF(OR(A9&gt;50,B9&gt;50),"Yes","No")</f>
        <v>Yes</v>
      </c>
    </row>
    <row r="11" spans="1:3" x14ac:dyDescent="0.25">
      <c r="A11" s="139" t="s">
        <v>270</v>
      </c>
      <c r="B11" s="139"/>
      <c r="C11" s="139"/>
    </row>
    <row r="12" spans="1:3" x14ac:dyDescent="0.25">
      <c r="A12" s="5">
        <v>88</v>
      </c>
      <c r="B12" s="5">
        <v>33</v>
      </c>
      <c r="C12" s="5" t="str">
        <f>IF(AND(A12&gt;50,B12&gt;50),"YES","NO")</f>
        <v>NO</v>
      </c>
    </row>
    <row r="14" spans="1:3" x14ac:dyDescent="0.25">
      <c r="A14" s="139" t="s">
        <v>271</v>
      </c>
      <c r="B14" s="139"/>
      <c r="C14" s="139"/>
    </row>
    <row r="15" spans="1:3" x14ac:dyDescent="0.25">
      <c r="A15" s="5">
        <v>88</v>
      </c>
      <c r="B15" s="5"/>
      <c r="C15" s="5" t="str">
        <f>IF(NOT(A15&gt;50),"YES","NO")</f>
        <v>NO</v>
      </c>
    </row>
    <row r="18" spans="1:6" x14ac:dyDescent="0.25">
      <c r="A18" s="1" t="s">
        <v>272</v>
      </c>
    </row>
    <row r="19" spans="1:6" x14ac:dyDescent="0.25">
      <c r="A19" s="56" t="s">
        <v>273</v>
      </c>
    </row>
    <row r="21" spans="1:6" x14ac:dyDescent="0.25">
      <c r="A21" s="1" t="s">
        <v>274</v>
      </c>
      <c r="B21" s="1" t="s">
        <v>275</v>
      </c>
    </row>
    <row r="22" spans="1:6" x14ac:dyDescent="0.25">
      <c r="A22">
        <v>1</v>
      </c>
      <c r="B22" t="str">
        <f>IF($A22&gt;50, IF($A22&gt;75, "YES","Only greater than 50"),"Smaller than 50")</f>
        <v>Smaller than 50</v>
      </c>
      <c r="C22" t="s">
        <v>276</v>
      </c>
    </row>
    <row r="23" spans="1:6" x14ac:dyDescent="0.25">
      <c r="A23">
        <v>50</v>
      </c>
      <c r="B23" t="str">
        <f t="shared" ref="B23:B26" si="1">IF($A23&gt;50, IF($A23&gt;75, "YES","Only greater than 50"),"Smaller than 50")</f>
        <v>Smaller than 50</v>
      </c>
    </row>
    <row r="24" spans="1:6" x14ac:dyDescent="0.25">
      <c r="A24">
        <v>51</v>
      </c>
      <c r="B24" t="str">
        <f t="shared" si="1"/>
        <v>Only greater than 50</v>
      </c>
    </row>
    <row r="25" spans="1:6" x14ac:dyDescent="0.25">
      <c r="A25">
        <v>75</v>
      </c>
      <c r="B25" t="str">
        <f t="shared" si="1"/>
        <v>Only greater than 50</v>
      </c>
    </row>
    <row r="26" spans="1:6" x14ac:dyDescent="0.25">
      <c r="A26">
        <v>76</v>
      </c>
      <c r="B26" t="str">
        <f t="shared" si="1"/>
        <v>YES</v>
      </c>
    </row>
    <row r="28" spans="1:6" x14ac:dyDescent="0.25">
      <c r="B28" s="139" t="s">
        <v>303</v>
      </c>
      <c r="C28" s="139"/>
      <c r="D28" s="139"/>
    </row>
    <row r="29" spans="1:6" x14ac:dyDescent="0.25">
      <c r="A29" s="1" t="s">
        <v>296</v>
      </c>
    </row>
    <row r="30" spans="1:6" x14ac:dyDescent="0.25">
      <c r="A30" s="1" t="s">
        <v>277</v>
      </c>
      <c r="B30" s="1" t="s">
        <v>278</v>
      </c>
      <c r="D30" s="1" t="s">
        <v>277</v>
      </c>
      <c r="E30" s="1" t="s">
        <v>279</v>
      </c>
      <c r="F30" s="1" t="s">
        <v>11</v>
      </c>
    </row>
    <row r="31" spans="1:6" x14ac:dyDescent="0.25">
      <c r="A31" s="57" t="s">
        <v>295</v>
      </c>
      <c r="B31" t="s">
        <v>279</v>
      </c>
      <c r="D31" s="60" t="str">
        <f>A31</f>
        <v>John S</v>
      </c>
      <c r="E31">
        <f>COUNTIF($A$31:A42,$D31)</f>
        <v>3</v>
      </c>
      <c r="F31" t="s">
        <v>297</v>
      </c>
    </row>
    <row r="32" spans="1:6" x14ac:dyDescent="0.25">
      <c r="A32" s="58" t="s">
        <v>291</v>
      </c>
      <c r="B32" t="s">
        <v>280</v>
      </c>
      <c r="D32" t="str">
        <f>A32</f>
        <v>James J</v>
      </c>
      <c r="E32">
        <f>COUNTIF($A$31:A43,$D32)</f>
        <v>1</v>
      </c>
    </row>
    <row r="33" spans="1:7" x14ac:dyDescent="0.25">
      <c r="A33" s="58" t="s">
        <v>292</v>
      </c>
      <c r="B33" t="s">
        <v>281</v>
      </c>
      <c r="D33" t="str">
        <f>A33</f>
        <v>Legalas</v>
      </c>
      <c r="E33">
        <f>COUNTIF($A$31:A44,$D33)</f>
        <v>3</v>
      </c>
    </row>
    <row r="34" spans="1:7" x14ac:dyDescent="0.25">
      <c r="A34" s="58" t="s">
        <v>293</v>
      </c>
      <c r="B34" t="s">
        <v>282</v>
      </c>
      <c r="D34" t="str">
        <f>A34</f>
        <v>Gandalf</v>
      </c>
      <c r="E34">
        <f>COUNTIF($A$31:A45,$D34)</f>
        <v>2</v>
      </c>
    </row>
    <row r="35" spans="1:7" x14ac:dyDescent="0.25">
      <c r="A35" s="58" t="s">
        <v>294</v>
      </c>
      <c r="B35" t="s">
        <v>283</v>
      </c>
      <c r="D35" t="str">
        <f>A35</f>
        <v>JLP</v>
      </c>
      <c r="E35">
        <f>COUNTIF($A$31:A46,$D35)</f>
        <v>3</v>
      </c>
    </row>
    <row r="36" spans="1:7" x14ac:dyDescent="0.25">
      <c r="A36" s="58" t="s">
        <v>294</v>
      </c>
      <c r="B36" t="s">
        <v>284</v>
      </c>
    </row>
    <row r="37" spans="1:7" x14ac:dyDescent="0.25">
      <c r="A37" s="58" t="s">
        <v>295</v>
      </c>
      <c r="B37" t="s">
        <v>285</v>
      </c>
      <c r="C37" t="s">
        <v>298</v>
      </c>
    </row>
    <row r="38" spans="1:7" x14ac:dyDescent="0.25">
      <c r="A38" s="58" t="s">
        <v>292</v>
      </c>
      <c r="B38" t="s">
        <v>286</v>
      </c>
      <c r="C38" t="s">
        <v>299</v>
      </c>
    </row>
    <row r="39" spans="1:7" x14ac:dyDescent="0.25">
      <c r="A39" s="58" t="s">
        <v>292</v>
      </c>
      <c r="B39" t="s">
        <v>287</v>
      </c>
    </row>
    <row r="40" spans="1:7" x14ac:dyDescent="0.25">
      <c r="A40" s="58" t="s">
        <v>295</v>
      </c>
      <c r="B40" t="s">
        <v>288</v>
      </c>
    </row>
    <row r="41" spans="1:7" x14ac:dyDescent="0.25">
      <c r="A41" s="58" t="s">
        <v>294</v>
      </c>
      <c r="B41" t="s">
        <v>289</v>
      </c>
    </row>
    <row r="42" spans="1:7" x14ac:dyDescent="0.25">
      <c r="A42" s="59" t="s">
        <v>293</v>
      </c>
      <c r="B42" t="s">
        <v>290</v>
      </c>
    </row>
    <row r="44" spans="1:7" x14ac:dyDescent="0.25">
      <c r="A44" s="1" t="s">
        <v>300</v>
      </c>
    </row>
    <row r="45" spans="1:7" x14ac:dyDescent="0.25">
      <c r="A45" s="1" t="s">
        <v>277</v>
      </c>
      <c r="B45" s="1" t="s">
        <v>278</v>
      </c>
      <c r="D45" s="1" t="s">
        <v>277</v>
      </c>
      <c r="E45" s="61" t="s">
        <v>279</v>
      </c>
      <c r="F45" s="1" t="s">
        <v>280</v>
      </c>
      <c r="G45" s="1" t="s">
        <v>11</v>
      </c>
    </row>
    <row r="46" spans="1:7" x14ac:dyDescent="0.25">
      <c r="A46" s="62" t="s">
        <v>295</v>
      </c>
      <c r="B46" s="65" t="s">
        <v>279</v>
      </c>
      <c r="D46" s="60" t="str">
        <f>A46</f>
        <v>John S</v>
      </c>
      <c r="E46">
        <f>COUNTIFS($A$46:$A$57,$D46,$B$46:$B$57,E$45)</f>
        <v>1</v>
      </c>
      <c r="G46" t="s">
        <v>301</v>
      </c>
    </row>
    <row r="47" spans="1:7" x14ac:dyDescent="0.25">
      <c r="A47" s="63" t="s">
        <v>291</v>
      </c>
      <c r="B47" s="66" t="s">
        <v>280</v>
      </c>
      <c r="D47" t="str">
        <f>A47</f>
        <v>James J</v>
      </c>
      <c r="G47" t="s">
        <v>302</v>
      </c>
    </row>
    <row r="48" spans="1:7" x14ac:dyDescent="0.25">
      <c r="A48" s="63" t="s">
        <v>292</v>
      </c>
      <c r="B48" s="66" t="s">
        <v>281</v>
      </c>
      <c r="D48" t="str">
        <f>A48</f>
        <v>Legalas</v>
      </c>
    </row>
    <row r="49" spans="1:4" x14ac:dyDescent="0.25">
      <c r="A49" s="63" t="s">
        <v>293</v>
      </c>
      <c r="B49" s="66" t="s">
        <v>282</v>
      </c>
      <c r="D49" t="str">
        <f>A49</f>
        <v>Gandalf</v>
      </c>
    </row>
    <row r="50" spans="1:4" x14ac:dyDescent="0.25">
      <c r="A50" s="63" t="s">
        <v>294</v>
      </c>
      <c r="B50" s="66" t="s">
        <v>283</v>
      </c>
      <c r="D50" t="str">
        <f>A50</f>
        <v>JLP</v>
      </c>
    </row>
    <row r="51" spans="1:4" x14ac:dyDescent="0.25">
      <c r="A51" s="63" t="s">
        <v>294</v>
      </c>
      <c r="B51" s="66" t="s">
        <v>284</v>
      </c>
    </row>
    <row r="52" spans="1:4" x14ac:dyDescent="0.25">
      <c r="A52" s="63" t="s">
        <v>295</v>
      </c>
      <c r="B52" s="66" t="s">
        <v>285</v>
      </c>
    </row>
    <row r="53" spans="1:4" x14ac:dyDescent="0.25">
      <c r="A53" s="63" t="s">
        <v>292</v>
      </c>
      <c r="B53" s="66" t="s">
        <v>286</v>
      </c>
    </row>
    <row r="54" spans="1:4" x14ac:dyDescent="0.25">
      <c r="A54" s="63" t="s">
        <v>292</v>
      </c>
      <c r="B54" s="66" t="s">
        <v>287</v>
      </c>
    </row>
    <row r="55" spans="1:4" x14ac:dyDescent="0.25">
      <c r="A55" s="63" t="s">
        <v>295</v>
      </c>
      <c r="B55" s="66" t="s">
        <v>288</v>
      </c>
    </row>
    <row r="56" spans="1:4" x14ac:dyDescent="0.25">
      <c r="A56" s="63" t="s">
        <v>294</v>
      </c>
      <c r="B56" s="66" t="s">
        <v>289</v>
      </c>
    </row>
    <row r="57" spans="1:4" x14ac:dyDescent="0.25">
      <c r="A57" s="64" t="s">
        <v>293</v>
      </c>
      <c r="B57" s="67" t="s">
        <v>290</v>
      </c>
    </row>
  </sheetData>
  <mergeCells count="5">
    <mergeCell ref="A1:C1"/>
    <mergeCell ref="A8:C8"/>
    <mergeCell ref="A11:C11"/>
    <mergeCell ref="A14:C14"/>
    <mergeCell ref="B28:D28"/>
  </mergeCells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E A A B Q S w M E F A A C A A g A 3 F 0 n W N r L 0 3 G k A A A A 9 w A A A B I A H A B D b 2 5 m a W c v U G F j a 2 F n Z S 5 4 b W w g o h g A K K A U A A A A A A A A A A A A A A A A A A A A A A A A A A A A h Y 9 L D o I w G I S v Q r q n L z a G / J Q Y t p K Y m B i 3 T a n Q C M X Q Y r m b C 4 / k F c Q o 6 s 7 l z H y T z N y v N 8 i n r o 0 u e n C m t x l i m K J I W 9 V X x t Y Z G v 0 x X q F c w F a q k 6 x 1 N M P W p Z M z G W q 8 P 6 e E h B B w S H A / 1 I R T y s i h 3 O x U o z s Z G + u 8 t E q j T 6 v 6 3 0 I C 9 q 8 x g m P G E 8 w o 5 5 g C W V w o j f 0 S f B 7 8 T H 9 M K M b W j 4 M W 2 s b F G s g i g b x P i A d Q S w M E F A A C A A g A 3 F 0 n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x d J 1 j A 2 v K 1 / g A A A M 4 B A A A T A B w A R m 9 y b X V s Y X M v U 2 V j d G l v b j E u b S C i G A A o o B Q A A A A A A A A A A A A A A A A A A A A A A A A A A A B 9 j z 1 r w z A Q h n e D / 8 O h L g 4 Y Q 6 F 0 C R m K k 6 F L K b a h Q 8 i g K F d b R J a M d C 5 p j f 9 7 z z W 0 o S H R c n A f z / s o o C L t L J R z v V / G U R y F R n o 8 Q F V K g 6 H A z n m C F R i k O A J + p e u 9 Q u 5 s T g p N l v f e o 6 U 3 5 4 9 7 5 4 7 J Y t i + y B Z X Y r 4 X u 3 G b O 0 u 8 s k t n w J 3 I G 2 n r K e K z Q 8 G k S u 4 N Z p W X N r w 7 3 + b O 9 K 2 d h i G Z 0 9 J h E D 8 4 e K q Z J F I g n g L h i c Y U B l F g z f o X 7 d k g h W d L j w / Z B B z H x Z + F 7 D R J o 7 / Y Z C N V A / y H w 1 W d k P z z v n S q O D d 7 9 a 5 D f 2 5 y F l l g 6 z 4 Y s O 4 7 o 5 U k t v v N W + t A 2 i p K r p k t 4 k j b G 6 T l N 1 B L A Q I t A B Q A A g A I A N x d J 1 j a y 9 N x p A A A A P c A A A A S A A A A A A A A A A A A A A A A A A A A A A B D b 2 5 m a W c v U G F j a 2 F n Z S 5 4 b W x Q S w E C L Q A U A A I A C A D c X S d Y D 8 r p q 6 Q A A A D p A A A A E w A A A A A A A A A A A A A A A A D w A A A A W 0 N v b n R l b n R f V H l w Z X N d L n h t b F B L A Q I t A B Q A A g A I A N x d J 1 j A 2 v K 1 / g A A A M 4 B A A A T A A A A A A A A A A A A A A A A A O E B A A B G b 3 J t d W x h c y 9 T Z W N 0 a W 9 u M S 5 t U E s F B g A A A A A D A A M A w g A A A C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4 L A A A A A A A A P A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T Y W x l c 1 J l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l J l Y 2 9 2 Z X J 5 V G F y Z 2 V 0 U 2 h l Z X Q i I F Z h b H V l P S J z R G F 0 Y S I g L z 4 8 R W 5 0 c n k g V H l w Z T 0 i U m V j b 3 Z l c n l U Y X J n Z X R D b 2 x 1 b W 4 i I F Z h b H V l P S J s M T M i I C 8 + P E V u d H J 5 I F R 5 c G U 9 I l J l Y 2 9 2 Z X J 5 V G F y Z 2 V 0 U m 9 3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h U M T U 6 N T k 6 M j E u O T Q x M j k z M F o i I C 8 + P E V u d H J 5 I F R 5 c G U 9 I k Z p b G x D b 2 x 1 b W 5 U e X B l c y I g V m F s d W U 9 I n N C Z 1 l E I i A v P j x F b n R y e S B U e X B l P S J G a W x s Q 2 9 s d W 1 u T m F t Z X M i I F Z h b H V l P S J z W y Z x d W 9 0 O 1 N h b G V z I E F n Z W 5 0 J n F 1 b 3 Q 7 L C Z x d W 9 0 O 1 J l Z 2 l v b i Z x d W 9 0 O y w m c X V v d D t T Y W x l c y Z x d W 9 0 O 1 0 i I C 8 + P E V u d H J 5 I F R 5 c G U 9 I k Z p b G x T d G F 0 d X M i I F Z h b H V l P S J z Q 2 9 t c G x l d G U i I C 8 + P E V u d H J 5 I F R 5 c G U 9 I l F 1 Z X J 5 S U Q i I F Z h b H V l P S J z Y W J j Z m Z h M z Q t M D U 1 M i 0 0 Z D g w L T h i N 2 E t O D k z N D Q z M j J i M G Q z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S Z X B v c n Q v Q X V 0 b 1 J l b W 9 2 Z W R D b 2 x 1 b W 5 z M S 5 7 U 2 F s Z X M g Q W d l b n Q s M H 0 m c X V v d D s s J n F 1 b 3 Q 7 U 2 V j d G l v b j E v V F N h b G V z U m V w b 3 J 0 L 0 F 1 d G 9 S Z W 1 v d m V k Q 2 9 s d W 1 u c z E u e 1 J l Z 2 l v b i w x f S Z x d W 9 0 O y w m c X V v d D t T Z W N 0 a W 9 u M S 9 U U 2 F s Z X N S Z X B v c n Q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N h b G V z U m V w b 3 J 0 L 0 F 1 d G 9 S Z W 1 v d m V k Q 2 9 s d W 1 u c z E u e 1 N h b G V z I E F n Z W 5 0 L D B 9 J n F 1 b 3 Q 7 L C Z x d W 9 0 O 1 N l Y 3 R p b 2 4 x L 1 R T Y W x l c 1 J l c G 9 y d C 9 B d X R v U m V t b 3 Z l Z E N v b H V t b n M x L n t S Z W d p b 2 4 s M X 0 m c X V v d D s s J n F 1 b 3 Q 7 U 2 V j d G l v b j E v V F N h b G V z U m V w b 3 J 0 L 0 F 1 d G 9 S Z W 1 v d m V k Q 2 9 s d W 1 u c z E u e 1 N h b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U 2 F s Z X N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h b G V z U m V w b 3 J 0 L 0 N h c G l 0 Y W x p e m V k J T I w R W F j a C U y M F d v c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P O 6 h / L 9 W 0 2 l c r F F B O m Y q w A A A A A C A A A A A A A Q Z g A A A A E A A C A A A A B H F + Q h R 1 w z R w b e l b w r z V 6 C f p z c r S l y N D U U / Z k B 0 M G M M g A A A A A O g A A A A A I A A C A A A A A h q 6 3 e m 4 T w E S k s i I A l 9 f / 2 j o x r 0 c n y w t m b + G V g r y E m a V A A A A B D A u f G G S h 0 x i 5 I u w Y C x g O p Q x L U c / e J A 3 s X d m N r A E r E y H H g h T z v H i Q l K G 1 4 j S Q 1 D O u m L d n / 5 x H k G U Q X r / 2 i 3 5 h s J Z g E U / t g 5 t X 0 i S H X Z b 9 r q U A A A A D z s v r w e n S f j R L V K 7 V h D C R c M h k p 2 U w C y M 2 9 R Y u a i 3 V e D S Y V t M R J B 1 z n J q Y w 7 d E v b x u D K G N e 5 m U o V N q 2 U k 7 / 1 w / e < / D a t a M a s h u p > 
</file>

<file path=customXml/itemProps1.xml><?xml version="1.0" encoding="utf-8"?>
<ds:datastoreItem xmlns:ds="http://schemas.openxmlformats.org/officeDocument/2006/customXml" ds:itemID="{E05FA3F5-3473-4E1E-BAFC-919CF5F6C2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Central Tendency</vt:lpstr>
      <vt:lpstr>Histogram</vt:lpstr>
      <vt:lpstr>Measure of Dispersion</vt:lpstr>
      <vt:lpstr>Rank &amp; Percentile (measureOfDi)</vt:lpstr>
      <vt:lpstr>Percentile (measure of D)</vt:lpstr>
      <vt:lpstr>Scatter Plots</vt:lpstr>
      <vt:lpstr> Cleaning Data (Duplicates)</vt:lpstr>
      <vt:lpstr>Cleaning Data (Empty Cells)</vt:lpstr>
      <vt:lpstr>Conditional Statements</vt:lpstr>
      <vt:lpstr>Conditional (SUMIF SUMIFS)</vt:lpstr>
      <vt:lpstr>ERRORS</vt:lpstr>
      <vt:lpstr>IFERROR()</vt:lpstr>
      <vt:lpstr>LOOKUP()</vt:lpstr>
      <vt:lpstr>VLOOKUP()</vt:lpstr>
      <vt:lpstr>HLOOKUP()</vt:lpstr>
      <vt:lpstr>Pivot Tables</vt:lpstr>
      <vt:lpstr>Correlation &amp; Regression</vt:lpstr>
      <vt:lpstr>Solver</vt:lpstr>
      <vt:lpstr>Text Manipulation</vt:lpstr>
      <vt:lpstr>Dates &amp; Time</vt:lpstr>
      <vt:lpstr>Text to Columns</vt:lpstr>
      <vt:lpstr>Column Chart</vt:lpstr>
      <vt:lpstr>Histogram Chart</vt:lpstr>
      <vt:lpstr>Stacked Column Chart</vt:lpstr>
      <vt:lpstr>Bar Charts Conditoinal Format</vt:lpstr>
      <vt:lpstr>Dynamic Maps</vt:lpstr>
      <vt:lpstr>Stacked Area</vt:lpstr>
      <vt:lpstr>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Pal</dc:creator>
  <cp:lastModifiedBy>Ashwin Pal</cp:lastModifiedBy>
  <dcterms:created xsi:type="dcterms:W3CDTF">2024-01-06T18:56:13Z</dcterms:created>
  <dcterms:modified xsi:type="dcterms:W3CDTF">2024-06-08T00:17:44Z</dcterms:modified>
</cp:coreProperties>
</file>