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Z:\Мила\12. Волга-Автодор 05.04.21г\18. Казаньоргсинтез стоянка 2024\3. ИТД\"/>
    </mc:Choice>
  </mc:AlternateContent>
  <xr:revisionPtr revIDLastSave="0" documentId="13_ncr:1_{A93B16BC-584F-4B3A-98C7-4E5DA273B8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арковка 7" sheetId="1" r:id="rId1"/>
    <sheet name="Парковка 435" sheetId="2" r:id="rId2"/>
  </sheets>
  <definedNames>
    <definedName name="_xlnm._FilterDatabase" localSheetId="1" hidden="1">'Парковка 435'!$A$5:$AB$307</definedName>
    <definedName name="_xlnm._FilterDatabase" localSheetId="0" hidden="1">'Парковка 7'!$A$5:$AD$524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5" i="2" l="1"/>
  <c r="V24" i="2"/>
  <c r="Y145" i="2"/>
  <c r="Z145" i="2"/>
  <c r="AA145" i="2"/>
  <c r="Y143" i="2"/>
  <c r="Z143" i="2"/>
  <c r="AA143" i="2"/>
  <c r="Y144" i="2"/>
  <c r="AA144" i="2" s="1"/>
  <c r="Z144" i="2"/>
  <c r="Q24" i="2"/>
  <c r="Q25" i="2"/>
  <c r="M20" i="2"/>
  <c r="T20" i="2"/>
  <c r="R20" i="2"/>
  <c r="O20" i="2"/>
  <c r="M17" i="2"/>
  <c r="L17" i="2"/>
  <c r="Q20" i="2"/>
  <c r="R25" i="2"/>
  <c r="R24" i="2"/>
  <c r="P25" i="2"/>
  <c r="P24" i="2"/>
  <c r="Y92" i="1" l="1"/>
  <c r="AB92" i="1"/>
  <c r="AC92" i="1"/>
  <c r="Y93" i="1"/>
  <c r="AC93" i="1" s="1"/>
  <c r="AB93" i="1"/>
  <c r="Y94" i="1"/>
  <c r="AB94" i="1"/>
  <c r="AC94" i="1"/>
  <c r="AA487" i="1" l="1"/>
  <c r="AA486" i="1"/>
  <c r="AA485" i="1"/>
  <c r="Y22" i="1"/>
  <c r="AC22" i="1" s="1"/>
  <c r="Q22" i="1"/>
  <c r="P22" i="1"/>
  <c r="O22" i="1"/>
  <c r="N22" i="1"/>
  <c r="AB22" i="1" l="1"/>
  <c r="Y81" i="2"/>
  <c r="Z81" i="2" s="1"/>
  <c r="AA81" i="2" l="1"/>
  <c r="AE27" i="2"/>
  <c r="AD27" i="2"/>
  <c r="AC55" i="1"/>
  <c r="M32" i="1" l="1"/>
  <c r="M33" i="1"/>
  <c r="AA22" i="1" l="1"/>
  <c r="U284" i="2" l="1"/>
  <c r="T283" i="2"/>
  <c r="T282" i="2"/>
  <c r="T281" i="2"/>
  <c r="T280" i="2"/>
  <c r="Y279" i="2"/>
  <c r="T246" i="2"/>
  <c r="T231" i="2"/>
  <c r="T230" i="2"/>
  <c r="U219" i="2"/>
  <c r="T219" i="2"/>
  <c r="T216" i="2"/>
  <c r="T215" i="2"/>
  <c r="U214" i="2"/>
  <c r="T214" i="2"/>
  <c r="U213" i="2"/>
  <c r="T213" i="2"/>
  <c r="Q206" i="2"/>
  <c r="T204" i="2"/>
  <c r="R204" i="2"/>
  <c r="T203" i="2"/>
  <c r="S203" i="2"/>
  <c r="R203" i="2"/>
  <c r="Q203" i="2"/>
  <c r="Y112" i="1" l="1"/>
  <c r="AB112" i="1" s="1"/>
  <c r="K112" i="1"/>
  <c r="K111" i="1"/>
  <c r="Y111" i="1"/>
  <c r="AC111" i="1" s="1"/>
  <c r="S110" i="1"/>
  <c r="T110" i="1"/>
  <c r="R110" i="1"/>
  <c r="H110" i="1"/>
  <c r="Y110" i="1" l="1"/>
  <c r="AC110" i="1" s="1"/>
  <c r="AC112" i="1"/>
  <c r="AB111" i="1"/>
  <c r="U40" i="2"/>
  <c r="U42" i="1"/>
  <c r="T42" i="1"/>
  <c r="H42" i="1"/>
  <c r="O12" i="1"/>
  <c r="AB110" i="1" l="1"/>
  <c r="K21" i="1"/>
  <c r="H157" i="1"/>
  <c r="K28" i="2"/>
  <c r="K30" i="2"/>
  <c r="K34" i="2"/>
  <c r="K35" i="2"/>
  <c r="O33" i="1" l="1"/>
  <c r="L20" i="1"/>
  <c r="R14" i="1"/>
  <c r="Q14" i="1"/>
  <c r="P14" i="1"/>
  <c r="O14" i="1"/>
  <c r="H14" i="1"/>
  <c r="M10" i="1"/>
  <c r="M12" i="1"/>
  <c r="O10" i="1"/>
  <c r="P10" i="1"/>
  <c r="Q10" i="1"/>
  <c r="R10" i="1"/>
  <c r="K26" i="2"/>
  <c r="Y87" i="1"/>
  <c r="AB87" i="1" s="1"/>
  <c r="Y88" i="1"/>
  <c r="AB88" i="1" s="1"/>
  <c r="Y89" i="1"/>
  <c r="AB89" i="1" s="1"/>
  <c r="Y90" i="1"/>
  <c r="AB90" i="1" s="1"/>
  <c r="Y91" i="1"/>
  <c r="AB91" i="1" s="1"/>
  <c r="Y95" i="1"/>
  <c r="AB95" i="1" s="1"/>
  <c r="Y96" i="1"/>
  <c r="AB96" i="1" s="1"/>
  <c r="Y86" i="1"/>
  <c r="AB86" i="1" s="1"/>
  <c r="Y97" i="1"/>
  <c r="AB97" i="1" s="1"/>
  <c r="Y98" i="1"/>
  <c r="AB98" i="1" s="1"/>
  <c r="Y100" i="1"/>
  <c r="Y101" i="1"/>
  <c r="AB101" i="1" s="1"/>
  <c r="Y102" i="1"/>
  <c r="AB102" i="1" s="1"/>
  <c r="Y103" i="1"/>
  <c r="AB103" i="1" s="1"/>
  <c r="H100" i="1"/>
  <c r="AB100" i="1" l="1"/>
  <c r="H66" i="2"/>
  <c r="H64" i="2"/>
  <c r="Y119" i="2" l="1"/>
  <c r="Z119" i="2" s="1"/>
  <c r="AA119" i="2" l="1"/>
  <c r="Y72" i="2" l="1"/>
  <c r="Z72" i="2" s="1"/>
  <c r="Y73" i="2"/>
  <c r="Z73" i="2" s="1"/>
  <c r="Y74" i="2"/>
  <c r="Z74" i="2" s="1"/>
  <c r="Y75" i="2"/>
  <c r="Z75" i="2" s="1"/>
  <c r="Y76" i="2"/>
  <c r="Z76" i="2" s="1"/>
  <c r="Y77" i="2"/>
  <c r="Z77" i="2" s="1"/>
  <c r="Y78" i="2"/>
  <c r="Z78" i="2" s="1"/>
  <c r="Y79" i="2"/>
  <c r="Z79" i="2" s="1"/>
  <c r="Y80" i="2"/>
  <c r="Z80" i="2" s="1"/>
  <c r="Y82" i="2"/>
  <c r="Z82" i="2" s="1"/>
  <c r="Y83" i="2"/>
  <c r="Z83" i="2" s="1"/>
  <c r="Y85" i="2"/>
  <c r="Z85" i="2" s="1"/>
  <c r="Y86" i="2"/>
  <c r="Z86" i="2" s="1"/>
  <c r="Y87" i="2"/>
  <c r="Z87" i="2" s="1"/>
  <c r="Y88" i="2"/>
  <c r="Z88" i="2" s="1"/>
  <c r="Y89" i="2"/>
  <c r="Z89" i="2" s="1"/>
  <c r="Y90" i="2"/>
  <c r="Z90" i="2" s="1"/>
  <c r="Y92" i="2"/>
  <c r="Z92" i="2" s="1"/>
  <c r="Y93" i="2"/>
  <c r="Z93" i="2" s="1"/>
  <c r="Y94" i="2"/>
  <c r="Z94" i="2" s="1"/>
  <c r="Y95" i="2"/>
  <c r="Z95" i="2" s="1"/>
  <c r="Y96" i="2"/>
  <c r="Y97" i="2"/>
  <c r="Z97" i="2" s="1"/>
  <c r="Y98" i="2"/>
  <c r="Z98" i="2" s="1"/>
  <c r="Y99" i="2"/>
  <c r="Z99" i="2" s="1"/>
  <c r="Y100" i="2"/>
  <c r="Z100" i="2" s="1"/>
  <c r="Y101" i="2"/>
  <c r="Z101" i="2" s="1"/>
  <c r="Y102" i="2"/>
  <c r="Z102" i="2" s="1"/>
  <c r="Y103" i="2"/>
  <c r="Z103" i="2" s="1"/>
  <c r="Y104" i="2"/>
  <c r="Z104" i="2" s="1"/>
  <c r="Y105" i="2"/>
  <c r="Z105" i="2" s="1"/>
  <c r="Y106" i="2"/>
  <c r="Z106" i="2" s="1"/>
  <c r="Y107" i="2"/>
  <c r="Y108" i="2"/>
  <c r="Z108" i="2" s="1"/>
  <c r="Y109" i="2"/>
  <c r="Z109" i="2" s="1"/>
  <c r="Y110" i="2"/>
  <c r="Z110" i="2" s="1"/>
  <c r="Y111" i="2"/>
  <c r="Z111" i="2" s="1"/>
  <c r="Y112" i="2"/>
  <c r="Z112" i="2" s="1"/>
  <c r="Y113" i="2"/>
  <c r="Z113" i="2" s="1"/>
  <c r="Y114" i="2"/>
  <c r="Z114" i="2" s="1"/>
  <c r="Y11" i="1"/>
  <c r="AA11" i="1" s="1"/>
  <c r="Y256" i="1"/>
  <c r="AB256" i="1" s="1"/>
  <c r="Y254" i="1"/>
  <c r="AB254" i="1" s="1"/>
  <c r="Y253" i="1"/>
  <c r="AB253" i="1" s="1"/>
  <c r="Y252" i="1"/>
  <c r="AB252" i="1" s="1"/>
  <c r="Y460" i="1"/>
  <c r="AB460" i="1" s="1"/>
  <c r="Y461" i="1"/>
  <c r="AB461" i="1" s="1"/>
  <c r="Y462" i="1"/>
  <c r="AB462" i="1" s="1"/>
  <c r="Y463" i="1"/>
  <c r="AB463" i="1" s="1"/>
  <c r="Y464" i="1"/>
  <c r="AB464" i="1" s="1"/>
  <c r="Y465" i="1"/>
  <c r="AB465" i="1" s="1"/>
  <c r="Y466" i="1"/>
  <c r="AB466" i="1" s="1"/>
  <c r="Y467" i="1"/>
  <c r="AB467" i="1" s="1"/>
  <c r="Y468" i="1"/>
  <c r="AB468" i="1" s="1"/>
  <c r="Y469" i="1"/>
  <c r="AB469" i="1" s="1"/>
  <c r="Y470" i="1"/>
  <c r="AB470" i="1" s="1"/>
  <c r="Y471" i="1"/>
  <c r="AB471" i="1" s="1"/>
  <c r="Y472" i="1"/>
  <c r="AB472" i="1" s="1"/>
  <c r="Y473" i="1"/>
  <c r="AB473" i="1" s="1"/>
  <c r="Y474" i="1"/>
  <c r="AB474" i="1" s="1"/>
  <c r="Y475" i="1"/>
  <c r="AB475" i="1" s="1"/>
  <c r="Y476" i="1"/>
  <c r="AB476" i="1" s="1"/>
  <c r="Y477" i="1"/>
  <c r="AB477" i="1" s="1"/>
  <c r="Y478" i="1"/>
  <c r="AB478" i="1" s="1"/>
  <c r="Y479" i="1"/>
  <c r="AB479" i="1" s="1"/>
  <c r="Y427" i="1"/>
  <c r="AB427" i="1" s="1"/>
  <c r="Y428" i="1"/>
  <c r="AB428" i="1" s="1"/>
  <c r="Y429" i="1"/>
  <c r="AB429" i="1" s="1"/>
  <c r="Y430" i="1"/>
  <c r="AB430" i="1" s="1"/>
  <c r="Y432" i="1"/>
  <c r="AB432" i="1" s="1"/>
  <c r="Y433" i="1"/>
  <c r="AB433" i="1" s="1"/>
  <c r="Y435" i="1"/>
  <c r="AB435" i="1" s="1"/>
  <c r="Y410" i="1"/>
  <c r="AB410" i="1" s="1"/>
  <c r="Y411" i="1"/>
  <c r="AB411" i="1" s="1"/>
  <c r="Y412" i="1"/>
  <c r="AB412" i="1" s="1"/>
  <c r="Y413" i="1"/>
  <c r="AB413" i="1" s="1"/>
  <c r="Y414" i="1"/>
  <c r="AB414" i="1" s="1"/>
  <c r="Y415" i="1"/>
  <c r="AB415" i="1" s="1"/>
  <c r="Y391" i="1"/>
  <c r="AB391" i="1" s="1"/>
  <c r="Y392" i="1"/>
  <c r="AB392" i="1" s="1"/>
  <c r="Y393" i="1"/>
  <c r="AB393" i="1" s="1"/>
  <c r="Y394" i="1"/>
  <c r="AB394" i="1" s="1"/>
  <c r="Y395" i="1"/>
  <c r="AB395" i="1" s="1"/>
  <c r="Y396" i="1"/>
  <c r="AB396" i="1" s="1"/>
  <c r="Y397" i="1"/>
  <c r="AB397" i="1" s="1"/>
  <c r="Y398" i="1"/>
  <c r="AB398" i="1" s="1"/>
  <c r="Y399" i="1"/>
  <c r="AB399" i="1" s="1"/>
  <c r="Y400" i="1"/>
  <c r="AB400" i="1" s="1"/>
  <c r="Y348" i="1"/>
  <c r="AB348" i="1" s="1"/>
  <c r="Y349" i="1"/>
  <c r="AB349" i="1" s="1"/>
  <c r="Y350" i="1"/>
  <c r="AB350" i="1" s="1"/>
  <c r="Y351" i="1"/>
  <c r="AB351" i="1" s="1"/>
  <c r="Y352" i="1"/>
  <c r="AB352" i="1" s="1"/>
  <c r="Y353" i="1"/>
  <c r="AB353" i="1" s="1"/>
  <c r="Y354" i="1"/>
  <c r="AB354" i="1" s="1"/>
  <c r="Y355" i="1"/>
  <c r="AB355" i="1" s="1"/>
  <c r="Y356" i="1"/>
  <c r="AB356" i="1" s="1"/>
  <c r="Y357" i="1"/>
  <c r="AB357" i="1" s="1"/>
  <c r="Y358" i="1"/>
  <c r="AB358" i="1" s="1"/>
  <c r="Y359" i="1"/>
  <c r="AB359" i="1" s="1"/>
  <c r="Y360" i="1"/>
  <c r="AB360" i="1" s="1"/>
  <c r="Y361" i="1"/>
  <c r="AB361" i="1" s="1"/>
  <c r="Y362" i="1"/>
  <c r="AB362" i="1" s="1"/>
  <c r="Y363" i="1"/>
  <c r="AB363" i="1" s="1"/>
  <c r="Y364" i="1"/>
  <c r="AB364" i="1" s="1"/>
  <c r="Y365" i="1"/>
  <c r="AB365" i="1" s="1"/>
  <c r="Y366" i="1"/>
  <c r="AB366" i="1" s="1"/>
  <c r="Y367" i="1"/>
  <c r="AB367" i="1" s="1"/>
  <c r="Y368" i="1"/>
  <c r="AB368" i="1" s="1"/>
  <c r="Y369" i="1"/>
  <c r="AB369" i="1" s="1"/>
  <c r="Y370" i="1"/>
  <c r="AB370" i="1" s="1"/>
  <c r="Y371" i="1"/>
  <c r="AB371" i="1" s="1"/>
  <c r="Y372" i="1"/>
  <c r="AB372" i="1" s="1"/>
  <c r="Y373" i="1"/>
  <c r="AB373" i="1" s="1"/>
  <c r="Y374" i="1"/>
  <c r="AB374" i="1" s="1"/>
  <c r="Y375" i="1"/>
  <c r="AB375" i="1" s="1"/>
  <c r="Y376" i="1"/>
  <c r="AB376" i="1" s="1"/>
  <c r="Y377" i="1"/>
  <c r="AB377" i="1" s="1"/>
  <c r="Y378" i="1"/>
  <c r="AB378" i="1" s="1"/>
  <c r="Y379" i="1"/>
  <c r="AB379" i="1" s="1"/>
  <c r="Y200" i="1" l="1"/>
  <c r="Y109" i="1"/>
  <c r="AB109" i="1" s="1"/>
  <c r="Y113" i="1"/>
  <c r="AB113" i="1" s="1"/>
  <c r="Y114" i="1"/>
  <c r="AB114" i="1" s="1"/>
  <c r="Y115" i="1"/>
  <c r="AB115" i="1" s="1"/>
  <c r="Y116" i="1"/>
  <c r="AB116" i="1" s="1"/>
  <c r="Y117" i="1"/>
  <c r="AB117" i="1" s="1"/>
  <c r="Y118" i="1"/>
  <c r="AB118" i="1" s="1"/>
  <c r="Y119" i="1"/>
  <c r="AB119" i="1" s="1"/>
  <c r="Y120" i="1"/>
  <c r="AB120" i="1" s="1"/>
  <c r="Y121" i="1"/>
  <c r="AB121" i="1" s="1"/>
  <c r="Y122" i="1"/>
  <c r="AB122" i="1" s="1"/>
  <c r="Y123" i="1"/>
  <c r="AB123" i="1" s="1"/>
  <c r="Y124" i="1"/>
  <c r="AB124" i="1" s="1"/>
  <c r="Y125" i="1"/>
  <c r="AB125" i="1" s="1"/>
  <c r="Y126" i="1"/>
  <c r="AB126" i="1" s="1"/>
  <c r="Y127" i="1"/>
  <c r="AB127" i="1" s="1"/>
  <c r="Y128" i="1"/>
  <c r="AB128" i="1" s="1"/>
  <c r="Y129" i="1"/>
  <c r="AB129" i="1" s="1"/>
  <c r="Y130" i="1"/>
  <c r="AB130" i="1" s="1"/>
  <c r="Y131" i="1"/>
  <c r="AB131" i="1" s="1"/>
  <c r="Y132" i="1"/>
  <c r="AB132" i="1" s="1"/>
  <c r="Y133" i="1"/>
  <c r="AB133" i="1" s="1"/>
  <c r="Y134" i="1"/>
  <c r="AB134" i="1" s="1"/>
  <c r="Y135" i="1"/>
  <c r="AB135" i="1" s="1"/>
  <c r="Y136" i="1"/>
  <c r="AB136" i="1" s="1"/>
  <c r="Y137" i="1"/>
  <c r="Y138" i="1"/>
  <c r="AB138" i="1" s="1"/>
  <c r="AB137" i="1" l="1"/>
  <c r="AC137" i="1"/>
  <c r="H255" i="2"/>
  <c r="AC464" i="1" l="1"/>
  <c r="AC463" i="1"/>
  <c r="AC462" i="1"/>
  <c r="AC461" i="1"/>
  <c r="AC460" i="1"/>
  <c r="AC437" i="1"/>
  <c r="AC435" i="1"/>
  <c r="AC432" i="1"/>
  <c r="AC428" i="1"/>
  <c r="AC427" i="1"/>
  <c r="AC415" i="1"/>
  <c r="AC414" i="1"/>
  <c r="AC413" i="1"/>
  <c r="AC412" i="1"/>
  <c r="AC411" i="1"/>
  <c r="AC410" i="1"/>
  <c r="AC400" i="1" l="1"/>
  <c r="AC399" i="1"/>
  <c r="AC398" i="1"/>
  <c r="AC397" i="1"/>
  <c r="AC396" i="1"/>
  <c r="AC395" i="1"/>
  <c r="AC392" i="1"/>
  <c r="AC391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267" i="1"/>
  <c r="AC256" i="1"/>
  <c r="AC254" i="1"/>
  <c r="AC253" i="1"/>
  <c r="AC252" i="1"/>
  <c r="AC209" i="1"/>
  <c r="AC200" i="1"/>
  <c r="AC190" i="1"/>
  <c r="AC189" i="1"/>
  <c r="AC165" i="1"/>
  <c r="AC163" i="1"/>
  <c r="AC157" i="1"/>
  <c r="AC152" i="1"/>
  <c r="AC138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09" i="1"/>
  <c r="AC98" i="1"/>
  <c r="AC96" i="1"/>
  <c r="AC95" i="1"/>
  <c r="AC91" i="1"/>
  <c r="AC90" i="1"/>
  <c r="AC89" i="1"/>
  <c r="AC88" i="1"/>
  <c r="AC87" i="1"/>
  <c r="AC86" i="1"/>
  <c r="AC76" i="1"/>
  <c r="AC75" i="1"/>
  <c r="AC69" i="1"/>
  <c r="AC68" i="1"/>
  <c r="AC67" i="1"/>
  <c r="AC64" i="1"/>
  <c r="AC63" i="1"/>
  <c r="AC62" i="1"/>
  <c r="AC60" i="1"/>
  <c r="AC59" i="1"/>
  <c r="AC54" i="1"/>
  <c r="AC53" i="1"/>
  <c r="AC52" i="1"/>
  <c r="AC51" i="1"/>
  <c r="AC50" i="1"/>
  <c r="AC49" i="1"/>
  <c r="AC47" i="1"/>
  <c r="AC46" i="1"/>
  <c r="AC45" i="1"/>
  <c r="E440" i="1"/>
  <c r="AC440" i="1" s="1"/>
  <c r="E417" i="1"/>
  <c r="H96" i="2" l="1"/>
  <c r="Z96" i="2" s="1"/>
  <c r="F296" i="2"/>
  <c r="Y10" i="2" l="1"/>
  <c r="Y115" i="2"/>
  <c r="AA115" i="2" s="1"/>
  <c r="M116" i="2"/>
  <c r="Y116" i="2" s="1"/>
  <c r="AA116" i="2" s="1"/>
  <c r="S199" i="1"/>
  <c r="Y195" i="1"/>
  <c r="AB195" i="1" l="1"/>
  <c r="AC195" i="1"/>
  <c r="AA10" i="2"/>
  <c r="Y147" i="2"/>
  <c r="AA147" i="2" s="1"/>
  <c r="Y148" i="2"/>
  <c r="AA148" i="2" s="1"/>
  <c r="Y150" i="2"/>
  <c r="AA150" i="2" s="1"/>
  <c r="Y152" i="2"/>
  <c r="AA152" i="2" s="1"/>
  <c r="Y153" i="2"/>
  <c r="AA153" i="2" s="1"/>
  <c r="Y154" i="2"/>
  <c r="AA154" i="2" s="1"/>
  <c r="Y155" i="2"/>
  <c r="Y156" i="2"/>
  <c r="AA156" i="2" s="1"/>
  <c r="Y157" i="2"/>
  <c r="AA157" i="2" s="1"/>
  <c r="Y158" i="2"/>
  <c r="AA158" i="2" s="1"/>
  <c r="Y159" i="2"/>
  <c r="AA159" i="2" s="1"/>
  <c r="Y161" i="2"/>
  <c r="Y162" i="2"/>
  <c r="AA162" i="2" s="1"/>
  <c r="Y163" i="2"/>
  <c r="AA163" i="2" s="1"/>
  <c r="Y164" i="2"/>
  <c r="AA164" i="2" s="1"/>
  <c r="Y165" i="2"/>
  <c r="AA165" i="2" s="1"/>
  <c r="Y166" i="2"/>
  <c r="AA166" i="2" s="1"/>
  <c r="Y167" i="2"/>
  <c r="AA167" i="2" s="1"/>
  <c r="Y168" i="2"/>
  <c r="AA168" i="2" s="1"/>
  <c r="Y169" i="2"/>
  <c r="AA169" i="2" s="1"/>
  <c r="Y170" i="2"/>
  <c r="AA170" i="2" s="1"/>
  <c r="Y171" i="2"/>
  <c r="AA171" i="2" s="1"/>
  <c r="Y172" i="2"/>
  <c r="AA172" i="2" s="1"/>
  <c r="Y173" i="2"/>
  <c r="AA173" i="2" s="1"/>
  <c r="Y174" i="2"/>
  <c r="AA174" i="2" s="1"/>
  <c r="Y175" i="2"/>
  <c r="AA175" i="2" s="1"/>
  <c r="Y176" i="2"/>
  <c r="AA176" i="2" s="1"/>
  <c r="Y177" i="2"/>
  <c r="AA177" i="2" s="1"/>
  <c r="Y178" i="2"/>
  <c r="AA178" i="2" s="1"/>
  <c r="Y179" i="2"/>
  <c r="AA179" i="2" s="1"/>
  <c r="Y180" i="2"/>
  <c r="AA180" i="2" s="1"/>
  <c r="Y181" i="2"/>
  <c r="AA181" i="2" s="1"/>
  <c r="Y182" i="2"/>
  <c r="AA182" i="2" s="1"/>
  <c r="Y183" i="2"/>
  <c r="AA183" i="2" s="1"/>
  <c r="Y184" i="2"/>
  <c r="AA184" i="2" s="1"/>
  <c r="Y185" i="2"/>
  <c r="AA185" i="2" s="1"/>
  <c r="Y186" i="2"/>
  <c r="AA186" i="2" s="1"/>
  <c r="Y187" i="2"/>
  <c r="AA187" i="2" s="1"/>
  <c r="Y188" i="2"/>
  <c r="AA188" i="2" s="1"/>
  <c r="Y189" i="2"/>
  <c r="AA189" i="2" s="1"/>
  <c r="Y190" i="2"/>
  <c r="AA190" i="2" s="1"/>
  <c r="Y191" i="2"/>
  <c r="AA191" i="2" s="1"/>
  <c r="Y192" i="2"/>
  <c r="AA192" i="2" s="1"/>
  <c r="Y193" i="2"/>
  <c r="AA193" i="2" s="1"/>
  <c r="Y194" i="2"/>
  <c r="AA194" i="2" s="1"/>
  <c r="Y195" i="2"/>
  <c r="AA195" i="2" s="1"/>
  <c r="Y196" i="2"/>
  <c r="AA196" i="2" s="1"/>
  <c r="Y197" i="2"/>
  <c r="AA197" i="2" s="1"/>
  <c r="Y198" i="2"/>
  <c r="AA198" i="2" s="1"/>
  <c r="Y199" i="2"/>
  <c r="AA199" i="2" s="1"/>
  <c r="Y200" i="2"/>
  <c r="AA200" i="2" s="1"/>
  <c r="Y201" i="2"/>
  <c r="AA201" i="2" s="1"/>
  <c r="Y202" i="2"/>
  <c r="AA202" i="2" s="1"/>
  <c r="Y205" i="2"/>
  <c r="AA205" i="2" s="1"/>
  <c r="Y207" i="2"/>
  <c r="AA207" i="2" s="1"/>
  <c r="Y208" i="2"/>
  <c r="AA208" i="2" s="1"/>
  <c r="Y209" i="2"/>
  <c r="AA209" i="2" s="1"/>
  <c r="Y210" i="2"/>
  <c r="AA210" i="2" s="1"/>
  <c r="Y212" i="2"/>
  <c r="Y214" i="2"/>
  <c r="AA214" i="2" s="1"/>
  <c r="Y215" i="2"/>
  <c r="AA215" i="2" s="1"/>
  <c r="Y216" i="2"/>
  <c r="AA216" i="2" s="1"/>
  <c r="Y217" i="2"/>
  <c r="AA217" i="2" s="1"/>
  <c r="Y220" i="2"/>
  <c r="AA220" i="2" s="1"/>
  <c r="Y221" i="2"/>
  <c r="AA221" i="2" s="1"/>
  <c r="Y222" i="2"/>
  <c r="AA222" i="2" s="1"/>
  <c r="Y223" i="2"/>
  <c r="AA223" i="2" s="1"/>
  <c r="Y224" i="2"/>
  <c r="AA224" i="2" s="1"/>
  <c r="Y225" i="2"/>
  <c r="AA225" i="2" s="1"/>
  <c r="Y226" i="2"/>
  <c r="AA226" i="2" s="1"/>
  <c r="Y227" i="2"/>
  <c r="AA227" i="2" s="1"/>
  <c r="Y228" i="2"/>
  <c r="AA228" i="2" s="1"/>
  <c r="Y229" i="2"/>
  <c r="AA229" i="2" s="1"/>
  <c r="Y230" i="2"/>
  <c r="AA230" i="2" s="1"/>
  <c r="Y231" i="2"/>
  <c r="AA231" i="2" s="1"/>
  <c r="Y232" i="2"/>
  <c r="AA232" i="2" s="1"/>
  <c r="Y233" i="2"/>
  <c r="AA233" i="2" s="1"/>
  <c r="Y234" i="2"/>
  <c r="AA234" i="2" s="1"/>
  <c r="Y235" i="2"/>
  <c r="AA235" i="2" s="1"/>
  <c r="Y236" i="2"/>
  <c r="AA236" i="2" s="1"/>
  <c r="Y237" i="2"/>
  <c r="AA237" i="2" s="1"/>
  <c r="Y238" i="2"/>
  <c r="AA238" i="2" s="1"/>
  <c r="Y239" i="2"/>
  <c r="AA239" i="2" s="1"/>
  <c r="Y240" i="2"/>
  <c r="AA240" i="2" s="1"/>
  <c r="Y241" i="2"/>
  <c r="AA241" i="2" s="1"/>
  <c r="Y242" i="2"/>
  <c r="AA242" i="2" s="1"/>
  <c r="Y243" i="2"/>
  <c r="AA243" i="2" s="1"/>
  <c r="Y244" i="2"/>
  <c r="AA244" i="2" s="1"/>
  <c r="Y245" i="2"/>
  <c r="AA245" i="2" s="1"/>
  <c r="Y246" i="2"/>
  <c r="AA246" i="2" s="1"/>
  <c r="Y247" i="2"/>
  <c r="AA247" i="2" s="1"/>
  <c r="Y248" i="2"/>
  <c r="AA248" i="2" s="1"/>
  <c r="Y249" i="2"/>
  <c r="AA249" i="2" s="1"/>
  <c r="Y250" i="2"/>
  <c r="AA250" i="2" s="1"/>
  <c r="Y251" i="2"/>
  <c r="AA251" i="2" s="1"/>
  <c r="Y252" i="2"/>
  <c r="AA252" i="2" s="1"/>
  <c r="Y253" i="2"/>
  <c r="AA253" i="2" s="1"/>
  <c r="Y254" i="2"/>
  <c r="AA254" i="2" s="1"/>
  <c r="Y255" i="2"/>
  <c r="AA255" i="2" s="1"/>
  <c r="Y256" i="2"/>
  <c r="AA256" i="2" s="1"/>
  <c r="Y257" i="2"/>
  <c r="AA257" i="2" s="1"/>
  <c r="Y258" i="2"/>
  <c r="AA258" i="2" s="1"/>
  <c r="Y259" i="2"/>
  <c r="AA259" i="2" s="1"/>
  <c r="Y260" i="2"/>
  <c r="AA260" i="2" s="1"/>
  <c r="Y261" i="2"/>
  <c r="AA261" i="2" s="1"/>
  <c r="Y262" i="2"/>
  <c r="AA262" i="2" s="1"/>
  <c r="Y263" i="2"/>
  <c r="AA263" i="2" s="1"/>
  <c r="Y264" i="2"/>
  <c r="AA264" i="2" s="1"/>
  <c r="Y265" i="2"/>
  <c r="AA265" i="2" s="1"/>
  <c r="Y266" i="2"/>
  <c r="AA266" i="2" s="1"/>
  <c r="Y267" i="2"/>
  <c r="AA267" i="2" s="1"/>
  <c r="Y268" i="2"/>
  <c r="AA268" i="2" s="1"/>
  <c r="Y269" i="2"/>
  <c r="AA269" i="2" s="1"/>
  <c r="Y270" i="2"/>
  <c r="Y271" i="2"/>
  <c r="AA271" i="2" s="1"/>
  <c r="Y272" i="2"/>
  <c r="AA272" i="2" s="1"/>
  <c r="Y273" i="2"/>
  <c r="Y274" i="2"/>
  <c r="Y275" i="2"/>
  <c r="Y276" i="2"/>
  <c r="AA276" i="2" s="1"/>
  <c r="Y277" i="2"/>
  <c r="Y278" i="2"/>
  <c r="AA278" i="2" s="1"/>
  <c r="Y286" i="2"/>
  <c r="Y289" i="2"/>
  <c r="AA289" i="2" s="1"/>
  <c r="Y290" i="2"/>
  <c r="AA290" i="2" s="1"/>
  <c r="Y291" i="2"/>
  <c r="AA291" i="2" s="1"/>
  <c r="Y292" i="2"/>
  <c r="AA292" i="2" s="1"/>
  <c r="Y293" i="2"/>
  <c r="AA293" i="2" s="1"/>
  <c r="Y294" i="2"/>
  <c r="AA294" i="2" s="1"/>
  <c r="Y296" i="2"/>
  <c r="Y297" i="2"/>
  <c r="AA297" i="2" s="1"/>
  <c r="Y298" i="2"/>
  <c r="AA298" i="2" s="1"/>
  <c r="Y299" i="2"/>
  <c r="AA299" i="2" s="1"/>
  <c r="Y300" i="2"/>
  <c r="AA300" i="2" s="1"/>
  <c r="Y301" i="2"/>
  <c r="AA301" i="2" s="1"/>
  <c r="Y302" i="2"/>
  <c r="AA302" i="2" s="1"/>
  <c r="Y303" i="2"/>
  <c r="AA303" i="2" s="1"/>
  <c r="Y305" i="2"/>
  <c r="AA305" i="2" s="1"/>
  <c r="Y306" i="2"/>
  <c r="AA306" i="2" s="1"/>
  <c r="Y307" i="2"/>
  <c r="AA307" i="2" s="1"/>
  <c r="Y146" i="2"/>
  <c r="Y142" i="2"/>
  <c r="Y141" i="2"/>
  <c r="Y140" i="2"/>
  <c r="Y137" i="2"/>
  <c r="AA137" i="2" s="1"/>
  <c r="Y136" i="2"/>
  <c r="AA136" i="2" s="1"/>
  <c r="Y135" i="2"/>
  <c r="AA135" i="2" s="1"/>
  <c r="Y134" i="2"/>
  <c r="AA134" i="2" s="1"/>
  <c r="Y133" i="2"/>
  <c r="AA133" i="2" s="1"/>
  <c r="Y132" i="2"/>
  <c r="AA132" i="2" s="1"/>
  <c r="Y131" i="2"/>
  <c r="AA131" i="2" s="1"/>
  <c r="Y130" i="2"/>
  <c r="AA130" i="2" s="1"/>
  <c r="Y129" i="2"/>
  <c r="AA129" i="2" s="1"/>
  <c r="Y128" i="2"/>
  <c r="AA128" i="2" s="1"/>
  <c r="Y127" i="2"/>
  <c r="AA127" i="2" s="1"/>
  <c r="Y126" i="2"/>
  <c r="AA126" i="2" s="1"/>
  <c r="Y125" i="2"/>
  <c r="AA125" i="2" s="1"/>
  <c r="Y124" i="2"/>
  <c r="AA124" i="2" s="1"/>
  <c r="Y123" i="2"/>
  <c r="AA123" i="2" s="1"/>
  <c r="Y122" i="2"/>
  <c r="AA122" i="2" s="1"/>
  <c r="Y121" i="2"/>
  <c r="Y118" i="2"/>
  <c r="AA118" i="2" s="1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0" i="2"/>
  <c r="AA89" i="2"/>
  <c r="AA88" i="2"/>
  <c r="AA87" i="2"/>
  <c r="AA86" i="2"/>
  <c r="AA85" i="2"/>
  <c r="AA83" i="2"/>
  <c r="AA82" i="2"/>
  <c r="AA80" i="2"/>
  <c r="AA79" i="2"/>
  <c r="AA78" i="2"/>
  <c r="AA77" i="2"/>
  <c r="AA76" i="2"/>
  <c r="AA75" i="2"/>
  <c r="AA74" i="2"/>
  <c r="AA73" i="2"/>
  <c r="AA72" i="2"/>
  <c r="Y71" i="2"/>
  <c r="AA71" i="2" s="1"/>
  <c r="Y70" i="2"/>
  <c r="AA70" i="2" s="1"/>
  <c r="Y69" i="2"/>
  <c r="AA69" i="2" s="1"/>
  <c r="Y68" i="2"/>
  <c r="AA68" i="2" s="1"/>
  <c r="Y67" i="2"/>
  <c r="AA67" i="2" s="1"/>
  <c r="Y66" i="2"/>
  <c r="AA66" i="2" s="1"/>
  <c r="Y65" i="2"/>
  <c r="AA65" i="2" s="1"/>
  <c r="Y13" i="2"/>
  <c r="Y14" i="2"/>
  <c r="Y15" i="2"/>
  <c r="Y16" i="2"/>
  <c r="Y17" i="2"/>
  <c r="Y18" i="2"/>
  <c r="Y19" i="2"/>
  <c r="Y21" i="2"/>
  <c r="Y22" i="2"/>
  <c r="Y23" i="2"/>
  <c r="Y31" i="2"/>
  <c r="Y32" i="2"/>
  <c r="Y33" i="2"/>
  <c r="Y34" i="2"/>
  <c r="Y35" i="2"/>
  <c r="Y36" i="2"/>
  <c r="Y37" i="2"/>
  <c r="AA37" i="2" s="1"/>
  <c r="Y38" i="2"/>
  <c r="Y39" i="2"/>
  <c r="AA39" i="2" s="1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T25" i="2"/>
  <c r="H67" i="2"/>
  <c r="S64" i="2"/>
  <c r="Y64" i="2" s="1"/>
  <c r="AA64" i="2" s="1"/>
  <c r="S138" i="2"/>
  <c r="R138" i="2"/>
  <c r="T24" i="2"/>
  <c r="T26" i="2"/>
  <c r="T27" i="2"/>
  <c r="Y27" i="2" s="1"/>
  <c r="T29" i="2"/>
  <c r="H11" i="2"/>
  <c r="H10" i="2"/>
  <c r="Z10" i="2" s="1"/>
  <c r="K195" i="1"/>
  <c r="H269" i="2"/>
  <c r="Z272" i="2"/>
  <c r="AA53" i="2" l="1"/>
  <c r="Z53" i="2"/>
  <c r="AA52" i="2"/>
  <c r="Z52" i="2"/>
  <c r="AA51" i="2"/>
  <c r="Z51" i="2"/>
  <c r="AA50" i="2"/>
  <c r="Z50" i="2"/>
  <c r="AA49" i="2"/>
  <c r="Z49" i="2"/>
  <c r="Y138" i="2"/>
  <c r="Z138" i="2" s="1"/>
  <c r="Z271" i="2"/>
  <c r="AA60" i="2"/>
  <c r="Z60" i="2"/>
  <c r="AA36" i="2"/>
  <c r="Z16" i="2"/>
  <c r="AA16" i="2"/>
  <c r="Z273" i="2"/>
  <c r="AA273" i="2"/>
  <c r="AA59" i="2"/>
  <c r="Z59" i="2"/>
  <c r="AA15" i="2"/>
  <c r="Z15" i="2"/>
  <c r="AA40" i="2"/>
  <c r="Z21" i="2"/>
  <c r="AA21" i="2"/>
  <c r="Z277" i="2"/>
  <c r="AA277" i="2"/>
  <c r="AA57" i="2"/>
  <c r="Z57" i="2"/>
  <c r="Z45" i="2"/>
  <c r="AA45" i="2"/>
  <c r="AA19" i="2"/>
  <c r="Z140" i="2"/>
  <c r="AA140" i="2"/>
  <c r="Z62" i="2"/>
  <c r="AA62" i="2"/>
  <c r="AA56" i="2"/>
  <c r="Z56" i="2"/>
  <c r="AA38" i="2"/>
  <c r="AA32" i="2"/>
  <c r="Z18" i="2"/>
  <c r="AA18" i="2"/>
  <c r="Z141" i="2"/>
  <c r="AA141" i="2"/>
  <c r="Z275" i="2"/>
  <c r="AA275" i="2"/>
  <c r="Z276" i="2"/>
  <c r="AA61" i="2"/>
  <c r="Z61" i="2"/>
  <c r="AA55" i="2"/>
  <c r="Z55" i="2"/>
  <c r="AA43" i="2"/>
  <c r="AA31" i="2"/>
  <c r="Z17" i="2"/>
  <c r="AA17" i="2"/>
  <c r="Z142" i="2"/>
  <c r="AA142" i="2"/>
  <c r="Z274" i="2"/>
  <c r="AA274" i="2"/>
  <c r="AA42" i="2"/>
  <c r="AA48" i="2"/>
  <c r="Z48" i="2"/>
  <c r="AA27" i="2"/>
  <c r="AA41" i="2"/>
  <c r="Z35" i="2"/>
  <c r="AA35" i="2"/>
  <c r="AA34" i="2"/>
  <c r="Z54" i="2"/>
  <c r="AA54" i="2"/>
  <c r="AA23" i="2"/>
  <c r="Z23" i="2"/>
  <c r="AA47" i="2"/>
  <c r="Z47" i="2"/>
  <c r="AA22" i="2"/>
  <c r="Z22" i="2"/>
  <c r="Z58" i="2"/>
  <c r="AA58" i="2"/>
  <c r="AA46" i="2"/>
  <c r="Z14" i="2"/>
  <c r="AA14" i="2"/>
  <c r="AA33" i="2"/>
  <c r="AA13" i="2"/>
  <c r="Z270" i="2"/>
  <c r="AA270" i="2"/>
  <c r="Z44" i="2"/>
  <c r="AA44" i="2"/>
  <c r="Z269" i="2"/>
  <c r="Z255" i="2"/>
  <c r="Z256" i="2"/>
  <c r="Z257" i="2"/>
  <c r="Z258" i="2"/>
  <c r="Z259" i="2"/>
  <c r="Z260" i="2"/>
  <c r="Z261" i="2"/>
  <c r="Z262" i="2"/>
  <c r="Z263" i="2"/>
  <c r="Z264" i="2"/>
  <c r="H251" i="2"/>
  <c r="Z245" i="2"/>
  <c r="Z246" i="2"/>
  <c r="Z247" i="2"/>
  <c r="Z248" i="2"/>
  <c r="Z249" i="2"/>
  <c r="Z250" i="2"/>
  <c r="Z252" i="2"/>
  <c r="Z253" i="2"/>
  <c r="Z254" i="2"/>
  <c r="Z265" i="2"/>
  <c r="Z237" i="2"/>
  <c r="Z238" i="2"/>
  <c r="Z239" i="2"/>
  <c r="Z240" i="2"/>
  <c r="Z241" i="2"/>
  <c r="Z242" i="2"/>
  <c r="Z243" i="2"/>
  <c r="Z244" i="2"/>
  <c r="Z266" i="2"/>
  <c r="Z267" i="2"/>
  <c r="Z268" i="2"/>
  <c r="Z278" i="2"/>
  <c r="AA138" i="2" l="1"/>
  <c r="Z251" i="2"/>
  <c r="H235" i="2"/>
  <c r="Z234" i="2"/>
  <c r="Z236" i="2"/>
  <c r="H233" i="2"/>
  <c r="Z233" i="2" s="1"/>
  <c r="Z226" i="2"/>
  <c r="Z227" i="2"/>
  <c r="Z228" i="2"/>
  <c r="Z229" i="2"/>
  <c r="Z230" i="2"/>
  <c r="Z231" i="2"/>
  <c r="Z232" i="2"/>
  <c r="H225" i="2"/>
  <c r="Z225" i="2" s="1"/>
  <c r="H221" i="2"/>
  <c r="Z222" i="2"/>
  <c r="Z223" i="2"/>
  <c r="Z224" i="2"/>
  <c r="Z201" i="2"/>
  <c r="Z202" i="2"/>
  <c r="Z207" i="2"/>
  <c r="Z208" i="2"/>
  <c r="Z209" i="2"/>
  <c r="Z210" i="2"/>
  <c r="K202" i="2"/>
  <c r="Z200" i="2"/>
  <c r="H198" i="2"/>
  <c r="H191" i="2"/>
  <c r="H192" i="2"/>
  <c r="H193" i="2"/>
  <c r="H194" i="2"/>
  <c r="Z189" i="2"/>
  <c r="K190" i="2"/>
  <c r="H190" i="2" s="1"/>
  <c r="Z195" i="2"/>
  <c r="Z196" i="2"/>
  <c r="Z197" i="2"/>
  <c r="Y386" i="1"/>
  <c r="Y387" i="1"/>
  <c r="AC387" i="1" s="1"/>
  <c r="Y388" i="1"/>
  <c r="AC388" i="1" s="1"/>
  <c r="Y389" i="1"/>
  <c r="Y390" i="1"/>
  <c r="AC393" i="1"/>
  <c r="Y344" i="1"/>
  <c r="Y345" i="1"/>
  <c r="Y346" i="1"/>
  <c r="Y347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37" i="1"/>
  <c r="Y221" i="1"/>
  <c r="Y222" i="1"/>
  <c r="Y223" i="1"/>
  <c r="AB387" i="1" l="1"/>
  <c r="AB388" i="1"/>
  <c r="AB285" i="1"/>
  <c r="AC285" i="1"/>
  <c r="AB297" i="1"/>
  <c r="AC297" i="1"/>
  <c r="AB280" i="1"/>
  <c r="AC280" i="1"/>
  <c r="AB292" i="1"/>
  <c r="AC292" i="1"/>
  <c r="AB304" i="1"/>
  <c r="AC304" i="1"/>
  <c r="AB347" i="1"/>
  <c r="AC347" i="1"/>
  <c r="AB222" i="1"/>
  <c r="AC222" i="1"/>
  <c r="AB281" i="1"/>
  <c r="AC281" i="1"/>
  <c r="AB287" i="1"/>
  <c r="AC287" i="1"/>
  <c r="AB293" i="1"/>
  <c r="AC293" i="1"/>
  <c r="AB299" i="1"/>
  <c r="AC299" i="1"/>
  <c r="AB305" i="1"/>
  <c r="AC305" i="1"/>
  <c r="AB346" i="1"/>
  <c r="AC346" i="1"/>
  <c r="AB390" i="1"/>
  <c r="AC390" i="1"/>
  <c r="AB386" i="1"/>
  <c r="AC386" i="1"/>
  <c r="AB279" i="1"/>
  <c r="AC279" i="1"/>
  <c r="AB291" i="1"/>
  <c r="AC291" i="1"/>
  <c r="AB303" i="1"/>
  <c r="AC303" i="1"/>
  <c r="AB309" i="1"/>
  <c r="AC309" i="1"/>
  <c r="AB223" i="1"/>
  <c r="AC223" i="1"/>
  <c r="AB286" i="1"/>
  <c r="AC286" i="1"/>
  <c r="AB298" i="1"/>
  <c r="AC298" i="1"/>
  <c r="AB221" i="1"/>
  <c r="AC221" i="1"/>
  <c r="AB282" i="1"/>
  <c r="AC282" i="1"/>
  <c r="AB288" i="1"/>
  <c r="AC288" i="1"/>
  <c r="AB294" i="1"/>
  <c r="AC294" i="1"/>
  <c r="AB300" i="1"/>
  <c r="AC300" i="1"/>
  <c r="AB306" i="1"/>
  <c r="AC306" i="1"/>
  <c r="AB345" i="1"/>
  <c r="AC345" i="1"/>
  <c r="AB389" i="1"/>
  <c r="AC389" i="1"/>
  <c r="AB237" i="1"/>
  <c r="AC237" i="1"/>
  <c r="AB283" i="1"/>
  <c r="AC283" i="1"/>
  <c r="AB289" i="1"/>
  <c r="AC289" i="1"/>
  <c r="AB295" i="1"/>
  <c r="AC295" i="1"/>
  <c r="AB301" i="1"/>
  <c r="AC301" i="1"/>
  <c r="AB307" i="1"/>
  <c r="AC307" i="1"/>
  <c r="AB344" i="1"/>
  <c r="AC344" i="1"/>
  <c r="AB278" i="1"/>
  <c r="AC278" i="1"/>
  <c r="AB284" i="1"/>
  <c r="AC284" i="1"/>
  <c r="AB290" i="1"/>
  <c r="AC290" i="1"/>
  <c r="AB296" i="1"/>
  <c r="AC296" i="1"/>
  <c r="AB302" i="1"/>
  <c r="AC302" i="1"/>
  <c r="AB308" i="1"/>
  <c r="AC308" i="1"/>
  <c r="AC394" i="1"/>
  <c r="Z235" i="2"/>
  <c r="Z221" i="2"/>
  <c r="Z198" i="2"/>
  <c r="H171" i="2"/>
  <c r="Z171" i="2" s="1"/>
  <c r="Z163" i="2"/>
  <c r="Z165" i="2"/>
  <c r="Z166" i="2"/>
  <c r="Z168" i="2"/>
  <c r="Z170" i="2"/>
  <c r="Z172" i="2"/>
  <c r="Z173" i="2"/>
  <c r="Z174" i="2"/>
  <c r="Z175" i="2"/>
  <c r="Z176" i="2"/>
  <c r="Z177" i="2"/>
  <c r="H169" i="2"/>
  <c r="Z169" i="2" s="1"/>
  <c r="K167" i="2"/>
  <c r="H167" i="2" s="1"/>
  <c r="K164" i="2"/>
  <c r="H164" i="2" s="1"/>
  <c r="Z164" i="2" s="1"/>
  <c r="K163" i="2"/>
  <c r="H162" i="2"/>
  <c r="K162" i="2"/>
  <c r="Z167" i="2" l="1"/>
  <c r="Q151" i="2"/>
  <c r="Y151" i="2" s="1"/>
  <c r="AA151" i="2" s="1"/>
  <c r="Z150" i="2"/>
  <c r="Q149" i="2"/>
  <c r="P149" i="2"/>
  <c r="O149" i="2"/>
  <c r="H151" i="2"/>
  <c r="H148" i="2"/>
  <c r="H149" i="2" s="1"/>
  <c r="R84" i="2"/>
  <c r="H84" i="2"/>
  <c r="H107" i="2"/>
  <c r="Z107" i="2" s="1"/>
  <c r="H117" i="2"/>
  <c r="K117" i="2" s="1"/>
  <c r="H65" i="2"/>
  <c r="K65" i="2" s="1"/>
  <c r="K66" i="2"/>
  <c r="Z66" i="2"/>
  <c r="Z67" i="2"/>
  <c r="Z68" i="2"/>
  <c r="Y84" i="2" l="1"/>
  <c r="Z84" i="2" s="1"/>
  <c r="Y149" i="2"/>
  <c r="AA149" i="2" s="1"/>
  <c r="Z148" i="2"/>
  <c r="Z151" i="2"/>
  <c r="Z65" i="2"/>
  <c r="H46" i="2"/>
  <c r="Z46" i="2" s="1"/>
  <c r="K61" i="2"/>
  <c r="K45" i="2"/>
  <c r="H43" i="2"/>
  <c r="K37" i="2"/>
  <c r="H27" i="2"/>
  <c r="H26" i="2"/>
  <c r="H33" i="2"/>
  <c r="Z33" i="2" s="1"/>
  <c r="H13" i="2"/>
  <c r="Z13" i="2" s="1"/>
  <c r="K44" i="2"/>
  <c r="H41" i="2"/>
  <c r="Z41" i="2" s="1"/>
  <c r="H42" i="2"/>
  <c r="Z42" i="2" s="1"/>
  <c r="H40" i="2"/>
  <c r="K38" i="2"/>
  <c r="H38" i="2"/>
  <c r="H36" i="2"/>
  <c r="H34" i="2"/>
  <c r="H32" i="2"/>
  <c r="Z32" i="2" s="1"/>
  <c r="H30" i="2"/>
  <c r="H31" i="2"/>
  <c r="Q30" i="2"/>
  <c r="Y30" i="2" s="1"/>
  <c r="H28" i="2"/>
  <c r="H29" i="2" s="1"/>
  <c r="H25" i="2"/>
  <c r="K25" i="2" s="1"/>
  <c r="H24" i="2"/>
  <c r="H20" i="2"/>
  <c r="H19" i="2"/>
  <c r="Z19" i="2" s="1"/>
  <c r="AA84" i="2" l="1"/>
  <c r="Z149" i="2"/>
  <c r="K31" i="2"/>
  <c r="Z31" i="2"/>
  <c r="H39" i="2"/>
  <c r="Z39" i="2" s="1"/>
  <c r="Z38" i="2"/>
  <c r="K40" i="2"/>
  <c r="Z40" i="2"/>
  <c r="K36" i="2"/>
  <c r="Z36" i="2"/>
  <c r="K43" i="2"/>
  <c r="Z43" i="2"/>
  <c r="K27" i="2"/>
  <c r="Z27" i="2"/>
  <c r="AE26" i="2" s="1"/>
  <c r="Z34" i="2"/>
  <c r="K29" i="2"/>
  <c r="Z30" i="2"/>
  <c r="AA30" i="2"/>
  <c r="K42" i="2"/>
  <c r="K41" i="2"/>
  <c r="K24" i="2"/>
  <c r="K39" i="2" l="1"/>
  <c r="Y6" i="2"/>
  <c r="Y7" i="2"/>
  <c r="Y8" i="2"/>
  <c r="Z6" i="2" l="1"/>
  <c r="AA6" i="2"/>
  <c r="Z8" i="2"/>
  <c r="AA8" i="2"/>
  <c r="Z7" i="2"/>
  <c r="AA7" i="2"/>
  <c r="K510" i="1"/>
  <c r="K509" i="1"/>
  <c r="K515" i="1"/>
  <c r="K514" i="1"/>
  <c r="K194" i="1" l="1"/>
  <c r="K83" i="1"/>
  <c r="K77" i="1"/>
  <c r="K73" i="1"/>
  <c r="K32" i="1"/>
  <c r="K20" i="1"/>
  <c r="Y42" i="1"/>
  <c r="AC42" i="1" s="1"/>
  <c r="Y41" i="1"/>
  <c r="K202" i="1"/>
  <c r="K201" i="1"/>
  <c r="K200" i="1"/>
  <c r="AB200" i="1" s="1"/>
  <c r="K199" i="1"/>
  <c r="K198" i="1"/>
  <c r="AB41" i="1" l="1"/>
  <c r="AC41" i="1"/>
  <c r="AB42" i="1"/>
  <c r="K42" i="1"/>
  <c r="Y29" i="1"/>
  <c r="AB29" i="1" l="1"/>
  <c r="AC29" i="1"/>
  <c r="S29" i="2"/>
  <c r="S25" i="2"/>
  <c r="Y25" i="2" s="1"/>
  <c r="S24" i="2"/>
  <c r="Y24" i="2" s="1"/>
  <c r="R11" i="2"/>
  <c r="Z220" i="2"/>
  <c r="AA25" i="2" l="1"/>
  <c r="Z25" i="2"/>
  <c r="Z24" i="2"/>
  <c r="AA24" i="2"/>
  <c r="Q21" i="1"/>
  <c r="P21" i="1"/>
  <c r="N21" i="1"/>
  <c r="M21" i="1"/>
  <c r="L21" i="1"/>
  <c r="R188" i="1" l="1"/>
  <c r="Y204" i="2" l="1"/>
  <c r="AA204" i="2" s="1"/>
  <c r="Z190" i="2" l="1"/>
  <c r="Z191" i="2"/>
  <c r="Z192" i="2"/>
  <c r="Z193" i="2"/>
  <c r="Z194" i="2"/>
  <c r="Z204" i="2"/>
  <c r="Z205" i="2"/>
  <c r="Y203" i="2" l="1"/>
  <c r="Y206" i="2"/>
  <c r="Q29" i="2"/>
  <c r="Q26" i="2"/>
  <c r="Y26" i="2" s="1"/>
  <c r="Y20" i="2"/>
  <c r="Q24" i="1"/>
  <c r="Q23" i="1"/>
  <c r="Z206" i="2" l="1"/>
  <c r="AA206" i="2"/>
  <c r="Z20" i="2"/>
  <c r="AA20" i="2"/>
  <c r="Z26" i="2"/>
  <c r="AD26" i="2" s="1"/>
  <c r="AA26" i="2"/>
  <c r="Z203" i="2"/>
  <c r="AA203" i="2"/>
  <c r="Q28" i="2"/>
  <c r="Y29" i="2"/>
  <c r="Z136" i="2"/>
  <c r="P516" i="1"/>
  <c r="P515" i="1"/>
  <c r="P513" i="1"/>
  <c r="P511" i="1"/>
  <c r="P510" i="1"/>
  <c r="P509" i="1"/>
  <c r="P508" i="1"/>
  <c r="AA29" i="2" l="1"/>
  <c r="Z29" i="2"/>
  <c r="Y28" i="2"/>
  <c r="P12" i="2"/>
  <c r="Z28" i="2" l="1"/>
  <c r="AA28" i="2"/>
  <c r="Y12" i="2"/>
  <c r="Z64" i="2"/>
  <c r="Z137" i="2"/>
  <c r="Z159" i="2"/>
  <c r="Z12" i="2" l="1"/>
  <c r="AA12" i="2"/>
  <c r="Z118" i="2"/>
  <c r="O219" i="2"/>
  <c r="O218" i="2"/>
  <c r="Z214" i="2"/>
  <c r="Z215" i="2"/>
  <c r="Z216" i="2"/>
  <c r="Z217" i="2"/>
  <c r="O213" i="2"/>
  <c r="O516" i="1"/>
  <c r="O514" i="1"/>
  <c r="O513" i="1"/>
  <c r="O443" i="1"/>
  <c r="O446" i="1"/>
  <c r="O510" i="1"/>
  <c r="O509" i="1"/>
  <c r="O508" i="1"/>
  <c r="O431" i="1"/>
  <c r="O13" i="1"/>
  <c r="Y13" i="1" s="1"/>
  <c r="AA13" i="1" s="1"/>
  <c r="N14" i="1"/>
  <c r="M14" i="1"/>
  <c r="L14" i="1"/>
  <c r="Y431" i="1" l="1"/>
  <c r="AB431" i="1" s="1"/>
  <c r="AB13" i="1"/>
  <c r="AC13" i="1"/>
  <c r="Y218" i="2"/>
  <c r="Y213" i="2"/>
  <c r="Y219" i="2"/>
  <c r="Y14" i="1"/>
  <c r="AA14" i="1" s="1"/>
  <c r="N78" i="1"/>
  <c r="N71" i="1"/>
  <c r="N72" i="1" s="1"/>
  <c r="N12" i="1"/>
  <c r="N10" i="1"/>
  <c r="L10" i="1"/>
  <c r="N8" i="1"/>
  <c r="M8" i="1"/>
  <c r="L8" i="1"/>
  <c r="AC431" i="1" l="1"/>
  <c r="Y8" i="1"/>
  <c r="AA8" i="1" s="1"/>
  <c r="AB14" i="1"/>
  <c r="AC14" i="1"/>
  <c r="Z219" i="2"/>
  <c r="AA219" i="2"/>
  <c r="Z213" i="2"/>
  <c r="AA213" i="2"/>
  <c r="Z218" i="2"/>
  <c r="AA218" i="2"/>
  <c r="M486" i="1"/>
  <c r="Z134" i="2" l="1"/>
  <c r="Z135" i="2"/>
  <c r="Z289" i="2"/>
  <c r="Z290" i="2"/>
  <c r="Z291" i="2"/>
  <c r="Z292" i="2"/>
  <c r="Z293" i="2"/>
  <c r="Z294" i="2"/>
  <c r="N287" i="2"/>
  <c r="N288" i="2"/>
  <c r="Y288" i="2" l="1"/>
  <c r="Y287" i="2"/>
  <c r="N17" i="1"/>
  <c r="Z287" i="2" l="1"/>
  <c r="AA287" i="2"/>
  <c r="Z288" i="2"/>
  <c r="AA288" i="2"/>
  <c r="M304" i="2"/>
  <c r="Y304" i="2" s="1"/>
  <c r="AA304" i="2" s="1"/>
  <c r="M516" i="1" l="1"/>
  <c r="Y516" i="1" s="1"/>
  <c r="AC516" i="1" s="1"/>
  <c r="M453" i="1"/>
  <c r="M117" i="2"/>
  <c r="Z115" i="2"/>
  <c r="Y524" i="1"/>
  <c r="AB524" i="1" s="1"/>
  <c r="Y523" i="1"/>
  <c r="AB523" i="1" s="1"/>
  <c r="Y519" i="1"/>
  <c r="AC519" i="1" s="1"/>
  <c r="Y518" i="1"/>
  <c r="AC518" i="1" s="1"/>
  <c r="M30" i="1"/>
  <c r="Y30" i="1" s="1"/>
  <c r="M16" i="1"/>
  <c r="Y16" i="1" s="1"/>
  <c r="M9" i="1"/>
  <c r="Y23" i="1"/>
  <c r="AA23" i="1" s="1"/>
  <c r="Y24" i="1"/>
  <c r="AA24" i="1" s="1"/>
  <c r="Y25" i="1"/>
  <c r="Y26" i="1"/>
  <c r="Y34" i="1"/>
  <c r="AA34" i="1" s="1"/>
  <c r="Y39" i="1"/>
  <c r="Y40" i="1"/>
  <c r="Y44" i="1"/>
  <c r="Y48" i="1"/>
  <c r="Y61" i="1"/>
  <c r="Y66" i="1"/>
  <c r="Y71" i="1"/>
  <c r="Y72" i="1"/>
  <c r="Y73" i="1"/>
  <c r="Y74" i="1"/>
  <c r="Y77" i="1"/>
  <c r="Y78" i="1"/>
  <c r="Y79" i="1"/>
  <c r="Y81" i="1"/>
  <c r="Y83" i="1"/>
  <c r="Y84" i="1"/>
  <c r="Y85" i="1"/>
  <c r="Y99" i="1"/>
  <c r="Y105" i="1"/>
  <c r="Y106" i="1"/>
  <c r="Y107" i="1"/>
  <c r="Y108" i="1"/>
  <c r="Y139" i="1"/>
  <c r="Y140" i="1"/>
  <c r="Y141" i="1"/>
  <c r="Y142" i="1"/>
  <c r="Y143" i="1"/>
  <c r="Y144" i="1"/>
  <c r="Y145" i="1"/>
  <c r="Y146" i="1"/>
  <c r="Y147" i="1"/>
  <c r="Y150" i="1"/>
  <c r="Y151" i="1"/>
  <c r="Y153" i="1"/>
  <c r="Y155" i="1"/>
  <c r="Y156" i="1"/>
  <c r="Y158" i="1"/>
  <c r="Y160" i="1"/>
  <c r="Y161" i="1"/>
  <c r="Y162" i="1"/>
  <c r="Y164" i="1"/>
  <c r="Y166" i="1"/>
  <c r="Y167" i="1"/>
  <c r="Y168" i="1"/>
  <c r="Y170" i="1"/>
  <c r="Y171" i="1"/>
  <c r="Y172" i="1"/>
  <c r="Y173" i="1"/>
  <c r="Y174" i="1"/>
  <c r="Y175" i="1"/>
  <c r="Y176" i="1"/>
  <c r="Y178" i="1"/>
  <c r="Y179" i="1"/>
  <c r="Y180" i="1"/>
  <c r="Y181" i="1"/>
  <c r="Y182" i="1"/>
  <c r="Y183" i="1"/>
  <c r="Y184" i="1"/>
  <c r="Y186" i="1"/>
  <c r="Y187" i="1"/>
  <c r="Y188" i="1"/>
  <c r="Y191" i="1"/>
  <c r="Y192" i="1"/>
  <c r="Y193" i="1"/>
  <c r="Y194" i="1"/>
  <c r="Y197" i="1"/>
  <c r="Y198" i="1"/>
  <c r="Y199" i="1"/>
  <c r="Y201" i="1"/>
  <c r="AB201" i="1" s="1"/>
  <c r="Y202" i="1"/>
  <c r="Y203" i="1"/>
  <c r="Y204" i="1"/>
  <c r="Y206" i="1"/>
  <c r="Y207" i="1"/>
  <c r="Y208" i="1"/>
  <c r="Y210" i="1"/>
  <c r="Y211" i="1"/>
  <c r="Y212" i="1"/>
  <c r="Y215" i="1"/>
  <c r="Y216" i="1"/>
  <c r="Y217" i="1"/>
  <c r="Y218" i="1"/>
  <c r="Y219" i="1"/>
  <c r="Y220" i="1"/>
  <c r="Y224" i="1"/>
  <c r="Y226" i="1"/>
  <c r="Y227" i="1"/>
  <c r="Y228" i="1"/>
  <c r="Y229" i="1"/>
  <c r="Y230" i="1"/>
  <c r="Y231" i="1"/>
  <c r="Y232" i="1"/>
  <c r="Y233" i="1"/>
  <c r="Y234" i="1"/>
  <c r="Y235" i="1"/>
  <c r="Y236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5" i="1"/>
  <c r="Y257" i="1"/>
  <c r="Y258" i="1"/>
  <c r="Y259" i="1"/>
  <c r="Y262" i="1"/>
  <c r="Y263" i="1"/>
  <c r="Y264" i="1"/>
  <c r="Y265" i="1"/>
  <c r="Y266" i="1"/>
  <c r="Y270" i="1"/>
  <c r="Y271" i="1"/>
  <c r="Y272" i="1"/>
  <c r="Y273" i="1"/>
  <c r="Y274" i="1"/>
  <c r="Y275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81" i="1"/>
  <c r="Y382" i="1"/>
  <c r="Y383" i="1"/>
  <c r="Y384" i="1"/>
  <c r="Y385" i="1"/>
  <c r="Y403" i="1"/>
  <c r="AC403" i="1" s="1"/>
  <c r="Y404" i="1"/>
  <c r="AC404" i="1" s="1"/>
  <c r="Y405" i="1"/>
  <c r="AC405" i="1" s="1"/>
  <c r="Y406" i="1"/>
  <c r="AC406" i="1" s="1"/>
  <c r="Y408" i="1"/>
  <c r="AC408" i="1" s="1"/>
  <c r="Y409" i="1"/>
  <c r="AC409" i="1" s="1"/>
  <c r="Y416" i="1"/>
  <c r="AC416" i="1" s="1"/>
  <c r="Y417" i="1"/>
  <c r="AC417" i="1" s="1"/>
  <c r="Y418" i="1"/>
  <c r="AC418" i="1" s="1"/>
  <c r="Y419" i="1"/>
  <c r="AC419" i="1" s="1"/>
  <c r="Y420" i="1"/>
  <c r="AC420" i="1" s="1"/>
  <c r="Y421" i="1"/>
  <c r="AC421" i="1" s="1"/>
  <c r="Y422" i="1"/>
  <c r="AC422" i="1" s="1"/>
  <c r="Y423" i="1"/>
  <c r="AC423" i="1" s="1"/>
  <c r="Y426" i="1"/>
  <c r="AC426" i="1" s="1"/>
  <c r="AC429" i="1"/>
  <c r="AC430" i="1"/>
  <c r="AC433" i="1"/>
  <c r="Y436" i="1"/>
  <c r="AC436" i="1" s="1"/>
  <c r="Y438" i="1"/>
  <c r="AC438" i="1" s="1"/>
  <c r="Y439" i="1"/>
  <c r="AC439" i="1" s="1"/>
  <c r="Y441" i="1"/>
  <c r="AC441" i="1" s="1"/>
  <c r="Y442" i="1"/>
  <c r="AC442" i="1" s="1"/>
  <c r="Y443" i="1"/>
  <c r="AC443" i="1" s="1"/>
  <c r="Y444" i="1"/>
  <c r="AC444" i="1" s="1"/>
  <c r="Y445" i="1"/>
  <c r="AC445" i="1" s="1"/>
  <c r="Y446" i="1"/>
  <c r="AC446" i="1" s="1"/>
  <c r="Y447" i="1"/>
  <c r="AC447" i="1" s="1"/>
  <c r="Y448" i="1"/>
  <c r="AC448" i="1" s="1"/>
  <c r="Y449" i="1"/>
  <c r="AC449" i="1" s="1"/>
  <c r="Y450" i="1"/>
  <c r="AC450" i="1" s="1"/>
  <c r="Y451" i="1"/>
  <c r="AC451" i="1" s="1"/>
  <c r="Y452" i="1"/>
  <c r="AC452" i="1" s="1"/>
  <c r="Y453" i="1"/>
  <c r="AC453" i="1" s="1"/>
  <c r="Y454" i="1"/>
  <c r="AC454" i="1" s="1"/>
  <c r="Y455" i="1"/>
  <c r="AC455" i="1" s="1"/>
  <c r="Y456" i="1"/>
  <c r="AC456" i="1" s="1"/>
  <c r="Y457" i="1"/>
  <c r="AC457" i="1" s="1"/>
  <c r="Y458" i="1"/>
  <c r="AC458" i="1" s="1"/>
  <c r="Y459" i="1"/>
  <c r="AC459" i="1" s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Y481" i="1"/>
  <c r="AC481" i="1" s="1"/>
  <c r="Y482" i="1"/>
  <c r="AC482" i="1" s="1"/>
  <c r="Y483" i="1"/>
  <c r="AC483" i="1" s="1"/>
  <c r="Y485" i="1"/>
  <c r="AC485" i="1" s="1"/>
  <c r="Y486" i="1"/>
  <c r="AC486" i="1" s="1"/>
  <c r="Y487" i="1"/>
  <c r="AC487" i="1" s="1"/>
  <c r="Y489" i="1"/>
  <c r="AC489" i="1" s="1"/>
  <c r="Y490" i="1"/>
  <c r="AC490" i="1" s="1"/>
  <c r="Y491" i="1"/>
  <c r="AC491" i="1" s="1"/>
  <c r="Y492" i="1"/>
  <c r="AC492" i="1" s="1"/>
  <c r="Y493" i="1"/>
  <c r="AC493" i="1" s="1"/>
  <c r="Y494" i="1"/>
  <c r="AC494" i="1" s="1"/>
  <c r="Y495" i="1"/>
  <c r="AC495" i="1" s="1"/>
  <c r="Y496" i="1"/>
  <c r="AC496" i="1" s="1"/>
  <c r="Y497" i="1"/>
  <c r="AC497" i="1" s="1"/>
  <c r="Y499" i="1"/>
  <c r="AC499" i="1" s="1"/>
  <c r="Y500" i="1"/>
  <c r="AC500" i="1" s="1"/>
  <c r="Y501" i="1"/>
  <c r="AC501" i="1" s="1"/>
  <c r="Y502" i="1"/>
  <c r="AC502" i="1" s="1"/>
  <c r="Y503" i="1"/>
  <c r="AC503" i="1" s="1"/>
  <c r="Y504" i="1"/>
  <c r="AC504" i="1" s="1"/>
  <c r="Y505" i="1"/>
  <c r="AC505" i="1" s="1"/>
  <c r="Y506" i="1"/>
  <c r="AC506" i="1" s="1"/>
  <c r="Y508" i="1"/>
  <c r="AC508" i="1" s="1"/>
  <c r="Y509" i="1"/>
  <c r="AC509" i="1" s="1"/>
  <c r="Y510" i="1"/>
  <c r="AC510" i="1" s="1"/>
  <c r="Y511" i="1"/>
  <c r="AC511" i="1" s="1"/>
  <c r="Y513" i="1"/>
  <c r="AC513" i="1" s="1"/>
  <c r="Y514" i="1"/>
  <c r="AC514" i="1" s="1"/>
  <c r="Y515" i="1"/>
  <c r="AC515" i="1" s="1"/>
  <c r="Y7" i="1"/>
  <c r="Z306" i="2"/>
  <c r="Z133" i="2"/>
  <c r="Z305" i="2"/>
  <c r="Z307" i="2"/>
  <c r="Y11" i="2"/>
  <c r="AC7" i="1" l="1"/>
  <c r="AA7" i="1"/>
  <c r="Y10" i="1"/>
  <c r="AA10" i="1" s="1"/>
  <c r="Y9" i="1"/>
  <c r="AA9" i="1" s="1"/>
  <c r="AB501" i="1"/>
  <c r="AB494" i="1"/>
  <c r="AB487" i="1"/>
  <c r="AB456" i="1"/>
  <c r="AB450" i="1"/>
  <c r="AB444" i="1"/>
  <c r="AB436" i="1"/>
  <c r="AB422" i="1"/>
  <c r="AB416" i="1"/>
  <c r="AB403" i="1"/>
  <c r="AB343" i="1"/>
  <c r="AC343" i="1"/>
  <c r="AB337" i="1"/>
  <c r="AC337" i="1"/>
  <c r="AB331" i="1"/>
  <c r="AC331" i="1"/>
  <c r="AB325" i="1"/>
  <c r="AC325" i="1"/>
  <c r="AB319" i="1"/>
  <c r="AC319" i="1"/>
  <c r="AB313" i="1"/>
  <c r="AC313" i="1"/>
  <c r="AB271" i="1"/>
  <c r="AC271" i="1"/>
  <c r="AB262" i="1"/>
  <c r="AC262" i="1"/>
  <c r="AB250" i="1"/>
  <c r="AC250" i="1"/>
  <c r="AB244" i="1"/>
  <c r="AC244" i="1"/>
  <c r="AB236" i="1"/>
  <c r="AC236" i="1"/>
  <c r="AB230" i="1"/>
  <c r="AC230" i="1"/>
  <c r="AB220" i="1"/>
  <c r="AC220" i="1"/>
  <c r="AB212" i="1"/>
  <c r="AC212" i="1"/>
  <c r="AB204" i="1"/>
  <c r="AC204" i="1"/>
  <c r="AB197" i="1"/>
  <c r="AC197" i="1"/>
  <c r="AB187" i="1"/>
  <c r="AC187" i="1"/>
  <c r="AB180" i="1"/>
  <c r="AC180" i="1"/>
  <c r="AB173" i="1"/>
  <c r="AC173" i="1"/>
  <c r="AB166" i="1"/>
  <c r="AC166" i="1"/>
  <c r="AB156" i="1"/>
  <c r="AC156" i="1"/>
  <c r="AB146" i="1"/>
  <c r="AC146" i="1"/>
  <c r="AB140" i="1"/>
  <c r="AC140" i="1"/>
  <c r="AB99" i="1"/>
  <c r="AC99" i="1"/>
  <c r="AB79" i="1"/>
  <c r="AC79" i="1"/>
  <c r="AB71" i="1"/>
  <c r="AC71" i="1"/>
  <c r="AB39" i="1"/>
  <c r="AC39" i="1"/>
  <c r="AB11" i="1"/>
  <c r="AC11" i="1"/>
  <c r="AB514" i="1"/>
  <c r="AB486" i="1"/>
  <c r="AB455" i="1"/>
  <c r="AB421" i="1"/>
  <c r="AB385" i="1"/>
  <c r="AC385" i="1"/>
  <c r="AB336" i="1"/>
  <c r="AC336" i="1"/>
  <c r="AB312" i="1"/>
  <c r="AC312" i="1"/>
  <c r="AB270" i="1"/>
  <c r="AC270" i="1"/>
  <c r="AB259" i="1"/>
  <c r="AC259" i="1"/>
  <c r="AB249" i="1"/>
  <c r="AC249" i="1"/>
  <c r="AB243" i="1"/>
  <c r="AC243" i="1"/>
  <c r="AB235" i="1"/>
  <c r="AC235" i="1"/>
  <c r="AB229" i="1"/>
  <c r="AC229" i="1"/>
  <c r="AB219" i="1"/>
  <c r="AC219" i="1"/>
  <c r="AB211" i="1"/>
  <c r="AC211" i="1"/>
  <c r="AB203" i="1"/>
  <c r="AC203" i="1"/>
  <c r="AB194" i="1"/>
  <c r="AC194" i="1"/>
  <c r="AB186" i="1"/>
  <c r="AC186" i="1"/>
  <c r="AB179" i="1"/>
  <c r="AC179" i="1"/>
  <c r="AB172" i="1"/>
  <c r="AC172" i="1"/>
  <c r="AB164" i="1"/>
  <c r="AC164" i="1"/>
  <c r="AB155" i="1"/>
  <c r="AC155" i="1"/>
  <c r="AB145" i="1"/>
  <c r="AC145" i="1"/>
  <c r="AB139" i="1"/>
  <c r="AC139" i="1"/>
  <c r="AC97" i="1"/>
  <c r="AB78" i="1"/>
  <c r="AC78" i="1"/>
  <c r="AB66" i="1"/>
  <c r="AC66" i="1"/>
  <c r="AB34" i="1"/>
  <c r="AC34" i="1"/>
  <c r="AB506" i="1"/>
  <c r="AB449" i="1"/>
  <c r="AB342" i="1"/>
  <c r="AC342" i="1"/>
  <c r="AB513" i="1"/>
  <c r="AB485" i="1"/>
  <c r="AB448" i="1"/>
  <c r="AB442" i="1"/>
  <c r="AB420" i="1"/>
  <c r="AB408" i="1"/>
  <c r="AB384" i="1"/>
  <c r="AC384" i="1"/>
  <c r="AB341" i="1"/>
  <c r="AC341" i="1"/>
  <c r="AB335" i="1"/>
  <c r="AC335" i="1"/>
  <c r="AB329" i="1"/>
  <c r="AC329" i="1"/>
  <c r="AB323" i="1"/>
  <c r="AC323" i="1"/>
  <c r="AB317" i="1"/>
  <c r="AC317" i="1"/>
  <c r="AB275" i="1"/>
  <c r="AC275" i="1"/>
  <c r="AB266" i="1"/>
  <c r="AC266" i="1"/>
  <c r="AB258" i="1"/>
  <c r="AC258" i="1"/>
  <c r="AB248" i="1"/>
  <c r="AC248" i="1"/>
  <c r="AB242" i="1"/>
  <c r="AC242" i="1"/>
  <c r="AB234" i="1"/>
  <c r="AC234" i="1"/>
  <c r="AB228" i="1"/>
  <c r="AC228" i="1"/>
  <c r="AB218" i="1"/>
  <c r="AC218" i="1"/>
  <c r="AB210" i="1"/>
  <c r="AC210" i="1"/>
  <c r="AB202" i="1"/>
  <c r="AC202" i="1"/>
  <c r="AB193" i="1"/>
  <c r="AC193" i="1"/>
  <c r="AB184" i="1"/>
  <c r="AC184" i="1"/>
  <c r="AB178" i="1"/>
  <c r="AC178" i="1"/>
  <c r="AB171" i="1"/>
  <c r="AC171" i="1"/>
  <c r="AB162" i="1"/>
  <c r="AC162" i="1"/>
  <c r="AB153" i="1"/>
  <c r="AC153" i="1"/>
  <c r="AB144" i="1"/>
  <c r="AC144" i="1"/>
  <c r="AB108" i="1"/>
  <c r="AC108" i="1"/>
  <c r="AB85" i="1"/>
  <c r="AC85" i="1"/>
  <c r="AB77" i="1"/>
  <c r="AC77" i="1"/>
  <c r="AB61" i="1"/>
  <c r="AC61" i="1"/>
  <c r="AB26" i="1"/>
  <c r="AC26" i="1"/>
  <c r="AB16" i="1"/>
  <c r="AC16" i="1"/>
  <c r="AB508" i="1"/>
  <c r="AB318" i="1"/>
  <c r="AC318" i="1"/>
  <c r="AB492" i="1"/>
  <c r="AB491" i="1"/>
  <c r="AB483" i="1"/>
  <c r="AB459" i="1"/>
  <c r="AB453" i="1"/>
  <c r="AB447" i="1"/>
  <c r="AB441" i="1"/>
  <c r="AB419" i="1"/>
  <c r="AB406" i="1"/>
  <c r="AB383" i="1"/>
  <c r="AC383" i="1"/>
  <c r="AB340" i="1"/>
  <c r="AC340" i="1"/>
  <c r="AB334" i="1"/>
  <c r="AC334" i="1"/>
  <c r="AB328" i="1"/>
  <c r="AC328" i="1"/>
  <c r="AB322" i="1"/>
  <c r="AC322" i="1"/>
  <c r="AB316" i="1"/>
  <c r="AC316" i="1"/>
  <c r="AB274" i="1"/>
  <c r="AC274" i="1"/>
  <c r="AB265" i="1"/>
  <c r="AC265" i="1"/>
  <c r="AB257" i="1"/>
  <c r="AC257" i="1"/>
  <c r="AB247" i="1"/>
  <c r="AC247" i="1"/>
  <c r="AB241" i="1"/>
  <c r="AC241" i="1"/>
  <c r="AB233" i="1"/>
  <c r="AC233" i="1"/>
  <c r="AB227" i="1"/>
  <c r="AC227" i="1"/>
  <c r="AB217" i="1"/>
  <c r="AC217" i="1"/>
  <c r="AB208" i="1"/>
  <c r="AC208" i="1"/>
  <c r="AC201" i="1"/>
  <c r="AB192" i="1"/>
  <c r="AC192" i="1"/>
  <c r="AB183" i="1"/>
  <c r="AC183" i="1"/>
  <c r="AB176" i="1"/>
  <c r="AC176" i="1"/>
  <c r="AB170" i="1"/>
  <c r="AC170" i="1"/>
  <c r="AB161" i="1"/>
  <c r="AC161" i="1"/>
  <c r="AB151" i="1"/>
  <c r="AC151" i="1"/>
  <c r="AB143" i="1"/>
  <c r="AC143" i="1"/>
  <c r="AB107" i="1"/>
  <c r="AC107" i="1"/>
  <c r="AB84" i="1"/>
  <c r="AC84" i="1"/>
  <c r="AB74" i="1"/>
  <c r="AC74" i="1"/>
  <c r="AB48" i="1"/>
  <c r="AC48" i="1"/>
  <c r="AB25" i="1"/>
  <c r="AC25" i="1"/>
  <c r="AB30" i="1"/>
  <c r="AC30" i="1"/>
  <c r="AB515" i="1"/>
  <c r="AB493" i="1"/>
  <c r="AB443" i="1"/>
  <c r="AB324" i="1"/>
  <c r="AC324" i="1"/>
  <c r="AB499" i="1"/>
  <c r="AB497" i="1"/>
  <c r="AB503" i="1"/>
  <c r="AB490" i="1"/>
  <c r="AB458" i="1"/>
  <c r="AB452" i="1"/>
  <c r="AB446" i="1"/>
  <c r="AB439" i="1"/>
  <c r="AB426" i="1"/>
  <c r="AB418" i="1"/>
  <c r="AB405" i="1"/>
  <c r="AB382" i="1"/>
  <c r="AC382" i="1"/>
  <c r="AB339" i="1"/>
  <c r="AC339" i="1"/>
  <c r="AB333" i="1"/>
  <c r="AC333" i="1"/>
  <c r="AB327" i="1"/>
  <c r="AC327" i="1"/>
  <c r="AB321" i="1"/>
  <c r="AC321" i="1"/>
  <c r="AB315" i="1"/>
  <c r="AC315" i="1"/>
  <c r="AB273" i="1"/>
  <c r="AC273" i="1"/>
  <c r="AB264" i="1"/>
  <c r="AC264" i="1"/>
  <c r="AB255" i="1"/>
  <c r="AC255" i="1"/>
  <c r="AB246" i="1"/>
  <c r="AC246" i="1"/>
  <c r="AB240" i="1"/>
  <c r="AC240" i="1"/>
  <c r="AB232" i="1"/>
  <c r="AC232" i="1"/>
  <c r="AB226" i="1"/>
  <c r="AC226" i="1"/>
  <c r="AB216" i="1"/>
  <c r="AC216" i="1"/>
  <c r="AB207" i="1"/>
  <c r="AC207" i="1"/>
  <c r="AB199" i="1"/>
  <c r="AC199" i="1"/>
  <c r="AB191" i="1"/>
  <c r="AC191" i="1"/>
  <c r="AB182" i="1"/>
  <c r="AC182" i="1"/>
  <c r="AB175" i="1"/>
  <c r="AC175" i="1"/>
  <c r="AB168" i="1"/>
  <c r="AC168" i="1"/>
  <c r="AB160" i="1"/>
  <c r="AC160" i="1"/>
  <c r="AB150" i="1"/>
  <c r="AC150" i="1"/>
  <c r="AB142" i="1"/>
  <c r="AC142" i="1"/>
  <c r="AB106" i="1"/>
  <c r="AC106" i="1"/>
  <c r="AB83" i="1"/>
  <c r="AC83" i="1"/>
  <c r="AB73" i="1"/>
  <c r="AC73" i="1"/>
  <c r="AB44" i="1"/>
  <c r="AC44" i="1"/>
  <c r="AB24" i="1"/>
  <c r="AC24" i="1"/>
  <c r="AB518" i="1"/>
  <c r="AB500" i="1"/>
  <c r="AB409" i="1"/>
  <c r="AB330" i="1"/>
  <c r="AC330" i="1"/>
  <c r="AB505" i="1"/>
  <c r="AB454" i="1"/>
  <c r="AB511" i="1"/>
  <c r="AB504" i="1"/>
  <c r="AB510" i="1"/>
  <c r="AB496" i="1"/>
  <c r="AB482" i="1"/>
  <c r="AB516" i="1"/>
  <c r="AB509" i="1"/>
  <c r="AB502" i="1"/>
  <c r="AB495" i="1"/>
  <c r="AB489" i="1"/>
  <c r="AB481" i="1"/>
  <c r="AB457" i="1"/>
  <c r="AB451" i="1"/>
  <c r="AB445" i="1"/>
  <c r="AB438" i="1"/>
  <c r="AB423" i="1"/>
  <c r="AB417" i="1"/>
  <c r="AB404" i="1"/>
  <c r="AB381" i="1"/>
  <c r="AC381" i="1"/>
  <c r="AB338" i="1"/>
  <c r="AC338" i="1"/>
  <c r="AB332" i="1"/>
  <c r="AC332" i="1"/>
  <c r="AB326" i="1"/>
  <c r="AC326" i="1"/>
  <c r="AB320" i="1"/>
  <c r="AC320" i="1"/>
  <c r="AB314" i="1"/>
  <c r="AC314" i="1"/>
  <c r="AB272" i="1"/>
  <c r="AC272" i="1"/>
  <c r="AB263" i="1"/>
  <c r="AC263" i="1"/>
  <c r="AB251" i="1"/>
  <c r="AC251" i="1"/>
  <c r="AB245" i="1"/>
  <c r="AC245" i="1"/>
  <c r="AB239" i="1"/>
  <c r="AC239" i="1"/>
  <c r="AB231" i="1"/>
  <c r="AC231" i="1"/>
  <c r="AB224" i="1"/>
  <c r="AC224" i="1"/>
  <c r="AB215" i="1"/>
  <c r="AC215" i="1"/>
  <c r="AB206" i="1"/>
  <c r="AC206" i="1"/>
  <c r="AB198" i="1"/>
  <c r="AC198" i="1"/>
  <c r="AB188" i="1"/>
  <c r="AC188" i="1"/>
  <c r="AB181" i="1"/>
  <c r="AC181" i="1"/>
  <c r="AB174" i="1"/>
  <c r="AC174" i="1"/>
  <c r="AB167" i="1"/>
  <c r="AC167" i="1"/>
  <c r="AB158" i="1"/>
  <c r="AC158" i="1"/>
  <c r="AB147" i="1"/>
  <c r="AC147" i="1"/>
  <c r="AB141" i="1"/>
  <c r="AC141" i="1"/>
  <c r="AB105" i="1"/>
  <c r="AC105" i="1"/>
  <c r="AB81" i="1"/>
  <c r="AC81" i="1"/>
  <c r="AB72" i="1"/>
  <c r="AC72" i="1"/>
  <c r="AB40" i="1"/>
  <c r="AC40" i="1"/>
  <c r="AB23" i="1"/>
  <c r="AC23" i="1"/>
  <c r="AB519" i="1"/>
  <c r="AA11" i="2"/>
  <c r="Z11" i="2"/>
  <c r="Y117" i="2"/>
  <c r="Z116" i="2"/>
  <c r="Y21" i="1"/>
  <c r="AA21" i="1" s="1"/>
  <c r="M17" i="1"/>
  <c r="L28" i="1"/>
  <c r="L37" i="1"/>
  <c r="L36" i="1"/>
  <c r="AB7" i="1"/>
  <c r="Y20" i="1"/>
  <c r="AA20" i="1" s="1"/>
  <c r="L17" i="1"/>
  <c r="L12" i="1"/>
  <c r="Y12" i="1" s="1"/>
  <c r="AA12" i="1" s="1"/>
  <c r="Z70" i="2"/>
  <c r="Z71" i="2"/>
  <c r="Z123" i="2"/>
  <c r="Z124" i="2"/>
  <c r="Z154" i="2"/>
  <c r="Z156" i="2"/>
  <c r="Z157" i="2"/>
  <c r="Z179" i="2"/>
  <c r="Z180" i="2"/>
  <c r="Z181" i="2"/>
  <c r="Z185" i="2"/>
  <c r="Z186" i="2"/>
  <c r="Z126" i="2"/>
  <c r="Z127" i="2"/>
  <c r="Z128" i="2"/>
  <c r="Z132" i="2"/>
  <c r="Z297" i="2"/>
  <c r="Z302" i="2"/>
  <c r="Z303" i="2"/>
  <c r="Z304" i="2"/>
  <c r="Z122" i="2"/>
  <c r="Z125" i="2"/>
  <c r="Z147" i="2"/>
  <c r="Z152" i="2"/>
  <c r="Z153" i="2"/>
  <c r="Z158" i="2"/>
  <c r="Z162" i="2"/>
  <c r="Z178" i="2"/>
  <c r="Z182" i="2"/>
  <c r="Z183" i="2"/>
  <c r="Z184" i="2"/>
  <c r="Z187" i="2"/>
  <c r="Z188" i="2"/>
  <c r="Z129" i="2"/>
  <c r="Z130" i="2"/>
  <c r="Z131" i="2"/>
  <c r="Z298" i="2"/>
  <c r="Z299" i="2"/>
  <c r="Z300" i="2"/>
  <c r="Z301" i="2"/>
  <c r="AB21" i="1" l="1"/>
  <c r="AC21" i="1"/>
  <c r="AB9" i="1"/>
  <c r="AC9" i="1"/>
  <c r="AB20" i="1"/>
  <c r="AC20" i="1"/>
  <c r="Z117" i="2"/>
  <c r="AA117" i="2"/>
  <c r="M36" i="1"/>
  <c r="Y36" i="1" s="1"/>
  <c r="AA36" i="1" s="1"/>
  <c r="M37" i="1"/>
  <c r="Y17" i="1"/>
  <c r="Y28" i="1"/>
  <c r="Y32" i="1"/>
  <c r="AA32" i="1" s="1"/>
  <c r="AB28" i="1" l="1"/>
  <c r="AC28" i="1"/>
  <c r="AB10" i="1"/>
  <c r="AC10" i="1"/>
  <c r="AB32" i="1"/>
  <c r="AC32" i="1"/>
  <c r="AB8" i="1"/>
  <c r="AC8" i="1"/>
  <c r="AB17" i="1"/>
  <c r="AC17" i="1"/>
  <c r="AB12" i="1"/>
  <c r="AC12" i="1"/>
  <c r="Y37" i="1"/>
  <c r="Y33" i="1"/>
  <c r="AA33" i="1" s="1"/>
  <c r="AB37" i="1" l="1"/>
  <c r="AA37" i="1"/>
  <c r="AB33" i="1"/>
  <c r="AC33" i="1"/>
  <c r="AC37" i="1"/>
  <c r="AB36" i="1" l="1"/>
  <c r="AC36" i="1"/>
</calcChain>
</file>

<file path=xl/sharedStrings.xml><?xml version="1.0" encoding="utf-8"?>
<sst xmlns="http://schemas.openxmlformats.org/spreadsheetml/2006/main" count="3488" uniqueCount="1118">
  <si>
    <t>№ п/п</t>
  </si>
  <si>
    <t>Строительство парковки № 7 (2 этап)</t>
  </si>
  <si>
    <t>Ед. изм</t>
  </si>
  <si>
    <t>Демонтаж покрытий дорог, площадок и тротуаров из асфальта и асфальтобетона</t>
  </si>
  <si>
    <t>Транспортировка на полигон или площадку складирования строительного боя и мусора</t>
  </si>
  <si>
    <t>Демонтаж покрытий / оснований дорог, площадок и тротуаров из из насыпных материалов (щебень, гравий, песок, ПГС и т.п.)</t>
  </si>
  <si>
    <t>Транспортировка на полигон или площадку складирования инертных материалов</t>
  </si>
  <si>
    <t>Шифр</t>
  </si>
  <si>
    <t>DW00-01-03-01-04</t>
  </si>
  <si>
    <t>DW00-14-01-01-03</t>
  </si>
  <si>
    <t>DW00-01-03-02-01</t>
  </si>
  <si>
    <t>DW00-14-01-01-01</t>
  </si>
  <si>
    <t>DW00-01-03-04-01</t>
  </si>
  <si>
    <t>Демонтаж железобетонных дорожных бордюров</t>
  </si>
  <si>
    <t>CW00-01-01-16</t>
  </si>
  <si>
    <t>Разработка грунта механизированным способом, под проектную высотную отметку с погрузкой грунта в автомобили-самосвалы (Iа,I,II кат. грунта) включая работы в карьере и котловане</t>
  </si>
  <si>
    <t>CW00-01-01-24</t>
  </si>
  <si>
    <t>Транспортировка /перевозка грунта до 3х км</t>
  </si>
  <si>
    <t>CW00-01-02-1</t>
  </si>
  <si>
    <t>Устройство основания песком - дорог и площадок, с уплотнением</t>
  </si>
  <si>
    <t>CW00-04-06-5</t>
  </si>
  <si>
    <t>Устройство бетонного покрытия тротуара и отмостки</t>
  </si>
  <si>
    <t>Демонтаж дорожных покрытий</t>
  </si>
  <si>
    <t>Земляное полотно</t>
  </si>
  <si>
    <t>CW00-01-05-21</t>
  </si>
  <si>
    <t>Устройство покрытия (основание, площадка, откосы) из щебня по методу заклинки с уплотнением (фракция по проекту)</t>
  </si>
  <si>
    <t>CW00-04-10-1</t>
  </si>
  <si>
    <t>Розлив вяжущих материалов - Битумы нефтяные дорожные жидкие</t>
  </si>
  <si>
    <t>CW00-04-04-11</t>
  </si>
  <si>
    <t>Устройство нижнего слоя из асфальтовых или асфальтобетонных смесей, тип смеси принять по проекту</t>
  </si>
  <si>
    <t>CW00-04-04-10</t>
  </si>
  <si>
    <t>Устройство верхнего слоя из асфальтовых или асфальтобетонных смесей, тип смеси принять по проекту</t>
  </si>
  <si>
    <t>Устройство новой дорожной одежды</t>
  </si>
  <si>
    <t>CW00-01-05-20</t>
  </si>
  <si>
    <t>Устройство покрытия (основание, площадка, откосы) из щебня с уплотнением (фракция по проекту)</t>
  </si>
  <si>
    <t>Устройство бортовых камней</t>
  </si>
  <si>
    <t>CW00-04-03-6</t>
  </si>
  <si>
    <t>Устройство бордюра дорожного (тип материала по проекту)</t>
  </si>
  <si>
    <t>CW00-04-03-5</t>
  </si>
  <si>
    <t>Устройство бордюра тротуарного (тип материала по проекту)</t>
  </si>
  <si>
    <t>Озеленение</t>
  </si>
  <si>
    <t>CW00-10-02-1</t>
  </si>
  <si>
    <t>Устройство растительного слоя - грунт растительный (торф и песок), с удобрениями</t>
  </si>
  <si>
    <t>CW00-10-03-7</t>
  </si>
  <si>
    <t>Устройство рулонного газона - Газон готовый универсальный</t>
  </si>
  <si>
    <t>Устройство МАФ</t>
  </si>
  <si>
    <t>EW00-01-07-2</t>
  </si>
  <si>
    <t>Установка 3D ограждения</t>
  </si>
  <si>
    <t>EW00-01-08-1</t>
  </si>
  <si>
    <t>Одностворчатые ворота (калитки) для пешеходов</t>
  </si>
  <si>
    <t>Организация дорожного движения</t>
  </si>
  <si>
    <t>Установка знаков</t>
  </si>
  <si>
    <t>CW00-04-05-1</t>
  </si>
  <si>
    <t>Установка дорожных знаков и знаков указателей на металлических стойках</t>
  </si>
  <si>
    <t>Нанесание разметки</t>
  </si>
  <si>
    <t>CW00-04-01-1</t>
  </si>
  <si>
    <t>Устройство дорожной разметки (краска)</t>
  </si>
  <si>
    <t>Раздел НВК</t>
  </si>
  <si>
    <t>CW00-01-02-2</t>
  </si>
  <si>
    <t>Устройство основания песком - траншеи (для прокладки труб, кабелей, нестандартных фундаментов, под тротуары, пазух фундаментов, дренажных емкостей и т.д.), с уплотнением</t>
  </si>
  <si>
    <t>PN00-01-03-16</t>
  </si>
  <si>
    <t>Монтаж подземного трубопровода из полиэтилена/ полипропилена, свыше Ду 200 до Ду 400</t>
  </si>
  <si>
    <t>CW00-01-02-9</t>
  </si>
  <si>
    <t>Обратная засыпка местным грунтом с уплотнением (пазух фундаментов, дренажных емкостей и т.д..)</t>
  </si>
  <si>
    <t>PT00-01-09-6</t>
  </si>
  <si>
    <t>Врезка ЗРА в действующий трубопровод с перекрытием потока Ду 700&lt;1000</t>
  </si>
  <si>
    <t>Колодцы дождеприемные</t>
  </si>
  <si>
    <t>CW00-04-07-4</t>
  </si>
  <si>
    <t>Устройство дождеприемников-пескоуловителей</t>
  </si>
  <si>
    <t>Круглые колодцы</t>
  </si>
  <si>
    <t>CW00-02-01-15</t>
  </si>
  <si>
    <t>Монтаж сборных железобетонных колодцев</t>
  </si>
  <si>
    <t>CW00-02-02-5</t>
  </si>
  <si>
    <t>Монтаж люков колодцев</t>
  </si>
  <si>
    <t>FW00-12-01-03</t>
  </si>
  <si>
    <t>Устройство обмазочной гидроизоляции</t>
  </si>
  <si>
    <t>Противопожарный водопровод</t>
  </si>
  <si>
    <t>PN00-04-01-1</t>
  </si>
  <si>
    <t>Монтаж запорно-регулирующей арматуры (ручной привод) из металла: шаровые краны, задвижки клиновые, дроссельные (шиберные) задвижки, обратные клапаны, регулирующие клапаны и сопоставимые с ними изделия до Ду 50 мм</t>
  </si>
  <si>
    <t>PE00-15-01-10</t>
  </si>
  <si>
    <t>Пожарные гидранты</t>
  </si>
  <si>
    <t>PN00-01-03-14</t>
  </si>
  <si>
    <t>Монтаж подземного трубопровода из полиэтилена/ полипропилена, свыше Ду 80 до Ду 125</t>
  </si>
  <si>
    <t>HU00-02-02-3</t>
  </si>
  <si>
    <t>Устройство футляра открытым способом из полиэтиленовых/полипропиленовых труб свыше Ду 400 до Ду 700</t>
  </si>
  <si>
    <t>HU00-01-01-9</t>
  </si>
  <si>
    <t>Монтаж и демонтаж установки ГНБ (ННБ) с тяговым усилием до 200 кН</t>
  </si>
  <si>
    <t>HU00-01-02-3</t>
  </si>
  <si>
    <t>Устройство переходов подземных ГНБ (ННБ) установками с тяговым усилием до 200 кН с устройством стального футляра Ду от 201 до 400мм</t>
  </si>
  <si>
    <t>HU00-03-01-19</t>
  </si>
  <si>
    <t>Протаскивание труб стальных/полиэтиленовых в футляр ДУ от 110мм до 250мм</t>
  </si>
  <si>
    <t>HU00-02-03-1</t>
  </si>
  <si>
    <t>Испытание манжет на герметичность</t>
  </si>
  <si>
    <t>PT00-01-12-1</t>
  </si>
  <si>
    <t>Изоляция стыков термоусаживающимися манжетами на трубопроводах диаметром до DN 300 мм</t>
  </si>
  <si>
    <t>CW00-02-01-10</t>
  </si>
  <si>
    <t>Монтаж сборных железобетонных столбов</t>
  </si>
  <si>
    <t>Раздел КР</t>
  </si>
  <si>
    <t>CW00-01-01-3</t>
  </si>
  <si>
    <t>Разработка грунта механизированным способом под траншеи (для прокладки труб, кабелей, нестандартных фундаментов, под тротуары), под проектную высотную отметку с погрузкой грунта в автомобили-самосвалы</t>
  </si>
  <si>
    <t>CW00-03-01-1</t>
  </si>
  <si>
    <t>Бетонирование фундаментов, ростверков, плит и т.д.</t>
  </si>
  <si>
    <t>CW00-03-05-9</t>
  </si>
  <si>
    <t>Арматура для монолитного железобетона, класс арматуры по проекту (ниже 0)</t>
  </si>
  <si>
    <t>CW00-03-06-11</t>
  </si>
  <si>
    <t>Монтаж закладных деталей</t>
  </si>
  <si>
    <t>CW00-03-07-1</t>
  </si>
  <si>
    <t>Устройство обмазочной гидроизоляции бетонных сооружений</t>
  </si>
  <si>
    <t>Раздел СБ</t>
  </si>
  <si>
    <t>Монтаж системы СОТС</t>
  </si>
  <si>
    <t>II00-12-01-20</t>
  </si>
  <si>
    <t>Монтаж приемно-контрольного прибора на 1-4 зоны</t>
  </si>
  <si>
    <t>II00-10-05-14</t>
  </si>
  <si>
    <t>Монтаж преобразователь интерфейсов RS-485/RS-232 в Ethernet</t>
  </si>
  <si>
    <t>II00-12-01-36</t>
  </si>
  <si>
    <t>Монтаж РИП (резервного источника питания)</t>
  </si>
  <si>
    <t>II00-12-01-37</t>
  </si>
  <si>
    <t>Монтаж магнитоконтактного извещателя внутренней установки</t>
  </si>
  <si>
    <t>II00-12-01-40</t>
  </si>
  <si>
    <t>Монтаж извещателя охранного объемного оптико-электронного</t>
  </si>
  <si>
    <t>EL00-11-11-1</t>
  </si>
  <si>
    <t>Монтаж аккумуляторных батарей</t>
  </si>
  <si>
    <t>II00-03-01-9</t>
  </si>
  <si>
    <t>Надземная прокладка кабеля, Группа (ОЭ)/(ББЭ), общее количество жил 1-4, сечением жилы до 1 мм2, неогнестойкий</t>
  </si>
  <si>
    <t>Монтаж системы СКУД</t>
  </si>
  <si>
    <t>II00-12-01-46</t>
  </si>
  <si>
    <t>Монтаж контроллера доступа в комплекте с источником питания</t>
  </si>
  <si>
    <t>II00-12-01-35</t>
  </si>
  <si>
    <t>Монтаж блока бесперебойного питания</t>
  </si>
  <si>
    <t>EL00-11-02-26</t>
  </si>
  <si>
    <t>II00-12-01-52</t>
  </si>
  <si>
    <t>Монтаж кнопки аварийного открывания двери</t>
  </si>
  <si>
    <t>II00-12-01-14</t>
  </si>
  <si>
    <t>Извещатель пожарный ручной, кнопка наружного исполнения</t>
  </si>
  <si>
    <t>II00-12-01-47</t>
  </si>
  <si>
    <t>Монтаж считывателя внутреннего</t>
  </si>
  <si>
    <t>II00-12-01-49</t>
  </si>
  <si>
    <t>Монтаж замка электромагнитного</t>
  </si>
  <si>
    <t>PN00-01-02-15</t>
  </si>
  <si>
    <t>Монтаж подземного пластикового трубопровода из ПВХ, от Ду 15 до Ду 80</t>
  </si>
  <si>
    <t>II00-03-08-1</t>
  </si>
  <si>
    <t>Монтаж оптического, бронированного, кабеля подземной прокладки с количеством волокон от 4 до 8 шт</t>
  </si>
  <si>
    <t>II00-03-02-9</t>
  </si>
  <si>
    <t>Подземная прокладка кабеля, Группа (ОЭ)/(ББЭ), общее количество жил 1-4, сечением жилы до 1 мм2, неогнестойкий</t>
  </si>
  <si>
    <t>II00-03-02-10</t>
  </si>
  <si>
    <t>Подземная прокладка кабеля, Группа (ОЭ)/(ББЭ), общее количество жил 1-4, сечением жилы от 1мм2 до 2,5 мм2, неогнестойкий</t>
  </si>
  <si>
    <t>Монтаж системы АПС</t>
  </si>
  <si>
    <t>II00-12-01-42</t>
  </si>
  <si>
    <t>Монтаж адресного расширителя</t>
  </si>
  <si>
    <t>II00-12-01-67</t>
  </si>
  <si>
    <t>Блок индикации с клавиатурой</t>
  </si>
  <si>
    <t>II00-12-01-21</t>
  </si>
  <si>
    <t>II00-12-01-13</t>
  </si>
  <si>
    <t>II00-12-01-11</t>
  </si>
  <si>
    <t>Сирена, звуковой оповещатель внутреннего исполнения</t>
  </si>
  <si>
    <t>II00-10-05-11</t>
  </si>
  <si>
    <t>Монтаж коммутатора /маршрутизатора /криптошлюза /межсетевого экрана</t>
  </si>
  <si>
    <t>HU00-03-01-18</t>
  </si>
  <si>
    <t>CS00-04-02-1</t>
  </si>
  <si>
    <t>ПНД труба диаметром до 50 мм включительно</t>
  </si>
  <si>
    <t>CS00-01-02-1</t>
  </si>
  <si>
    <t>Монтаж крышки кабельного лотка ширина до 100 мм</t>
  </si>
  <si>
    <t>Монтаж системы ЗИП</t>
  </si>
  <si>
    <t>II00-03-02-41</t>
  </si>
  <si>
    <t>Подземная прокладка кабеля, Группа (ОЭ)/(ББЭ), общее количество жил 1-4, сечением жилы до 1 мм2, огнестойкий</t>
  </si>
  <si>
    <t>СОТ</t>
  </si>
  <si>
    <t>II00-10-02-2</t>
  </si>
  <si>
    <t>Монтаж наружной видеокамеры</t>
  </si>
  <si>
    <t>II00-06-01-6</t>
  </si>
  <si>
    <t>Монтаж сервера</t>
  </si>
  <si>
    <t>КАПС</t>
  </si>
  <si>
    <t>II00-12-01-72</t>
  </si>
  <si>
    <t>Монтаж пульта управления шлагбаумом для проезда</t>
  </si>
  <si>
    <t>II00-03-11-3</t>
  </si>
  <si>
    <t>Монтаж устройства коммутационного</t>
  </si>
  <si>
    <t>II00-12-01-62</t>
  </si>
  <si>
    <t>Монтаж блок вызова видеодомофона</t>
  </si>
  <si>
    <t>Клеммная коробка уличного или взрывозащищенного исполнения, до 250x200x200мм (ШхВхГ)</t>
  </si>
  <si>
    <t>RW00-01-03-3</t>
  </si>
  <si>
    <t>Установка светофора</t>
  </si>
  <si>
    <t>II00-03-02-11</t>
  </si>
  <si>
    <t>Подземная прокладка кабеля, Группа (ОЭ)/(ББЭ), общее количество жил 5-8, сечением жилы до 1 мм2, неогнестойкий</t>
  </si>
  <si>
    <t>EL00-08-02-17</t>
  </si>
  <si>
    <t>Монтаж кабеля НИЗКОГО напряжения, надземная прокладка, 3-5 жильный, сечением 2,5 мм2</t>
  </si>
  <si>
    <t>Раздел СС</t>
  </si>
  <si>
    <t>II00-10-05-7</t>
  </si>
  <si>
    <t>Монтаж коммутационной панели оптоволоконных линий (до 24 волокон)</t>
  </si>
  <si>
    <t>II00-10-05-1</t>
  </si>
  <si>
    <t>Монтаж кроссового, телекоммуникационного шкафа до 100 кг</t>
  </si>
  <si>
    <t>CS00-01-02-12</t>
  </si>
  <si>
    <t>Монтаж перфорированного кабельного лотка ширина от 100 мм до 200 мм, без установки опор</t>
  </si>
  <si>
    <t>CS00-03-01-2</t>
  </si>
  <si>
    <t>Монтаж крышки кабельного лотка ширина от 100 мм до 200 мм</t>
  </si>
  <si>
    <t>Раздел ТС</t>
  </si>
  <si>
    <t>DW00-08-01-03-07</t>
  </si>
  <si>
    <t>Демонтаж надземных инженерных и технологических стальных трубопроводов DN &gt;50 - 100 мм / &gt;2 - 4 дюйм</t>
  </si>
  <si>
    <t>DW00-08-01-03-08</t>
  </si>
  <si>
    <t>Демонтаж надземных инженерных и технологических стальных трубопроводов DN &gt;100 - 200 мм / &gt;4 - 8 дюйм</t>
  </si>
  <si>
    <t>PN00-03-05-4</t>
  </si>
  <si>
    <t>Монтаж внутреннего трубопровода из углеродистой стали, свыше Ду 200 до Ду 400</t>
  </si>
  <si>
    <t>PT00-01-12-2</t>
  </si>
  <si>
    <t>Изоляция стыков термоусаживающимися манжетами на трубопроводах диаметром до DN&gt;300-600мм</t>
  </si>
  <si>
    <t>Раздел ЭОМ</t>
  </si>
  <si>
    <t>II00-12-01-34</t>
  </si>
  <si>
    <t>Монтаж щита распределительного</t>
  </si>
  <si>
    <t>EL00-08-02-16</t>
  </si>
  <si>
    <t>Монтаж кабеля НИЗКОГО напряжения, надземная прокладка, 3-5 жильный, сечением 1,5 мм2</t>
  </si>
  <si>
    <t>EL00-08-02-18</t>
  </si>
  <si>
    <t>Монтаж кабеля НИЗКОГО напряжения, надземная прокладка, 3-5 жильный, сечением 4 мм2</t>
  </si>
  <si>
    <t>EL00-01-01-1</t>
  </si>
  <si>
    <t>Монтаж провода заземления, сечением до 10 мм2</t>
  </si>
  <si>
    <t>EL00-01-02-1</t>
  </si>
  <si>
    <t>Оконцевание и присоединение провода заземления, сечением до 10 мм2</t>
  </si>
  <si>
    <t>Раздел ЭС</t>
  </si>
  <si>
    <t>EL00-11-01-5</t>
  </si>
  <si>
    <t>Монтаж оборудования (шкафы, щиты, панели) СРЕДНЕГО напряжения, от 1 кВ до 35 кВ, от 201 до 500 кг</t>
  </si>
  <si>
    <t>PL00-01-02-8</t>
  </si>
  <si>
    <t>EL00-08-02-38</t>
  </si>
  <si>
    <t>EL00-08-02-44</t>
  </si>
  <si>
    <t>Монтаж кабеля НИЗКОГО напряжения, надземная прокладка, 5 жильный, сечением 25 мм2</t>
  </si>
  <si>
    <t>EL00-08-02-19</t>
  </si>
  <si>
    <t>Монтаж кабеля НИЗКОГО напряжения, надземная прокладка, 3-5 жильный, сечением 6 мм2</t>
  </si>
  <si>
    <t>EL00-09-02-16</t>
  </si>
  <si>
    <t>EL00-09-02-62</t>
  </si>
  <si>
    <t>EL00-08-02-59</t>
  </si>
  <si>
    <t>Монтаж кабеля НИЗКОГО напряжения, надземная прокладка, 1-жильный, сечением 25 мм2</t>
  </si>
  <si>
    <t>PC00-20-03-002</t>
  </si>
  <si>
    <t>Индивидуальные и функциональные испытания. Кабельная линия до 1 кВ</t>
  </si>
  <si>
    <t>PC00-20-10-004</t>
  </si>
  <si>
    <t>Индивидуальные и функциональные испытания. Вводно-распределительный щит без АВР, включая контрольные линии: кол-во АВ до 12</t>
  </si>
  <si>
    <t>CM00-20-03-002</t>
  </si>
  <si>
    <t>Функциональные испытания под нагрузкой и комплексное опробование. Кабельная линия до 1 кВ</t>
  </si>
  <si>
    <t>CM00-20-10-004</t>
  </si>
  <si>
    <t>Функциональные испытания под нагрузкой и комплексное опробование. Вводно-распределительный щит без АВР, включая контрольные линии: кол-во АВ до 12</t>
  </si>
  <si>
    <t>PC00-20-10-002</t>
  </si>
  <si>
    <t>Индивидуальные и функциональные испытания. Вводно-распределительный щит с АВР, включая контрольные линии: кол-во АВ до 24</t>
  </si>
  <si>
    <t>PC00-20-10-001</t>
  </si>
  <si>
    <t>Индивидуальные и функциональные испытания. Вводно-распределительный щит с АВР, включая контрольные линии: кол-во АВ до 12</t>
  </si>
  <si>
    <t>CM00-20-10-002</t>
  </si>
  <si>
    <t>Функциональные испытания под нагрузкой и комплексное опробование. Вводно-распределительный щит с АВР, включая контрольные линии: кол-во АВ до 24</t>
  </si>
  <si>
    <t>CM00-20-10-001</t>
  </si>
  <si>
    <t>Функциональные испытания под нагрузкой и комплексное опробование. Вводно-распределительный щит с АВР, включая контрольные линии: кол-во АВ до 12</t>
  </si>
  <si>
    <t>PC00-60-08-001</t>
  </si>
  <si>
    <t>Конфигурирование и настройка программного обеспечения</t>
  </si>
  <si>
    <t>PC00-45-03-001</t>
  </si>
  <si>
    <t>Интегрирование IP-камеры видеонаблюдения в программное обеспечение серверов системы видеонаблюдения</t>
  </si>
  <si>
    <t>PC00-45-04-001</t>
  </si>
  <si>
    <t>Конфигурирование и настройка программного обеспечения на АРМ системы видеонаблюдения</t>
  </si>
  <si>
    <t>PC00-45-06-001</t>
  </si>
  <si>
    <t>Конфигурирование и настройка программного обеспечения на видеосервере распознавания лиц системы видеонаблюдения</t>
  </si>
  <si>
    <t>PC00-45-05-001</t>
  </si>
  <si>
    <t>Конфигурирование и настройка программного обеспечения на видеосервере распознавания номеров (автомобильных, железнодорожных) системы видеонаблюдения</t>
  </si>
  <si>
    <t>PC00-45-02-001</t>
  </si>
  <si>
    <t>Конфигурирование и настройка программного обеспечения на сервере системы видеонаблюдения</t>
  </si>
  <si>
    <t>CS00-05-03-4</t>
  </si>
  <si>
    <t>Трубная кабельная проходка диаметром от d=91мм до d= 110мм включительно</t>
  </si>
  <si>
    <t>II00-03-03-4</t>
  </si>
  <si>
    <t>Надземная прокладка кабеля, Группа(Б)/(Б+ОЭ)/(ОЭ+ИЭ)/(Б+ОЭ+ИЭ), общее количество жил 1-4, сечением жилы до 1 мм2, неогнестойкий</t>
  </si>
  <si>
    <t>Раздел ГП</t>
  </si>
  <si>
    <t>DW00-01-02-01-01</t>
  </si>
  <si>
    <t>Демонтаж периметрального ограждения из сборного ж/б</t>
  </si>
  <si>
    <t>DW00-01-02-01-02</t>
  </si>
  <si>
    <t>Демонтаж периметрального ограждения из профлиста</t>
  </si>
  <si>
    <t>Демонтаж временных шлагбаумов</t>
  </si>
  <si>
    <t>DW00-01-03-05-01</t>
  </si>
  <si>
    <t>Демонтаж барьерного ограждения</t>
  </si>
  <si>
    <t>DW00-10-01-01-03</t>
  </si>
  <si>
    <t>Демонтаж стальных опор уличного освещения, высотой до 4 м</t>
  </si>
  <si>
    <t>DW00-08-01-04-03</t>
  </si>
  <si>
    <t>Демонтаж надземных инженерных и технологических полимерных трубопроводов DN &lt;=50 мм / &lt;=2 дюйм</t>
  </si>
  <si>
    <t>DW00-10-02-01-09</t>
  </si>
  <si>
    <t>Демонтаж кабелей и проводов удельной массой метра &gt;0,5 - 1,0 кг/м</t>
  </si>
  <si>
    <t>DW00-10-01-01-14</t>
  </si>
  <si>
    <t>Демонтаж железобетонных опор Освещения/ЛЭП/Связи/Молниезащиты, высотой до 12 м, разбором</t>
  </si>
  <si>
    <t>DW00-10-03-02-01</t>
  </si>
  <si>
    <t>Демонтаж электроустановочных изделий и компонентов КИПиА и слаботочных систем общепромышленного исполнения, устанавливаемых на высоте &lt;=2 м</t>
  </si>
  <si>
    <t>DW00-13-01-01-01</t>
  </si>
  <si>
    <t>Демонтаж одно-модульных зданий и сооружений цельносварного типа (блок / морской контейнер и т.п.)</t>
  </si>
  <si>
    <t>DW00-01-03-01-03</t>
  </si>
  <si>
    <t>Демонтаж покрытий дорог, площадок и тротуаров из сборного железобетона</t>
  </si>
  <si>
    <t xml:space="preserve">Демонтаж временного освещения </t>
  </si>
  <si>
    <t>DW00-02-04-01-01</t>
  </si>
  <si>
    <t>Полный демонтаж фундаментов (ростверков, подколонников, ленточных фундаментов, фундаментных плит, балок и т.п.) из монолитного ж/б</t>
  </si>
  <si>
    <t>DW00-10-02-01-10</t>
  </si>
  <si>
    <t>Демонтаж кабелей и проводов удельной массой метра &gt;1,0 - 3,0 кг/м</t>
  </si>
  <si>
    <t>DW00-10-02-01-07</t>
  </si>
  <si>
    <t>Демонтаж кабелей и проводов удельной массой метра &lt;=0,1 кг/м</t>
  </si>
  <si>
    <t xml:space="preserve">Раздел ЭС </t>
  </si>
  <si>
    <t>Кол-во по РД</t>
  </si>
  <si>
    <t>м3</t>
  </si>
  <si>
    <t>т*км</t>
  </si>
  <si>
    <t>м</t>
  </si>
  <si>
    <t>т</t>
  </si>
  <si>
    <t>м2</t>
  </si>
  <si>
    <t>шт.</t>
  </si>
  <si>
    <t>2 шт.</t>
  </si>
  <si>
    <t>стык</t>
  </si>
  <si>
    <t>кг</t>
  </si>
  <si>
    <t>линия</t>
  </si>
  <si>
    <t>100 м</t>
  </si>
  <si>
    <t>модуль</t>
  </si>
  <si>
    <t>EW00-01-01-1</t>
  </si>
  <si>
    <t>Расчистка участка от растительности</t>
  </si>
  <si>
    <t>EW00-01-01-3</t>
  </si>
  <si>
    <t>Корчевание пней</t>
  </si>
  <si>
    <t>EW00-01-01-8</t>
  </si>
  <si>
    <t>Вырубка деревьев</t>
  </si>
  <si>
    <t>EW00-01-03-1</t>
  </si>
  <si>
    <t>Планировка (выравнивание) территории</t>
  </si>
  <si>
    <t>CW00-01-01-7</t>
  </si>
  <si>
    <t>CW00-01-05-15</t>
  </si>
  <si>
    <t>Устройство покрытия (основание, площадка, откосы) из гравийно-песчаной смеси с уплотнением</t>
  </si>
  <si>
    <t>CW00-01-02-8</t>
  </si>
  <si>
    <t>Обратная засыпка вручную</t>
  </si>
  <si>
    <t>CW00-01-03-1</t>
  </si>
  <si>
    <t>Укладка нетканного геополотна</t>
  </si>
  <si>
    <t>Устройство верхнего слоя из асфальтобетонных смесей толщиной 5 см, тип смеси принять по проекту</t>
  </si>
  <si>
    <t>CW00-04-05-2</t>
  </si>
  <si>
    <t>CW00-04-07-1</t>
  </si>
  <si>
    <t>CW00-06-04-1</t>
  </si>
  <si>
    <t>Монтаж комплектной канализационной насосной станции (КНС)</t>
  </si>
  <si>
    <t>CM00-10-03-001</t>
  </si>
  <si>
    <t>Инженерные сети. Насосное оборудование с подачей до 10 м3/ч</t>
  </si>
  <si>
    <t>CW00-06-06-1</t>
  </si>
  <si>
    <t>Пластиковый накопители или колодец из полиэтилена или аналогов, до Ду 1000</t>
  </si>
  <si>
    <t>CW00-10-03-5</t>
  </si>
  <si>
    <t>Посадка кустарника (живая изгородь)</t>
  </si>
  <si>
    <t>CW00-10-03-3</t>
  </si>
  <si>
    <t>Посадка деревьев</t>
  </si>
  <si>
    <t>PN00-01-02-17</t>
  </si>
  <si>
    <t>Монтаж подземного пластикового трубопровода из ПВХ, свыше Ду 125 до Ду 200</t>
  </si>
  <si>
    <t>PN00-01-02-18</t>
  </si>
  <si>
    <t>Монтаж подземного пластикового трубопровода из ПВХ, свыше Ду 200 до Ду 400</t>
  </si>
  <si>
    <t>DW00-01-03-01-01</t>
  </si>
  <si>
    <t>Фрезерование слоя износа покрытий дорог, площадок и тротуаров из асфальта и асфальтобетона</t>
  </si>
  <si>
    <t>II00-10-02-6</t>
  </si>
  <si>
    <t>Монтаж наружной PTZ видеокамеры</t>
  </si>
  <si>
    <t>II00-10-02-8</t>
  </si>
  <si>
    <t>Монтаж защитного кожуха</t>
  </si>
  <si>
    <t>II00-10-02-11</t>
  </si>
  <si>
    <t>Монтаж видеорегистратора</t>
  </si>
  <si>
    <t>CW00-07-01-5</t>
  </si>
  <si>
    <t>Опалубка для элементов ниже уровня земли</t>
  </si>
  <si>
    <t>CW00-03-06-12</t>
  </si>
  <si>
    <t>Анкерные болты для монолитных железобетонных конструкций</t>
  </si>
  <si>
    <t>EL00-10-01-3</t>
  </si>
  <si>
    <t>Установка мачты уличного освещения от 6 м до 12 м</t>
  </si>
  <si>
    <t>EL00-10-04-5</t>
  </si>
  <si>
    <t>Светодиодный прожектор монтируемый на мачтах освещения до 250 Вт</t>
  </si>
  <si>
    <t>EL00-17-03-34</t>
  </si>
  <si>
    <t>Устройство соединительной кабельной муфты/заделки кабеля НИЗКОГО напряжения до 1 кВ, 5 жильный, сечением 16 мм2, бронированный</t>
  </si>
  <si>
    <t>EL00-09-02-61</t>
  </si>
  <si>
    <t>Устройство концевой кабельной муфты/заделки/оконцевание жил кабеля/подключение кабеля НИЗКОГО напряжения до 1 кВ, 1-жильный, сечением 16 мм2</t>
  </si>
  <si>
    <t>EL00-16-05-7</t>
  </si>
  <si>
    <t>Прокладка кабеля в готовой траншее кабеля, НИЗКОГО напряжения, 3-5 жильный, сечением 1,5 мм2</t>
  </si>
  <si>
    <t>EL00-09-02-19</t>
  </si>
  <si>
    <t>Устройство концевой кабельной муфты/заделки/оконцевание жил кабеля/подключение кабеля НИЗКОГО напряжения до 1 кВ, 3-5 жильный, сечением 1,5 мм2</t>
  </si>
  <si>
    <t>ПНД труба диаметром до 50 мм</t>
  </si>
  <si>
    <t>II00-04-01-7</t>
  </si>
  <si>
    <t>Расключение медного кабеля, Группа ББЭ/ОЭ/Б/(Б+ОЭ), общее количество жил 1-4, сечением жилы до 1 мм2</t>
  </si>
  <si>
    <t>CW00-10-03-2</t>
  </si>
  <si>
    <t>Посев многолетних трав механизированным способом (гидропосев трав)</t>
  </si>
  <si>
    <t>CW00-10-01-10</t>
  </si>
  <si>
    <t>Установка уличного павильона "Остановка общественного транспорта"</t>
  </si>
  <si>
    <t>CW00-10-01-8</t>
  </si>
  <si>
    <t>Установка флагштока</t>
  </si>
  <si>
    <t>CW00-10-01-2</t>
  </si>
  <si>
    <t>Установка уличной скамьи</t>
  </si>
  <si>
    <t>CW00-10-01-1</t>
  </si>
  <si>
    <t>Установка уличной урны</t>
  </si>
  <si>
    <t>CW00-10-01-5</t>
  </si>
  <si>
    <t>Установка уличного кашпо для растений</t>
  </si>
  <si>
    <t>CW00-10-01-12</t>
  </si>
  <si>
    <t>Установка МАФ (беседки, веранды, пергалы, теневые навесы и тд.) комплектные</t>
  </si>
  <si>
    <t>CW00-02-01-6</t>
  </si>
  <si>
    <t>Монтаж сборных бетонных (железобетонных) фундаментных блоков</t>
  </si>
  <si>
    <t>CW00-01-02-10</t>
  </si>
  <si>
    <t>Обратная засыпка песком привозным с уплотнением ( труб, кабелей, нестандартных фундаментов, под тротуары, пазух фундаментов, дренажных емкостей и т.д..)</t>
  </si>
  <si>
    <t>CW00-06-07-1</t>
  </si>
  <si>
    <t>Монтаж металлической гофрированной трубы</t>
  </si>
  <si>
    <t>DW00-02-04-02-04</t>
  </si>
  <si>
    <t>Демонтаж колодцев из сборного ж/б (строительный объем)</t>
  </si>
  <si>
    <t>DW00-01-04-02-02</t>
  </si>
  <si>
    <t>Демонтаж люков колодцев</t>
  </si>
  <si>
    <t>EW00-01-07-3</t>
  </si>
  <si>
    <t>Кол-во на 13.05.24</t>
  </si>
  <si>
    <t>Доп работы</t>
  </si>
  <si>
    <t>Монтаж 2х колодцев, нет проекта согласованного</t>
  </si>
  <si>
    <t>Откачка воды с приямков под колодец Пож.гидранта</t>
  </si>
  <si>
    <t>6.1.</t>
  </si>
  <si>
    <t>6.2.</t>
  </si>
  <si>
    <t>6.3.</t>
  </si>
  <si>
    <t>6.4.</t>
  </si>
  <si>
    <t>6.5.</t>
  </si>
  <si>
    <t>6.6.</t>
  </si>
  <si>
    <t>6.7.</t>
  </si>
  <si>
    <t>Монтаж гильз под элнектрические сети ПНД 110 мм (черные), толщина стенки 1 см (L=4-5 м)</t>
  </si>
  <si>
    <t>Монтаж подземного пластикового трубопровода из ПВХ, свыше Ду 110</t>
  </si>
  <si>
    <t>прокол</t>
  </si>
  <si>
    <t>Сети связи на территории (временные) монтаж колодцев ККС2 (1шт-0,72 м3)</t>
  </si>
  <si>
    <t>Сети связи на территории (временные) монтаж трубы ПНД Ø 63 мм</t>
  </si>
  <si>
    <t>Сети связи на территории (временные) монтаж трубы ПНД Ø 110 мм</t>
  </si>
  <si>
    <t>Прокладка кабеля в готовой траншее кабеля, НИЗКОГО напряжения, 3-5 жильный, сечением 2,5 мм2</t>
  </si>
  <si>
    <t>Прокладка кабеля в готовой траншее кабеля, НИЗКОГО напряжения, 3-5 жильный, сечением 6 мм2</t>
  </si>
  <si>
    <t xml:space="preserve">Видеонаблюдение. Прокладка футляра для видеокамер </t>
  </si>
  <si>
    <t>Ограждение по периметру (планировка грунта)</t>
  </si>
  <si>
    <t>Ограждение по периметру (вязка арматурного каркаса, заливка свай под основное ограждение)</t>
  </si>
  <si>
    <t>Сети связи на территории (временные) разработка траншеи механизированным способом L=40 м (для колодцев 2х2х2 м, траншея 1,2х0,8х40)</t>
  </si>
  <si>
    <t>Разработка траншеи вручную L=350 м (0,4х0,7х350</t>
  </si>
  <si>
    <t>«Благоустройство прилегающей территории к.435 и строительству автопарковки № 6»</t>
  </si>
  <si>
    <t>Выполнено 100%</t>
  </si>
  <si>
    <t>Выполнено 100%, после ИС возможны корректиролвки объемов</t>
  </si>
  <si>
    <t>Изменения от проекта на а/б смесь и щебень</t>
  </si>
  <si>
    <t>Выполнено 80%, после ИС возможны корректиролвки объемов</t>
  </si>
  <si>
    <t>Работы ведутся</t>
  </si>
  <si>
    <t>Демонтаж бетонной площадки вдоль забора</t>
  </si>
  <si>
    <t>Устройство закладных деталей под опоры освещения</t>
  </si>
  <si>
    <t>Доп работы не учтены в ТКП</t>
  </si>
  <si>
    <t>Разработка траншеи под сети электроосвещения</t>
  </si>
  <si>
    <r>
      <t xml:space="preserve">Прокладка гофрированной трубы </t>
    </r>
    <r>
      <rPr>
        <sz val="11"/>
        <color theme="1"/>
        <rFont val="Calibri"/>
        <family val="2"/>
        <charset val="204"/>
      </rPr>
      <t>Ø</t>
    </r>
    <r>
      <rPr>
        <sz val="11"/>
        <color theme="1"/>
        <rFont val="Times New Roman"/>
        <family val="1"/>
        <charset val="204"/>
      </rPr>
      <t xml:space="preserve"> 50 мм</t>
    </r>
  </si>
  <si>
    <t>Бетонирование фундаментов, ростверков, плит и т.д. под ограждение</t>
  </si>
  <si>
    <t>Демонтажные работы</t>
  </si>
  <si>
    <t>Раздел ЭО электроосвещение</t>
  </si>
  <si>
    <t>Раздел ВН видеонаблюдение</t>
  </si>
  <si>
    <t>Раздел СС сети связи</t>
  </si>
  <si>
    <t>Раздел озеленение и благоустройство</t>
  </si>
  <si>
    <t xml:space="preserve">Монтаж подземного трубопровода из полиэтилена/ полипропилена, до Ду 80 </t>
  </si>
  <si>
    <t>Раздел ЭС сети электроснабжения</t>
  </si>
  <si>
    <t>Сваи под фундамент стаканного типа под забор</t>
  </si>
  <si>
    <t>Устройство бордюра дорожного (тип материала по проекту) 100.30.15</t>
  </si>
  <si>
    <t>п.м.</t>
  </si>
  <si>
    <t xml:space="preserve">Укладка футляра ст Ду530 </t>
  </si>
  <si>
    <t>Кол-во на 21.05.24</t>
  </si>
  <si>
    <t>Кол-во на 03.06.24</t>
  </si>
  <si>
    <t>Кол-во на 27.05.24</t>
  </si>
  <si>
    <t>Кол-во на 10.06.24</t>
  </si>
  <si>
    <t>Кол-во на 17.06.24</t>
  </si>
  <si>
    <t>Кол-во на 24.06.24</t>
  </si>
  <si>
    <t>Кол-во на 01.07.24</t>
  </si>
  <si>
    <t>Кол-во на 08.07.24</t>
  </si>
  <si>
    <t>Кол-во на 15.07.24</t>
  </si>
  <si>
    <t>Кол-во на 22.07.24</t>
  </si>
  <si>
    <t>Кол-во на 29.07.24</t>
  </si>
  <si>
    <t>Кол-во на 05.08.24</t>
  </si>
  <si>
    <t>6.8.</t>
  </si>
  <si>
    <t>6.9.</t>
  </si>
  <si>
    <t>6.10.</t>
  </si>
  <si>
    <t>6.11.</t>
  </si>
  <si>
    <t>6.12.</t>
  </si>
  <si>
    <r>
      <t xml:space="preserve">Разработка грунта механизированным способом под траншеи (для прокладки труб, кабелей, нестандартных фундаментов, под тротуары), под проектную высотную отметку с погрузкой грунта в автомобили-самосвалы </t>
    </r>
    <r>
      <rPr>
        <sz val="11"/>
        <color rgb="FF7030A0"/>
        <rFont val="Times New Roman"/>
        <family val="1"/>
        <charset val="204"/>
      </rPr>
      <t>(под островки безопасности)</t>
    </r>
  </si>
  <si>
    <t>Длина 797 п.м. х шириной 2,5м</t>
  </si>
  <si>
    <t>ПНД труба диаметром до 100 мм включительно</t>
  </si>
  <si>
    <t>Монтаж кабеля НИЗКОГО напряжения, прокладка в готовой траншее, 3-5 жильный, сечением 2,5 мм2</t>
  </si>
  <si>
    <t>Монтаж кабеля НИЗКОГО напряжения, прокладка в готовой траншее, 3-5 жильный, сечением 6 мм2</t>
  </si>
  <si>
    <t>Монтаж сборного колодца d=2000мм</t>
  </si>
  <si>
    <t>Выполнено 100%, после ИС возможны корректиролвки объемов. Доп объемы</t>
  </si>
  <si>
    <t>Выполнена гидроизоляция подбетонки на 24.06.24</t>
  </si>
  <si>
    <t>Ограждение по периметру (3-D забор)</t>
  </si>
  <si>
    <t>ИЗМ в проекте на щебень фр.20-40 h=0,1 м</t>
  </si>
  <si>
    <t>ИЗМ в проекте на дорнит в нахлест</t>
  </si>
  <si>
    <t>ПНД труба диаметром до 40 мм включительно</t>
  </si>
  <si>
    <t>Примечание по выполнению</t>
  </si>
  <si>
    <t xml:space="preserve">Песок </t>
  </si>
  <si>
    <t>Эмульсия битумная</t>
  </si>
  <si>
    <t>Асфальтобетонная смесь А22НТ</t>
  </si>
  <si>
    <t>А/б смесь ЩМА-11</t>
  </si>
  <si>
    <t>Новая конструкция дорожной одежды Тип-1 (парковка, заезд и выезд)</t>
  </si>
  <si>
    <t>Новая конструкция дорожной одежды Тип-2 (отмостка)</t>
  </si>
  <si>
    <t>Устройство пленки из полиэтилена (коэффициент нахлеста 1,1)</t>
  </si>
  <si>
    <t>Новая конструкция дорожной одежды Тип-3 (тротуар))</t>
  </si>
  <si>
    <t>Щебень М400 фр. 20-40</t>
  </si>
  <si>
    <t>А/б смесь А8ВЛ</t>
  </si>
  <si>
    <t>БР 100.30.15</t>
  </si>
  <si>
    <t>БР100.20.8</t>
  </si>
  <si>
    <t>Устройство дорнита (коэффициент нахлеста 1,1)</t>
  </si>
  <si>
    <t>Дорнит</t>
  </si>
  <si>
    <t>Панель Light\MEDIUM\PROFI\Expert; ширина 2,51м, высота 1,93 м; (RAL 6005
Зеленый)</t>
  </si>
  <si>
    <t>шт</t>
  </si>
  <si>
    <t>Панель Light\MEDIUM\PROFI\Expert; ширина 3,12 м, высота 1,93 м; (RAL 6005
Зеленый)</t>
  </si>
  <si>
    <t>Индивидуальная панель Light\MEDIUM\PROFI\Expert; ширина 1,23 м, высота
1,93 м; (RAL 6005 Зеленый)</t>
  </si>
  <si>
    <t>Индивидуальная панель Light\MEDIUM\PROFI\Expert; ширина 1,4 м, высота 1,93
м; (RAL 6005 Зеленый)</t>
  </si>
  <si>
    <t>Калитка PROFI; ширина панели 1550 мм, высота 1715 мм</t>
  </si>
  <si>
    <t>Элементы крепления (Скоба и болт М6х85 DIN 603, RAL 6005 Зеленый)</t>
  </si>
  <si>
    <t>Наконечник универсальный (RAL 6005 Зеленый)</t>
  </si>
  <si>
    <t>Спиральный барьер безопасности "Егоза" (бухта 10 м)</t>
  </si>
  <si>
    <t>Проволока 2,5-Ц ГОСТ 3282-74 (бухта 400 м)</t>
  </si>
  <si>
    <t>Шлагбаум</t>
  </si>
  <si>
    <t>Установка стоек на бетонной основе</t>
  </si>
  <si>
    <t>Металические столбы</t>
  </si>
  <si>
    <t xml:space="preserve">-приорритета2.4-1шт </t>
  </si>
  <si>
    <t>-запрещающих 3.1-2шт, 3.27-2шт</t>
  </si>
  <si>
    <t>-предписывающих 4.1.1-1шт, 5.5-2шт, 5.6-2шт, 6.4-47шт</t>
  </si>
  <si>
    <t>-дополнительные 8.6.1-6шт, 8.6.4-41шт, 8.23-1шт, 8.24-2</t>
  </si>
  <si>
    <t>дорожная разметка 1.1. Марка краски - белая АК-511 или аналог, ширина полосы 0.1м</t>
  </si>
  <si>
    <t>дорожная разметка 1.5. Марка краски - белая АК-511 или аналог, ширина полосы 0.1м</t>
  </si>
  <si>
    <t>дорожная разметка 1.18. Марка краски - белая АК-511 или аналог, площадь одной стрелки 1,21 м²</t>
  </si>
  <si>
    <t>Труба гофрированная полипропиленов OD∅345/400</t>
  </si>
  <si>
    <t>Муфта защитная для гофрированной od400</t>
  </si>
  <si>
    <t>Уплотнители для прохода ч /з муфту od400</t>
  </si>
  <si>
    <t>Дождеприемник ДБ 2-В125-10-37 х77</t>
  </si>
  <si>
    <t>Песок</t>
  </si>
  <si>
    <t>Наименование материала</t>
  </si>
  <si>
    <t>Кол-во материала</t>
  </si>
  <si>
    <t>Скобы</t>
  </si>
  <si>
    <t>Бетон В 15</t>
  </si>
  <si>
    <t>Люк тяжелый</t>
  </si>
  <si>
    <t>Люк - дождеприемкник</t>
  </si>
  <si>
    <t>Праймер</t>
  </si>
  <si>
    <t>Устройство футляров 2*ПЭ450 методом ГНБ</t>
  </si>
  <si>
    <t>Укладка трубопроводов в футляры ПЭ Ду160</t>
  </si>
  <si>
    <t>Устройство ж/б колодца гасителя 1500 мм</t>
  </si>
  <si>
    <t>Устройство гидрантов</t>
  </si>
  <si>
    <t>Ремонт теплотрассы</t>
  </si>
  <si>
    <t>Демонтаж трубы в ППУ изоляции в ОЦ ст133</t>
  </si>
  <si>
    <t>Блок бокс</t>
  </si>
  <si>
    <t>Фундамент блок бокса</t>
  </si>
  <si>
    <t>Люк чугунный Т фланцевый ЗЗУ</t>
  </si>
  <si>
    <t>1</t>
  </si>
  <si>
    <t>Задвижка короткая фланцевая DN 100 RN16 №2111(Fabryka Armatur "JAFAR" S.A.)</t>
  </si>
  <si>
    <t>Штурвал для задвижек DN 100-150 №9301 (Fabryka Armatur "JAFAR" S.A.)</t>
  </si>
  <si>
    <t>Шток телескопический для задвижек и вентилей 2,5-3,1 м DN 100-150 №9011 (JAFAR)</t>
  </si>
  <si>
    <t>Втулка под фланец ПЭ100 SDR11, d= 110мм лит.удл. ВОДА</t>
  </si>
  <si>
    <t>Фланец Ду 110 расточенный Ру 10</t>
  </si>
  <si>
    <t>Тройник ПЭ100 SDR11, d=160*110*160м лит.удл. ГАЗ, ВОДА</t>
  </si>
  <si>
    <t>ППОФ Пожарная подставка-одинарная фланцевая Ду 100</t>
  </si>
  <si>
    <t>Пожарный гидрант ГОСТ DN125 Н=2000мм №8854 (Fabryka Armatur "JAFAR" S.A.)</t>
  </si>
  <si>
    <t>2</t>
  </si>
  <si>
    <t>Труба э/св ст. 325* 6,0</t>
  </si>
  <si>
    <t>пог.м.</t>
  </si>
  <si>
    <t>Труба ПЭ100 SDR17, d= 160*9,5</t>
  </si>
  <si>
    <t>60</t>
  </si>
  <si>
    <t>Труба ПЭ100 SDR17, d= 450*26,7</t>
  </si>
  <si>
    <t>48</t>
  </si>
  <si>
    <t>Манжета герметизирующая МГ 160/450</t>
  </si>
  <si>
    <t>4</t>
  </si>
  <si>
    <t>Укрытие защитное манжеты УЗМГ 160/450</t>
  </si>
  <si>
    <t>Кольцо ОНК 160/450</t>
  </si>
  <si>
    <t>18</t>
  </si>
  <si>
    <t>Отвод седловой VGA FX35.20 обжимной для стальных и чугунных труб OD 206-233, с фланцевым отводом DN 150, PN 16</t>
  </si>
  <si>
    <t>Втулка под фланец ПЭ100 SDR11, d= 160мм лит.удл. ВОДА</t>
  </si>
  <si>
    <t>Фланец Ду 160 расточенный Ру 10</t>
  </si>
  <si>
    <t>Труба ПЭ100 SDR17 - 450*26,7 питьевая (13 м)</t>
  </si>
  <si>
    <t>Труба ПЭ100 SDR17 - 160*9,5 питьевая (12 м)</t>
  </si>
  <si>
    <t>Арматура Ø 12 А 500</t>
  </si>
  <si>
    <t>Арматура Ø 6 А 240</t>
  </si>
  <si>
    <t xml:space="preserve">руба ПНД Ø50 SN13 420Н, L=1350 </t>
  </si>
  <si>
    <t xml:space="preserve">Труба ПНД Ø50 SN13 420Н, L=3400 </t>
  </si>
  <si>
    <t>Праймер битумный</t>
  </si>
  <si>
    <t>ФМ 2 - 4 шт. (Фундамент монолитный под шлагбаум)</t>
  </si>
  <si>
    <t>ФМ 1.2 - 52 шт. (Фундамент монолитный под стойки ограждения)</t>
  </si>
  <si>
    <t>ФМ 1.1 - 84 шт. (Фундамент монолитный под стойки ограждения)</t>
  </si>
  <si>
    <t>ФМ 3.1 - 55 шт. (Фундамент монолитный под опоры освещения)</t>
  </si>
  <si>
    <t>ФМ 3.2 - 7 шт. (Фундамент монолитный под опоры освещения)</t>
  </si>
  <si>
    <t>ФМ 4 - 1 шт.. (Фундамент монолитный конструкции блок-бокса)</t>
  </si>
  <si>
    <t>ФМ5 - 2 шт. (Фундамент монолитный под зарядные станции для электромобилей)</t>
  </si>
  <si>
    <t>ФМ 6 - 2 шт. (Фундамент монолитный под опоры эстакады ТС0</t>
  </si>
  <si>
    <t>Арматура Ø 12 А 240</t>
  </si>
  <si>
    <t>Арматура Ø 8 А 240</t>
  </si>
  <si>
    <t>Закладных деталей Труба ПНД Ø50 SN13 420Н, кр, L=1050</t>
  </si>
  <si>
    <t>Монтаж закладных деталей Труба ПНД Ø50 SN13 420Н, кр, L=1050</t>
  </si>
  <si>
    <t>Приемно-контрольный прибор Сигнал-10</t>
  </si>
  <si>
    <t>Преобразователь интерфейса RS485/Ethernet C2000-Ethernet</t>
  </si>
  <si>
    <t xml:space="preserve">Источник резервированного питания 12В РИП-12 исп.01 </t>
  </si>
  <si>
    <t>Извещатель охранный магнитоконтактный ST-DM120NC-WТ</t>
  </si>
  <si>
    <t xml:space="preserve">Извещатель охранный объёмный ST-AD100PM </t>
  </si>
  <si>
    <t xml:space="preserve">Аккумуляторная батарея 12В 17Ач Delta DTM 1217 (12V / 17Ah) </t>
  </si>
  <si>
    <t>Труба ПВХ гибкая гофр. д.16мм, лёгкая с протяжкой, 100м, цвет серый 91916</t>
  </si>
  <si>
    <t>Кабель симметричный для систем сигнализации и управления, групповой прокладки, с 
пониженным дымо- и газовыделением
КПСВВнг(А)-LS 1x2x0,75</t>
  </si>
  <si>
    <t>Кабель симметричный для систем сигнализации и управления, групповой прокладки, с 
пониженным дымо- и газовыделением
КИПЭВнг(А)-LS 1x2x0,60</t>
  </si>
  <si>
    <t>Комплект оборудования для управления 1-2 точками доступа, в составе: ИМ АИМ-2СЛ</t>
  </si>
  <si>
    <t>компл.</t>
  </si>
  <si>
    <t>Источник бесперебойного питания 12В</t>
  </si>
  <si>
    <t>Аккумуляторная батарея 12В 5Ач</t>
  </si>
  <si>
    <t>Кнопка Выхода накладная</t>
  </si>
  <si>
    <t>Устройство дистанционного пуска электроконтактное УДП 513-3М ИСП.0</t>
  </si>
  <si>
    <t>Считыватель бесконтактных карт PRN-EN15</t>
  </si>
  <si>
    <t>Электромагнитный замок ST-EL180ML</t>
  </si>
  <si>
    <t>Кабель категории 5e, U/UTP, 4 пары, 24 AWG, нг(A)-HF, внутренней прокладки, оранжевый, 
коробка 305 м 19C-U5-120R-B305</t>
  </si>
  <si>
    <t>Кабель симметричный для систем сигнализации и управления, групповой прокладки, с пониженным дымо- и газовыделением КПСВВнг(А)-LS 1x2x1,5</t>
  </si>
  <si>
    <t>Коммутационный шнур категории 5e U/UTP, LSZH, 2 м, красный 21D-U5-02RD</t>
  </si>
  <si>
    <t>Приемно-контрольный прибор Рубеж-2ОП прот.R3 Рубеж-2ОП прот.R3</t>
  </si>
  <si>
    <t>Источник резервного питания 12 В с АКБ ИВЭПР 12/3,5 RS-R3 2х7 БР</t>
  </si>
  <si>
    <t>Преобразователь интерфейса RS485 в оптику ICF-1150-S-SC</t>
  </si>
  <si>
    <t>Модуль сопряжения преобразователь интерфейса МС-E R3-МС-E</t>
  </si>
  <si>
    <t>Блок индикации и управления Рубеж-БИУ</t>
  </si>
  <si>
    <t>Извещатель пожарный дымовой адресный ИП-212-64 прот.R3</t>
  </si>
  <si>
    <t xml:space="preserve">Извещатель пожарный ручной адресный ИПР 513-11 прот.R3 </t>
  </si>
  <si>
    <t>Релейный модуль РМ-4К прот.R3 адресный РМ-4К прот.R3</t>
  </si>
  <si>
    <t xml:space="preserve">Релейный модуль РМ-1 прот.R3 адресный РМ-1 прот.R3 </t>
  </si>
  <si>
    <t>Оповещатель световой табло "Выход" 12В ОПОП 1-8</t>
  </si>
  <si>
    <t xml:space="preserve">Оповещатель звуковой 12В ОПОП 2-35 </t>
  </si>
  <si>
    <t>Аккумуляторная батарея 12В 7Ач Delta DTM 1207 (12V / 7Ah)</t>
  </si>
  <si>
    <t>Оптическая панель серии 47C-24, 19'' 1U, корпус на 24 адаптера симплекс SC 47C-24-2L-00BL</t>
  </si>
  <si>
    <t>Перемычки кабельные длиной:до 6 м.</t>
  </si>
  <si>
    <t>Извещатель пожарный ручной адресный ИПР 513-11 прот.R3</t>
  </si>
  <si>
    <t>Огнестойкий кабель для систем пожарной безопасности на рабочее напряжение до 300 В (ТУ 
3581-006-53930360-2010) КПСЭнг(А)-FRHF 2х2х0,75 мм</t>
  </si>
  <si>
    <t>Кабель симметричный, для промышленного интерфейса RS-485, огнестойкие, групповой 
прокладки, с пониженным дымо- и газовыделением
КСБ нг(А)-FRHF 1x2x0,64</t>
  </si>
  <si>
    <t>Кабель оптический, огнестойкий, не распространяющий горений, с оптическими модулями из полимерного материала, в оболочке из поли</t>
  </si>
  <si>
    <t xml:space="preserve">Оптический монтажный шнур (pigtail) 9/125, OS2, SC, 3 метра, оконцован с двух сторон </t>
  </si>
  <si>
    <t xml:space="preserve">Перемычки кабельные </t>
  </si>
  <si>
    <t>м.</t>
  </si>
  <si>
    <t>IP-камера Hikvision DS-2CD3626G2T-IZS</t>
  </si>
  <si>
    <t>Omxd30002 - SFP трансивер</t>
  </si>
  <si>
    <t>Регистратор видеонаблюдения (временный до прихода сервера) DS-N332/2 (C) IP видеорегистратор 32-х канальный</t>
  </si>
  <si>
    <t>Жесткий диск HDD 6 Toshiba</t>
  </si>
  <si>
    <t>Промышленный коммутатор Huawei AR550C-2C6GE</t>
  </si>
  <si>
    <t>Кронштейн KMCC-З для установки шкафа на земле</t>
  </si>
  <si>
    <t>Патч-панель PP3-19-24-8P8C-C5E-110D</t>
  </si>
  <si>
    <t>19 НАПОЛЬНЫЙ ШКАФ 42U 600Х1000 ММ, ПЕРЕДНЯЯ ДВЕРЬ СТЕКЛО, РЕГУЛИРУЕМЫЕ ОПОРЫ, NTSS</t>
  </si>
  <si>
    <t>ВЕНТИЛЯТОРНЫЙ МОДУЛЬ 4 ЭЛЕМЕНТА ПОТОЛОЧНЫЙ БЕЗ ТЕРМОСТАТА ДЛЯ ШКАФОВ С ГЛУБИНОЙ 1000ММ</t>
  </si>
  <si>
    <t>Блок розетор SCHUKO 8 шт</t>
  </si>
  <si>
    <t>Коммутатор 24 PoE + 4SFP S5731-S24P4X</t>
  </si>
  <si>
    <t>Коммутатор 24SFP S5732-S24S6Q</t>
  </si>
  <si>
    <t>Кабель FTP 4*2*0,52 cat.5е Out/Cu 01-1010 SUPRLAN premium AWG24</t>
  </si>
  <si>
    <t>Преобразователь или блок питания</t>
  </si>
  <si>
    <t>SFP+ 10GE модуль, 20 км, SM, 2 волокна, 1310 nm, LC, DDM</t>
  </si>
  <si>
    <t>труба стальная Ду200 – Ø219х6,0 в тепловой изоляции типа 1 из пенополиуретана в оцинкованной трубе - оболочке</t>
  </si>
  <si>
    <t>Комплект заделки стыка с оцинкованной трубой оболочкой для трубы Ду200 – Ø219х6,0 с трубой оболочкой Ø315</t>
  </si>
  <si>
    <t>Коробка ответвительная на стене</t>
  </si>
  <si>
    <t>Розетка штепсельная трехполюсная</t>
  </si>
  <si>
    <t>Приборы и аппараты, снятые перед транспортировкой.</t>
  </si>
  <si>
    <t>Монтаж светильника</t>
  </si>
  <si>
    <t>Световые настенные указатели</t>
  </si>
  <si>
    <t>Модульная настен. коробка для эл/устан. изделий VIVA, IP55,2мод</t>
  </si>
  <si>
    <t>Розетка силовая 2Р+Е, со шторками, «Viva», 2 мод., цвет белый 230В 16А</t>
  </si>
  <si>
    <t>Светодиодный светильник L-industry NEW, 46 Вт, 4000К</t>
  </si>
  <si>
    <t>Датчик освещенности PS 25</t>
  </si>
  <si>
    <t>Провод медный гибкий с ПВХ изоляцией ПуГВнг(А)-LS -1х25мм²</t>
  </si>
  <si>
    <t>Станция зарядная</t>
  </si>
  <si>
    <t xml:space="preserve">Устройство стальных опор </t>
  </si>
  <si>
    <t>Установка выключателя</t>
  </si>
  <si>
    <t>Световой комплекс Стик 8/1-70 Вт</t>
  </si>
  <si>
    <t>Закладная для опор ФМ-0,159-2,0</t>
  </si>
  <si>
    <t>Общее кол-во СМР (ФАКТ)</t>
  </si>
  <si>
    <t>4918.1</t>
  </si>
  <si>
    <t>тн</t>
  </si>
  <si>
    <t>5.1.</t>
  </si>
  <si>
    <t>5.2.</t>
  </si>
  <si>
    <t>5.3.</t>
  </si>
  <si>
    <t>Щебень М400 фр. 40-70</t>
  </si>
  <si>
    <t>Бетон В 7,5</t>
  </si>
  <si>
    <t>Транспортировка /перевозка (непригодного) грунта до 2х км</t>
  </si>
  <si>
    <t>Замена землянного полотна (непригодный грунт на песок)</t>
  </si>
  <si>
    <t>предложение Заказчика</t>
  </si>
  <si>
    <t>Замена землянного полотна (непригодный грунт на привозной местный грунт)</t>
  </si>
  <si>
    <t>Протокол от 14.05.24, чтто привозной грунт не пригоден</t>
  </si>
  <si>
    <t>Устройство бордюра дорожного (тип материала по проекту) 100.20.8</t>
  </si>
  <si>
    <t xml:space="preserve"> БР 100.30.15</t>
  </si>
  <si>
    <t xml:space="preserve"> БР 100.20.8</t>
  </si>
  <si>
    <t>Розлив вяжущих материалов - Битумы нефтяные дорожные жидкие 0,3 л/м2</t>
  </si>
  <si>
    <t>Работа на отвале грунт 2 гр.</t>
  </si>
  <si>
    <t>Разработка грунта механизированным способом под траншеи (для прокладки труб, кабелей, нестандартных фундаментов, под тротуары), под проектную высотную отметку с погрузкой грунта в автомобили-самосвалы грунт 1 гр.</t>
  </si>
  <si>
    <t>Работа на отвале грунт 1 гр.</t>
  </si>
  <si>
    <t>Разработка грунта механизированным способом под траншеи (для прокладки труб, кабелей, нестандартных фундаментов, под тротуары), под проектную высотную отметку с погрузкой грунта в автомобили-самосвалы грунт 2 гр.</t>
  </si>
  <si>
    <t>Асфальтобетонная смесь А32НТ</t>
  </si>
  <si>
    <t>Устройство нижнего слоя из асфальтобетонных смесей толщиной 8 см , тип смеси принять по проекту</t>
  </si>
  <si>
    <t>Розлив вяжущих материалов - Битумы нефтяные дорожные жидкие 0,7 л/м2</t>
  </si>
  <si>
    <t xml:space="preserve">Транспортирование материала от фрезерования а/бетонного покрытия с погрузкой в автосамосвалы  на расстояние до 2 км </t>
  </si>
  <si>
    <t>Розлив вяжущих материалов - Битумы нефтяные дорожные жидкие 0,4 л/м2</t>
  </si>
  <si>
    <t>Устройство выравнивающего слоя покрытия из асфальтобетона тип А16 Нт; ГОСТ Р 58406.2-2020 на битуме БНД марки 70/100 средней толщиной 0,04м</t>
  </si>
  <si>
    <t xml:space="preserve">Фрезерование существующего а/б покрытия hср = 0,04 -0,05 м             </t>
  </si>
  <si>
    <t>Пленка полиэтиленовая</t>
  </si>
  <si>
    <t xml:space="preserve">Укладка армирующей сетки 4Вр-I 200х200 </t>
  </si>
  <si>
    <t xml:space="preserve">Армирующая сетка </t>
  </si>
  <si>
    <t>Устройство основания из бетона В-20 ГОСТ26633-91  толщиной 0,10м</t>
  </si>
  <si>
    <t>Устройство песчано-цементной смеси М-400 (200кг/1м³)(соотношение 4:1) толщиной 0,04м</t>
  </si>
  <si>
    <t>Песчано-цементнаяч смесь М-400</t>
  </si>
  <si>
    <t xml:space="preserve">Укладка брусчатки толщиной 0,06м с заполнением швов сухой смесью (песко-цемент М-400, 200 кг/1м³) </t>
  </si>
  <si>
    <t xml:space="preserve">Брусчатка </t>
  </si>
  <si>
    <t>Устройство растительного грунта; толщиной 0,15м</t>
  </si>
  <si>
    <t>Грунт плодородный</t>
  </si>
  <si>
    <t>Устройство трубы D= 0,05 м (ПНД 500) Строительство спиральновитой гофрированной трубы на съезде d=0,5</t>
  </si>
  <si>
    <t>Засыпка песком. Строительство спиральновитой гофрированной трубы на съезде d=0,5</t>
  </si>
  <si>
    <t xml:space="preserve">Труба D= 0,05 м (ПНД 500) </t>
  </si>
  <si>
    <t>п.м</t>
  </si>
  <si>
    <t>Асфальтобетонная смесь А8Вн</t>
  </si>
  <si>
    <t>Устройство фундамента из монолитного бетона В15 под стойки</t>
  </si>
  <si>
    <t xml:space="preserve">Бетон В15 </t>
  </si>
  <si>
    <t>Установка стальной стойки для дорожных знаков с покраской</t>
  </si>
  <si>
    <t>приоритета /2.1 – 8; 2.4 - 4/ пленка МСВ-Iiб</t>
  </si>
  <si>
    <t>апрещающие /3.1 - 8; 3.13 - 2; 3.18.1 - 1; 3.27 - 49/ пленка МСВ-Iiб</t>
  </si>
  <si>
    <t>предписывающие /4.1.1 - 2; 4.2.1 - 2; / пленка МСВ-Iiб</t>
  </si>
  <si>
    <t>особых предписаний /5.5 - 1; 5.6 - 1; 5.15.3 - 2; 5.15.5 - 2; 5.16 -4/пленка МСВ-Iiб5.19.1 - 8; 5.19.2 - 8/ на желтом фоне</t>
  </si>
  <si>
    <t>Информационные знаки /6.4 - 40/пленка МСВ-Iiб</t>
  </si>
  <si>
    <t>Дополнительной информации /8.2.4 - 16; 8.2.5 - 21; 8.2.6 - 20; 8.4.1- 7; 8.6.4 - 40; 8.13 - 3; 8.22.1 - 2; 8.17 - 12; 8.24 - 49; 8.26 - 2/
пленка МСВ-IIб</t>
  </si>
  <si>
    <t>Сплошная линия 1.1</t>
  </si>
  <si>
    <t>Прерывистая линия 1.5 (1:4)</t>
  </si>
  <si>
    <t>Прерывистая линия 1.6 (3:4)</t>
  </si>
  <si>
    <t>Разметка 1.14.1 (пешеходный переход)</t>
  </si>
  <si>
    <t>Разметка 1.15</t>
  </si>
  <si>
    <t>Разметка 1.19</t>
  </si>
  <si>
    <t>Разметка 1.24.3</t>
  </si>
  <si>
    <t>Сплошная линия разметки (граница парковочного места)</t>
  </si>
  <si>
    <t>Устройство песчаного основания под прокладку труб и колодцев</t>
  </si>
  <si>
    <t>Разработка грунта механизированным способом под траншеи (для прокладки труб, кабелей, нестандартных фундаментов, под тротуары), под проектную высотную отметку с погрузкой грунта в автомобили-самосвалы (колодцы, траншеи и сваи-шпунты)</t>
  </si>
  <si>
    <t>Обратная засыпка труб песком с уплотнением трамбовками</t>
  </si>
  <si>
    <t>Оббивка котлована КНС ст. трубами ⌀273мм, L=11м, шаг между сваями 0,96м (50 шт)</t>
  </si>
  <si>
    <t>Стальная трубаи ⌀273мм, L=11м</t>
  </si>
  <si>
    <t>Демонтаж стальных труб (свай) после засыпки котлована</t>
  </si>
  <si>
    <t>Труба 2*Ду63 - 2*80 п.м.</t>
  </si>
  <si>
    <t xml:space="preserve">Устройство водоотводного лотка, с решеткой, в бетонной обойме </t>
  </si>
  <si>
    <t>Лоток водоотводный BetoMax DriveЛВ-30.36.26-Б бетонный</t>
  </si>
  <si>
    <t>ПескоуловительBetoMax DriveПУ-30.36.94-Б бетонный</t>
  </si>
  <si>
    <t>КНС стеклопластик горизонтальная V=130м3 q=6л/с StandartPark</t>
  </si>
  <si>
    <t>Корзина для пескоуловителя КОПУ-30.39.95-ОС оцинкованная сталь</t>
  </si>
  <si>
    <t>Переходник каскадный стальной ПР-ПУ-30.39.95-Б-ОС для пескоуловителя
бетонного</t>
  </si>
  <si>
    <t>Заглушка торцевая стальная ЗЛВ-30.36.26-Б-ОС</t>
  </si>
  <si>
    <t>Заглушка торцевая стальная ЗЛВ-30.36.36-Б-ОС</t>
  </si>
  <si>
    <t>Решетка водоприемнаяDriveРВ-30.35.50 "шина"чугунная ВЧE600</t>
  </si>
  <si>
    <t>Болт М10х25</t>
  </si>
  <si>
    <t>Гайка М10квадрат</t>
  </si>
  <si>
    <t>Герметик полиуретановый однокомпонентный в упаковке600мл</t>
  </si>
  <si>
    <t xml:space="preserve">ПНД труба диаметром от 51 мм до 110 мм включительно </t>
  </si>
  <si>
    <t>Колодец дождеприемный ⌀1000мм из сборных ж/б элементов</t>
  </si>
  <si>
    <t>Дождеприемник ДБ2-В125-10-37х11</t>
  </si>
  <si>
    <t>Бетон В3.5 (основание колодца)</t>
  </si>
  <si>
    <t>Бетон В15 (монолитный лоток)</t>
  </si>
  <si>
    <t>Гидроизоляция мастикой Технониколь №24 (МГТН) 2 слоя</t>
  </si>
  <si>
    <t xml:space="preserve">Монтаж колодецев дождеприемных Ду1000 </t>
  </si>
  <si>
    <t xml:space="preserve">Монтаж колодецев смотровых Ду1500 </t>
  </si>
  <si>
    <t xml:space="preserve">Монтаж люков </t>
  </si>
  <si>
    <t>Люк легкий чугунный тип Л (А30)-К</t>
  </si>
  <si>
    <t>Люк тяжелый чугунный тип Т (С250)-К</t>
  </si>
  <si>
    <t>Вторая крышка люка металлическая</t>
  </si>
  <si>
    <t>Монтаж стремянок</t>
  </si>
  <si>
    <t>Стремянка стальная серии С1: С1-01</t>
  </si>
  <si>
    <t>Стремянка стальная серии С1: С1-02</t>
  </si>
  <si>
    <t>Стремянка стальная серии С1: С1-03</t>
  </si>
  <si>
    <t>Стремянка стальная серии С1: С1-04</t>
  </si>
  <si>
    <t>Обивка доской прозоров между труб</t>
  </si>
  <si>
    <t>Прокол ГНБ под трубопровод из ПВХ, свыше Ду 110</t>
  </si>
  <si>
    <t xml:space="preserve">Устройство обмазочной гидроизоляции ж/б элементов колодцев. Огрунтовка праймером "Технониколь", 2 слоя по 2мм (колодцы дождеприемные и смотровые) </t>
  </si>
  <si>
    <t>Футляр стальной защитный из стальных электросварных труб с весьма усиленной
изоляцией: ⌀530х7</t>
  </si>
  <si>
    <t>Для труб ⌀345 - 3шт
Для труб ⌀400 - 2шт</t>
  </si>
  <si>
    <t>Монтаж защитных муфт ПП для прохода через ж/б стенки колодца</t>
  </si>
  <si>
    <t>Муфта защитная: D250/288</t>
  </si>
  <si>
    <t>Муфта защитная: D300/345</t>
  </si>
  <si>
    <t>Муфта защитная: D400/345</t>
  </si>
  <si>
    <t>Муфта защитная: ID500/571</t>
  </si>
  <si>
    <t>Уплотнитель резиновый ID250</t>
  </si>
  <si>
    <t>Уплотнитель резиновый ID300</t>
  </si>
  <si>
    <t>Уплотнитель резиновый OD400</t>
  </si>
  <si>
    <t>Уплотнитель резиновый ID500</t>
  </si>
  <si>
    <t>Укладка футляра ст Ду630</t>
  </si>
  <si>
    <t>Труба МультиМайн ИЗИ III ПЭ100/ПЭ100/АС SDR11 Ø63x5,8</t>
  </si>
  <si>
    <t>Труба двухслойная гофрированная раструбная полипропиленовая РГК АС: ID300/345 SN11</t>
  </si>
  <si>
    <t>Труба двухслойная гофрированная раструбная полипропиленовая РГК АС: ID250/288 SN11</t>
  </si>
  <si>
    <t>Труба двухслойная гофрированная раструбная полипропиленовая РГК АС: OD400/345 SN11</t>
  </si>
  <si>
    <t>Труба двухслойная гофрированная раструбная полипропиленовая РГК АС: ID500/571 SN11</t>
  </si>
  <si>
    <t>Укладка гофрир труб</t>
  </si>
  <si>
    <t>Труба ПЭ SDR13,6 ⌀315х23,2</t>
  </si>
  <si>
    <t>Труба ПЭ SDR17 ⌀315х18,5</t>
  </si>
  <si>
    <t>Колодец-гаситель стеклопластиковый</t>
  </si>
  <si>
    <t>Устройство слоя покрытия из а/б покрытия тип А8 Вн средней толщиной 0,05 м</t>
  </si>
  <si>
    <t xml:space="preserve">Демонтаж существующего а/б h= 0,1 м </t>
  </si>
  <si>
    <t xml:space="preserve">Демонтаж существующего бетонного покрытия h= 0,4 м </t>
  </si>
  <si>
    <t>Бетон</t>
  </si>
  <si>
    <t>Бетон В15 М200</t>
  </si>
  <si>
    <t>ФМ-0,159-2,0</t>
  </si>
  <si>
    <t>ФМ-0,133-1,5</t>
  </si>
  <si>
    <t>ФМ-0,219-2,0</t>
  </si>
  <si>
    <t>Монтаж опор освещения</t>
  </si>
  <si>
    <t>Опора фланцевая граненная</t>
  </si>
  <si>
    <t>Oпopa нecилoвaя флaнцeвaя гpaнeнaя Н=10м НФГ-10-68/160-3</t>
  </si>
  <si>
    <t>Монтаж светового комплекса</t>
  </si>
  <si>
    <t>Световой комплекс Авеню 8/1-70 вт</t>
  </si>
  <si>
    <t>Световой комплекс Авеню 6/2-54 Вт</t>
  </si>
  <si>
    <t>Светильник уличный</t>
  </si>
  <si>
    <t>Кронштейн однорожковый</t>
  </si>
  <si>
    <t>Светильник уличный светодиодный 37 WD-Street Light 37</t>
  </si>
  <si>
    <t xml:space="preserve">Монтаж светильников и кронштейнов </t>
  </si>
  <si>
    <t xml:space="preserve"> Кронштейн однорожковый, угол наклона к горизонту 15° 1К1-1,0-1,5-1-1</t>
  </si>
  <si>
    <t xml:space="preserve"> Кронштейн однорожковый, угол наклона к горизонту 15° 1К2-1,0-1,5-90-Ф2-1</t>
  </si>
  <si>
    <t xml:space="preserve"> Кронштейн однорожковый, угол наклона к горизонту 15° 7К3(300)-1,0-1,5-90/ 135- Ф2-1</t>
  </si>
  <si>
    <t xml:space="preserve"> Кронштейн однорожковый, угол наклона к горизонту 15° 1К3-1,0-1,5-90-Ф2-1</t>
  </si>
  <si>
    <t>Монтаж приемно-контрольного прибора на 5-8 зоны</t>
  </si>
  <si>
    <t>Монтаж шнура коммутационного</t>
  </si>
  <si>
    <t>Коммутационный шнур категории 5е U/UTP, LSZH, 2 м, желтый 21D-U5-02YL, Eurolan</t>
  </si>
  <si>
    <t>Изолятор шлейфа И3-1-R3, ООО "Рубеж"</t>
  </si>
  <si>
    <t>Монтаж кросс панели</t>
  </si>
  <si>
    <t>Монтаж перфорированного кабельного лотка ширина до 100 мм, без установки опор</t>
  </si>
  <si>
    <t>Лоток металлический перфорированный, основание 50мм, высота 50 мм, длина 3000 мм</t>
  </si>
  <si>
    <t>Крышка с заземлением на лоток основание 50мм, длина 3000мм</t>
  </si>
  <si>
    <t>Монтаж скоб для крепления лотка с основанием 100 мм</t>
  </si>
  <si>
    <t>Скоба DKC CS, на лоток, с основанием 50 мм</t>
  </si>
  <si>
    <t>2Мп уличная цилиндрическая IP-камера с ИК-подсветкой Hikvision DS-2CD3626G2T-IZS</t>
  </si>
  <si>
    <t>Оконечивание кабеля</t>
  </si>
  <si>
    <t>Разъемы RJ-45 (8P8C) под витую пару  Hyperline</t>
  </si>
  <si>
    <t xml:space="preserve">Монтажная коробка белая Ф105 DS-1260ZJ </t>
  </si>
  <si>
    <t>Крепление для камер на столб</t>
  </si>
  <si>
    <t>Крепления для камер на столб PFA 152-E</t>
  </si>
  <si>
    <t>Волоконно-оптические патч-корды LC-LC, 1м</t>
  </si>
  <si>
    <t>Патч-корд RJ45 LSZH</t>
  </si>
  <si>
    <t>Монтаж съемных модулей</t>
  </si>
  <si>
    <t>Кросс оптический стоечный  ШКОС-Л-1U/2-16-LC-16-LC/SM-16-LC/UPC</t>
  </si>
  <si>
    <t>монтаж съемных модулей</t>
  </si>
  <si>
    <t>Шкаф МАСТЕР-4УТП</t>
  </si>
  <si>
    <t>Аккумуляторная батарея 12В 7Ач Delta DTM 1207 (12Ѵ/7Аh), Дельта</t>
  </si>
  <si>
    <t>Источник вторичного электропитания резервированный UPS 300W/48V/DIN</t>
  </si>
  <si>
    <t>Источник вторичного электропитания 36W/12-24V/DIN Slim</t>
  </si>
  <si>
    <t>Кросс настенный укомплектованный LC(duplex) OS2 FOBX8-N-8LCUD09</t>
  </si>
  <si>
    <t>Протяжка оптичнеского кабеля в готовой пнд трубе</t>
  </si>
  <si>
    <t>Волоконно-оптический кабель 16-ти волоконный ОКЛнг(А)-HF-16(G.652.D)-T/C</t>
  </si>
  <si>
    <t>Монтаж сборного колодца d=700мм</t>
  </si>
  <si>
    <t>Плита перекрытия колодца ПП7</t>
  </si>
  <si>
    <t>Плита днища железобетонная ПН7</t>
  </si>
  <si>
    <t>Железобетонное опорное кольцо КО7</t>
  </si>
  <si>
    <t>Люк чугунный тяжелого типа для колодцев и коробок тип Т</t>
  </si>
  <si>
    <t>Труба гофрированная ПНД с протяжкой d32мм</t>
  </si>
  <si>
    <t>Труба гофрированная ПНД с протяжкой d63мм</t>
  </si>
  <si>
    <t>выставление опалубки</t>
  </si>
  <si>
    <t>Островок безопасности АП-ПРО-О7 АП-ПРО</t>
  </si>
  <si>
    <t>заливка бетона</t>
  </si>
  <si>
    <t>Монтаж контроллера доступа</t>
  </si>
  <si>
    <t xml:space="preserve">Контроллер СКУД Elsys-NG-800-DIN </t>
  </si>
  <si>
    <t xml:space="preserve">Считыватель настольный Elsys-SW-USB </t>
  </si>
  <si>
    <t>Монтаж шкафа</t>
  </si>
  <si>
    <t>Шкаф Мастер-3УТ</t>
  </si>
  <si>
    <t>Источник резервного питания 12 В с АКБ ИВЭПР 12/3,5 RS-R3 2x7 БР, ООО "Рубеж"</t>
  </si>
  <si>
    <t>монтаж аккумулятора</t>
  </si>
  <si>
    <t>монтаж шлагбаума для установки на КПП</t>
  </si>
  <si>
    <t>Шлагбаум GPX40MGS левосторонний в комплекте со стрелой 3,8 м (803XA-0050),пружинами (001G04060), 803XA-0020, 001G02809, 001G02807, 803XA-0610, 803XA-0080, SMA2</t>
  </si>
  <si>
    <t>Панель управления Зх кнопочная с ключом SELC1FDG</t>
  </si>
  <si>
    <t>Монтаж крепления стрелы</t>
  </si>
  <si>
    <t>Фланец откидной 803XA-0170</t>
  </si>
  <si>
    <t>Монтаж датчиков безопасности</t>
  </si>
  <si>
    <t>Барьер безопасности фоторелейный DXR10BAP</t>
  </si>
  <si>
    <t>укладка кабеля в штробу под асфальт</t>
  </si>
  <si>
    <t>Индукционная петля Elka Induction loop 21 м</t>
  </si>
  <si>
    <t>Устройство коммутационное «УК-ВК/06»</t>
  </si>
  <si>
    <t>Светофор, двухсекционный, 230 В, PSSRV1</t>
  </si>
  <si>
    <t>Считыватель проксимити-карт, Elsys-SW10-EH</t>
  </si>
  <si>
    <t>Домофон сетевой DS-KV6103-РЕ1</t>
  </si>
  <si>
    <t>оконечивание кабеля</t>
  </si>
  <si>
    <t>DS-1260ZJ Монтажная коробка белая Ф105</t>
  </si>
  <si>
    <t>Сервер IPDROM Enterprise KOS21062024_2 IPDROM</t>
  </si>
  <si>
    <t>Монтаж АРМ</t>
  </si>
  <si>
    <t>Персональный компьютер IPDROM WS KOS24062024_5 IPDROM</t>
  </si>
  <si>
    <t>монитор настольный</t>
  </si>
  <si>
    <t>Монитор Samsung Odyssey G6 27" S27BG650EI</t>
  </si>
  <si>
    <t>бетониторание столбика</t>
  </si>
  <si>
    <t>Стойка светофора, 1,6 м «VАР-0092-00»</t>
  </si>
  <si>
    <t>Стойка для считывателя «Stolz 300x400»</t>
  </si>
  <si>
    <t>Подземная прокладка кабеля, Группа (ОЭ)/(ББЭ), общее количество жил 3, сечением жилы до 2,5 мм2, неогнестойкий</t>
  </si>
  <si>
    <t>Силовой кабель, не распространяющий горение, с медными токопроводящими жилами, в изоляции и оболочке из ПВХ ВВГнг(A)-LS 3х2,5</t>
  </si>
  <si>
    <t>П/Э труба диаметром 110 мм</t>
  </si>
  <si>
    <t>Труба полиэтиленовая ПЭ100 SDR13,6 d110х8,1мм</t>
  </si>
  <si>
    <t>Комплект ИБП для сервера IPDROM Enterprise KOS21062024_2 IPDROM</t>
  </si>
  <si>
    <t>Кабельный организатор 19" Hyperline CM-1U-ML</t>
  </si>
  <si>
    <t>Монтаж блока розуток</t>
  </si>
  <si>
    <t>ВРУ</t>
  </si>
  <si>
    <t>ПЭСП3</t>
  </si>
  <si>
    <t>ЯУО 9601-3474 IP31</t>
  </si>
  <si>
    <t>Коробка пластиковая FS с кабельными вводами и клеммниками, ІР55,100x100x50 мм, 4р, 450Ѵ, 6А. 4 мм2 FSB11404, ДКС</t>
  </si>
  <si>
    <t>Автоматический выключатель ВА 47-29 3 Р 6А</t>
  </si>
  <si>
    <t>Силовой кабель, не распространяющий горение, с медными токопроводящими жилами, в изоляции и оболочке из ПВХ ВВнг(А)-LS 3х1,5</t>
  </si>
  <si>
    <t>Силовой кабель, не распространяющий горение, с медными токопроводящими жилами, в изоляции и оболочке из ПВХ ВВнг(А)-LS 3х4</t>
  </si>
  <si>
    <t>Силовой кабель, не распространяющий горение, с медными токопроводящими жилами, в изоляции и оболочке из ПВХ ВВнг(А)-LS 4х2,5</t>
  </si>
  <si>
    <t>Труба гофрированная ПНД с протяжкой d20мм</t>
  </si>
  <si>
    <t>Полоса стальная оцинкованная 50х5 мм</t>
  </si>
  <si>
    <t>ПР-1</t>
  </si>
  <si>
    <t>ПР-2</t>
  </si>
  <si>
    <t>Зарядная станция E-PROM 44кВт напольная</t>
  </si>
  <si>
    <t>Устройство основания под опору</t>
  </si>
  <si>
    <t>Монтаж кабеля НИЗКОГО напряжения, надземная прокладка, 4 жильный, сечением 150 мм2</t>
  </si>
  <si>
    <t>Силовой бронированный кабель с алюминиевой жилой с изоляцией из ПВХ АВБШв 4х150 - 1кВ</t>
  </si>
  <si>
    <t>Силовой кабель, не распространяющий горение, с медными токопроводящими жилами, в изоляции и оболочке из ПВХ ВВГнг(А)-LS 5х25</t>
  </si>
  <si>
    <t>Силовой кабель, не распространяющий горение, с медными токопроводящими жилами, в изоляции и оболочке из ПВХ ВВГнг(A)-LS 5х6</t>
  </si>
  <si>
    <t>Устройство концевой кабельной муфты/заделки/оконцевание жил кабеля/подключение кабеля НИЗКОГО напряжения до 1 кВ, 4-жильный, сечением 150 мм2</t>
  </si>
  <si>
    <t>Муфта кабельная концевая 4 ПКВ(Н)Тпб-1 (70-120)</t>
  </si>
  <si>
    <t>Устройство концевой кабельной муфты/заделки/оконцевание жил кабеля/подключение кабеля НИЗКОГО напряжения до 1 кВ, 5-жильный, сечением 25 мм2</t>
  </si>
  <si>
    <t>Муфта кабельная концевая 5ПКТп(б)-1-25/50-Б</t>
  </si>
  <si>
    <t xml:space="preserve">Устройство вертикального заземлителя из угловой стали </t>
  </si>
  <si>
    <t>Уголок стальной 50х50х5</t>
  </si>
  <si>
    <t>Устройство проводника заземляющего</t>
  </si>
  <si>
    <t>Устройство ввода контура заземления в фундамент блок-бокса</t>
  </si>
  <si>
    <t>Устройство закладных деталей в фундамент блок-бокса</t>
  </si>
  <si>
    <t>Плита перекрытия колодца ПП20-1</t>
  </si>
  <si>
    <t>Плита днища железобетонная ПН20</t>
  </si>
  <si>
    <t xml:space="preserve">Заполнение вводов труб </t>
  </si>
  <si>
    <t>Канализационная каболка 14-16 мм, 20 кг</t>
  </si>
  <si>
    <t>упак</t>
  </si>
  <si>
    <t>Герметизация вводов труб</t>
  </si>
  <si>
    <t>Цементно-песчаный раствор М150</t>
  </si>
  <si>
    <t>Труба гофрированная ПНД с протяжкой d50мм</t>
  </si>
  <si>
    <t>Лоток металлический перфорированный, основание 100мм, высота 50 мм, длина 3000 мм</t>
  </si>
  <si>
    <t>Крышка с заземлением на лоток основание 100мм, длина 3000мм</t>
  </si>
  <si>
    <t>Скоба DKC CS, на лоток, с основанием 100 мм</t>
  </si>
  <si>
    <t>Силовой кабель, не распространяющий горение, с медными токопроводящими жилами,
в изоляции и оболочке из ПВХ ВВГнг(А)-LS 3х2,5</t>
  </si>
  <si>
    <t>Силовой кабель, не распространяющий горение, с медными токопроводящими жилами,
в изоляции и оболочке из ПВХ ВВГнг(А)-LS 5х6</t>
  </si>
  <si>
    <t>Силовой кабель, не распространяющий горение, с медными токопроводящими жилами,
в изоляции и оболочке из ПВХ ВВГнг(А)-LS 5х2,5</t>
  </si>
  <si>
    <t>Труба ПНД гофрированная 50мм (траншея 0,6м*0,64м) ПНД-50</t>
  </si>
  <si>
    <t>Муфта кабельная 5ПКТп(б) мини - 2,5/10</t>
  </si>
  <si>
    <t>Сжим ответвительный</t>
  </si>
  <si>
    <t>Сжим ответвительный У733МУЗ</t>
  </si>
  <si>
    <t>Прокладка провода СИП</t>
  </si>
  <si>
    <t>Провод самонесущий изолированный СИП 4х25</t>
  </si>
  <si>
    <t>Крюк монтажный универсальный КМУ-16</t>
  </si>
  <si>
    <t>Зажим анкерный РА1500</t>
  </si>
  <si>
    <t>Металлическая лента 20х0,7 F-207</t>
  </si>
  <si>
    <t>Скрепа-бугель СУ-20</t>
  </si>
  <si>
    <t>Монтаж кабеля НИЗКОГО напряжения, надземная прокладка, 5-16 жильный, сечением 16 мм2</t>
  </si>
  <si>
    <t>Кабель силовой с алюминиевыми жилами АВБШв 5х16</t>
  </si>
  <si>
    <t>Муфта концевая термоусаживаемая внутренней установки 5КВТп-1-16/25</t>
  </si>
  <si>
    <t>ПНД труба диаметром до 63 мм включительно</t>
  </si>
  <si>
    <t>Труба ПНД гофрированная 63мм</t>
  </si>
  <si>
    <t>Труба ПЭ100 SDR 13,6 d=63мм</t>
  </si>
  <si>
    <t>Выключатель автоматический однополюсный I=10А ВА 47-29 3 Р 6А</t>
  </si>
  <si>
    <t xml:space="preserve">Выключатель автоматический однополюсный I=10А ВА 47-29 1 Р </t>
  </si>
  <si>
    <t>Динрейка L=300мм 10101</t>
  </si>
  <si>
    <t>Лента сигнальная Л300</t>
  </si>
  <si>
    <t xml:space="preserve"> Труба гофрированная ПНД с протяжкой d40мм</t>
  </si>
  <si>
    <t>Труба ПНД d=50мм</t>
  </si>
  <si>
    <t xml:space="preserve"> Муфта кабельная концевая  5ПКТп(б)-1-25/50-Б</t>
  </si>
  <si>
    <t xml:space="preserve"> Муфта кабельная концевая  5ПКТп(б) мини - 2,5/10</t>
  </si>
  <si>
    <t xml:space="preserve"> Муфта кабельная концевая 5ПКТп(б)-1-16/25-Б</t>
  </si>
  <si>
    <t xml:space="preserve"> Муфта кабельная концевая  4 ПКВ(Н)Тпб-1 (16-25)</t>
  </si>
  <si>
    <t>Муфта кабельная соединительная 5ПСтБ-В-35/50</t>
  </si>
  <si>
    <t>Муфта кабельная соединительная 5ПСтБ-В-10/25</t>
  </si>
  <si>
    <t>Муфта кабельная соединительная  4 ПСТб-1 (16-25)</t>
  </si>
  <si>
    <t>Термоусаживаемый уплотнитель кабельных проходов УКПт-175/50</t>
  </si>
  <si>
    <t>Лоток перфорированный 400ммх100ммх3000мм</t>
  </si>
  <si>
    <t>Шпилька ∅10 1м</t>
  </si>
  <si>
    <t>Прокладка труб методом ГНБ</t>
  </si>
  <si>
    <t xml:space="preserve">Труба полиэтиленовая ПЭ100 SDR11 d=110мм (ГНБ) </t>
  </si>
  <si>
    <t>Труба полиэтиленовая ПЭ100 SDR13,6 d=110мм (ГНБ)</t>
  </si>
  <si>
    <t>Прокладка трубы полиэтиленовой ПЭ100</t>
  </si>
  <si>
    <t>Труба полиэтиленовая ПЭ100 SDR11 d=110мм</t>
  </si>
  <si>
    <t>Труба полиэтиленовая ПЭ100 SDR13,6 d=110мм</t>
  </si>
  <si>
    <t>Перфорированный профиль 40ммх40ммх2000мм</t>
  </si>
  <si>
    <t>Монтаж ж/б элементов колодцев</t>
  </si>
  <si>
    <t>Пена монтажная</t>
  </si>
  <si>
    <t>Плита перекрытия колодцев  ПП20-1</t>
  </si>
  <si>
    <t>Кольца колодцев стеновые КС20.9</t>
  </si>
  <si>
    <t>Днище колодцев ПН20</t>
  </si>
  <si>
    <t>Установка зарядных станций</t>
  </si>
  <si>
    <t>бал.</t>
  </si>
  <si>
    <t>Устройство монолитных фундаметов под зарядные станции</t>
  </si>
  <si>
    <t>Арматура Ø 12 А500С, L=550</t>
  </si>
  <si>
    <t>Арматура Ø 6 А240, L=2215</t>
  </si>
  <si>
    <t>Арматура Ø 6 А240, L=1415</t>
  </si>
  <si>
    <t>Бетон В20, F200, W8</t>
  </si>
  <si>
    <t>Бетон В7,5</t>
  </si>
  <si>
    <t>Битумная мастика</t>
  </si>
  <si>
    <t>Монтаж электрощитового оборудования</t>
  </si>
  <si>
    <t>Щит НО</t>
  </si>
  <si>
    <t>Щит ВРУ</t>
  </si>
  <si>
    <t>Щит СКУД</t>
  </si>
  <si>
    <t>Шит СВН</t>
  </si>
  <si>
    <t>Кронштейн на лоток</t>
  </si>
  <si>
    <t>Лоток металлический 100х100</t>
  </si>
  <si>
    <t>Крышка на лоток  100 мм</t>
  </si>
  <si>
    <t>Кабель ВБШВнг 5х50</t>
  </si>
  <si>
    <t xml:space="preserve">Кабель ВВГнг 5х6 </t>
  </si>
  <si>
    <t>Кабель ВБШВнг 5х35</t>
  </si>
  <si>
    <t>Кабель ВВГнг 7х1.5</t>
  </si>
  <si>
    <t>Кабель СИП 4х16</t>
  </si>
  <si>
    <t xml:space="preserve">Зажим анкерный </t>
  </si>
  <si>
    <t>Кабель ВВГнг 4х1,5</t>
  </si>
  <si>
    <t xml:space="preserve">Тросс </t>
  </si>
  <si>
    <t>Стойка СВ 95)</t>
  </si>
  <si>
    <t>Светиильник</t>
  </si>
  <si>
    <t>Кронштейн</t>
  </si>
  <si>
    <t>Прокладка кабеля в готовой траншее кабеля, НИЗКОГО напряжения</t>
  </si>
  <si>
    <t xml:space="preserve">Кабель силовой бронированный ВБШВнг 5х25 (МК) 1кВ </t>
  </si>
  <si>
    <t xml:space="preserve">Кабель силовой бронированный  ВБШВнг 5х50 (МК) 1кВ </t>
  </si>
  <si>
    <t>Силовой кабель с алюминиевой жилой АВБбШв 5х2,5-0,66/1 кВ</t>
  </si>
  <si>
    <t>Кабель контрольный, не распространяющий горение, с медными токопроводящими
жилами, в изоляции и оболочке из ПВХ  КВВГЭнг(А)-LS 4х1,5</t>
  </si>
  <si>
    <t>Кабель силовой бронированный АВБШв 4х16(ок) 0,66 кВ</t>
  </si>
  <si>
    <t>Силовой кабель, не распространяющий горение, с медными токопроводящими жилами,
в изоляции и оболочке из ПВХ ВВГнг(А)-LS 5х4</t>
  </si>
  <si>
    <t>Силовой кабель, не распространяющий горение, с медными токопроводящими жилами,
в изоляции и оболочке из ПВХ ВВГнг(А)-LS 5х25</t>
  </si>
  <si>
    <t>Силовой кабель, не распространяющий горение, с медными токопроводящими жилами,
в изоляции и оболочке из ПВХ ВВГнг(А)-LS 4х120</t>
  </si>
  <si>
    <t>Кабель силовой бронированный  АВБШв 4х16(ок) 0,66 кВ ГОСТ</t>
  </si>
  <si>
    <t>Монтаж системы автополива</t>
  </si>
  <si>
    <t>Устройство заземления</t>
  </si>
  <si>
    <t>Устройство противотаранных МАФов</t>
  </si>
  <si>
    <r>
      <t xml:space="preserve">Труба ПНД </t>
    </r>
    <r>
      <rPr>
        <sz val="11"/>
        <color rgb="FFC00000"/>
        <rFont val="Calibri"/>
        <family val="2"/>
        <charset val="204"/>
      </rPr>
      <t>Ø</t>
    </r>
    <r>
      <rPr>
        <sz val="7.7"/>
        <color rgb="FFC00000"/>
        <rFont val="Times New Roman"/>
        <family val="1"/>
        <charset val="204"/>
      </rPr>
      <t xml:space="preserve"> </t>
    </r>
    <r>
      <rPr>
        <sz val="11"/>
        <color rgb="FFC00000"/>
        <rFont val="Times New Roman"/>
        <family val="1"/>
        <charset val="204"/>
      </rPr>
      <t>50 мм</t>
    </r>
  </si>
  <si>
    <t>Устройство отбойников вокруг столбов освещения</t>
  </si>
  <si>
    <r>
      <t xml:space="preserve">Труба </t>
    </r>
    <r>
      <rPr>
        <sz val="11"/>
        <color rgb="FFC00000"/>
        <rFont val="Calibri"/>
        <family val="2"/>
        <charset val="204"/>
      </rPr>
      <t>Ø</t>
    </r>
    <r>
      <rPr>
        <sz val="7.7"/>
        <color rgb="FFC00000"/>
        <rFont val="Times New Roman"/>
        <family val="1"/>
        <charset val="204"/>
      </rPr>
      <t xml:space="preserve"> </t>
    </r>
    <r>
      <rPr>
        <sz val="12"/>
        <color rgb="FFC00000"/>
        <rFont val="Times New Roman"/>
        <family val="1"/>
        <charset val="204"/>
      </rPr>
      <t xml:space="preserve">76 мм </t>
    </r>
    <r>
      <rPr>
        <sz val="11"/>
        <color rgb="FFC00000"/>
        <rFont val="Times New Roman"/>
        <family val="1"/>
        <charset val="204"/>
      </rPr>
      <t>L=2 м</t>
    </r>
  </si>
  <si>
    <t>Разработка грунта в ручную возле здания с шурфовкой</t>
  </si>
  <si>
    <t>Гидроизоляция бетонных поверхностей ж/б ростверка</t>
  </si>
  <si>
    <t>Асфальтобетонная смесь А16НТ</t>
  </si>
  <si>
    <t>Наименование работ по первоначальному ТКП (которое подали/)</t>
  </si>
  <si>
    <t>Наименование работ по проектной документации</t>
  </si>
  <si>
    <t>Разработка грунта в ручную</t>
  </si>
  <si>
    <t>Устройство нижнего слоя из асфальтобетонных смесей толщиной 7 см , тип смеси принять по проекту</t>
  </si>
  <si>
    <t>Установка столбиков сигнальных пластиковых</t>
  </si>
  <si>
    <t>Устройство водоотводного лотка, с решеткой, в бетонной обойме</t>
  </si>
  <si>
    <t>CW00-03-05-4</t>
  </si>
  <si>
    <t>Армирование сеткой дорог и площадок</t>
  </si>
  <si>
    <t>CW00-04-06-1</t>
  </si>
  <si>
    <t>Устройство тротуаров из бетонной брусчатки, с заполнением швов ЦПС</t>
  </si>
  <si>
    <t>CW00-01-06-1</t>
  </si>
  <si>
    <t>Устройство основания из песчано-цементной смеси, с послойным уплотнением каткамии и трамбовками</t>
  </si>
  <si>
    <t>Сети ЛК</t>
  </si>
  <si>
    <t>Ограждение по периметру</t>
  </si>
  <si>
    <t>Розлив вяжущих материалов - Битумы нефтяные дорожные жидкие (объеденены все участки)</t>
  </si>
  <si>
    <t>Транспортировка на полигон или площадку складирования строительного боя и мусора (позиции объеденены)</t>
  </si>
  <si>
    <t>ДОП объемы по ТКП (Е-Y)</t>
  </si>
  <si>
    <t>ДОП объемы СМР (H-Y)</t>
  </si>
  <si>
    <t>Кол-во по ТКП</t>
  </si>
  <si>
    <t>Монтаж приемно-контрольного прибора на 5-8 зон</t>
  </si>
  <si>
    <t>Монтаж светового табло внутреннего исполнения</t>
  </si>
  <si>
    <t>Протаскивание труб стальных/полиэтиленовых в футляр Ду до 110мм</t>
  </si>
  <si>
    <t>Монтаж неперфорированного кабельного лотка ширина до 100 мм, , без установки опор</t>
  </si>
  <si>
    <t>CS00-03-01-1</t>
  </si>
  <si>
    <t>II00-12-01-74</t>
  </si>
  <si>
    <t>Монтаж шлагбаума для установки на КПП</t>
  </si>
  <si>
    <t>II00-12-01-60</t>
  </si>
  <si>
    <t>Монтаж ограждения высота не менее 1200 мм, ширина 1000 мм (м/п)</t>
  </si>
  <si>
    <t>Подземная прокладка коаксиального и специального, небронированного кабеля</t>
  </si>
  <si>
    <t>II00-12-01-51</t>
  </si>
  <si>
    <t>II00-12-01-71</t>
  </si>
  <si>
    <t>Монтаж светофора, электронного табло</t>
  </si>
  <si>
    <t>II00-05-07-15</t>
  </si>
  <si>
    <t>II00-10-01-1</t>
  </si>
  <si>
    <t>Станция внутренней связи наружного типа</t>
  </si>
  <si>
    <t>EL00-16-05-1</t>
  </si>
  <si>
    <t>Прокладка кабеля в готовой траншее кабеля, НИЗКОГО напряжения, 1-жильный, сечением 2,5 мм2</t>
  </si>
  <si>
    <t>EL00-10-11-3</t>
  </si>
  <si>
    <t>Установка комплекта: штепсельная розетка+вилка</t>
  </si>
  <si>
    <t>CS00-04-01-8</t>
  </si>
  <si>
    <t>Монтаж кабелепровода из полимерной трубы от 26 мм до 63 мм, включительно по кабельным стойкам полкам</t>
  </si>
  <si>
    <t>CS00-04-01-9</t>
  </si>
  <si>
    <t>Монтаж кабелепровода из полимерной трубы от 64 мм до 160 мм, включительно по кабельным стойкам полкам</t>
  </si>
  <si>
    <t>II00-03-06-1</t>
  </si>
  <si>
    <t>Монтаж оптического, бронированного, кабеля надземной прокладки с количеством волокон от 4 до 8 шт</t>
  </si>
  <si>
    <t>Монтаж щита распределительного (вместе 2 шт)</t>
  </si>
  <si>
    <t>Монтаж кабеля НИЗКОГО напряжения, надземная прокладка, 3-5 жильный, сечением 1,5 мм2 (вместе 32+6 м)</t>
  </si>
  <si>
    <t>EL00-10-04-1</t>
  </si>
  <si>
    <t>Монтаж полевого светильника, монтируемого на опоре освещения</t>
  </si>
  <si>
    <t>Монтаж кабеля НИЗКОГО напряжения, надземная прокладка, 4 жильный, сечением 120 мм2</t>
  </si>
  <si>
    <t>EL00-08-02-33</t>
  </si>
  <si>
    <t>Монтаж кабеля НИЗКОГО напряжения, надземная прокладка, 4 жильный, сечением 25 мм2</t>
  </si>
  <si>
    <t>Устройство концевой кабельной муфты/заделки/оконцевание жил кабеля/подключение кабеля НИЗКОГО напряжения до 1 кВ, 1-жильный, сечением 70 мм2</t>
  </si>
  <si>
    <t>Устройство концевой кабельной муфты/заделки/оконцевание жил кабеля/подключение кабеля НИЗКОГО напряжения до 1 кВ, 1-жильный, сечением 25 мм2</t>
  </si>
  <si>
    <t>CS00-04-02-2</t>
  </si>
  <si>
    <t>ПНД труба диаметром от 51 мм до 110 мм включительно</t>
  </si>
  <si>
    <t>EL00-11-10-1</t>
  </si>
  <si>
    <t>Малые силовые шкафы, до 50 кг</t>
  </si>
  <si>
    <t>EL00-08-02-41</t>
  </si>
  <si>
    <t>Монтаж кабеля НИЗКОГО напряжения, надземная прокладка, 4 жильный, сечением 240 мм2</t>
  </si>
  <si>
    <t>EL00-09-01-1</t>
  </si>
  <si>
    <t>Устройство концевой кабельной муфты/заделки/оконцевание жил кабеля/подключение кабеля СРЕДНЕГО напряжения от 1 кВ до 35 кВ, 1-жильный, сечением 150 мм2</t>
  </si>
  <si>
    <t xml:space="preserve">Демонтаж сущ. Элетрообрудования по кабелю </t>
  </si>
  <si>
    <t>Выполнено 100%, ИТД предоставлена на проверку 25.05.24 в 2х экзм.</t>
  </si>
  <si>
    <r>
      <t xml:space="preserve">Проект будет откорретирован на бурение и закладку закладных под опоры освещения разделов ЭО и ЭС. Заменены на закладные под столбы освещения. </t>
    </r>
    <r>
      <rPr>
        <sz val="11"/>
        <rFont val="Times New Roman"/>
        <family val="1"/>
        <charset val="204"/>
      </rPr>
      <t>Выполнено 100%, после ИС возможны корректиролвки объемов</t>
    </r>
  </si>
  <si>
    <r>
      <t>Проект будет откорретирован на бурение и закладку закладных под опоры освещения разделов ЭО и ЭС. Заме</t>
    </r>
    <r>
      <rPr>
        <sz val="11"/>
        <rFont val="Times New Roman"/>
        <family val="1"/>
        <charset val="204"/>
      </rPr>
      <t>нены на закладные под столбы освещения. Выполнено 100%, после ИС возможны корректиролвки объемов</t>
    </r>
  </si>
  <si>
    <t>Выполнено 100%. ИТД предоставлено на проверку 25.06.24</t>
  </si>
  <si>
    <t>Выполнено 100%, после ИС возможны корректиролвки объемов.ИТД предоставлено на проверку 25.06.24</t>
  </si>
  <si>
    <t>Выполнено 90%, S=3500 щебень досыпка зимы. после ИС возможны корректиролвки объемов. ИТД предоставлено на проверку 25.06.24</t>
  </si>
  <si>
    <t>Выполнено 100%. после ИС возможны корректиролвки объемов. ИТД предоставлено на проверку 25.06.24</t>
  </si>
  <si>
    <t>Выполнено 100%, после ИС возможны корректиролвки объемов. ИТД предоставлено на проверку 25.06.24</t>
  </si>
  <si>
    <t>Выполнена 90%. ИТД предоставлено на проверку 25.06.24</t>
  </si>
  <si>
    <t>Выполнена 50%. ИТД предоставлено на проверку 25.06.24</t>
  </si>
  <si>
    <r>
      <rPr>
        <sz val="11"/>
        <rFont val="Times New Roman"/>
        <family val="1"/>
        <charset val="204"/>
      </rPr>
      <t xml:space="preserve">Выполнена 70%. ИТД предоставлено на проверку 25.06.24. </t>
    </r>
    <r>
      <rPr>
        <sz val="11"/>
        <color rgb="FFC00000"/>
        <rFont val="Times New Roman"/>
        <family val="1"/>
        <charset val="204"/>
      </rPr>
      <t>Часть БР заменят на отбойники вокруг столбов освещения</t>
    </r>
  </si>
  <si>
    <t>Выполнена 70%. ИТД предоставлено на проверку 25.06.24.</t>
  </si>
  <si>
    <r>
      <t xml:space="preserve">В ТКП не заложили. </t>
    </r>
    <r>
      <rPr>
        <sz val="11"/>
        <color theme="1"/>
        <rFont val="Times New Roman"/>
        <family val="1"/>
        <charset val="204"/>
      </rPr>
      <t>Выполнена 80%. ИТД предоставлено на проверку 25.06.24.</t>
    </r>
  </si>
  <si>
    <r>
      <t xml:space="preserve">По факту h=8 см.  </t>
    </r>
    <r>
      <rPr>
        <sz val="11"/>
        <color theme="1"/>
        <rFont val="Times New Roman"/>
        <family val="1"/>
        <charset val="204"/>
      </rPr>
      <t>Выполнена 80%. ИТД предоставлено на проверку 25.06.24.</t>
    </r>
  </si>
  <si>
    <t>В ТКП не заложили. Выполнена 80%. ИТД предоставлено на проверку 25.06.24.</t>
  </si>
  <si>
    <t>Выполнена 80%. ИТД предоставлено на проверку 25.06.24.</t>
  </si>
  <si>
    <t>На 08.07. разработка грунта под КНС 50шт*(7,20*20) глубина 6,40 м</t>
  </si>
  <si>
    <t>На 08.07 забили 50 шт. длиной 11 м</t>
  </si>
  <si>
    <t>Пусконаладочные работы</t>
  </si>
  <si>
    <t>Бетонирование закладных</t>
  </si>
  <si>
    <t xml:space="preserve">Выполнено 100%, после ИС возможны корректиролвки объемов (2 прокола по </t>
  </si>
  <si>
    <t>пн 20</t>
  </si>
  <si>
    <t xml:space="preserve">Врезка </t>
  </si>
  <si>
    <t>Устройство колесоотбойников вокруг столбов освещения</t>
  </si>
  <si>
    <t xml:space="preserve">Монтаж стремянок </t>
  </si>
  <si>
    <t>Стремянка С1-03</t>
  </si>
  <si>
    <t>Стремянка С1-04</t>
  </si>
  <si>
    <t>Стремянка С1-05</t>
  </si>
  <si>
    <t>Выполнено 100%, ДОП.работы, после ИС возможны корректиролвки объемов, (16+7,5+3,7)*5,2*0,16. ИТД предоставлено на проверку 25.06.24</t>
  </si>
  <si>
    <t>Выполнено 100%, ДОП.работы, после ИС возможны корректиролвки объемов. ИТД предоставлено на проверку 25.06.24</t>
  </si>
  <si>
    <t xml:space="preserve">Щебень М400 фр. 40-70
</t>
  </si>
  <si>
    <t>Бетон  В20, F200, W8</t>
  </si>
  <si>
    <t>Бетон В20 W4 F150</t>
  </si>
  <si>
    <t>Ж/Б кольцо стеновое КС 7.9</t>
  </si>
  <si>
    <t>Ж/Б кольцо стеновое КС15.6</t>
  </si>
  <si>
    <t>Ж/Б кольцо стеновое КС15.9</t>
  </si>
  <si>
    <t>Ж/Б кольцо опорное КО6</t>
  </si>
  <si>
    <t>Ж/Б кольцо стеновое КС7.3</t>
  </si>
  <si>
    <t>Ж/Б кольцо стеновое  КС 7.3</t>
  </si>
  <si>
    <t>Ж/Б кольцо стеновое  КС 7.9</t>
  </si>
  <si>
    <t>Ж/Б кольцо стеновое КС 7.3</t>
  </si>
  <si>
    <t>Ж/Б кольцо стеновое КС 20.9</t>
  </si>
  <si>
    <t>Плита днища железобетонная ПН15</t>
  </si>
  <si>
    <t>тн*км</t>
  </si>
  <si>
    <t>Устройство покрытия (основание, площадка, откосы) из щебня (фракция по проекту) без уплотнения h=0,13 м</t>
  </si>
  <si>
    <t>Монтаж Блок бокс</t>
  </si>
  <si>
    <t>Раздел СКУДА (шлагбаум+СВН)</t>
  </si>
  <si>
    <t>ПЭ труба диаметром до 63 мм включительно</t>
  </si>
  <si>
    <t>ПЭ труба диаметром до 110 мм включительно</t>
  </si>
  <si>
    <t>Труба ПЭ100 SDR 13,6 d=110мм</t>
  </si>
  <si>
    <t>Выполнено</t>
  </si>
  <si>
    <t xml:space="preserve">Выполнено </t>
  </si>
  <si>
    <t>АОСР подтвержденные</t>
  </si>
  <si>
    <t>ИС  подтвержденные</t>
  </si>
  <si>
    <t xml:space="preserve">изделие </t>
  </si>
  <si>
    <t>комп</t>
  </si>
  <si>
    <t>ком</t>
  </si>
  <si>
    <t>Закрываем как изделие (арматура, бетон В 20 F150 W4), колличество и размер могут отличатся от проекта, В12,5 идет под основание изделия</t>
  </si>
  <si>
    <t>Работы ведутся. Бетон  В20, F100, W8</t>
  </si>
  <si>
    <t>Бетон В 22,5 F 100 W6</t>
  </si>
  <si>
    <t>М3</t>
  </si>
  <si>
    <t>Устройство основания фундамета под КНС (подбетонка)</t>
  </si>
  <si>
    <t>Бетон В 15 F100 W6</t>
  </si>
  <si>
    <t>№ 11</t>
  </si>
  <si>
    <t>Плита перекрытия железобетонная ПП 10-2</t>
  </si>
  <si>
    <t>Плита перекрытия железобетонная 1ПП15-2</t>
  </si>
  <si>
    <t>Ж/Б кольцо опорное КО3</t>
  </si>
  <si>
    <t>Ж/Б кольцо опорное КО4</t>
  </si>
  <si>
    <t>Ж/Б кольцо опорное КО5</t>
  </si>
  <si>
    <t>Выполнено 100%, ИТД предоставлена на проверку 25.05.24 в 1х экзм.</t>
  </si>
  <si>
    <t xml:space="preserve">Выполнено 100%, ИТД предоставлена на проверку 25.05.24 в 1х экзм. </t>
  </si>
  <si>
    <t>Монтаж дорнита и щебенки возле забора</t>
  </si>
  <si>
    <t>Щебень 20-40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</si>
</sst>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3" formatCode="_-* #,##0.00_-;\-* #,##0.00_-;_-* &quot;-&quot;??_-;_-@_-"/>
    <numFmt numFmtId="164" formatCode="#,##0.00\ _₽"/>
    <numFmt numFmtId="165" formatCode="_-* #,##0\ _₽_-;\-* #,##0\ _₽_-;_-* &quot;-&quot;\ _₽_-;_-@_-"/>
    <numFmt numFmtId="166" formatCode="_-* #,##0.00\ _€_-;\-* #,##0.00\ _€_-;_-* &quot;-&quot;??\ _€_-;_-@_-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8"/>
      <name val="Arial"/>
      <family val="2"/>
    </font>
    <font>
      <sz val="10"/>
      <name val="Arial"/>
      <family val="2"/>
    </font>
    <font>
      <b/>
      <i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  <font>
      <b/>
      <i/>
      <sz val="14"/>
      <color theme="1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7030A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i/>
      <sz val="11"/>
      <color rgb="FFC00000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C00000"/>
      <name val="Calibri"/>
      <family val="2"/>
      <charset val="204"/>
    </font>
    <font>
      <sz val="7.7"/>
      <color rgb="FFC00000"/>
      <name val="Times New Roman"/>
      <family val="1"/>
      <charset val="204"/>
    </font>
    <font>
      <sz val="10"/>
      <color theme="1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3"/>
      <charset val="134"/>
      <scheme val="minor"/>
    </font>
    <font>
      <sz val="11"/>
      <color theme="1"/>
      <name val="Arial"/>
      <family val="2"/>
      <charset val="162"/>
    </font>
    <font>
      <sz val="10"/>
      <name val="MS Sans Serif"/>
      <family val="2"/>
      <charset val="162"/>
    </font>
    <font>
      <sz val="10"/>
      <name val="Arial"/>
      <family val="2"/>
      <charset val="162"/>
    </font>
    <font>
      <sz val="10"/>
      <color theme="1"/>
      <name val="Times New Roman"/>
      <family val="2"/>
      <charset val="162"/>
    </font>
    <font>
      <sz val="10"/>
      <name val="ＭＳ ゴシック"/>
      <family val="3"/>
      <charset val="128"/>
    </font>
    <font>
      <sz val="10"/>
      <color theme="1"/>
      <name val="Arial Narrow"/>
      <family val="2"/>
      <charset val="204"/>
    </font>
    <font>
      <sz val="10"/>
      <name val="Arial Cyr"/>
      <family val="2"/>
      <charset val="204"/>
    </font>
    <font>
      <b/>
      <sz val="11"/>
      <name val="Times New Roman"/>
      <family val="1"/>
      <charset val="204"/>
    </font>
    <font>
      <strike/>
      <sz val="11"/>
      <color rgb="FFC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96">
    <xf numFmtId="0" fontId="0" fillId="0" borderId="0"/>
    <xf numFmtId="0" fontId="2" fillId="0" borderId="0"/>
    <xf numFmtId="0" fontId="8" fillId="0" borderId="0"/>
    <xf numFmtId="0" fontId="7" fillId="0" borderId="0"/>
    <xf numFmtId="0" fontId="9" fillId="0" borderId="0"/>
    <xf numFmtId="0" fontId="7" fillId="0" borderId="0"/>
    <xf numFmtId="0" fontId="25" fillId="0" borderId="0"/>
    <xf numFmtId="0" fontId="26" fillId="0" borderId="0"/>
    <xf numFmtId="0" fontId="2" fillId="0" borderId="0"/>
    <xf numFmtId="0" fontId="26" fillId="0" borderId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43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33" fillId="0" borderId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8" fillId="0" borderId="0"/>
    <xf numFmtId="0" fontId="26" fillId="0" borderId="0"/>
    <xf numFmtId="0" fontId="26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6" fillId="0" borderId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0" fontId="29" fillId="0" borderId="0" applyFont="0" applyFill="0" applyBorder="0" applyAlignment="0" applyProtection="0"/>
    <xf numFmtId="0" fontId="1" fillId="0" borderId="0"/>
    <xf numFmtId="0" fontId="30" fillId="0" borderId="0"/>
    <xf numFmtId="0" fontId="31" fillId="0" borderId="0"/>
    <xf numFmtId="0" fontId="32" fillId="0" borderId="0"/>
    <xf numFmtId="0" fontId="1" fillId="0" borderId="0"/>
    <xf numFmtId="0" fontId="2" fillId="0" borderId="0"/>
    <xf numFmtId="0" fontId="8" fillId="0" borderId="0"/>
    <xf numFmtId="0" fontId="26" fillId="0" borderId="0"/>
    <xf numFmtId="0" fontId="26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43" fontId="27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0" fontId="27" fillId="0" borderId="0"/>
    <xf numFmtId="0" fontId="27" fillId="0" borderId="0"/>
    <xf numFmtId="0" fontId="1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4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15">
    <xf numFmtId="0" fontId="0" fillId="0" borderId="0" xfId="0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4" fontId="6" fillId="0" borderId="13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top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0" fillId="2" borderId="21" xfId="0" applyFont="1" applyFill="1" applyBorder="1" applyAlignment="1">
      <alignment vertical="top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4" fontId="10" fillId="0" borderId="0" xfId="0" applyNumberFormat="1" applyFont="1" applyAlignment="1">
      <alignment horizontal="center" vertical="center" wrapText="1"/>
    </xf>
    <xf numFmtId="4" fontId="10" fillId="0" borderId="0" xfId="0" applyNumberFormat="1" applyFont="1" applyAlignment="1">
      <alignment horizontal="center" vertical="top" wrapText="1"/>
    </xf>
    <xf numFmtId="0" fontId="3" fillId="4" borderId="0" xfId="0" applyFont="1" applyFill="1" applyAlignment="1">
      <alignment vertical="top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0" fontId="3" fillId="0" borderId="23" xfId="0" applyFont="1" applyBorder="1" applyAlignment="1">
      <alignment vertical="top" wrapText="1"/>
    </xf>
    <xf numFmtId="4" fontId="3" fillId="0" borderId="1" xfId="0" applyNumberFormat="1" applyFont="1" applyFill="1" applyBorder="1" applyAlignment="1">
      <alignment horizontal="center" vertical="center" wrapText="1"/>
    </xf>
    <xf numFmtId="4" fontId="3" fillId="0" borderId="7" xfId="0" applyNumberFormat="1" applyFont="1" applyBorder="1" applyAlignment="1">
      <alignment vertical="center" wrapText="1"/>
    </xf>
    <xf numFmtId="0" fontId="3" fillId="0" borderId="24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18" xfId="0" applyFont="1" applyFill="1" applyBorder="1" applyAlignment="1">
      <alignment vertical="top" wrapText="1"/>
    </xf>
    <xf numFmtId="0" fontId="3" fillId="0" borderId="18" xfId="0" applyFont="1" applyBorder="1" applyAlignment="1">
      <alignment horizontal="center" vertical="center" wrapText="1"/>
    </xf>
    <xf numFmtId="4" fontId="3" fillId="0" borderId="18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9" xfId="0" applyFont="1" applyBorder="1" applyAlignment="1">
      <alignment vertical="top" wrapText="1"/>
    </xf>
    <xf numFmtId="0" fontId="3" fillId="6" borderId="15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31" xfId="0" applyFont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4" fontId="14" fillId="0" borderId="2" xfId="0" applyNumberFormat="1" applyFont="1" applyBorder="1" applyAlignment="1">
      <alignment horizontal="center" vertical="center" wrapText="1"/>
    </xf>
    <xf numFmtId="0" fontId="14" fillId="0" borderId="23" xfId="0" applyFont="1" applyBorder="1" applyAlignment="1">
      <alignment vertical="top" wrapText="1"/>
    </xf>
    <xf numFmtId="0" fontId="6" fillId="4" borderId="0" xfId="0" applyFont="1" applyFill="1" applyAlignment="1">
      <alignment horizontal="right" vertical="top" wrapText="1"/>
    </xf>
    <xf numFmtId="14" fontId="6" fillId="4" borderId="0" xfId="0" applyNumberFormat="1" applyFont="1" applyFill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17" fillId="2" borderId="0" xfId="0" applyFont="1" applyFill="1" applyAlignment="1">
      <alignment horizontal="right" vertical="top" wrapText="1"/>
    </xf>
    <xf numFmtId="14" fontId="17" fillId="2" borderId="0" xfId="0" applyNumberFormat="1" applyFont="1" applyFill="1" applyAlignment="1">
      <alignment horizontal="left" vertical="top" wrapText="1"/>
    </xf>
    <xf numFmtId="0" fontId="17" fillId="0" borderId="0" xfId="0" applyFont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4" fontId="6" fillId="0" borderId="32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2" fontId="3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2" fontId="14" fillId="0" borderId="35" xfId="0" applyNumberFormat="1" applyFont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4" fontId="14" fillId="0" borderId="35" xfId="0" applyNumberFormat="1" applyFont="1" applyBorder="1" applyAlignment="1">
      <alignment horizontal="center" vertical="center" wrapText="1"/>
    </xf>
    <xf numFmtId="4" fontId="3" fillId="0" borderId="35" xfId="0" applyNumberFormat="1" applyFont="1" applyBorder="1" applyAlignment="1">
      <alignment horizontal="center" vertical="center" wrapText="1"/>
    </xf>
    <xf numFmtId="4" fontId="3" fillId="0" borderId="36" xfId="0" applyNumberFormat="1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4" fontId="6" fillId="0" borderId="12" xfId="0" applyNumberFormat="1" applyFont="1" applyBorder="1" applyAlignment="1">
      <alignment horizontal="center" vertical="center" wrapText="1"/>
    </xf>
    <xf numFmtId="4" fontId="6" fillId="0" borderId="14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0" borderId="15" xfId="0" applyNumberFormat="1" applyFont="1" applyBorder="1" applyAlignment="1">
      <alignment horizontal="center" vertical="center" wrapText="1"/>
    </xf>
    <xf numFmtId="2" fontId="14" fillId="0" borderId="16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4" fontId="11" fillId="0" borderId="15" xfId="0" applyNumberFormat="1" applyFont="1" applyBorder="1" applyAlignment="1">
      <alignment horizontal="center" vertical="center" wrapText="1"/>
    </xf>
    <xf numFmtId="4" fontId="11" fillId="0" borderId="16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4" fontId="3" fillId="0" borderId="16" xfId="0" applyNumberFormat="1" applyFont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" fontId="14" fillId="0" borderId="15" xfId="0" applyNumberFormat="1" applyFont="1" applyBorder="1" applyAlignment="1">
      <alignment horizontal="center" vertical="center" wrapText="1"/>
    </xf>
    <xf numFmtId="4" fontId="14" fillId="0" borderId="16" xfId="0" applyNumberFormat="1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34" xfId="0" applyNumberFormat="1" applyFont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 wrapText="1"/>
    </xf>
    <xf numFmtId="4" fontId="3" fillId="0" borderId="43" xfId="0" applyNumberFormat="1" applyFont="1" applyBorder="1" applyAlignment="1">
      <alignment horizontal="center" vertical="center" wrapText="1"/>
    </xf>
    <xf numFmtId="4" fontId="3" fillId="0" borderId="44" xfId="0" applyNumberFormat="1" applyFont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4" fontId="3" fillId="0" borderId="4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4" fontId="3" fillId="0" borderId="26" xfId="0" applyNumberFormat="1" applyFont="1" applyBorder="1" applyAlignment="1">
      <alignment horizontal="center" vertical="center" wrapText="1"/>
    </xf>
    <xf numFmtId="4" fontId="14" fillId="0" borderId="26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vertical="center" wrapText="1"/>
    </xf>
    <xf numFmtId="4" fontId="3" fillId="0" borderId="16" xfId="0" applyNumberFormat="1" applyFont="1" applyBorder="1" applyAlignment="1">
      <alignment vertical="center" wrapText="1"/>
    </xf>
    <xf numFmtId="4" fontId="3" fillId="0" borderId="28" xfId="0" applyNumberFormat="1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center" vertical="center" wrapText="1"/>
    </xf>
    <xf numFmtId="4" fontId="3" fillId="0" borderId="19" xfId="0" applyNumberFormat="1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vertical="center" wrapText="1"/>
    </xf>
    <xf numFmtId="4" fontId="3" fillId="0" borderId="8" xfId="0" applyNumberFormat="1" applyFont="1" applyBorder="1" applyAlignment="1">
      <alignment vertical="center" wrapText="1"/>
    </xf>
    <xf numFmtId="0" fontId="14" fillId="0" borderId="15" xfId="0" applyFont="1" applyBorder="1" applyAlignment="1">
      <alignment vertical="top" wrapText="1"/>
    </xf>
    <xf numFmtId="4" fontId="6" fillId="0" borderId="48" xfId="0" applyNumberFormat="1" applyFont="1" applyBorder="1" applyAlignment="1">
      <alignment horizontal="center" vertical="center" wrapText="1"/>
    </xf>
    <xf numFmtId="4" fontId="3" fillId="0" borderId="50" xfId="0" applyNumberFormat="1" applyFont="1" applyBorder="1" applyAlignment="1">
      <alignment horizontal="center" vertical="center" wrapText="1"/>
    </xf>
    <xf numFmtId="4" fontId="3" fillId="0" borderId="51" xfId="0" applyNumberFormat="1" applyFont="1" applyBorder="1" applyAlignment="1">
      <alignment horizontal="center" vertical="center" wrapText="1"/>
    </xf>
    <xf numFmtId="0" fontId="3" fillId="6" borderId="51" xfId="0" applyFont="1" applyFill="1" applyBorder="1" applyAlignment="1">
      <alignment horizontal="center" vertical="center" wrapText="1"/>
    </xf>
    <xf numFmtId="4" fontId="14" fillId="0" borderId="51" xfId="0" applyNumberFormat="1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4" fontId="3" fillId="0" borderId="52" xfId="0" applyNumberFormat="1" applyFont="1" applyBorder="1" applyAlignment="1">
      <alignment horizontal="center" vertical="center" wrapText="1"/>
    </xf>
    <xf numFmtId="0" fontId="6" fillId="6" borderId="51" xfId="0" applyFont="1" applyFill="1" applyBorder="1" applyAlignment="1">
      <alignment horizontal="center" vertical="center" wrapText="1"/>
    </xf>
    <xf numFmtId="4" fontId="3" fillId="0" borderId="49" xfId="0" applyNumberFormat="1" applyFont="1" applyBorder="1" applyAlignment="1">
      <alignment horizontal="center" vertical="center" wrapText="1"/>
    </xf>
    <xf numFmtId="4" fontId="3" fillId="0" borderId="53" xfId="0" applyNumberFormat="1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2" fontId="3" fillId="0" borderId="51" xfId="0" applyNumberFormat="1" applyFont="1" applyBorder="1" applyAlignment="1">
      <alignment horizontal="center" vertical="center" wrapText="1"/>
    </xf>
    <xf numFmtId="2" fontId="14" fillId="0" borderId="51" xfId="0" applyNumberFormat="1" applyFont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2" borderId="51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left" vertical="center" wrapText="1"/>
    </xf>
    <xf numFmtId="0" fontId="14" fillId="0" borderId="51" xfId="0" applyFont="1" applyBorder="1" applyAlignment="1">
      <alignment horizontal="left" vertical="top" wrapText="1"/>
    </xf>
    <xf numFmtId="0" fontId="14" fillId="0" borderId="15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top" wrapText="1"/>
    </xf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Font="1" applyFill="1" applyBorder="1" applyAlignment="1">
      <alignment horizontal="left" vertical="top" wrapText="1"/>
    </xf>
    <xf numFmtId="0" fontId="14" fillId="2" borderId="15" xfId="0" applyFont="1" applyFill="1" applyBorder="1" applyAlignment="1">
      <alignment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2" fontId="14" fillId="0" borderId="51" xfId="0" applyNumberFormat="1" applyFont="1" applyFill="1" applyBorder="1" applyAlignment="1">
      <alignment horizontal="center" vertical="center" wrapText="1"/>
    </xf>
    <xf numFmtId="4" fontId="3" fillId="0" borderId="53" xfId="0" applyNumberFormat="1" applyFont="1" applyBorder="1" applyAlignment="1">
      <alignment vertical="top" wrapText="1"/>
    </xf>
    <xf numFmtId="4" fontId="3" fillId="0" borderId="57" xfId="0" applyNumberFormat="1" applyFont="1" applyBorder="1" applyAlignment="1">
      <alignment horizontal="center" vertical="center" wrapText="1"/>
    </xf>
    <xf numFmtId="4" fontId="3" fillId="0" borderId="58" xfId="0" applyNumberFormat="1" applyFont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4" fontId="14" fillId="0" borderId="58" xfId="0" applyNumberFormat="1" applyFont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6" fillId="6" borderId="58" xfId="0" applyFont="1" applyFill="1" applyBorder="1" applyAlignment="1">
      <alignment horizontal="center" vertical="center" wrapText="1"/>
    </xf>
    <xf numFmtId="4" fontId="3" fillId="0" borderId="60" xfId="0" applyNumberFormat="1" applyFont="1" applyBorder="1" applyAlignment="1">
      <alignment horizontal="center" vertical="center" wrapText="1"/>
    </xf>
    <xf numFmtId="16" fontId="6" fillId="0" borderId="54" xfId="0" applyNumberFormat="1" applyFont="1" applyBorder="1" applyAlignment="1">
      <alignment horizontal="center" vertical="center" wrapText="1"/>
    </xf>
    <xf numFmtId="3" fontId="6" fillId="0" borderId="42" xfId="0" applyNumberFormat="1" applyFont="1" applyBorder="1" applyAlignment="1">
      <alignment horizontal="center" vertical="center" wrapText="1"/>
    </xf>
    <xf numFmtId="4" fontId="3" fillId="0" borderId="35" xfId="0" applyNumberFormat="1" applyFont="1" applyFill="1" applyBorder="1" applyAlignment="1">
      <alignment horizontal="center" vertical="center" wrapText="1"/>
    </xf>
    <xf numFmtId="4" fontId="11" fillId="0" borderId="35" xfId="0" applyNumberFormat="1" applyFont="1" applyBorder="1" applyAlignment="1">
      <alignment horizontal="center" vertical="center" wrapText="1"/>
    </xf>
    <xf numFmtId="4" fontId="14" fillId="0" borderId="51" xfId="0" applyNumberFormat="1" applyFont="1" applyBorder="1" applyAlignment="1">
      <alignment horizontal="left" vertical="center" wrapText="1"/>
    </xf>
    <xf numFmtId="164" fontId="14" fillId="0" borderId="35" xfId="0" applyNumberFormat="1" applyFont="1" applyBorder="1" applyAlignment="1">
      <alignment horizontal="center" vertical="center" wrapText="1"/>
    </xf>
    <xf numFmtId="4" fontId="3" fillId="7" borderId="51" xfId="0" applyNumberFormat="1" applyFont="1" applyFill="1" applyBorder="1" applyAlignment="1">
      <alignment horizontal="center" vertical="center" wrapText="1"/>
    </xf>
    <xf numFmtId="4" fontId="3" fillId="7" borderId="58" xfId="0" applyNumberFormat="1" applyFont="1" applyFill="1" applyBorder="1" applyAlignment="1">
      <alignment horizontal="center" vertical="center" wrapText="1"/>
    </xf>
    <xf numFmtId="4" fontId="3" fillId="0" borderId="51" xfId="0" applyNumberFormat="1" applyFont="1" applyFill="1" applyBorder="1" applyAlignment="1">
      <alignment horizontal="center" vertical="center" wrapText="1"/>
    </xf>
    <xf numFmtId="4" fontId="3" fillId="0" borderId="58" xfId="0" applyNumberFormat="1" applyFont="1" applyFill="1" applyBorder="1" applyAlignment="1">
      <alignment horizontal="center" vertical="center" wrapText="1"/>
    </xf>
    <xf numFmtId="4" fontId="14" fillId="0" borderId="51" xfId="0" applyNumberFormat="1" applyFont="1" applyFill="1" applyBorder="1" applyAlignment="1">
      <alignment horizontal="left" vertical="center" wrapText="1"/>
    </xf>
    <xf numFmtId="4" fontId="14" fillId="0" borderId="51" xfId="0" applyNumberFormat="1" applyFont="1" applyFill="1" applyBorder="1" applyAlignment="1">
      <alignment horizontal="center" vertical="center" wrapText="1"/>
    </xf>
    <xf numFmtId="4" fontId="14" fillId="0" borderId="58" xfId="0" applyNumberFormat="1" applyFont="1" applyFill="1" applyBorder="1" applyAlignment="1">
      <alignment horizontal="center" vertical="center" wrapText="1"/>
    </xf>
    <xf numFmtId="3" fontId="14" fillId="0" borderId="58" xfId="0" applyNumberFormat="1" applyFont="1" applyBorder="1" applyAlignment="1">
      <alignment horizontal="center" vertical="center" wrapText="1"/>
    </xf>
    <xf numFmtId="4" fontId="14" fillId="0" borderId="15" xfId="0" applyNumberFormat="1" applyFont="1" applyBorder="1" applyAlignment="1">
      <alignment vertical="center" wrapText="1"/>
    </xf>
    <xf numFmtId="4" fontId="14" fillId="0" borderId="1" xfId="0" applyNumberFormat="1" applyFont="1" applyBorder="1" applyAlignment="1">
      <alignment vertical="center" wrapText="1"/>
    </xf>
    <xf numFmtId="4" fontId="14" fillId="0" borderId="16" xfId="0" applyNumberFormat="1" applyFont="1" applyBorder="1" applyAlignment="1">
      <alignment vertical="center" wrapText="1"/>
    </xf>
    <xf numFmtId="4" fontId="14" fillId="7" borderId="51" xfId="0" applyNumberFormat="1" applyFont="1" applyFill="1" applyBorder="1" applyAlignment="1">
      <alignment horizontal="left" vertical="center" wrapText="1"/>
    </xf>
    <xf numFmtId="4" fontId="14" fillId="7" borderId="51" xfId="0" applyNumberFormat="1" applyFont="1" applyFill="1" applyBorder="1" applyAlignment="1">
      <alignment horizontal="center" vertical="center" wrapText="1"/>
    </xf>
    <xf numFmtId="4" fontId="14" fillId="7" borderId="58" xfId="0" applyNumberFormat="1" applyFont="1" applyFill="1" applyBorder="1" applyAlignment="1">
      <alignment horizontal="center" vertical="center" wrapText="1"/>
    </xf>
    <xf numFmtId="0" fontId="21" fillId="6" borderId="51" xfId="0" applyFont="1" applyFill="1" applyBorder="1" applyAlignment="1">
      <alignment horizontal="left" vertical="center" wrapText="1"/>
    </xf>
    <xf numFmtId="0" fontId="21" fillId="6" borderId="51" xfId="0" applyFont="1" applyFill="1" applyBorder="1" applyAlignment="1">
      <alignment horizontal="center" vertical="center" wrapText="1"/>
    </xf>
    <xf numFmtId="4" fontId="14" fillId="0" borderId="52" xfId="0" applyNumberFormat="1" applyFont="1" applyBorder="1" applyAlignment="1">
      <alignment horizontal="center" vertical="center" wrapText="1"/>
    </xf>
    <xf numFmtId="4" fontId="14" fillId="0" borderId="49" xfId="0" applyNumberFormat="1" applyFont="1" applyBorder="1" applyAlignment="1">
      <alignment horizontal="center" vertical="center" wrapText="1"/>
    </xf>
    <xf numFmtId="0" fontId="21" fillId="6" borderId="58" xfId="0" applyFont="1" applyFill="1" applyBorder="1" applyAlignment="1">
      <alignment horizontal="center" vertical="center" wrapText="1"/>
    </xf>
    <xf numFmtId="4" fontId="14" fillId="0" borderId="59" xfId="0" applyNumberFormat="1" applyFont="1" applyBorder="1" applyAlignment="1">
      <alignment horizontal="center" vertical="center" wrapText="1"/>
    </xf>
    <xf numFmtId="4" fontId="14" fillId="0" borderId="56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left" vertical="center" wrapText="1"/>
    </xf>
    <xf numFmtId="0" fontId="18" fillId="0" borderId="0" xfId="0" applyFont="1" applyAlignment="1">
      <alignment vertical="top" wrapText="1"/>
    </xf>
    <xf numFmtId="0" fontId="11" fillId="0" borderId="15" xfId="0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4" fontId="3" fillId="7" borderId="35" xfId="0" applyNumberFormat="1" applyFont="1" applyFill="1" applyBorder="1" applyAlignment="1">
      <alignment horizontal="center" vertical="center" wrapText="1"/>
    </xf>
    <xf numFmtId="4" fontId="14" fillId="0" borderId="35" xfId="0" applyNumberFormat="1" applyFont="1" applyFill="1" applyBorder="1" applyAlignment="1">
      <alignment horizontal="center" vertical="center" wrapText="1"/>
    </xf>
    <xf numFmtId="4" fontId="14" fillId="6" borderId="58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top" wrapText="1"/>
    </xf>
    <xf numFmtId="0" fontId="14" fillId="0" borderId="28" xfId="0" applyFont="1" applyBorder="1" applyAlignment="1">
      <alignment vertical="top" wrapText="1"/>
    </xf>
    <xf numFmtId="4" fontId="14" fillId="0" borderId="28" xfId="0" applyNumberFormat="1" applyFont="1" applyBorder="1" applyAlignment="1">
      <alignment horizontal="center" vertical="center" wrapText="1"/>
    </xf>
    <xf numFmtId="0" fontId="14" fillId="0" borderId="29" xfId="0" applyFont="1" applyBorder="1" applyAlignment="1">
      <alignment vertical="top" wrapText="1"/>
    </xf>
    <xf numFmtId="4" fontId="14" fillId="0" borderId="44" xfId="0" applyNumberFormat="1" applyFont="1" applyBorder="1" applyAlignment="1">
      <alignment horizontal="center" vertical="center" wrapText="1"/>
    </xf>
    <xf numFmtId="4" fontId="14" fillId="0" borderId="52" xfId="0" applyNumberFormat="1" applyFont="1" applyBorder="1" applyAlignment="1">
      <alignment horizontal="left" vertical="center" wrapText="1"/>
    </xf>
    <xf numFmtId="4" fontId="14" fillId="0" borderId="44" xfId="0" applyNumberFormat="1" applyFont="1" applyFill="1" applyBorder="1" applyAlignment="1">
      <alignment horizontal="center" vertical="center" wrapText="1"/>
    </xf>
    <xf numFmtId="4" fontId="11" fillId="0" borderId="52" xfId="0" applyNumberFormat="1" applyFont="1" applyFill="1" applyBorder="1" applyAlignment="1">
      <alignment horizontal="center" vertical="center" wrapText="1"/>
    </xf>
    <xf numFmtId="4" fontId="11" fillId="0" borderId="26" xfId="0" applyNumberFormat="1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vertical="top" wrapText="1"/>
    </xf>
    <xf numFmtId="0" fontId="11" fillId="9" borderId="1" xfId="0" applyFont="1" applyFill="1" applyBorder="1" applyAlignment="1">
      <alignment horizontal="center" vertical="center" wrapText="1"/>
    </xf>
    <xf numFmtId="4" fontId="11" fillId="0" borderId="2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top" wrapText="1"/>
    </xf>
    <xf numFmtId="4" fontId="14" fillId="0" borderId="61" xfId="0" applyNumberFormat="1" applyFont="1" applyBorder="1" applyAlignment="1">
      <alignment horizontal="center" vertical="center" wrapText="1"/>
    </xf>
    <xf numFmtId="4" fontId="11" fillId="0" borderId="44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vertical="top" wrapText="1"/>
    </xf>
    <xf numFmtId="0" fontId="11" fillId="9" borderId="2" xfId="0" applyFont="1" applyFill="1" applyBorder="1" applyAlignment="1">
      <alignment horizontal="center" vertical="center" wrapText="1"/>
    </xf>
    <xf numFmtId="4" fontId="11" fillId="0" borderId="28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vertical="top" wrapText="1"/>
    </xf>
    <xf numFmtId="4" fontId="11" fillId="0" borderId="59" xfId="0" applyNumberFormat="1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vertical="top" wrapText="1"/>
    </xf>
    <xf numFmtId="4" fontId="3" fillId="0" borderId="61" xfId="0" applyNumberFormat="1" applyFont="1" applyBorder="1" applyAlignment="1">
      <alignment horizontal="center" vertical="center" wrapText="1"/>
    </xf>
    <xf numFmtId="4" fontId="11" fillId="0" borderId="52" xfId="0" applyNumberFormat="1" applyFont="1" applyFill="1" applyBorder="1" applyAlignment="1">
      <alignment horizontal="left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3" fillId="0" borderId="65" xfId="0" applyFont="1" applyBorder="1" applyAlignment="1">
      <alignment vertical="top" wrapText="1"/>
    </xf>
    <xf numFmtId="0" fontId="3" fillId="6" borderId="23" xfId="0" applyFont="1" applyFill="1" applyBorder="1" applyAlignment="1">
      <alignment vertical="top" wrapText="1"/>
    </xf>
    <xf numFmtId="4" fontId="14" fillId="0" borderId="23" xfId="0" applyNumberFormat="1" applyFont="1" applyBorder="1" applyAlignment="1">
      <alignment vertical="top" wrapText="1"/>
    </xf>
    <xf numFmtId="0" fontId="3" fillId="0" borderId="66" xfId="0" applyFont="1" applyBorder="1" applyAlignment="1">
      <alignment vertical="top" wrapText="1"/>
    </xf>
    <xf numFmtId="0" fontId="6" fillId="6" borderId="23" xfId="0" applyFont="1" applyFill="1" applyBorder="1" applyAlignment="1">
      <alignment horizontal="center" vertical="center" wrapText="1"/>
    </xf>
    <xf numFmtId="4" fontId="3" fillId="9" borderId="50" xfId="0" applyNumberFormat="1" applyFont="1" applyFill="1" applyBorder="1" applyAlignment="1">
      <alignment horizontal="center" vertical="center" wrapText="1"/>
    </xf>
    <xf numFmtId="4" fontId="3" fillId="9" borderId="51" xfId="0" applyNumberFormat="1" applyFont="1" applyFill="1" applyBorder="1" applyAlignment="1">
      <alignment horizontal="center" vertical="center" wrapText="1"/>
    </xf>
    <xf numFmtId="4" fontId="3" fillId="9" borderId="52" xfId="0" applyNumberFormat="1" applyFont="1" applyFill="1" applyBorder="1" applyAlignment="1">
      <alignment horizontal="center" vertical="center" wrapText="1"/>
    </xf>
    <xf numFmtId="4" fontId="3" fillId="9" borderId="49" xfId="0" applyNumberFormat="1" applyFont="1" applyFill="1" applyBorder="1" applyAlignment="1">
      <alignment horizontal="center" vertical="center" wrapText="1"/>
    </xf>
    <xf numFmtId="4" fontId="3" fillId="0" borderId="53" xfId="0" applyNumberFormat="1" applyFont="1" applyFill="1" applyBorder="1" applyAlignment="1">
      <alignment vertical="top" wrapText="1"/>
    </xf>
    <xf numFmtId="0" fontId="6" fillId="0" borderId="37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3" fillId="0" borderId="39" xfId="0" applyFont="1" applyFill="1" applyBorder="1" applyAlignment="1">
      <alignment vertical="top" wrapText="1"/>
    </xf>
    <xf numFmtId="0" fontId="3" fillId="0" borderId="40" xfId="0" applyFont="1" applyFill="1" applyBorder="1" applyAlignment="1">
      <alignment vertical="top" wrapText="1"/>
    </xf>
    <xf numFmtId="0" fontId="10" fillId="6" borderId="40" xfId="0" applyFont="1" applyFill="1" applyBorder="1" applyAlignment="1">
      <alignment vertical="top" wrapText="1"/>
    </xf>
    <xf numFmtId="0" fontId="14" fillId="0" borderId="40" xfId="0" applyFont="1" applyFill="1" applyBorder="1" applyAlignment="1">
      <alignment vertical="top" wrapText="1"/>
    </xf>
    <xf numFmtId="0" fontId="11" fillId="0" borderId="40" xfId="0" applyFont="1" applyBorder="1" applyAlignment="1">
      <alignment vertical="top" wrapText="1"/>
    </xf>
    <xf numFmtId="0" fontId="3" fillId="0" borderId="40" xfId="0" applyFont="1" applyBorder="1" applyAlignment="1">
      <alignment vertical="top" wrapText="1"/>
    </xf>
    <xf numFmtId="0" fontId="14" fillId="0" borderId="40" xfId="0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14" fillId="0" borderId="47" xfId="0" applyFont="1" applyFill="1" applyBorder="1" applyAlignment="1">
      <alignment vertical="top" wrapText="1"/>
    </xf>
    <xf numFmtId="0" fontId="11" fillId="0" borderId="47" xfId="0" applyFont="1" applyFill="1" applyBorder="1" applyAlignment="1">
      <alignment vertical="top" wrapText="1"/>
    </xf>
    <xf numFmtId="0" fontId="10" fillId="6" borderId="40" xfId="0" applyFont="1" applyFill="1" applyBorder="1" applyAlignment="1">
      <alignment horizontal="left" vertical="center" wrapText="1"/>
    </xf>
    <xf numFmtId="0" fontId="3" fillId="0" borderId="47" xfId="0" applyFont="1" applyFill="1" applyBorder="1" applyAlignment="1">
      <alignment vertical="top" wrapText="1"/>
    </xf>
    <xf numFmtId="0" fontId="3" fillId="0" borderId="45" xfId="0" applyFont="1" applyFill="1" applyBorder="1" applyAlignment="1">
      <alignment vertical="top" wrapText="1"/>
    </xf>
    <xf numFmtId="0" fontId="3" fillId="0" borderId="41" xfId="0" applyFont="1" applyBorder="1" applyAlignment="1">
      <alignment vertical="top" wrapText="1"/>
    </xf>
    <xf numFmtId="3" fontId="6" fillId="0" borderId="19" xfId="0" applyNumberFormat="1" applyFont="1" applyBorder="1" applyAlignment="1">
      <alignment horizontal="center" vertical="center" wrapText="1"/>
    </xf>
    <xf numFmtId="4" fontId="11" fillId="9" borderId="16" xfId="0" applyNumberFormat="1" applyFont="1" applyFill="1" applyBorder="1" applyAlignment="1">
      <alignment horizontal="center" vertical="center" wrapText="1"/>
    </xf>
    <xf numFmtId="4" fontId="11" fillId="9" borderId="26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vertical="top" wrapText="1"/>
    </xf>
    <xf numFmtId="0" fontId="11" fillId="9" borderId="4" xfId="0" applyFont="1" applyFill="1" applyBorder="1" applyAlignment="1">
      <alignment horizontal="center" vertical="center" wrapText="1"/>
    </xf>
    <xf numFmtId="4" fontId="11" fillId="9" borderId="5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vertical="top" wrapText="1"/>
    </xf>
    <xf numFmtId="0" fontId="19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164" fontId="11" fillId="9" borderId="16" xfId="0" applyNumberFormat="1" applyFont="1" applyFill="1" applyBorder="1" applyAlignment="1">
      <alignment horizontal="center" vertical="center" wrapText="1"/>
    </xf>
    <xf numFmtId="0" fontId="11" fillId="9" borderId="31" xfId="0" applyFont="1" applyFill="1" applyBorder="1" applyAlignment="1">
      <alignment vertical="top" wrapText="1"/>
    </xf>
    <xf numFmtId="0" fontId="11" fillId="9" borderId="31" xfId="0" applyFont="1" applyFill="1" applyBorder="1" applyAlignment="1">
      <alignment horizontal="center" vertical="center" wrapText="1"/>
    </xf>
    <xf numFmtId="4" fontId="11" fillId="9" borderId="25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35" fillId="6" borderId="16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0" fillId="2" borderId="39" xfId="0" applyFont="1" applyFill="1" applyBorder="1" applyAlignment="1">
      <alignment horizontal="left" vertical="center" wrapText="1"/>
    </xf>
    <xf numFmtId="0" fontId="10" fillId="2" borderId="40" xfId="0" applyFont="1" applyFill="1" applyBorder="1" applyAlignment="1">
      <alignment vertical="top" wrapText="1"/>
    </xf>
    <xf numFmtId="0" fontId="19" fillId="2" borderId="40" xfId="0" applyFont="1" applyFill="1" applyBorder="1" applyAlignment="1">
      <alignment vertical="top" wrapText="1"/>
    </xf>
    <xf numFmtId="0" fontId="20" fillId="2" borderId="40" xfId="0" applyFont="1" applyFill="1" applyBorder="1" applyAlignment="1">
      <alignment vertical="top" wrapText="1"/>
    </xf>
    <xf numFmtId="0" fontId="6" fillId="0" borderId="67" xfId="0" applyFont="1" applyBorder="1" applyAlignment="1">
      <alignment horizontal="center" vertical="center" wrapText="1"/>
    </xf>
    <xf numFmtId="0" fontId="6" fillId="2" borderId="6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vertical="top" wrapText="1"/>
    </xf>
    <xf numFmtId="0" fontId="14" fillId="0" borderId="23" xfId="0" applyFont="1" applyFill="1" applyBorder="1" applyAlignment="1">
      <alignment vertical="top" wrapText="1"/>
    </xf>
    <xf numFmtId="0" fontId="11" fillId="0" borderId="23" xfId="0" applyFont="1" applyBorder="1" applyAlignment="1">
      <alignment vertical="top" wrapText="1"/>
    </xf>
    <xf numFmtId="0" fontId="11" fillId="0" borderId="29" xfId="0" applyFont="1" applyBorder="1" applyAlignment="1">
      <alignment vertical="top" wrapText="1"/>
    </xf>
    <xf numFmtId="0" fontId="3" fillId="2" borderId="29" xfId="0" applyFont="1" applyFill="1" applyBorder="1" applyAlignment="1">
      <alignment vertical="top" wrapText="1"/>
    </xf>
    <xf numFmtId="0" fontId="11" fillId="2" borderId="29" xfId="0" applyFont="1" applyFill="1" applyBorder="1" applyAlignment="1">
      <alignment vertical="top" wrapText="1"/>
    </xf>
    <xf numFmtId="0" fontId="14" fillId="2" borderId="23" xfId="0" applyFont="1" applyFill="1" applyBorder="1" applyAlignment="1">
      <alignment vertical="top" wrapText="1"/>
    </xf>
    <xf numFmtId="0" fontId="3" fillId="0" borderId="23" xfId="0" applyFont="1" applyFill="1" applyBorder="1" applyAlignment="1">
      <alignment vertical="top" wrapText="1"/>
    </xf>
    <xf numFmtId="0" fontId="6" fillId="2" borderId="55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top" wrapText="1"/>
    </xf>
    <xf numFmtId="0" fontId="19" fillId="2" borderId="21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11" fillId="2" borderId="21" xfId="0" applyFont="1" applyFill="1" applyBorder="1" applyAlignment="1">
      <alignment vertical="top" wrapText="1"/>
    </xf>
    <xf numFmtId="0" fontId="11" fillId="2" borderId="21" xfId="0" applyFont="1" applyFill="1" applyBorder="1" applyAlignment="1">
      <alignment horizontal="center" vertical="center" wrapText="1"/>
    </xf>
    <xf numFmtId="4" fontId="11" fillId="2" borderId="22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vertical="top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4" fontId="11" fillId="0" borderId="8" xfId="0" applyNumberFormat="1" applyFont="1" applyBorder="1" applyAlignment="1">
      <alignment horizontal="center" vertical="center" wrapText="1"/>
    </xf>
    <xf numFmtId="3" fontId="6" fillId="0" borderId="49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4" fontId="14" fillId="9" borderId="5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4" fontId="14" fillId="7" borderId="35" xfId="0" applyNumberFormat="1" applyFont="1" applyFill="1" applyBorder="1" applyAlignment="1">
      <alignment horizontal="center" vertical="center" wrapText="1"/>
    </xf>
    <xf numFmtId="0" fontId="36" fillId="0" borderId="5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4" fontId="6" fillId="0" borderId="68" xfId="0" applyNumberFormat="1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14" fillId="0" borderId="61" xfId="0" applyFont="1" applyBorder="1" applyAlignment="1">
      <alignment horizontal="center" vertical="center" wrapText="1"/>
    </xf>
    <xf numFmtId="2" fontId="14" fillId="0" borderId="61" xfId="0" applyNumberFormat="1" applyFont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 wrapText="1"/>
    </xf>
    <xf numFmtId="2" fontId="3" fillId="0" borderId="61" xfId="0" applyNumberFormat="1" applyFont="1" applyBorder="1" applyAlignment="1">
      <alignment horizontal="center" vertical="center" wrapText="1"/>
    </xf>
    <xf numFmtId="0" fontId="14" fillId="0" borderId="61" xfId="0" applyFont="1" applyFill="1" applyBorder="1" applyAlignment="1">
      <alignment horizontal="center" vertical="center" wrapText="1"/>
    </xf>
    <xf numFmtId="0" fontId="11" fillId="0" borderId="61" xfId="0" applyFont="1" applyBorder="1" applyAlignment="1">
      <alignment horizontal="center" vertical="center" wrapText="1"/>
    </xf>
    <xf numFmtId="0" fontId="11" fillId="2" borderId="61" xfId="0" applyFont="1" applyFill="1" applyBorder="1" applyAlignment="1">
      <alignment horizontal="center" vertical="center" wrapText="1"/>
    </xf>
    <xf numFmtId="0" fontId="14" fillId="2" borderId="61" xfId="0" applyFont="1" applyFill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4" fontId="3" fillId="0" borderId="63" xfId="0" applyNumberFormat="1" applyFont="1" applyBorder="1" applyAlignment="1">
      <alignment horizontal="center" vertical="center" wrapText="1"/>
    </xf>
    <xf numFmtId="3" fontId="6" fillId="0" borderId="20" xfId="0" applyNumberFormat="1" applyFont="1" applyBorder="1" applyAlignment="1">
      <alignment horizontal="center" vertical="center" wrapText="1"/>
    </xf>
    <xf numFmtId="4" fontId="3" fillId="6" borderId="58" xfId="0" applyNumberFormat="1" applyFont="1" applyFill="1" applyBorder="1" applyAlignment="1">
      <alignment horizontal="center" vertical="center" wrapText="1"/>
    </xf>
    <xf numFmtId="4" fontId="3" fillId="0" borderId="59" xfId="0" applyNumberFormat="1" applyFont="1" applyBorder="1" applyAlignment="1">
      <alignment horizontal="center" vertical="center" wrapText="1"/>
    </xf>
    <xf numFmtId="4" fontId="3" fillId="0" borderId="56" xfId="0" applyNumberFormat="1" applyFont="1" applyBorder="1" applyAlignment="1">
      <alignment horizontal="center" vertical="center" wrapText="1"/>
    </xf>
    <xf numFmtId="4" fontId="3" fillId="0" borderId="60" xfId="0" applyNumberFormat="1" applyFont="1" applyBorder="1" applyAlignment="1">
      <alignment vertical="top" wrapText="1"/>
    </xf>
    <xf numFmtId="4" fontId="3" fillId="0" borderId="70" xfId="0" applyNumberFormat="1" applyFont="1" applyBorder="1" applyAlignment="1">
      <alignment horizontal="center" vertical="center" wrapText="1"/>
    </xf>
    <xf numFmtId="2" fontId="14" fillId="0" borderId="35" xfId="0" applyNumberFormat="1" applyFont="1" applyFill="1" applyBorder="1" applyAlignment="1">
      <alignment horizontal="center" vertical="center" wrapText="1"/>
    </xf>
    <xf numFmtId="2" fontId="3" fillId="9" borderId="5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center" vertical="center" wrapText="1"/>
    </xf>
    <xf numFmtId="4" fontId="14" fillId="0" borderId="2" xfId="0" applyNumberFormat="1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4" fontId="3" fillId="2" borderId="21" xfId="0" applyNumberFormat="1" applyFont="1" applyFill="1" applyBorder="1" applyAlignment="1">
      <alignment horizontal="center" vertical="center" wrapText="1"/>
    </xf>
    <xf numFmtId="4" fontId="3" fillId="2" borderId="55" xfId="0" applyNumberFormat="1" applyFont="1" applyFill="1" applyBorder="1" applyAlignment="1">
      <alignment horizontal="center" vertical="center" wrapText="1"/>
    </xf>
    <xf numFmtId="4" fontId="3" fillId="2" borderId="20" xfId="0" applyNumberFormat="1" applyFont="1" applyFill="1" applyBorder="1" applyAlignment="1">
      <alignment vertical="center" wrapText="1"/>
    </xf>
    <xf numFmtId="4" fontId="3" fillId="2" borderId="21" xfId="0" applyNumberFormat="1" applyFont="1" applyFill="1" applyBorder="1" applyAlignment="1">
      <alignment vertical="center" wrapText="1"/>
    </xf>
    <xf numFmtId="4" fontId="3" fillId="2" borderId="22" xfId="0" applyNumberFormat="1" applyFont="1" applyFill="1" applyBorder="1" applyAlignment="1">
      <alignment vertical="center" wrapText="1"/>
    </xf>
    <xf numFmtId="4" fontId="3" fillId="2" borderId="21" xfId="0" applyNumberFormat="1" applyFont="1" applyFill="1" applyBorder="1" applyAlignment="1">
      <alignment vertical="top" wrapText="1"/>
    </xf>
    <xf numFmtId="4" fontId="3" fillId="2" borderId="55" xfId="0" applyNumberFormat="1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6" fillId="0" borderId="69" xfId="0" applyFont="1" applyBorder="1" applyAlignment="1">
      <alignment horizontal="center" vertical="center" wrapText="1"/>
    </xf>
    <xf numFmtId="4" fontId="14" fillId="0" borderId="71" xfId="0" applyNumberFormat="1" applyFont="1" applyBorder="1" applyAlignment="1">
      <alignment horizontal="center" vertical="center" wrapText="1"/>
    </xf>
    <xf numFmtId="4" fontId="14" fillId="7" borderId="52" xfId="0" applyNumberFormat="1" applyFont="1" applyFill="1" applyBorder="1" applyAlignment="1">
      <alignment horizontal="left" vertical="center" wrapText="1"/>
    </xf>
    <xf numFmtId="0" fontId="14" fillId="9" borderId="1" xfId="0" applyFont="1" applyFill="1" applyBorder="1" applyAlignment="1">
      <alignment vertical="top" wrapText="1"/>
    </xf>
    <xf numFmtId="0" fontId="14" fillId="9" borderId="1" xfId="0" applyFont="1" applyFill="1" applyBorder="1" applyAlignment="1">
      <alignment horizontal="center" vertical="center" wrapText="1"/>
    </xf>
    <xf numFmtId="4" fontId="14" fillId="9" borderId="16" xfId="0" applyNumberFormat="1" applyFont="1" applyFill="1" applyBorder="1" applyAlignment="1">
      <alignment horizontal="center" vertical="center" wrapText="1"/>
    </xf>
    <xf numFmtId="0" fontId="14" fillId="10" borderId="40" xfId="0" applyFont="1" applyFill="1" applyBorder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14" fillId="0" borderId="0" xfId="0" applyNumberFormat="1" applyFont="1" applyAlignment="1">
      <alignment vertical="top" wrapText="1"/>
    </xf>
    <xf numFmtId="0" fontId="3" fillId="10" borderId="61" xfId="0" applyFont="1" applyFill="1" applyBorder="1" applyAlignment="1">
      <alignment horizontal="center" vertical="center" wrapText="1"/>
    </xf>
    <xf numFmtId="2" fontId="3" fillId="10" borderId="61" xfId="0" applyNumberFormat="1" applyFont="1" applyFill="1" applyBorder="1" applyAlignment="1">
      <alignment horizontal="center" vertical="center" wrapText="1"/>
    </xf>
    <xf numFmtId="4" fontId="3" fillId="10" borderId="61" xfId="0" applyNumberFormat="1" applyFont="1" applyFill="1" applyBorder="1" applyAlignment="1">
      <alignment horizontal="center" vertical="center" wrapText="1"/>
    </xf>
    <xf numFmtId="0" fontId="14" fillId="0" borderId="6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 wrapText="1"/>
    </xf>
    <xf numFmtId="0" fontId="17" fillId="0" borderId="69" xfId="0" applyFont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top" wrapText="1"/>
    </xf>
    <xf numFmtId="0" fontId="6" fillId="0" borderId="69" xfId="0" applyFont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4" fontId="14" fillId="0" borderId="15" xfId="0" applyNumberFormat="1" applyFont="1" applyFill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vertical="top" wrapText="1"/>
    </xf>
    <xf numFmtId="0" fontId="14" fillId="9" borderId="2" xfId="0" applyFont="1" applyFill="1" applyBorder="1" applyAlignment="1">
      <alignment vertical="top" wrapText="1"/>
    </xf>
    <xf numFmtId="0" fontId="14" fillId="9" borderId="2" xfId="0" applyFont="1" applyFill="1" applyBorder="1" applyAlignment="1">
      <alignment horizontal="center" vertical="center" wrapText="1"/>
    </xf>
    <xf numFmtId="4" fontId="14" fillId="9" borderId="26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4" fontId="14" fillId="7" borderId="44" xfId="0" applyNumberFormat="1" applyFont="1" applyFill="1" applyBorder="1" applyAlignment="1">
      <alignment horizontal="center" vertical="center" wrapText="1"/>
    </xf>
    <xf numFmtId="4" fontId="14" fillId="0" borderId="52" xfId="0" applyNumberFormat="1" applyFont="1" applyFill="1" applyBorder="1" applyAlignment="1">
      <alignment horizontal="left" vertical="center" wrapText="1"/>
    </xf>
    <xf numFmtId="4" fontId="14" fillId="0" borderId="52" xfId="0" applyNumberFormat="1" applyFont="1" applyFill="1" applyBorder="1" applyAlignment="1">
      <alignment horizontal="center" vertical="center" wrapText="1"/>
    </xf>
    <xf numFmtId="4" fontId="14" fillId="0" borderId="59" xfId="0" applyNumberFormat="1" applyFont="1" applyFill="1" applyBorder="1" applyAlignment="1">
      <alignment horizontal="center" vertical="center" wrapText="1"/>
    </xf>
    <xf numFmtId="4" fontId="14" fillId="0" borderId="28" xfId="0" applyNumberFormat="1" applyFont="1" applyFill="1" applyBorder="1" applyAlignment="1">
      <alignment horizontal="center" vertical="center" wrapText="1"/>
    </xf>
    <xf numFmtId="4" fontId="14" fillId="0" borderId="26" xfId="0" applyNumberFormat="1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vertical="top" wrapText="1"/>
    </xf>
    <xf numFmtId="0" fontId="14" fillId="0" borderId="0" xfId="0" applyFont="1" applyFill="1" applyAlignment="1">
      <alignment vertical="top" wrapText="1"/>
    </xf>
    <xf numFmtId="4" fontId="3" fillId="0" borderId="15" xfId="0" applyNumberFormat="1" applyFont="1" applyFill="1" applyBorder="1" applyAlignment="1">
      <alignment horizontal="center" vertical="center" wrapText="1"/>
    </xf>
  </cellXfs>
  <cellStyles count="96">
    <cellStyle name="20% — акцент1 2" xfId="74" xr:uid="{FF07BEB4-ABCF-423A-8EAC-815ED850FC20}"/>
    <cellStyle name="Comma 2" xfId="79" xr:uid="{A2662A67-26F3-41D1-8CB5-F190F1FE1622}"/>
    <cellStyle name="Comma 4" xfId="54" xr:uid="{0E4A62E9-4364-4DB9-9679-3FE83A8BECA0}"/>
    <cellStyle name="Normal 2" xfId="29" xr:uid="{DC75C540-51D1-4F01-BB70-D2CFAAC54C0B}"/>
    <cellStyle name="Normal 2 2" xfId="56" xr:uid="{5D08EAE7-491F-49F7-A1EE-185E49A35F41}"/>
    <cellStyle name="Normal 2 2 2" xfId="75" xr:uid="{576DC348-058B-4E4D-AC7F-F5B310A87EC6}"/>
    <cellStyle name="Normal 2 3" xfId="81" xr:uid="{2020B90E-A51A-42A3-B9B8-A393CF77C429}"/>
    <cellStyle name="Normal 3" xfId="57" xr:uid="{D9A3A31A-8E9A-4133-9DA9-5DEF6829A34C}"/>
    <cellStyle name="Normal 63" xfId="53" xr:uid="{741248D9-5213-4E84-AAA5-915359753A31}"/>
    <cellStyle name="Standard 2" xfId="78" xr:uid="{9FE1163E-81A6-4993-80A4-7B1F78B727B1}"/>
    <cellStyle name="Обычный" xfId="0" builtinId="0"/>
    <cellStyle name="Обычный 10" xfId="62" xr:uid="{30BD9F06-131F-40A9-91EE-D1F9C101355A}"/>
    <cellStyle name="Обычный 10 2" xfId="92" xr:uid="{3A0FEFBE-82A2-4AD1-9DE0-EAFFF021DF26}"/>
    <cellStyle name="Обычный 11" xfId="63" xr:uid="{86E050F1-5C1C-48BD-AA75-1F3CB4F75528}"/>
    <cellStyle name="Обычный 12" xfId="61" xr:uid="{1DD4B305-77A2-4A6E-941B-E2D5BFE7EF27}"/>
    <cellStyle name="Обычный 13" xfId="64" xr:uid="{20DDF00D-E786-4DA0-9485-D38E49AE2C7B}"/>
    <cellStyle name="Обычный 13 2" xfId="13" xr:uid="{13F3FF4B-5143-47F3-806B-97A245E8335C}"/>
    <cellStyle name="Обычный 13 3" xfId="88" xr:uid="{445C4A8B-4273-4325-9DDF-2D28641900F5}"/>
    <cellStyle name="Обычный 14" xfId="70" xr:uid="{14A9D375-A721-4FF2-A598-753E06665B2E}"/>
    <cellStyle name="Обычный 149" xfId="68" xr:uid="{A874A8AD-9A81-485F-BBEF-3CD84684796F}"/>
    <cellStyle name="Обычный 149 2" xfId="82" xr:uid="{539E5C17-389D-47BD-9732-BC424368B55D}"/>
    <cellStyle name="Обычный 149 3" xfId="23" xr:uid="{EACF1A5C-5465-47BE-A0C8-5111BB43B605}"/>
    <cellStyle name="Обычный 149 3 2" xfId="26" xr:uid="{C3F1F74E-5357-4F82-9889-3C58F6424715}"/>
    <cellStyle name="Обычный 149 3 2 2" xfId="49" xr:uid="{A8970A47-6290-4874-B014-3B0EA35C0472}"/>
    <cellStyle name="Обычный 149 3 3" xfId="46" xr:uid="{95E75FC6-586A-49E4-AB5E-D77231C39332}"/>
    <cellStyle name="Обычный 149 4" xfId="89" xr:uid="{DFCEA8E4-AB77-43CE-A552-956F449809DD}"/>
    <cellStyle name="Обычный 15" xfId="6" xr:uid="{5E8967E8-19CD-4893-9D32-51EB469D55E9}"/>
    <cellStyle name="Обычный 2" xfId="7" xr:uid="{DE18831A-34D6-4328-9954-8EEB1E86FED8}"/>
    <cellStyle name="Обычный 2 2" xfId="3" xr:uid="{EE05A8EF-58E1-4592-B826-89B6551AF611}"/>
    <cellStyle name="Обычный 2 2 2" xfId="18" xr:uid="{1719CC15-6D43-4E0E-A016-E8F8BF5F7FD6}"/>
    <cellStyle name="Обычный 2 2 3" xfId="69" xr:uid="{EACFA682-DECF-4534-98F7-24DACCC8D747}"/>
    <cellStyle name="Обычный 2 2 4" xfId="73" xr:uid="{D5FB2E31-6C82-4BA2-968B-3BD60205A2FC}"/>
    <cellStyle name="Обычный 2 3" xfId="60" xr:uid="{7C283003-E470-4C80-835C-7B96B4D466BF}"/>
    <cellStyle name="Обычный 2 3 2" xfId="67" xr:uid="{90C3B971-ECD6-4B64-A0DD-F44E1812D47F}"/>
    <cellStyle name="Обычный 2 4" xfId="80" xr:uid="{8B4CC1E2-5864-4425-933A-9FBFC1F1F48F}"/>
    <cellStyle name="Обычный 3" xfId="4" xr:uid="{A30DB676-C193-49F2-924A-B4664A90C753}"/>
    <cellStyle name="Обычный 3 2" xfId="5" xr:uid="{6BACA59C-02E2-477D-8DE6-70899667515B}"/>
    <cellStyle name="Обычный 3 3" xfId="19" xr:uid="{BA7E4FE7-61B9-43A3-93A5-5EC66D0898C3}"/>
    <cellStyle name="Обычный 3 3 2" xfId="42" xr:uid="{114D2BE4-2116-4661-8C9E-7BF8D681AF16}"/>
    <cellStyle name="Обычный 3 3 3" xfId="87" xr:uid="{892F9B75-3636-466A-A55E-4B49F0F3B0FA}"/>
    <cellStyle name="Обычный 3 4" xfId="31" xr:uid="{F402693B-D442-4EA8-B6A7-C4C0C4DC8772}"/>
    <cellStyle name="Обычный 3 5" xfId="2" xr:uid="{59709BEF-A986-432F-B05A-641C4080A4AB}"/>
    <cellStyle name="Обычный 4" xfId="8" xr:uid="{3BC78C43-C433-40A4-B95F-5391C3FDA575}"/>
    <cellStyle name="Обычный 4 2" xfId="72" xr:uid="{239F3FD8-B043-4FA3-B3EB-19CCC66AF2E0}"/>
    <cellStyle name="Обычный 4 3 2" xfId="1" xr:uid="{2E2717D6-2182-4A4D-BF9C-AC8331ECC6AC}"/>
    <cellStyle name="Обычный 5" xfId="9" xr:uid="{84E2499F-7210-44ED-AD29-DFE0397295F2}"/>
    <cellStyle name="Обычный 5 2" xfId="34" xr:uid="{4A0528CA-61CD-4E56-B870-97035B5CA4DE}"/>
    <cellStyle name="Обычный 6" xfId="24" xr:uid="{CAFCC820-C5B7-416B-8CB7-B52DD3745DE9}"/>
    <cellStyle name="Обычный 6 2" xfId="30" xr:uid="{1DE5A905-29FF-4CFF-A6A7-D0A15ECA42C1}"/>
    <cellStyle name="Обычный 6 3" xfId="47" xr:uid="{E286F5D0-D8B6-40AF-B93F-9418A8550164}"/>
    <cellStyle name="Обычный 7" xfId="27" xr:uid="{007ECA14-B523-4247-96D6-132B29A15600}"/>
    <cellStyle name="Обычный 7 2" xfId="50" xr:uid="{7554B70C-4D47-4296-9953-D663BE150879}"/>
    <cellStyle name="Обычный 8" xfId="16" xr:uid="{9204141C-9385-4A23-BC3B-9CA410D56CEE}"/>
    <cellStyle name="Обычный 8 2" xfId="40" xr:uid="{399C5A95-9C2E-4692-8B0F-AF57C5ADF388}"/>
    <cellStyle name="Обычный 9" xfId="55" xr:uid="{40F6D7DF-C699-4EBE-B2D9-A3B1F41D0D6B}"/>
    <cellStyle name="Обычный 9 2" xfId="59" xr:uid="{CB0189ED-0A04-45F9-8325-65577E5434CE}"/>
    <cellStyle name="Обычный 9 2 2" xfId="93" xr:uid="{E9B024BB-50D8-499D-8FED-8ABED7FAF895}"/>
    <cellStyle name="Процентный 2" xfId="22" xr:uid="{E5DD720B-AA25-41F1-8703-7DAF8DBD6EA4}"/>
    <cellStyle name="Процентный 2 2" xfId="45" xr:uid="{0516A79A-18BF-42BA-A097-5FC7D30D26CE}"/>
    <cellStyle name="Процентный 3" xfId="25" xr:uid="{EBE7F0D6-0DA7-4E81-BEDB-524E5D1D7A84}"/>
    <cellStyle name="Процентный 3 2" xfId="48" xr:uid="{81F966CA-B5A2-46AF-8093-6D54E3D0BA1E}"/>
    <cellStyle name="Процентный 4" xfId="33" xr:uid="{79B87DF7-09F0-40F2-8009-C550DE02B788}"/>
    <cellStyle name="Процентный 5" xfId="65" xr:uid="{92783096-7CA2-4094-85EF-7FBD0D722CE0}"/>
    <cellStyle name="Процентный 6" xfId="85" xr:uid="{FD9EEBBC-BF12-46B5-B0BD-A31703C2C58D}"/>
    <cellStyle name="Стиль 1" xfId="86" xr:uid="{0FBA62F6-E590-4F3B-98CC-939CF2621F1B}"/>
    <cellStyle name="Финансовый [0] 2" xfId="77" xr:uid="{CD79BD7D-8EBF-45C6-B026-AC692C823A25}"/>
    <cellStyle name="Финансовый [0] 2 2 2" xfId="10" xr:uid="{90BEFCC8-F953-41C9-8ED9-567853A37715}"/>
    <cellStyle name="Финансовый [0] 2 2 2 2" xfId="12" xr:uid="{06547B9F-3674-4081-BBD0-4DCB56B19274}"/>
    <cellStyle name="Финансовый [0] 2 2 2 2 2" xfId="37" xr:uid="{AA0F92F1-84DF-4486-A0D2-4DFFA3AB3D86}"/>
    <cellStyle name="Финансовый [0] 2 2 2 3" xfId="15" xr:uid="{F5132ED3-0C05-4BC2-A38A-310A6AE18C07}"/>
    <cellStyle name="Финансовый [0] 2 2 2 3 2" xfId="39" xr:uid="{96A153D3-B8C2-4F3B-8B67-FF59C97DF26A}"/>
    <cellStyle name="Финансовый [0] 2 2 2 4" xfId="35" xr:uid="{BD605DB6-0350-43A5-8A60-0B78356DCF1B}"/>
    <cellStyle name="Финансовый [0] 2 2 2 5" xfId="84" xr:uid="{9AB872C8-2339-4CFF-BEFF-F374A7ADBB3A}"/>
    <cellStyle name="Финансовый 10" xfId="94" xr:uid="{19D11202-0BBC-4249-B668-18F58D7E47CB}"/>
    <cellStyle name="Финансовый 11" xfId="95" xr:uid="{0AE6A56C-596F-4AFF-9400-8B9E7E192EFB}"/>
    <cellStyle name="Финансовый 2" xfId="11" xr:uid="{FEF905D9-75FF-48EA-BB38-AB946B8EF483}"/>
    <cellStyle name="Финансовый 2 2" xfId="20" xr:uid="{D2F19E58-4EEE-4956-8539-9C2EE22586C1}"/>
    <cellStyle name="Финансовый 2 2 2" xfId="43" xr:uid="{0580F943-B959-4828-BBDE-7418D5536C36}"/>
    <cellStyle name="Финансовый 2 3" xfId="21" xr:uid="{DBA6D202-F814-442B-BF19-44DC523899C5}"/>
    <cellStyle name="Финансовый 2 3 2" xfId="44" xr:uid="{E4B84AB1-2981-4686-92BC-E52DBF7679CF}"/>
    <cellStyle name="Финансовый 2 3 3" xfId="91" xr:uid="{CFACF6FD-E868-4EE7-A6C4-E605B9C4A436}"/>
    <cellStyle name="Финансовый 2 4" xfId="36" xr:uid="{9A8D2F59-BF3E-4ED9-AD03-25E3F2F5330F}"/>
    <cellStyle name="Финансовый 2 5" xfId="66" xr:uid="{7D420E28-7B1F-4F44-B5FA-ECC46B48B943}"/>
    <cellStyle name="Финансовый 2 6" xfId="76" xr:uid="{900D4B97-E46E-4E13-A8C9-4EBFCCC921F2}"/>
    <cellStyle name="Финансовый 3" xfId="14" xr:uid="{1CBA533E-B994-4A87-BEF6-372F9DE79413}"/>
    <cellStyle name="Финансовый 3 2" xfId="38" xr:uid="{A7844B43-7F91-4090-BC6E-3093D0B2F425}"/>
    <cellStyle name="Финансовый 4" xfId="28" xr:uid="{D661A687-DE31-462A-A418-FB63B25F061F}"/>
    <cellStyle name="Финансовый 4 2" xfId="51" xr:uid="{51BC98AF-9498-4DA5-8773-5E148B4A142C}"/>
    <cellStyle name="Финансовый 41" xfId="83" xr:uid="{A2CA9C60-80F3-4429-8FBC-B9B6E31ADB2D}"/>
    <cellStyle name="Финансовый 5" xfId="32" xr:uid="{7FEC4987-8CE6-46B6-B532-FA54AFF6A934}"/>
    <cellStyle name="Финансовый 5 2" xfId="52" xr:uid="{7E32F629-59D0-4237-A6A5-FE5A88ADBE8D}"/>
    <cellStyle name="Финансовый 6" xfId="41" xr:uid="{E23DD45A-6AC6-4FCA-8FB0-1B47E2401D5A}"/>
    <cellStyle name="Финансовый 7" xfId="71" xr:uid="{ED55E003-4C40-4BD6-BBA0-A42BA036FAB2}"/>
    <cellStyle name="Финансовый 8" xfId="90" xr:uid="{10945B59-D622-4316-80B5-450D32E6AA52}"/>
    <cellStyle name="Финансовый 9" xfId="17" xr:uid="{442CBAB3-BC92-4192-B166-EF5367F8BEC9}"/>
    <cellStyle name="標準_RFP015" xfId="58" xr:uid="{187B8492-E7BF-4678-9FB6-474EAB1384DC}"/>
  </cellStyles>
  <dxfs count="8">
    <dxf>
      <fill>
        <patternFill patternType="none">
          <fgColor auto="1"/>
          <bgColor auto="1"/>
        </patternFill>
      </fill>
      <border diagonalUp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thin">
          <color auto="1"/>
        </diagonal>
        <vertical style="thin">
          <color auto="1"/>
        </vertical>
        <horizontal style="thin">
          <color auto="1"/>
        </horizontal>
      </border>
    </dxf>
    <dxf>
      <fill>
        <patternFill patternType="none"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auto="1"/>
      </font>
      <fill>
        <patternFill>
          <f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0"/>
        </patternFill>
      </fill>
      <border diagonalDown="0">
        <left style="dashed">
          <color theme="0" tint="-0.14993743705557422"/>
        </left>
        <right style="dashed">
          <color theme="0" tint="-0.14993743705557422"/>
        </right>
        <top style="dashed">
          <color theme="0" tint="-0.14993743705557422"/>
        </top>
        <bottom style="dashed">
          <color theme="0" tint="-0.14993743705557422"/>
        </bottom>
        <vertical style="dashed">
          <color theme="0" tint="-0.14993743705557422"/>
        </vertical>
        <horizontal style="dashed">
          <color theme="0" tint="-0.14993743705557422"/>
        </horizontal>
      </border>
    </dxf>
    <dxf>
      <border>
        <left style="dashed">
          <color theme="0" tint="-0.14996795556505021"/>
        </left>
        <right style="dashed">
          <color theme="0" tint="-0.14996795556505021"/>
        </right>
        <top style="dashed">
          <color theme="0" tint="-0.14996795556505021"/>
        </top>
        <bottom style="dashed">
          <color theme="0" tint="-0.14996795556505021"/>
        </bottom>
        <vertical style="dashed">
          <color theme="0" tint="-0.14996795556505021"/>
        </vertical>
        <horizontal style="dashed">
          <color theme="0" tint="-0.14996795556505021"/>
        </horizontal>
      </border>
    </dxf>
    <dxf>
      <font>
        <b/>
        <i val="0"/>
        <strike val="0"/>
        <color theme="0"/>
      </font>
      <fill>
        <patternFill>
          <bgColor rgb="FF008C95"/>
        </patternFill>
      </fill>
      <border>
        <left style="dashed">
          <color theme="0" tint="-4.9989318521683403E-2"/>
        </left>
        <right style="dashed">
          <color theme="0" tint="-4.9989318521683403E-2"/>
        </right>
        <top style="dashed">
          <color theme="0" tint="-4.9989318521683403E-2"/>
        </top>
        <bottom style="dashed">
          <color theme="0" tint="-4.9989318521683403E-2"/>
        </bottom>
        <vertical style="dashed">
          <color theme="0" tint="-4.9989318521683403E-2"/>
        </vertical>
        <horizontal style="dashed">
          <color theme="0" tint="-4.9989318521683403E-2"/>
        </horizontal>
      </border>
    </dxf>
  </dxfs>
  <tableStyles count="2" defaultTableStyle="TableStyleMedium2" defaultPivotStyle="PivotStyleLight16">
    <tableStyle name="СИБУР" pivot="0" count="3" xr9:uid="{67600F91-2E1B-45D4-A8AC-DB9B92106C83}">
      <tableStyleElement type="headerRow" dxfId="7"/>
      <tableStyleElement type="firstRowStripe" dxfId="6"/>
      <tableStyleElement type="secondRowStripe" dxfId="5"/>
    </tableStyle>
    <tableStyle name="Стиль таблицы 1" pivot="0" count="5" xr9:uid="{75D6CEE1-53D0-49B2-A436-A1E169B8E2BF}">
      <tableStyleElement type="wholeTable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0.59999389629810485"/>
  </sheetPr>
  <dimension ref="A1:AD524"/>
  <sheetViews>
    <sheetView tabSelected="1" zoomScale="70" zoomScaleNormal="70" workbookViewId="0">
      <selection activeCell="AD89" sqref="AD89"/>
    </sheetView>
  </sheetViews>
  <sheetFormatPr defaultRowHeight="15.75" outlineLevelCol="1"/>
  <cols>
    <col min="1" max="1" width="5.7109375" style="1" customWidth="1"/>
    <col min="2" max="2" width="19.85546875" style="1" hidden="1" customWidth="1" outlineLevel="1"/>
    <col min="3" max="3" width="52.85546875" style="1" hidden="1" customWidth="1" outlineLevel="1"/>
    <col min="4" max="4" width="6.140625" style="2" hidden="1" customWidth="1" outlineLevel="1"/>
    <col min="5" max="5" width="9" style="2" hidden="1" customWidth="1" outlineLevel="1"/>
    <col min="6" max="6" width="52.85546875" style="1" customWidth="1" collapsed="1"/>
    <col min="7" max="7" width="6.140625" style="2" customWidth="1"/>
    <col min="8" max="8" width="9" style="2" customWidth="1"/>
    <col min="9" max="9" width="52.85546875" style="2" hidden="1" customWidth="1" outlineLevel="1"/>
    <col min="10" max="10" width="7.140625" style="2" hidden="1" customWidth="1" outlineLevel="1"/>
    <col min="11" max="11" width="10.85546875" style="2" hidden="1" customWidth="1" outlineLevel="1"/>
    <col min="12" max="12" width="9" style="2" customWidth="1" collapsed="1"/>
    <col min="13" max="24" width="9" style="2" customWidth="1"/>
    <col min="25" max="27" width="14.42578125" style="2" customWidth="1"/>
    <col min="28" max="29" width="11.85546875" style="2" customWidth="1"/>
    <col min="30" max="30" width="59.85546875" style="1" customWidth="1"/>
    <col min="31" max="16384" width="9.140625" style="1"/>
  </cols>
  <sheetData>
    <row r="1" spans="1:30" ht="19.5">
      <c r="A1" s="394" t="s">
        <v>1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</row>
    <row r="2" spans="1:30">
      <c r="A2" s="3"/>
      <c r="B2" s="3"/>
      <c r="C2" s="3"/>
      <c r="D2" s="4"/>
      <c r="E2" s="4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3"/>
    </row>
    <row r="3" spans="1:30" ht="16.5" thickBot="1">
      <c r="A3" s="18"/>
      <c r="B3" s="77"/>
      <c r="C3" s="78"/>
      <c r="D3" s="79"/>
      <c r="F3" s="78">
        <v>45495</v>
      </c>
      <c r="G3" s="395" t="s">
        <v>1108</v>
      </c>
      <c r="H3" s="395"/>
      <c r="J3" s="79"/>
    </row>
    <row r="4" spans="1:30" ht="57.75" thickBot="1">
      <c r="A4" s="9" t="s">
        <v>0</v>
      </c>
      <c r="B4" s="10" t="s">
        <v>7</v>
      </c>
      <c r="C4" s="10" t="s">
        <v>982</v>
      </c>
      <c r="D4" s="10" t="s">
        <v>2</v>
      </c>
      <c r="E4" s="103" t="s">
        <v>1000</v>
      </c>
      <c r="F4" s="267" t="s">
        <v>983</v>
      </c>
      <c r="G4" s="10" t="s">
        <v>2</v>
      </c>
      <c r="H4" s="86" t="s">
        <v>288</v>
      </c>
      <c r="I4" s="150" t="s">
        <v>501</v>
      </c>
      <c r="J4" s="10" t="s">
        <v>2</v>
      </c>
      <c r="K4" s="150" t="s">
        <v>502</v>
      </c>
      <c r="L4" s="102" t="s">
        <v>385</v>
      </c>
      <c r="M4" s="14" t="s">
        <v>432</v>
      </c>
      <c r="N4" s="14" t="s">
        <v>434</v>
      </c>
      <c r="O4" s="14" t="s">
        <v>433</v>
      </c>
      <c r="P4" s="14" t="s">
        <v>435</v>
      </c>
      <c r="Q4" s="14" t="s">
        <v>436</v>
      </c>
      <c r="R4" s="14" t="s">
        <v>437</v>
      </c>
      <c r="S4" s="14" t="s">
        <v>438</v>
      </c>
      <c r="T4" s="14" t="s">
        <v>439</v>
      </c>
      <c r="U4" s="14" t="s">
        <v>440</v>
      </c>
      <c r="V4" s="14" t="s">
        <v>441</v>
      </c>
      <c r="W4" s="14" t="s">
        <v>442</v>
      </c>
      <c r="X4" s="103" t="s">
        <v>443</v>
      </c>
      <c r="Y4" s="345" t="s">
        <v>633</v>
      </c>
      <c r="Z4" s="150" t="s">
        <v>1097</v>
      </c>
      <c r="AA4" s="345" t="s">
        <v>1098</v>
      </c>
      <c r="AB4" s="150" t="s">
        <v>999</v>
      </c>
      <c r="AC4" s="150" t="s">
        <v>998</v>
      </c>
      <c r="AD4" s="255" t="s">
        <v>461</v>
      </c>
    </row>
    <row r="5" spans="1:30" ht="16.5" thickBot="1">
      <c r="A5" s="6">
        <v>1</v>
      </c>
      <c r="B5" s="7">
        <v>2</v>
      </c>
      <c r="C5" s="7">
        <v>3</v>
      </c>
      <c r="D5" s="7">
        <v>4</v>
      </c>
      <c r="E5" s="8">
        <v>5</v>
      </c>
      <c r="F5" s="101">
        <v>3</v>
      </c>
      <c r="G5" s="7">
        <v>4</v>
      </c>
      <c r="H5" s="87">
        <v>5</v>
      </c>
      <c r="I5" s="196" t="s">
        <v>636</v>
      </c>
      <c r="J5" s="7" t="s">
        <v>637</v>
      </c>
      <c r="K5" s="160" t="s">
        <v>638</v>
      </c>
      <c r="L5" s="6">
        <v>6</v>
      </c>
      <c r="M5" s="7" t="s">
        <v>389</v>
      </c>
      <c r="N5" s="7" t="s">
        <v>390</v>
      </c>
      <c r="O5" s="7" t="s">
        <v>391</v>
      </c>
      <c r="P5" s="7" t="s">
        <v>392</v>
      </c>
      <c r="Q5" s="7" t="s">
        <v>393</v>
      </c>
      <c r="R5" s="7" t="s">
        <v>394</v>
      </c>
      <c r="S5" s="7" t="s">
        <v>395</v>
      </c>
      <c r="T5" s="7" t="s">
        <v>444</v>
      </c>
      <c r="U5" s="7" t="s">
        <v>445</v>
      </c>
      <c r="V5" s="7" t="s">
        <v>446</v>
      </c>
      <c r="W5" s="7" t="s">
        <v>447</v>
      </c>
      <c r="X5" s="8" t="s">
        <v>448</v>
      </c>
      <c r="Y5" s="346">
        <v>7</v>
      </c>
      <c r="Z5" s="160"/>
      <c r="AA5" s="379"/>
      <c r="AB5" s="160">
        <v>8</v>
      </c>
      <c r="AC5" s="160"/>
      <c r="AD5" s="307">
        <v>9</v>
      </c>
    </row>
    <row r="6" spans="1:30" s="65" customFormat="1">
      <c r="A6" s="19"/>
      <c r="B6" s="20"/>
      <c r="C6" s="21" t="s">
        <v>22</v>
      </c>
      <c r="D6" s="20"/>
      <c r="E6" s="22"/>
      <c r="F6" s="303" t="s">
        <v>22</v>
      </c>
      <c r="G6" s="20"/>
      <c r="H6" s="88"/>
      <c r="I6" s="161"/>
      <c r="J6" s="20"/>
      <c r="K6" s="161"/>
      <c r="L6" s="19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2"/>
      <c r="Y6" s="347"/>
      <c r="Z6" s="161"/>
      <c r="AA6" s="347"/>
      <c r="AB6" s="161"/>
      <c r="AC6" s="317"/>
      <c r="AD6" s="308"/>
    </row>
    <row r="7" spans="1:30" ht="30">
      <c r="A7" s="11"/>
      <c r="B7" s="81" t="s">
        <v>8</v>
      </c>
      <c r="C7" s="302" t="s">
        <v>3</v>
      </c>
      <c r="D7" s="323" t="s">
        <v>289</v>
      </c>
      <c r="E7" s="320">
        <v>83.4</v>
      </c>
      <c r="F7" s="270" t="s">
        <v>3</v>
      </c>
      <c r="G7" s="5" t="s">
        <v>289</v>
      </c>
      <c r="H7" s="89">
        <v>83.4</v>
      </c>
      <c r="I7" s="162"/>
      <c r="J7" s="5" t="s">
        <v>289</v>
      </c>
      <c r="K7" s="162"/>
      <c r="L7" s="104">
        <v>51.98</v>
      </c>
      <c r="M7" s="5">
        <v>10</v>
      </c>
      <c r="N7" s="17">
        <v>19.399999999999999</v>
      </c>
      <c r="O7" s="5"/>
      <c r="P7" s="5"/>
      <c r="Q7" s="5"/>
      <c r="R7" s="5"/>
      <c r="S7" s="5"/>
      <c r="T7" s="5"/>
      <c r="U7" s="5"/>
      <c r="V7" s="5"/>
      <c r="W7" s="5"/>
      <c r="X7" s="105"/>
      <c r="Y7" s="348">
        <f>SUM(L7:X7)</f>
        <v>81.38</v>
      </c>
      <c r="Z7" s="162"/>
      <c r="AA7" s="388">
        <f>Y7</f>
        <v>81.38</v>
      </c>
      <c r="AB7" s="162">
        <f>H7-Y7</f>
        <v>2.0200000000000102</v>
      </c>
      <c r="AC7" s="263">
        <f>E7-Y7</f>
        <v>2.0200000000000102</v>
      </c>
      <c r="AD7" s="48" t="s">
        <v>1048</v>
      </c>
    </row>
    <row r="8" spans="1:30" ht="30">
      <c r="A8" s="11"/>
      <c r="B8" s="81" t="s">
        <v>9</v>
      </c>
      <c r="C8" s="302" t="s">
        <v>4</v>
      </c>
      <c r="D8" s="323" t="s">
        <v>290</v>
      </c>
      <c r="E8" s="320">
        <v>300.24</v>
      </c>
      <c r="F8" s="270" t="s">
        <v>4</v>
      </c>
      <c r="G8" s="5" t="s">
        <v>1088</v>
      </c>
      <c r="H8" s="89">
        <v>300.24</v>
      </c>
      <c r="I8" s="162"/>
      <c r="J8" s="5" t="s">
        <v>1088</v>
      </c>
      <c r="K8" s="162"/>
      <c r="L8" s="104">
        <f>L7*1.8*2</f>
        <v>187.12799999999999</v>
      </c>
      <c r="M8" s="5">
        <f>M7*1.8*2</f>
        <v>36</v>
      </c>
      <c r="N8" s="5">
        <f>N7*1.8*2</f>
        <v>69.84</v>
      </c>
      <c r="O8" s="5"/>
      <c r="P8" s="5"/>
      <c r="Q8" s="5"/>
      <c r="R8" s="5"/>
      <c r="S8" s="5"/>
      <c r="T8" s="5"/>
      <c r="U8" s="5"/>
      <c r="V8" s="5"/>
      <c r="W8" s="5"/>
      <c r="X8" s="105"/>
      <c r="Y8" s="348">
        <f t="shared" ref="Y8:Y12" si="0">SUM(L8:X8)</f>
        <v>292.96799999999996</v>
      </c>
      <c r="Z8" s="162"/>
      <c r="AA8" s="388">
        <f>Y8</f>
        <v>292.96799999999996</v>
      </c>
      <c r="AB8" s="162">
        <f t="shared" ref="AB8:AB144" si="1">H8-Y8</f>
        <v>7.2720000000000482</v>
      </c>
      <c r="AC8" s="263">
        <f t="shared" ref="AC8:AC14" si="2">E8-Y8</f>
        <v>7.2720000000000482</v>
      </c>
      <c r="AD8" s="48" t="s">
        <v>410</v>
      </c>
    </row>
    <row r="9" spans="1:30" ht="45">
      <c r="A9" s="11"/>
      <c r="B9" s="81" t="s">
        <v>10</v>
      </c>
      <c r="C9" s="302" t="s">
        <v>5</v>
      </c>
      <c r="D9" s="323" t="s">
        <v>289</v>
      </c>
      <c r="E9" s="330">
        <v>1.6950000000000001</v>
      </c>
      <c r="F9" s="270" t="s">
        <v>5</v>
      </c>
      <c r="G9" s="5" t="s">
        <v>289</v>
      </c>
      <c r="H9" s="90">
        <v>1.6950000000000001</v>
      </c>
      <c r="I9" s="163"/>
      <c r="J9" s="5" t="s">
        <v>289</v>
      </c>
      <c r="K9" s="163"/>
      <c r="L9" s="104">
        <v>0.5</v>
      </c>
      <c r="M9" s="5">
        <f>0.1</f>
        <v>0.1</v>
      </c>
      <c r="N9" s="5">
        <v>1.095</v>
      </c>
      <c r="O9" s="5">
        <v>22.7</v>
      </c>
      <c r="P9" s="5">
        <v>35.799999999999997</v>
      </c>
      <c r="Q9" s="5">
        <v>42</v>
      </c>
      <c r="R9" s="5">
        <v>19.87</v>
      </c>
      <c r="S9" s="5"/>
      <c r="T9" s="5"/>
      <c r="U9" s="5"/>
      <c r="V9" s="5"/>
      <c r="W9" s="5"/>
      <c r="X9" s="105"/>
      <c r="Y9" s="352">
        <f t="shared" si="0"/>
        <v>122.065</v>
      </c>
      <c r="Z9" s="163"/>
      <c r="AA9" s="389">
        <f>Y9</f>
        <v>122.065</v>
      </c>
      <c r="AB9" s="162">
        <f t="shared" si="1"/>
        <v>-120.37</v>
      </c>
      <c r="AC9" s="263">
        <f t="shared" si="2"/>
        <v>-120.37</v>
      </c>
      <c r="AD9" s="48" t="s">
        <v>1048</v>
      </c>
    </row>
    <row r="10" spans="1:30" ht="30">
      <c r="A10" s="11"/>
      <c r="B10" s="81" t="s">
        <v>11</v>
      </c>
      <c r="C10" s="302" t="s">
        <v>6</v>
      </c>
      <c r="D10" s="323" t="s">
        <v>290</v>
      </c>
      <c r="E10" s="320">
        <v>5.4240000000000004</v>
      </c>
      <c r="F10" s="270" t="s">
        <v>6</v>
      </c>
      <c r="G10" s="5" t="s">
        <v>1088</v>
      </c>
      <c r="H10" s="89">
        <v>5.4240000000000004</v>
      </c>
      <c r="I10" s="162"/>
      <c r="J10" s="5" t="s">
        <v>1088</v>
      </c>
      <c r="K10" s="162"/>
      <c r="L10" s="104">
        <f>L9*1.6*2</f>
        <v>1.6</v>
      </c>
      <c r="M10" s="5">
        <f>M9*1.6*2</f>
        <v>0.32000000000000006</v>
      </c>
      <c r="N10" s="5">
        <f>N9*1.6*2</f>
        <v>3.504</v>
      </c>
      <c r="O10" s="5">
        <f t="shared" ref="O10:R10" si="3">O9*1.6*2</f>
        <v>72.64</v>
      </c>
      <c r="P10" s="5">
        <f t="shared" si="3"/>
        <v>114.56</v>
      </c>
      <c r="Q10" s="5">
        <f t="shared" si="3"/>
        <v>134.4</v>
      </c>
      <c r="R10" s="5">
        <f t="shared" si="3"/>
        <v>63.584000000000003</v>
      </c>
      <c r="S10" s="5"/>
      <c r="T10" s="5"/>
      <c r="U10" s="5"/>
      <c r="V10" s="5"/>
      <c r="W10" s="5"/>
      <c r="X10" s="105"/>
      <c r="Y10" s="348">
        <f t="shared" si="0"/>
        <v>390.608</v>
      </c>
      <c r="Z10" s="162"/>
      <c r="AA10" s="389">
        <f t="shared" ref="AA10:AA14" si="4">Y10</f>
        <v>390.608</v>
      </c>
      <c r="AB10" s="162">
        <f t="shared" si="1"/>
        <v>-385.18400000000003</v>
      </c>
      <c r="AC10" s="263">
        <f t="shared" si="2"/>
        <v>-385.18400000000003</v>
      </c>
      <c r="AD10" s="48" t="s">
        <v>410</v>
      </c>
    </row>
    <row r="11" spans="1:30" ht="30">
      <c r="A11" s="11"/>
      <c r="B11" s="81" t="s">
        <v>12</v>
      </c>
      <c r="C11" s="302" t="s">
        <v>13</v>
      </c>
      <c r="D11" s="323" t="s">
        <v>291</v>
      </c>
      <c r="E11" s="320">
        <v>594</v>
      </c>
      <c r="F11" s="270" t="s">
        <v>13</v>
      </c>
      <c r="G11" s="5" t="s">
        <v>600</v>
      </c>
      <c r="H11" s="89">
        <v>594</v>
      </c>
      <c r="I11" s="162"/>
      <c r="J11" s="5" t="s">
        <v>600</v>
      </c>
      <c r="K11" s="162"/>
      <c r="L11" s="104">
        <v>0</v>
      </c>
      <c r="M11" s="5">
        <v>14.2</v>
      </c>
      <c r="N11" s="5">
        <v>7.5</v>
      </c>
      <c r="O11" s="5">
        <v>15.9</v>
      </c>
      <c r="P11" s="5"/>
      <c r="Q11" s="5"/>
      <c r="R11" s="5"/>
      <c r="S11" s="5"/>
      <c r="T11" s="5"/>
      <c r="U11" s="5"/>
      <c r="V11" s="5"/>
      <c r="W11" s="5"/>
      <c r="X11" s="105"/>
      <c r="Y11" s="348">
        <f t="shared" si="0"/>
        <v>37.6</v>
      </c>
      <c r="Z11" s="162"/>
      <c r="AA11" s="389">
        <f t="shared" si="4"/>
        <v>37.6</v>
      </c>
      <c r="AB11" s="162">
        <f t="shared" si="1"/>
        <v>556.4</v>
      </c>
      <c r="AC11" s="263">
        <f t="shared" si="2"/>
        <v>556.4</v>
      </c>
      <c r="AD11" s="48" t="s">
        <v>1052</v>
      </c>
    </row>
    <row r="12" spans="1:30" ht="30">
      <c r="A12" s="11"/>
      <c r="B12" s="81" t="s">
        <v>9</v>
      </c>
      <c r="C12" s="302" t="s">
        <v>4</v>
      </c>
      <c r="D12" s="323" t="s">
        <v>290</v>
      </c>
      <c r="E12" s="320">
        <v>290.82239999999996</v>
      </c>
      <c r="F12" s="270" t="s">
        <v>4</v>
      </c>
      <c r="G12" s="5" t="s">
        <v>1088</v>
      </c>
      <c r="H12" s="89">
        <v>290.82240000000002</v>
      </c>
      <c r="I12" s="162"/>
      <c r="J12" s="5" t="s">
        <v>1088</v>
      </c>
      <c r="K12" s="162"/>
      <c r="L12" s="104">
        <f>L11*(0.043+0.059)*2.4</f>
        <v>0</v>
      </c>
      <c r="M12" s="30">
        <f>M11*(0.043+0.059)*2.4*2</f>
        <v>6.9523199999999994</v>
      </c>
      <c r="N12" s="30">
        <f>N11*(0.043+0.059)*2.4*2</f>
        <v>3.6719999999999993</v>
      </c>
      <c r="O12" s="30">
        <f>O11*(0.043+0.059)*2.4*2</f>
        <v>7.7846399999999996</v>
      </c>
      <c r="P12" s="30"/>
      <c r="Q12" s="30"/>
      <c r="R12" s="30"/>
      <c r="S12" s="30"/>
      <c r="T12" s="30"/>
      <c r="U12" s="30"/>
      <c r="V12" s="30"/>
      <c r="W12" s="30"/>
      <c r="X12" s="115"/>
      <c r="Y12" s="253">
        <f t="shared" si="0"/>
        <v>18.40896</v>
      </c>
      <c r="Z12" s="152"/>
      <c r="AA12" s="389">
        <f t="shared" si="4"/>
        <v>18.40896</v>
      </c>
      <c r="AB12" s="152">
        <f t="shared" si="1"/>
        <v>272.41344000000004</v>
      </c>
      <c r="AC12" s="263">
        <f t="shared" si="2"/>
        <v>272.41343999999998</v>
      </c>
      <c r="AD12" s="48" t="s">
        <v>1052</v>
      </c>
    </row>
    <row r="13" spans="1:30" ht="45">
      <c r="A13" s="11"/>
      <c r="B13" s="81"/>
      <c r="C13" s="302"/>
      <c r="D13" s="323"/>
      <c r="E13" s="320"/>
      <c r="F13" s="272" t="s">
        <v>415</v>
      </c>
      <c r="G13" s="25" t="s">
        <v>289</v>
      </c>
      <c r="H13" s="91">
        <v>29.97</v>
      </c>
      <c r="I13" s="155"/>
      <c r="J13" s="25" t="s">
        <v>289</v>
      </c>
      <c r="K13" s="155"/>
      <c r="L13" s="106">
        <v>0</v>
      </c>
      <c r="M13" s="25">
        <v>0</v>
      </c>
      <c r="N13" s="25">
        <v>0</v>
      </c>
      <c r="O13" s="25">
        <f>100*0.1</f>
        <v>10</v>
      </c>
      <c r="P13" s="25">
        <v>10</v>
      </c>
      <c r="Q13" s="25">
        <v>2.63</v>
      </c>
      <c r="R13" s="25">
        <v>7.34</v>
      </c>
      <c r="S13" s="25"/>
      <c r="T13" s="25"/>
      <c r="U13" s="25"/>
      <c r="V13" s="25"/>
      <c r="W13" s="25"/>
      <c r="X13" s="107"/>
      <c r="Y13" s="349">
        <f t="shared" ref="Y13:Y14" si="5">SUM(L13:X13)</f>
        <v>29.97</v>
      </c>
      <c r="Z13" s="155"/>
      <c r="AA13" s="389">
        <f t="shared" si="4"/>
        <v>29.97</v>
      </c>
      <c r="AB13" s="155">
        <f t="shared" ref="AB13:AB14" si="6">H13-Y13</f>
        <v>0</v>
      </c>
      <c r="AC13" s="263">
        <f t="shared" si="2"/>
        <v>-29.97</v>
      </c>
      <c r="AD13" s="73" t="s">
        <v>1073</v>
      </c>
    </row>
    <row r="14" spans="1:30" ht="45">
      <c r="A14" s="11"/>
      <c r="B14" s="81"/>
      <c r="C14" s="302"/>
      <c r="D14" s="323"/>
      <c r="E14" s="330"/>
      <c r="F14" s="272" t="s">
        <v>4</v>
      </c>
      <c r="G14" s="25" t="s">
        <v>1088</v>
      </c>
      <c r="H14" s="92">
        <f>H13*2.4*2</f>
        <v>143.85599999999999</v>
      </c>
      <c r="I14" s="164"/>
      <c r="J14" s="25" t="s">
        <v>1088</v>
      </c>
      <c r="K14" s="164"/>
      <c r="L14" s="108">
        <f>L13*(0.043+0.059)*2.4</f>
        <v>0</v>
      </c>
      <c r="M14" s="85">
        <f>M13*(0.043+0.059)*2.4*2</f>
        <v>0</v>
      </c>
      <c r="N14" s="85">
        <f>N13*(0.043+0.059)*2.4*2</f>
        <v>0</v>
      </c>
      <c r="O14" s="92">
        <f>O13*2.4*2</f>
        <v>48</v>
      </c>
      <c r="P14" s="92">
        <f>P13*2.4*2</f>
        <v>48</v>
      </c>
      <c r="Q14" s="92">
        <f t="shared" ref="Q14:R14" si="7">Q13*2.4*2</f>
        <v>12.623999999999999</v>
      </c>
      <c r="R14" s="92">
        <f t="shared" si="7"/>
        <v>35.231999999999999</v>
      </c>
      <c r="S14" s="85"/>
      <c r="T14" s="85"/>
      <c r="U14" s="85"/>
      <c r="V14" s="85"/>
      <c r="W14" s="85"/>
      <c r="X14" s="109"/>
      <c r="Y14" s="350">
        <f t="shared" si="5"/>
        <v>143.85599999999999</v>
      </c>
      <c r="Z14" s="164"/>
      <c r="AA14" s="389">
        <f t="shared" si="4"/>
        <v>143.85599999999999</v>
      </c>
      <c r="AB14" s="164">
        <f t="shared" si="6"/>
        <v>0</v>
      </c>
      <c r="AC14" s="263">
        <f t="shared" si="2"/>
        <v>-143.85599999999999</v>
      </c>
      <c r="AD14" s="73" t="s">
        <v>1074</v>
      </c>
    </row>
    <row r="15" spans="1:30" s="65" customFormat="1">
      <c r="A15" s="23"/>
      <c r="B15" s="82"/>
      <c r="C15" s="83" t="s">
        <v>23</v>
      </c>
      <c r="D15" s="84"/>
      <c r="E15" s="120"/>
      <c r="F15" s="304" t="s">
        <v>23</v>
      </c>
      <c r="G15" s="24"/>
      <c r="H15" s="93"/>
      <c r="I15" s="165"/>
      <c r="J15" s="24"/>
      <c r="K15" s="165"/>
      <c r="L15" s="110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111"/>
      <c r="Y15" s="351"/>
      <c r="Z15" s="165"/>
      <c r="AA15" s="351"/>
      <c r="AB15" s="165"/>
      <c r="AC15" s="165"/>
      <c r="AD15" s="309"/>
    </row>
    <row r="16" spans="1:30" ht="60">
      <c r="A16" s="11"/>
      <c r="B16" s="81" t="s">
        <v>14</v>
      </c>
      <c r="C16" s="302" t="s">
        <v>15</v>
      </c>
      <c r="D16" s="323" t="s">
        <v>289</v>
      </c>
      <c r="E16" s="320">
        <v>1000</v>
      </c>
      <c r="F16" s="270" t="s">
        <v>15</v>
      </c>
      <c r="G16" s="5" t="s">
        <v>289</v>
      </c>
      <c r="H16" s="89">
        <v>1000</v>
      </c>
      <c r="I16" s="162"/>
      <c r="J16" s="5" t="s">
        <v>289</v>
      </c>
      <c r="K16" s="162"/>
      <c r="L16" s="104">
        <v>850</v>
      </c>
      <c r="M16" s="5">
        <f>1101-L16</f>
        <v>251</v>
      </c>
      <c r="N16" s="5">
        <v>224</v>
      </c>
      <c r="O16" s="5"/>
      <c r="P16" s="5"/>
      <c r="Q16" s="5"/>
      <c r="R16" s="5"/>
      <c r="S16" s="5"/>
      <c r="T16" s="5"/>
      <c r="U16" s="5"/>
      <c r="V16" s="5"/>
      <c r="W16" s="5"/>
      <c r="X16" s="105"/>
      <c r="Y16" s="348">
        <f t="shared" ref="Y16:Y144" si="8">SUM(L16:X16)</f>
        <v>1325</v>
      </c>
      <c r="Z16" s="162"/>
      <c r="AA16" s="348"/>
      <c r="AB16" s="162">
        <f t="shared" si="1"/>
        <v>-325</v>
      </c>
      <c r="AC16" s="263">
        <f t="shared" ref="AC16:AC17" si="9">E16-Y16</f>
        <v>-325</v>
      </c>
      <c r="AD16" s="48" t="s">
        <v>1048</v>
      </c>
    </row>
    <row r="17" spans="1:30">
      <c r="A17" s="11"/>
      <c r="B17" s="81" t="s">
        <v>16</v>
      </c>
      <c r="C17" s="302" t="s">
        <v>17</v>
      </c>
      <c r="D17" s="323" t="s">
        <v>292</v>
      </c>
      <c r="E17" s="320">
        <v>1750</v>
      </c>
      <c r="F17" s="270" t="s">
        <v>17</v>
      </c>
      <c r="G17" s="5" t="s">
        <v>635</v>
      </c>
      <c r="H17" s="89">
        <v>1750</v>
      </c>
      <c r="I17" s="162"/>
      <c r="J17" s="5" t="s">
        <v>635</v>
      </c>
      <c r="K17" s="162"/>
      <c r="L17" s="104">
        <f>L16*1.8</f>
        <v>1530</v>
      </c>
      <c r="M17" s="5">
        <f>M16*1.8</f>
        <v>451.8</v>
      </c>
      <c r="N17" s="17">
        <f>N16*1.8</f>
        <v>403.2</v>
      </c>
      <c r="O17" s="5"/>
      <c r="P17" s="5"/>
      <c r="Q17" s="5"/>
      <c r="R17" s="5"/>
      <c r="S17" s="5"/>
      <c r="T17" s="5"/>
      <c r="U17" s="5"/>
      <c r="V17" s="5"/>
      <c r="W17" s="5"/>
      <c r="X17" s="105"/>
      <c r="Y17" s="348">
        <f t="shared" si="8"/>
        <v>2385</v>
      </c>
      <c r="Z17" s="162"/>
      <c r="AA17" s="348"/>
      <c r="AB17" s="162">
        <f t="shared" si="1"/>
        <v>-635</v>
      </c>
      <c r="AC17" s="263">
        <f t="shared" si="9"/>
        <v>-635</v>
      </c>
      <c r="AD17" s="48" t="s">
        <v>410</v>
      </c>
    </row>
    <row r="18" spans="1:30" s="65" customFormat="1">
      <c r="A18" s="23"/>
      <c r="B18" s="82"/>
      <c r="C18" s="83" t="s">
        <v>32</v>
      </c>
      <c r="D18" s="84"/>
      <c r="E18" s="120"/>
      <c r="F18" s="304" t="s">
        <v>32</v>
      </c>
      <c r="G18" s="24"/>
      <c r="H18" s="93"/>
      <c r="I18" s="165"/>
      <c r="J18" s="24"/>
      <c r="K18" s="165"/>
      <c r="L18" s="110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111"/>
      <c r="Y18" s="351"/>
      <c r="Z18" s="165"/>
      <c r="AA18" s="351"/>
      <c r="AB18" s="165"/>
      <c r="AC18" s="165"/>
      <c r="AD18" s="309"/>
    </row>
    <row r="19" spans="1:30" s="65" customFormat="1" ht="30">
      <c r="A19" s="23"/>
      <c r="B19" s="82"/>
      <c r="C19" s="83" t="s">
        <v>466</v>
      </c>
      <c r="D19" s="84"/>
      <c r="E19" s="120"/>
      <c r="F19" s="304" t="s">
        <v>466</v>
      </c>
      <c r="G19" s="24"/>
      <c r="H19" s="93"/>
      <c r="I19" s="165"/>
      <c r="J19" s="24"/>
      <c r="K19" s="165"/>
      <c r="L19" s="110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111"/>
      <c r="Y19" s="351"/>
      <c r="Z19" s="165"/>
      <c r="AA19" s="351"/>
      <c r="AB19" s="165"/>
      <c r="AC19" s="165"/>
      <c r="AD19" s="309"/>
    </row>
    <row r="20" spans="1:30" ht="30">
      <c r="A20" s="11"/>
      <c r="B20" s="81" t="s">
        <v>18</v>
      </c>
      <c r="C20" s="302" t="s">
        <v>19</v>
      </c>
      <c r="D20" s="323" t="s">
        <v>289</v>
      </c>
      <c r="E20" s="320">
        <v>456</v>
      </c>
      <c r="F20" s="270" t="s">
        <v>19</v>
      </c>
      <c r="G20" s="5" t="s">
        <v>289</v>
      </c>
      <c r="H20" s="89">
        <v>456</v>
      </c>
      <c r="I20" s="171" t="s">
        <v>462</v>
      </c>
      <c r="J20" s="25" t="s">
        <v>289</v>
      </c>
      <c r="K20" s="187">
        <f>H20*1.5*1.1</f>
        <v>752.40000000000009</v>
      </c>
      <c r="L20" s="112">
        <f>1000*0.3</f>
        <v>300</v>
      </c>
      <c r="M20" s="80">
        <v>25.8</v>
      </c>
      <c r="N20" s="80">
        <v>80</v>
      </c>
      <c r="O20" s="80">
        <v>56</v>
      </c>
      <c r="P20" s="80">
        <v>42</v>
      </c>
      <c r="Q20" s="80"/>
      <c r="R20" s="80"/>
      <c r="S20" s="80"/>
      <c r="T20" s="80"/>
      <c r="U20" s="80"/>
      <c r="V20" s="80"/>
      <c r="W20" s="80"/>
      <c r="X20" s="113"/>
      <c r="Y20" s="253">
        <f t="shared" si="8"/>
        <v>503.8</v>
      </c>
      <c r="Z20" s="152"/>
      <c r="AA20" s="390">
        <f>Y20</f>
        <v>503.8</v>
      </c>
      <c r="AB20" s="152">
        <f t="shared" si="1"/>
        <v>-47.800000000000011</v>
      </c>
      <c r="AC20" s="263">
        <f t="shared" ref="AC20:AC26" si="10">E20-Y20</f>
        <v>-47.800000000000011</v>
      </c>
      <c r="AD20" s="48" t="s">
        <v>1049</v>
      </c>
    </row>
    <row r="21" spans="1:30" ht="45">
      <c r="A21" s="11"/>
      <c r="B21" s="81" t="s">
        <v>24</v>
      </c>
      <c r="C21" s="302" t="s">
        <v>25</v>
      </c>
      <c r="D21" s="323" t="s">
        <v>289</v>
      </c>
      <c r="E21" s="320">
        <v>717.74</v>
      </c>
      <c r="F21" s="270" t="s">
        <v>25</v>
      </c>
      <c r="G21" s="5" t="s">
        <v>289</v>
      </c>
      <c r="H21" s="89">
        <v>717.74</v>
      </c>
      <c r="I21" s="171" t="s">
        <v>1075</v>
      </c>
      <c r="J21" s="25" t="s">
        <v>289</v>
      </c>
      <c r="K21" s="155">
        <f>H21*1.26</f>
        <v>904.35239999999999</v>
      </c>
      <c r="L21" s="114">
        <f>(93.18+227.82)*1.26</f>
        <v>404.46</v>
      </c>
      <c r="M21" s="30">
        <f>(42.5+382.5)*1.26</f>
        <v>535.5</v>
      </c>
      <c r="N21" s="30">
        <f>734*1.26</f>
        <v>924.84</v>
      </c>
      <c r="O21" s="30"/>
      <c r="P21" s="30">
        <f>350*1.26</f>
        <v>441</v>
      </c>
      <c r="Q21" s="30">
        <f>(31.89+77.11)*1.26</f>
        <v>137.34</v>
      </c>
      <c r="R21" s="30"/>
      <c r="S21" s="30"/>
      <c r="T21" s="30"/>
      <c r="U21" s="30"/>
      <c r="V21" s="30"/>
      <c r="W21" s="30"/>
      <c r="X21" s="115"/>
      <c r="Y21" s="253">
        <f t="shared" si="8"/>
        <v>2443.1400000000003</v>
      </c>
      <c r="Z21" s="152"/>
      <c r="AA21" s="390">
        <f t="shared" ref="AA21:AA24" si="11">Y21</f>
        <v>2443.1400000000003</v>
      </c>
      <c r="AB21" s="152">
        <f t="shared" si="1"/>
        <v>-1725.4000000000003</v>
      </c>
      <c r="AC21" s="263">
        <f t="shared" si="10"/>
        <v>-1725.4000000000003</v>
      </c>
      <c r="AD21" s="48" t="s">
        <v>1050</v>
      </c>
    </row>
    <row r="22" spans="1:30">
      <c r="A22" s="11"/>
      <c r="B22" s="81"/>
      <c r="C22" s="302"/>
      <c r="D22" s="323"/>
      <c r="E22" s="320"/>
      <c r="F22" s="270"/>
      <c r="G22" s="5"/>
      <c r="H22" s="89"/>
      <c r="I22" s="171" t="s">
        <v>470</v>
      </c>
      <c r="J22" s="25"/>
      <c r="K22" s="155"/>
      <c r="L22" s="114"/>
      <c r="M22" s="30"/>
      <c r="N22" s="30">
        <f>93.18*1.26</f>
        <v>117.4068</v>
      </c>
      <c r="O22" s="30">
        <f>200.16*1.26</f>
        <v>252.20159999999998</v>
      </c>
      <c r="P22" s="30">
        <f>418.43*1.26</f>
        <v>527.22180000000003</v>
      </c>
      <c r="Q22" s="30">
        <f>31.89*1.26</f>
        <v>40.181400000000004</v>
      </c>
      <c r="R22" s="30"/>
      <c r="S22" s="30"/>
      <c r="T22" s="30"/>
      <c r="U22" s="30"/>
      <c r="V22" s="30"/>
      <c r="W22" s="30"/>
      <c r="X22" s="115"/>
      <c r="Y22" s="253">
        <f t="shared" si="8"/>
        <v>937.01160000000004</v>
      </c>
      <c r="Z22" s="152"/>
      <c r="AA22" s="390">
        <f t="shared" si="11"/>
        <v>937.01160000000004</v>
      </c>
      <c r="AB22" s="152">
        <f t="shared" ref="AB22" si="12">H22-Y22</f>
        <v>-937.01160000000004</v>
      </c>
      <c r="AC22" s="263">
        <f t="shared" ref="AC22" si="13">E22-Y22</f>
        <v>-937.01160000000004</v>
      </c>
      <c r="AD22" s="48"/>
    </row>
    <row r="23" spans="1:30" ht="30">
      <c r="A23" s="11"/>
      <c r="B23" s="81" t="s">
        <v>26</v>
      </c>
      <c r="C23" s="302" t="s">
        <v>27</v>
      </c>
      <c r="D23" s="323" t="s">
        <v>293</v>
      </c>
      <c r="E23" s="320">
        <v>12744</v>
      </c>
      <c r="F23" s="274" t="s">
        <v>27</v>
      </c>
      <c r="G23" s="5" t="s">
        <v>293</v>
      </c>
      <c r="H23" s="89">
        <v>12744</v>
      </c>
      <c r="I23" s="171" t="s">
        <v>463</v>
      </c>
      <c r="J23" s="25" t="s">
        <v>635</v>
      </c>
      <c r="K23" s="155">
        <v>9.1880000000000006</v>
      </c>
      <c r="L23" s="114"/>
      <c r="M23" s="30">
        <v>196.04</v>
      </c>
      <c r="N23" s="30"/>
      <c r="O23" s="30">
        <v>6069.49</v>
      </c>
      <c r="P23" s="30"/>
      <c r="Q23" s="30">
        <f>5949.77</f>
        <v>5949.77</v>
      </c>
      <c r="R23" s="30"/>
      <c r="S23" s="30">
        <v>439.5</v>
      </c>
      <c r="T23" s="30">
        <v>98.98</v>
      </c>
      <c r="U23" s="30"/>
      <c r="V23" s="30"/>
      <c r="W23" s="30"/>
      <c r="X23" s="115"/>
      <c r="Y23" s="253">
        <f t="shared" si="8"/>
        <v>12753.779999999999</v>
      </c>
      <c r="Z23" s="152"/>
      <c r="AA23" s="390">
        <f t="shared" si="11"/>
        <v>12753.779999999999</v>
      </c>
      <c r="AB23" s="152">
        <f t="shared" si="1"/>
        <v>-9.7799999999988358</v>
      </c>
      <c r="AC23" s="263">
        <f t="shared" si="10"/>
        <v>-9.7799999999988358</v>
      </c>
      <c r="AD23" s="48" t="s">
        <v>1051</v>
      </c>
    </row>
    <row r="24" spans="1:30" ht="45">
      <c r="A24" s="11"/>
      <c r="B24" s="81" t="s">
        <v>28</v>
      </c>
      <c r="C24" s="302" t="s">
        <v>29</v>
      </c>
      <c r="D24" s="323" t="s">
        <v>293</v>
      </c>
      <c r="E24" s="320">
        <v>12744</v>
      </c>
      <c r="F24" s="274" t="s">
        <v>29</v>
      </c>
      <c r="G24" s="5" t="s">
        <v>293</v>
      </c>
      <c r="H24" s="89">
        <v>12744</v>
      </c>
      <c r="I24" s="171" t="s">
        <v>464</v>
      </c>
      <c r="J24" s="25" t="s">
        <v>635</v>
      </c>
      <c r="K24" s="155">
        <v>2936.21</v>
      </c>
      <c r="L24" s="114"/>
      <c r="M24" s="30">
        <v>196.04</v>
      </c>
      <c r="N24" s="30"/>
      <c r="O24" s="30">
        <v>6069.49</v>
      </c>
      <c r="P24" s="30"/>
      <c r="Q24" s="30">
        <f>5949.77</f>
        <v>5949.77</v>
      </c>
      <c r="R24" s="30"/>
      <c r="S24" s="30">
        <v>439.5</v>
      </c>
      <c r="T24" s="30">
        <v>98.98</v>
      </c>
      <c r="U24" s="30"/>
      <c r="V24" s="30"/>
      <c r="W24" s="30"/>
      <c r="X24" s="115"/>
      <c r="Y24" s="253">
        <f t="shared" si="8"/>
        <v>12753.779999999999</v>
      </c>
      <c r="Z24" s="152"/>
      <c r="AA24" s="390">
        <f t="shared" si="11"/>
        <v>12753.779999999999</v>
      </c>
      <c r="AB24" s="152">
        <f t="shared" si="1"/>
        <v>-9.7799999999988358</v>
      </c>
      <c r="AC24" s="263">
        <f t="shared" si="10"/>
        <v>-9.7799999999988358</v>
      </c>
      <c r="AD24" s="48" t="s">
        <v>1051</v>
      </c>
    </row>
    <row r="25" spans="1:30" ht="30">
      <c r="A25" s="11"/>
      <c r="B25" s="81" t="s">
        <v>26</v>
      </c>
      <c r="C25" s="302" t="s">
        <v>27</v>
      </c>
      <c r="D25" s="323" t="s">
        <v>293</v>
      </c>
      <c r="E25" s="320">
        <v>12744</v>
      </c>
      <c r="F25" s="274" t="s">
        <v>27</v>
      </c>
      <c r="G25" s="5" t="s">
        <v>293</v>
      </c>
      <c r="H25" s="89">
        <v>12744</v>
      </c>
      <c r="I25" s="171" t="s">
        <v>463</v>
      </c>
      <c r="J25" s="25" t="s">
        <v>635</v>
      </c>
      <c r="K25" s="155">
        <v>3.9369999999999998</v>
      </c>
      <c r="L25" s="114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115"/>
      <c r="Y25" s="253">
        <f t="shared" si="8"/>
        <v>0</v>
      </c>
      <c r="Z25" s="152"/>
      <c r="AA25" s="253"/>
      <c r="AB25" s="152">
        <f t="shared" si="1"/>
        <v>12744</v>
      </c>
      <c r="AC25" s="263">
        <f t="shared" si="10"/>
        <v>12744</v>
      </c>
      <c r="AD25" s="48"/>
    </row>
    <row r="26" spans="1:30" ht="45">
      <c r="A26" s="11"/>
      <c r="B26" s="81" t="s">
        <v>30</v>
      </c>
      <c r="C26" s="302" t="s">
        <v>31</v>
      </c>
      <c r="D26" s="323" t="s">
        <v>293</v>
      </c>
      <c r="E26" s="320">
        <v>12744</v>
      </c>
      <c r="F26" s="274" t="s">
        <v>31</v>
      </c>
      <c r="G26" s="5" t="s">
        <v>293</v>
      </c>
      <c r="H26" s="89">
        <v>12744</v>
      </c>
      <c r="I26" s="171" t="s">
        <v>465</v>
      </c>
      <c r="J26" s="25" t="s">
        <v>635</v>
      </c>
      <c r="K26" s="155">
        <v>1631.23</v>
      </c>
      <c r="L26" s="11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115"/>
      <c r="Y26" s="253">
        <f t="shared" si="8"/>
        <v>0</v>
      </c>
      <c r="Z26" s="152"/>
      <c r="AA26" s="253"/>
      <c r="AB26" s="152">
        <f t="shared" si="1"/>
        <v>12744</v>
      </c>
      <c r="AC26" s="263">
        <f t="shared" si="10"/>
        <v>12744</v>
      </c>
      <c r="AD26" s="48"/>
    </row>
    <row r="27" spans="1:30" s="65" customFormat="1" ht="30">
      <c r="A27" s="23"/>
      <c r="B27" s="82"/>
      <c r="C27" s="83" t="s">
        <v>467</v>
      </c>
      <c r="D27" s="84"/>
      <c r="E27" s="120"/>
      <c r="F27" s="304" t="s">
        <v>467</v>
      </c>
      <c r="G27" s="24"/>
      <c r="H27" s="93"/>
      <c r="I27" s="165"/>
      <c r="J27" s="24"/>
      <c r="K27" s="165"/>
      <c r="L27" s="110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111"/>
      <c r="Y27" s="351"/>
      <c r="Z27" s="165"/>
      <c r="AA27" s="351"/>
      <c r="AB27" s="165"/>
      <c r="AC27" s="165"/>
      <c r="AD27" s="309"/>
    </row>
    <row r="28" spans="1:30" ht="30">
      <c r="A28" s="11"/>
      <c r="B28" s="81" t="s">
        <v>18</v>
      </c>
      <c r="C28" s="302" t="s">
        <v>19</v>
      </c>
      <c r="D28" s="323" t="s">
        <v>289</v>
      </c>
      <c r="E28" s="320">
        <v>3.12</v>
      </c>
      <c r="F28" s="270" t="s">
        <v>19</v>
      </c>
      <c r="G28" s="5" t="s">
        <v>289</v>
      </c>
      <c r="H28" s="89">
        <v>3.12</v>
      </c>
      <c r="I28" s="162"/>
      <c r="J28" s="5" t="s">
        <v>289</v>
      </c>
      <c r="K28" s="162"/>
      <c r="L28" s="104">
        <f>L30*0.2</f>
        <v>3</v>
      </c>
      <c r="M28" s="5">
        <v>6.73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105"/>
      <c r="Y28" s="348">
        <f t="shared" si="8"/>
        <v>9.73</v>
      </c>
      <c r="Z28" s="162"/>
      <c r="AA28" s="348"/>
      <c r="AB28" s="162">
        <f t="shared" si="1"/>
        <v>-6.61</v>
      </c>
      <c r="AC28" s="263">
        <f t="shared" ref="AC28:AC30" si="14">E28-Y28</f>
        <v>-6.61</v>
      </c>
      <c r="AD28" s="48" t="s">
        <v>1052</v>
      </c>
    </row>
    <row r="29" spans="1:30" ht="30">
      <c r="A29" s="11"/>
      <c r="B29" s="81"/>
      <c r="C29" s="302"/>
      <c r="D29" s="323"/>
      <c r="E29" s="320"/>
      <c r="F29" s="272" t="s">
        <v>468</v>
      </c>
      <c r="G29" s="25" t="s">
        <v>293</v>
      </c>
      <c r="H29" s="91">
        <v>15.6</v>
      </c>
      <c r="I29" s="155"/>
      <c r="J29" s="25" t="s">
        <v>293</v>
      </c>
      <c r="K29" s="155"/>
      <c r="L29" s="106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107"/>
      <c r="Y29" s="349">
        <f t="shared" ref="Y29" si="15">SUM(L29:X29)</f>
        <v>0</v>
      </c>
      <c r="Z29" s="155"/>
      <c r="AA29" s="349"/>
      <c r="AB29" s="155">
        <f t="shared" ref="AB29" si="16">H29-Y29</f>
        <v>15.6</v>
      </c>
      <c r="AC29" s="263">
        <f t="shared" si="14"/>
        <v>0</v>
      </c>
      <c r="AD29" s="48"/>
    </row>
    <row r="30" spans="1:30">
      <c r="A30" s="11"/>
      <c r="B30" s="81" t="s">
        <v>20</v>
      </c>
      <c r="C30" s="302" t="s">
        <v>21</v>
      </c>
      <c r="D30" s="323" t="s">
        <v>293</v>
      </c>
      <c r="E30" s="320">
        <v>15.6</v>
      </c>
      <c r="F30" s="272" t="s">
        <v>21</v>
      </c>
      <c r="G30" s="25" t="s">
        <v>293</v>
      </c>
      <c r="H30" s="91">
        <v>15.6</v>
      </c>
      <c r="I30" s="155"/>
      <c r="J30" s="25" t="s">
        <v>293</v>
      </c>
      <c r="K30" s="155"/>
      <c r="L30" s="106">
        <v>15</v>
      </c>
      <c r="M30" s="25">
        <f>64.88-L30</f>
        <v>49.879999999999995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107"/>
      <c r="Y30" s="349">
        <f t="shared" si="8"/>
        <v>64.88</v>
      </c>
      <c r="Z30" s="155"/>
      <c r="AA30" s="349"/>
      <c r="AB30" s="155">
        <f t="shared" si="1"/>
        <v>-49.279999999999994</v>
      </c>
      <c r="AC30" s="263">
        <f t="shared" si="14"/>
        <v>-49.279999999999994</v>
      </c>
      <c r="AD30" s="73" t="s">
        <v>412</v>
      </c>
    </row>
    <row r="31" spans="1:30" s="65" customFormat="1" ht="30">
      <c r="A31" s="23"/>
      <c r="B31" s="82"/>
      <c r="C31" s="83" t="s">
        <v>469</v>
      </c>
      <c r="D31" s="84"/>
      <c r="E31" s="120"/>
      <c r="F31" s="304" t="s">
        <v>469</v>
      </c>
      <c r="G31" s="24"/>
      <c r="H31" s="93"/>
      <c r="I31" s="165"/>
      <c r="J31" s="24"/>
      <c r="K31" s="165"/>
      <c r="L31" s="110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111"/>
      <c r="Y31" s="351"/>
      <c r="Z31" s="165"/>
      <c r="AA31" s="351"/>
      <c r="AB31" s="165"/>
      <c r="AC31" s="165"/>
      <c r="AD31" s="309"/>
    </row>
    <row r="32" spans="1:30" ht="30">
      <c r="A32" s="11"/>
      <c r="B32" s="81" t="s">
        <v>18</v>
      </c>
      <c r="C32" s="302" t="s">
        <v>19</v>
      </c>
      <c r="D32" s="323" t="s">
        <v>289</v>
      </c>
      <c r="E32" s="320">
        <v>14.25</v>
      </c>
      <c r="F32" s="270" t="s">
        <v>19</v>
      </c>
      <c r="G32" s="5" t="s">
        <v>289</v>
      </c>
      <c r="H32" s="89">
        <v>14.25</v>
      </c>
      <c r="I32" s="171" t="s">
        <v>462</v>
      </c>
      <c r="J32" s="25" t="s">
        <v>289</v>
      </c>
      <c r="K32" s="187">
        <f>H32*1.5*1.1</f>
        <v>23.512500000000003</v>
      </c>
      <c r="L32" s="104">
        <v>0</v>
      </c>
      <c r="M32" s="17">
        <f>9.73*1.1</f>
        <v>10.703000000000001</v>
      </c>
      <c r="N32" s="5">
        <v>2.77</v>
      </c>
      <c r="O32" s="5">
        <v>4.5199999999999996</v>
      </c>
      <c r="P32" s="5"/>
      <c r="Q32" s="5">
        <v>10.38</v>
      </c>
      <c r="R32" s="5"/>
      <c r="S32" s="5"/>
      <c r="T32" s="5"/>
      <c r="U32" s="5"/>
      <c r="V32" s="5"/>
      <c r="W32" s="5"/>
      <c r="X32" s="105"/>
      <c r="Y32" s="352">
        <f t="shared" si="8"/>
        <v>28.373000000000005</v>
      </c>
      <c r="Z32" s="162"/>
      <c r="AA32" s="389">
        <f>Y32</f>
        <v>28.373000000000005</v>
      </c>
      <c r="AB32" s="162">
        <f t="shared" si="1"/>
        <v>-14.123000000000005</v>
      </c>
      <c r="AC32" s="263">
        <f t="shared" ref="AC32:AC34" si="17">E32-Y32</f>
        <v>-14.123000000000005</v>
      </c>
      <c r="AD32" s="48" t="s">
        <v>455</v>
      </c>
    </row>
    <row r="33" spans="1:30" ht="30">
      <c r="A33" s="11"/>
      <c r="B33" s="81" t="s">
        <v>33</v>
      </c>
      <c r="C33" s="302" t="s">
        <v>34</v>
      </c>
      <c r="D33" s="323" t="s">
        <v>289</v>
      </c>
      <c r="E33" s="320">
        <v>14.25</v>
      </c>
      <c r="F33" s="270" t="s">
        <v>34</v>
      </c>
      <c r="G33" s="5" t="s">
        <v>289</v>
      </c>
      <c r="H33" s="89">
        <v>14.25</v>
      </c>
      <c r="I33" s="171" t="s">
        <v>470</v>
      </c>
      <c r="J33" s="25" t="s">
        <v>289</v>
      </c>
      <c r="K33" s="155">
        <v>24.597999999999999</v>
      </c>
      <c r="L33" s="104">
        <v>0</v>
      </c>
      <c r="M33" s="17">
        <f>9.73*1.26</f>
        <v>12.2598</v>
      </c>
      <c r="N33" s="17"/>
      <c r="O33" s="17">
        <f>4.42*1.26</f>
        <v>5.5692000000000004</v>
      </c>
      <c r="P33" s="17"/>
      <c r="Q33" s="17">
        <v>14.59</v>
      </c>
      <c r="R33" s="17"/>
      <c r="S33" s="17"/>
      <c r="T33" s="17"/>
      <c r="U33" s="17"/>
      <c r="V33" s="17"/>
      <c r="W33" s="17"/>
      <c r="X33" s="116"/>
      <c r="Y33" s="352">
        <f t="shared" si="8"/>
        <v>32.418999999999997</v>
      </c>
      <c r="Z33" s="163"/>
      <c r="AA33" s="389">
        <f t="shared" ref="AA33:AA34" si="18">Y33</f>
        <v>32.418999999999997</v>
      </c>
      <c r="AB33" s="163">
        <f t="shared" si="1"/>
        <v>-18.168999999999997</v>
      </c>
      <c r="AC33" s="263">
        <f t="shared" si="17"/>
        <v>-18.168999999999997</v>
      </c>
      <c r="AD33" s="48" t="s">
        <v>455</v>
      </c>
    </row>
    <row r="34" spans="1:30" ht="45">
      <c r="A34" s="11"/>
      <c r="B34" s="81" t="s">
        <v>30</v>
      </c>
      <c r="C34" s="302" t="s">
        <v>31</v>
      </c>
      <c r="D34" s="323" t="s">
        <v>293</v>
      </c>
      <c r="E34" s="320">
        <v>95</v>
      </c>
      <c r="F34" s="274" t="s">
        <v>31</v>
      </c>
      <c r="G34" s="5" t="s">
        <v>293</v>
      </c>
      <c r="H34" s="89">
        <v>95</v>
      </c>
      <c r="I34" s="171" t="s">
        <v>471</v>
      </c>
      <c r="J34" s="25" t="s">
        <v>635</v>
      </c>
      <c r="K34" s="155">
        <v>12.16</v>
      </c>
      <c r="L34" s="104">
        <v>0</v>
      </c>
      <c r="M34" s="5">
        <v>64.88</v>
      </c>
      <c r="N34" s="5"/>
      <c r="O34" s="5"/>
      <c r="P34" s="5"/>
      <c r="Q34" s="5">
        <v>107.23</v>
      </c>
      <c r="R34" s="5"/>
      <c r="S34" s="5"/>
      <c r="T34" s="5"/>
      <c r="U34" s="5"/>
      <c r="V34" s="5"/>
      <c r="W34" s="5"/>
      <c r="X34" s="105"/>
      <c r="Y34" s="348">
        <f t="shared" si="8"/>
        <v>172.11</v>
      </c>
      <c r="Z34" s="162"/>
      <c r="AA34" s="388">
        <f t="shared" si="18"/>
        <v>172.11</v>
      </c>
      <c r="AB34" s="162">
        <f t="shared" si="1"/>
        <v>-77.110000000000014</v>
      </c>
      <c r="AC34" s="263">
        <f t="shared" si="17"/>
        <v>-77.110000000000014</v>
      </c>
      <c r="AD34" s="48" t="s">
        <v>455</v>
      </c>
    </row>
    <row r="35" spans="1:30" s="65" customFormat="1">
      <c r="A35" s="23"/>
      <c r="B35" s="82"/>
      <c r="C35" s="83" t="s">
        <v>35</v>
      </c>
      <c r="D35" s="84"/>
      <c r="E35" s="120"/>
      <c r="F35" s="304" t="s">
        <v>35</v>
      </c>
      <c r="G35" s="24"/>
      <c r="H35" s="93"/>
      <c r="I35" s="165"/>
      <c r="J35" s="24"/>
      <c r="K35" s="165"/>
      <c r="L35" s="110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111"/>
      <c r="Y35" s="351"/>
      <c r="Z35" s="165"/>
      <c r="AA35" s="351"/>
      <c r="AB35" s="165"/>
      <c r="AC35" s="165"/>
      <c r="AD35" s="309"/>
    </row>
    <row r="36" spans="1:30" ht="30">
      <c r="A36" s="11"/>
      <c r="B36" s="81" t="s">
        <v>36</v>
      </c>
      <c r="C36" s="302" t="s">
        <v>37</v>
      </c>
      <c r="D36" s="323" t="s">
        <v>291</v>
      </c>
      <c r="E36" s="320">
        <v>632</v>
      </c>
      <c r="F36" s="270" t="s">
        <v>37</v>
      </c>
      <c r="G36" s="5" t="s">
        <v>600</v>
      </c>
      <c r="H36" s="89">
        <v>632</v>
      </c>
      <c r="I36" s="171" t="s">
        <v>472</v>
      </c>
      <c r="J36" s="25" t="s">
        <v>294</v>
      </c>
      <c r="K36" s="155">
        <v>632</v>
      </c>
      <c r="L36" s="104">
        <f>400+8+36</f>
        <v>444</v>
      </c>
      <c r="M36" s="5">
        <f>452.41-L36</f>
        <v>8.410000000000025</v>
      </c>
      <c r="N36" s="5">
        <v>149</v>
      </c>
      <c r="O36" s="5">
        <v>8.59</v>
      </c>
      <c r="P36" s="5">
        <v>11</v>
      </c>
      <c r="Q36" s="5">
        <v>23.1</v>
      </c>
      <c r="R36" s="5"/>
      <c r="S36" s="5"/>
      <c r="T36" s="5"/>
      <c r="U36" s="5"/>
      <c r="V36" s="5"/>
      <c r="W36" s="5"/>
      <c r="X36" s="105"/>
      <c r="Y36" s="348">
        <f t="shared" si="8"/>
        <v>644.10000000000014</v>
      </c>
      <c r="Z36" s="162"/>
      <c r="AA36" s="388">
        <f>Y36</f>
        <v>644.10000000000014</v>
      </c>
      <c r="AB36" s="162">
        <f t="shared" si="1"/>
        <v>-12.100000000000136</v>
      </c>
      <c r="AC36" s="263">
        <f t="shared" ref="AC36:AC37" si="19">E36-Y36</f>
        <v>-12.100000000000136</v>
      </c>
      <c r="AD36" s="48" t="s">
        <v>1052</v>
      </c>
    </row>
    <row r="37" spans="1:30" ht="30">
      <c r="A37" s="11"/>
      <c r="B37" s="81" t="s">
        <v>38</v>
      </c>
      <c r="C37" s="302" t="s">
        <v>39</v>
      </c>
      <c r="D37" s="323" t="s">
        <v>291</v>
      </c>
      <c r="E37" s="320">
        <v>45</v>
      </c>
      <c r="F37" s="270" t="s">
        <v>39</v>
      </c>
      <c r="G37" s="5" t="s">
        <v>600</v>
      </c>
      <c r="H37" s="89">
        <v>45</v>
      </c>
      <c r="I37" s="171" t="s">
        <v>473</v>
      </c>
      <c r="J37" s="25" t="s">
        <v>294</v>
      </c>
      <c r="K37" s="155">
        <v>74</v>
      </c>
      <c r="L37" s="104">
        <f>14+6</f>
        <v>20</v>
      </c>
      <c r="M37" s="5">
        <f>44.8-L37</f>
        <v>24.799999999999997</v>
      </c>
      <c r="N37" s="5"/>
      <c r="O37" s="5">
        <v>29.4</v>
      </c>
      <c r="P37" s="5">
        <v>2.4</v>
      </c>
      <c r="Q37" s="5"/>
      <c r="R37" s="5"/>
      <c r="S37" s="5"/>
      <c r="T37" s="5"/>
      <c r="U37" s="5"/>
      <c r="V37" s="5"/>
      <c r="W37" s="5"/>
      <c r="X37" s="105"/>
      <c r="Y37" s="348">
        <f t="shared" si="8"/>
        <v>76.599999999999994</v>
      </c>
      <c r="Z37" s="162"/>
      <c r="AA37" s="388">
        <f>Y37</f>
        <v>76.599999999999994</v>
      </c>
      <c r="AB37" s="162">
        <f>H37-Y37</f>
        <v>-31.599999999999994</v>
      </c>
      <c r="AC37" s="263">
        <f t="shared" si="19"/>
        <v>-31.599999999999994</v>
      </c>
      <c r="AD37" s="48" t="s">
        <v>1052</v>
      </c>
    </row>
    <row r="38" spans="1:30" s="65" customFormat="1">
      <c r="A38" s="23"/>
      <c r="B38" s="82"/>
      <c r="C38" s="83" t="s">
        <v>40</v>
      </c>
      <c r="D38" s="84"/>
      <c r="E38" s="120"/>
      <c r="F38" s="304" t="s">
        <v>40</v>
      </c>
      <c r="G38" s="24"/>
      <c r="H38" s="93"/>
      <c r="I38" s="165"/>
      <c r="J38" s="24"/>
      <c r="K38" s="165"/>
      <c r="L38" s="110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111"/>
      <c r="Y38" s="351"/>
      <c r="Z38" s="165"/>
      <c r="AA38" s="351"/>
      <c r="AB38" s="165"/>
      <c r="AC38" s="165"/>
      <c r="AD38" s="309"/>
    </row>
    <row r="39" spans="1:30" ht="30">
      <c r="A39" s="11"/>
      <c r="B39" s="81" t="s">
        <v>41</v>
      </c>
      <c r="C39" s="302" t="s">
        <v>42</v>
      </c>
      <c r="D39" s="323" t="s">
        <v>289</v>
      </c>
      <c r="E39" s="320">
        <v>894.2</v>
      </c>
      <c r="F39" s="273" t="s">
        <v>42</v>
      </c>
      <c r="G39" s="15" t="s">
        <v>289</v>
      </c>
      <c r="H39" s="94">
        <v>894.2</v>
      </c>
      <c r="I39" s="155"/>
      <c r="J39" s="25" t="s">
        <v>289</v>
      </c>
      <c r="K39" s="155"/>
      <c r="L39" s="106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107"/>
      <c r="Y39" s="349">
        <f t="shared" si="8"/>
        <v>0</v>
      </c>
      <c r="Z39" s="155"/>
      <c r="AA39" s="349"/>
      <c r="AB39" s="155">
        <f t="shared" si="1"/>
        <v>894.2</v>
      </c>
      <c r="AC39" s="263">
        <f t="shared" ref="AC39:AC42" si="20">E39-Y39</f>
        <v>894.2</v>
      </c>
      <c r="AD39" s="73" t="s">
        <v>459</v>
      </c>
    </row>
    <row r="40" spans="1:30" ht="30">
      <c r="A40" s="11"/>
      <c r="B40" s="81" t="s">
        <v>43</v>
      </c>
      <c r="C40" s="302" t="s">
        <v>44</v>
      </c>
      <c r="D40" s="323" t="s">
        <v>293</v>
      </c>
      <c r="E40" s="320">
        <v>4471</v>
      </c>
      <c r="F40" s="273" t="s">
        <v>44</v>
      </c>
      <c r="G40" s="15" t="s">
        <v>293</v>
      </c>
      <c r="H40" s="94">
        <v>4471</v>
      </c>
      <c r="I40" s="155"/>
      <c r="J40" s="25" t="s">
        <v>293</v>
      </c>
      <c r="K40" s="155"/>
      <c r="L40" s="106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107"/>
      <c r="Y40" s="349">
        <f t="shared" si="8"/>
        <v>0</v>
      </c>
      <c r="Z40" s="155"/>
      <c r="AA40" s="349"/>
      <c r="AB40" s="155">
        <f t="shared" si="1"/>
        <v>4471</v>
      </c>
      <c r="AC40" s="263">
        <f t="shared" si="20"/>
        <v>4471</v>
      </c>
      <c r="AD40" s="73" t="s">
        <v>458</v>
      </c>
    </row>
    <row r="41" spans="1:30">
      <c r="A41" s="11"/>
      <c r="B41" s="81"/>
      <c r="C41" s="302"/>
      <c r="D41" s="323"/>
      <c r="E41" s="320"/>
      <c r="F41" s="275" t="s">
        <v>474</v>
      </c>
      <c r="G41" s="25" t="s">
        <v>293</v>
      </c>
      <c r="H41" s="174">
        <v>2667.73</v>
      </c>
      <c r="I41" s="170" t="s">
        <v>475</v>
      </c>
      <c r="J41" s="25" t="s">
        <v>293</v>
      </c>
      <c r="K41" s="155" t="s">
        <v>634</v>
      </c>
      <c r="L41" s="106"/>
      <c r="M41" s="25"/>
      <c r="N41" s="25"/>
      <c r="O41" s="25"/>
      <c r="P41" s="25"/>
      <c r="Q41" s="25"/>
      <c r="R41" s="25"/>
      <c r="S41" s="25"/>
      <c r="T41" s="25">
        <v>500</v>
      </c>
      <c r="U41" s="25">
        <v>1335</v>
      </c>
      <c r="V41" s="25"/>
      <c r="W41" s="25"/>
      <c r="X41" s="107"/>
      <c r="Y41" s="349">
        <f t="shared" ref="Y41:Y42" si="21">SUM(L41:X41)</f>
        <v>1835</v>
      </c>
      <c r="Z41" s="155"/>
      <c r="AA41" s="349"/>
      <c r="AB41" s="155">
        <f t="shared" ref="AB41:AB42" si="22">H41-Y41</f>
        <v>832.73</v>
      </c>
      <c r="AC41" s="263">
        <f t="shared" si="20"/>
        <v>-1835</v>
      </c>
      <c r="AD41" s="73"/>
    </row>
    <row r="42" spans="1:30" ht="45">
      <c r="A42" s="11"/>
      <c r="B42" s="81"/>
      <c r="C42" s="302"/>
      <c r="D42" s="323"/>
      <c r="E42" s="320"/>
      <c r="F42" s="275" t="s">
        <v>1089</v>
      </c>
      <c r="G42" s="25" t="s">
        <v>289</v>
      </c>
      <c r="H42" s="365">
        <f>H41*0.13</f>
        <v>346.80490000000003</v>
      </c>
      <c r="I42" s="171" t="s">
        <v>470</v>
      </c>
      <c r="J42" s="25" t="s">
        <v>289</v>
      </c>
      <c r="K42" s="164">
        <f>H42</f>
        <v>346.80490000000003</v>
      </c>
      <c r="L42" s="108"/>
      <c r="M42" s="85"/>
      <c r="N42" s="85"/>
      <c r="O42" s="85"/>
      <c r="P42" s="85"/>
      <c r="Q42" s="85"/>
      <c r="R42" s="85"/>
      <c r="S42" s="85"/>
      <c r="T42" s="85">
        <f>T41*0.13</f>
        <v>65</v>
      </c>
      <c r="U42" s="85">
        <f>U41*0.13</f>
        <v>173.55</v>
      </c>
      <c r="V42" s="85"/>
      <c r="W42" s="85"/>
      <c r="X42" s="109"/>
      <c r="Y42" s="350">
        <f t="shared" si="21"/>
        <v>238.55</v>
      </c>
      <c r="Z42" s="164"/>
      <c r="AA42" s="350"/>
      <c r="AB42" s="164">
        <f t="shared" si="22"/>
        <v>108.25490000000002</v>
      </c>
      <c r="AC42" s="366">
        <f t="shared" si="20"/>
        <v>-238.55</v>
      </c>
      <c r="AD42" s="73"/>
    </row>
    <row r="43" spans="1:30" s="65" customFormat="1">
      <c r="A43" s="23"/>
      <c r="B43" s="82"/>
      <c r="C43" s="83" t="s">
        <v>45</v>
      </c>
      <c r="D43" s="84"/>
      <c r="E43" s="120"/>
      <c r="F43" s="304" t="s">
        <v>45</v>
      </c>
      <c r="G43" s="24"/>
      <c r="H43" s="93"/>
      <c r="I43" s="165"/>
      <c r="J43" s="24"/>
      <c r="K43" s="165"/>
      <c r="L43" s="110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111"/>
      <c r="Y43" s="351"/>
      <c r="Z43" s="165"/>
      <c r="AA43" s="351"/>
      <c r="AB43" s="165"/>
      <c r="AC43" s="165"/>
      <c r="AD43" s="309"/>
    </row>
    <row r="44" spans="1:30" ht="45">
      <c r="A44" s="11"/>
      <c r="B44" s="81" t="s">
        <v>46</v>
      </c>
      <c r="C44" s="302" t="s">
        <v>47</v>
      </c>
      <c r="D44" s="323" t="s">
        <v>291</v>
      </c>
      <c r="E44" s="320">
        <v>338.85999999999996</v>
      </c>
      <c r="F44" s="274" t="s">
        <v>47</v>
      </c>
      <c r="G44" s="5" t="s">
        <v>600</v>
      </c>
      <c r="H44" s="89">
        <v>338.85999999999996</v>
      </c>
      <c r="I44" s="171" t="s">
        <v>476</v>
      </c>
      <c r="J44" s="25" t="s">
        <v>294</v>
      </c>
      <c r="K44" s="155">
        <v>129</v>
      </c>
      <c r="L44" s="10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105"/>
      <c r="Y44" s="348">
        <f t="shared" si="8"/>
        <v>0</v>
      </c>
      <c r="Z44" s="162"/>
      <c r="AA44" s="348"/>
      <c r="AB44" s="162">
        <f t="shared" si="1"/>
        <v>338.85999999999996</v>
      </c>
      <c r="AC44" s="263">
        <f t="shared" ref="AC44:AC55" si="23">E44-Y44</f>
        <v>338.85999999999996</v>
      </c>
      <c r="AD44" s="48"/>
    </row>
    <row r="45" spans="1:30" ht="45">
      <c r="A45" s="11"/>
      <c r="B45" s="81"/>
      <c r="C45" s="302"/>
      <c r="D45" s="323"/>
      <c r="E45" s="320"/>
      <c r="F45" s="274"/>
      <c r="G45" s="5"/>
      <c r="H45" s="89"/>
      <c r="I45" s="171" t="s">
        <v>478</v>
      </c>
      <c r="J45" s="25" t="s">
        <v>294</v>
      </c>
      <c r="K45" s="155">
        <v>2</v>
      </c>
      <c r="L45" s="10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105"/>
      <c r="Y45" s="348"/>
      <c r="Z45" s="162"/>
      <c r="AA45" s="348"/>
      <c r="AB45" s="162"/>
      <c r="AC45" s="263">
        <f t="shared" si="23"/>
        <v>0</v>
      </c>
      <c r="AD45" s="48"/>
    </row>
    <row r="46" spans="1:30" ht="45">
      <c r="A46" s="11"/>
      <c r="B46" s="81"/>
      <c r="C46" s="302"/>
      <c r="D46" s="323"/>
      <c r="E46" s="320"/>
      <c r="F46" s="274"/>
      <c r="G46" s="5"/>
      <c r="H46" s="89"/>
      <c r="I46" s="171" t="s">
        <v>479</v>
      </c>
      <c r="J46" s="25" t="s">
        <v>294</v>
      </c>
      <c r="K46" s="155">
        <v>1</v>
      </c>
      <c r="L46" s="10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105"/>
      <c r="Y46" s="348"/>
      <c r="Z46" s="162"/>
      <c r="AA46" s="348"/>
      <c r="AB46" s="162"/>
      <c r="AC46" s="263">
        <f t="shared" si="23"/>
        <v>0</v>
      </c>
      <c r="AD46" s="48"/>
    </row>
    <row r="47" spans="1:30" ht="45">
      <c r="A47" s="11"/>
      <c r="B47" s="81"/>
      <c r="C47" s="302"/>
      <c r="D47" s="323"/>
      <c r="E47" s="320"/>
      <c r="F47" s="274"/>
      <c r="G47" s="5"/>
      <c r="H47" s="89"/>
      <c r="I47" s="171" t="s">
        <v>480</v>
      </c>
      <c r="J47" s="25" t="s">
        <v>294</v>
      </c>
      <c r="K47" s="155">
        <v>1</v>
      </c>
      <c r="L47" s="10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105"/>
      <c r="Y47" s="348"/>
      <c r="Z47" s="162"/>
      <c r="AA47" s="348"/>
      <c r="AB47" s="162"/>
      <c r="AC47" s="263">
        <f t="shared" si="23"/>
        <v>0</v>
      </c>
      <c r="AD47" s="48"/>
    </row>
    <row r="48" spans="1:30" ht="30">
      <c r="A48" s="11"/>
      <c r="B48" s="302" t="s">
        <v>48</v>
      </c>
      <c r="C48" s="302" t="s">
        <v>49</v>
      </c>
      <c r="D48" s="323" t="s">
        <v>294</v>
      </c>
      <c r="E48" s="320">
        <v>4</v>
      </c>
      <c r="F48" s="274" t="s">
        <v>49</v>
      </c>
      <c r="G48" s="5" t="s">
        <v>294</v>
      </c>
      <c r="H48" s="89">
        <v>4</v>
      </c>
      <c r="I48" s="171" t="s">
        <v>481</v>
      </c>
      <c r="J48" s="25" t="s">
        <v>294</v>
      </c>
      <c r="K48" s="155">
        <v>4</v>
      </c>
      <c r="L48" s="10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105"/>
      <c r="Y48" s="348">
        <f t="shared" si="8"/>
        <v>0</v>
      </c>
      <c r="Z48" s="162"/>
      <c r="AA48" s="348"/>
      <c r="AB48" s="162">
        <f t="shared" si="1"/>
        <v>4</v>
      </c>
      <c r="AC48" s="263">
        <f t="shared" si="23"/>
        <v>4</v>
      </c>
      <c r="AD48" s="48"/>
    </row>
    <row r="49" spans="1:30" ht="30">
      <c r="A49" s="11"/>
      <c r="B49" s="81"/>
      <c r="C49" s="302"/>
      <c r="D49" s="323"/>
      <c r="E49" s="320"/>
      <c r="F49" s="274"/>
      <c r="G49" s="5"/>
      <c r="H49" s="89"/>
      <c r="I49" s="171" t="s">
        <v>482</v>
      </c>
      <c r="J49" s="25" t="s">
        <v>294</v>
      </c>
      <c r="K49" s="155">
        <v>408</v>
      </c>
      <c r="L49" s="10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105"/>
      <c r="Y49" s="348"/>
      <c r="Z49" s="162"/>
      <c r="AA49" s="348"/>
      <c r="AB49" s="162"/>
      <c r="AC49" s="263">
        <f t="shared" si="23"/>
        <v>0</v>
      </c>
      <c r="AD49" s="48"/>
    </row>
    <row r="50" spans="1:30">
      <c r="A50" s="11"/>
      <c r="B50" s="81"/>
      <c r="C50" s="302"/>
      <c r="D50" s="323"/>
      <c r="E50" s="320"/>
      <c r="F50" s="274"/>
      <c r="G50" s="5"/>
      <c r="H50" s="89"/>
      <c r="I50" s="171" t="s">
        <v>483</v>
      </c>
      <c r="J50" s="25" t="s">
        <v>294</v>
      </c>
      <c r="K50" s="155">
        <v>160</v>
      </c>
      <c r="L50" s="10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105"/>
      <c r="Y50" s="348"/>
      <c r="Z50" s="162"/>
      <c r="AA50" s="348"/>
      <c r="AB50" s="162"/>
      <c r="AC50" s="263">
        <f t="shared" si="23"/>
        <v>0</v>
      </c>
      <c r="AD50" s="48"/>
    </row>
    <row r="51" spans="1:30">
      <c r="A51" s="11"/>
      <c r="B51" s="81"/>
      <c r="C51" s="302"/>
      <c r="D51" s="323"/>
      <c r="E51" s="320"/>
      <c r="F51" s="274"/>
      <c r="G51" s="5"/>
      <c r="H51" s="89"/>
      <c r="I51" s="171" t="s">
        <v>484</v>
      </c>
      <c r="J51" s="25" t="s">
        <v>294</v>
      </c>
      <c r="K51" s="155">
        <v>20</v>
      </c>
      <c r="L51" s="10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105"/>
      <c r="Y51" s="348"/>
      <c r="Z51" s="162"/>
      <c r="AA51" s="348"/>
      <c r="AB51" s="162"/>
      <c r="AC51" s="263">
        <f t="shared" si="23"/>
        <v>0</v>
      </c>
      <c r="AD51" s="48"/>
    </row>
    <row r="52" spans="1:30">
      <c r="A52" s="11"/>
      <c r="B52" s="81"/>
      <c r="C52" s="302"/>
      <c r="D52" s="323"/>
      <c r="E52" s="320"/>
      <c r="F52" s="274"/>
      <c r="G52" s="5"/>
      <c r="H52" s="89"/>
      <c r="I52" s="171" t="s">
        <v>485</v>
      </c>
      <c r="J52" s="25" t="s">
        <v>294</v>
      </c>
      <c r="K52" s="155">
        <v>1</v>
      </c>
      <c r="L52" s="10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105"/>
      <c r="Y52" s="348"/>
      <c r="Z52" s="162"/>
      <c r="AA52" s="348"/>
      <c r="AB52" s="162"/>
      <c r="AC52" s="263">
        <f t="shared" si="23"/>
        <v>0</v>
      </c>
      <c r="AD52" s="48"/>
    </row>
    <row r="53" spans="1:30">
      <c r="A53" s="11"/>
      <c r="B53" s="81"/>
      <c r="C53" s="302"/>
      <c r="D53" s="323"/>
      <c r="E53" s="320"/>
      <c r="F53" s="275" t="s">
        <v>486</v>
      </c>
      <c r="G53" s="25" t="s">
        <v>294</v>
      </c>
      <c r="H53" s="91">
        <v>4</v>
      </c>
      <c r="I53" s="171"/>
      <c r="J53" s="25"/>
      <c r="K53" s="155"/>
      <c r="L53" s="10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105"/>
      <c r="Y53" s="348"/>
      <c r="Z53" s="162"/>
      <c r="AA53" s="348"/>
      <c r="AB53" s="162"/>
      <c r="AC53" s="263">
        <f t="shared" si="23"/>
        <v>0</v>
      </c>
      <c r="AD53" s="48"/>
    </row>
    <row r="54" spans="1:30" s="231" customFormat="1">
      <c r="A54" s="232"/>
      <c r="B54" s="321"/>
      <c r="C54" s="322"/>
      <c r="D54" s="249"/>
      <c r="E54" s="239"/>
      <c r="F54" s="277" t="s">
        <v>977</v>
      </c>
      <c r="G54" s="223" t="s">
        <v>294</v>
      </c>
      <c r="H54" s="237">
        <v>78</v>
      </c>
      <c r="I54" s="236" t="s">
        <v>978</v>
      </c>
      <c r="J54" s="218" t="s">
        <v>294</v>
      </c>
      <c r="K54" s="221">
        <v>78</v>
      </c>
      <c r="L54" s="233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141"/>
      <c r="Y54" s="192"/>
      <c r="Z54" s="154"/>
      <c r="AA54" s="244"/>
      <c r="AB54" s="154"/>
      <c r="AC54" s="263">
        <f t="shared" si="23"/>
        <v>0</v>
      </c>
      <c r="AD54" s="234"/>
    </row>
    <row r="55" spans="1:30" s="231" customFormat="1" ht="45">
      <c r="A55" s="232"/>
      <c r="B55" s="321"/>
      <c r="C55" s="322"/>
      <c r="D55" s="249"/>
      <c r="E55" s="239"/>
      <c r="F55" s="277" t="s">
        <v>975</v>
      </c>
      <c r="G55" s="223" t="s">
        <v>1100</v>
      </c>
      <c r="H55" s="237">
        <v>1</v>
      </c>
      <c r="I55" s="381" t="s">
        <v>1099</v>
      </c>
      <c r="J55" s="380" t="s">
        <v>1101</v>
      </c>
      <c r="K55" s="221">
        <v>1</v>
      </c>
      <c r="L55" s="233"/>
      <c r="M55" s="72"/>
      <c r="N55" s="72"/>
      <c r="O55" s="72"/>
      <c r="P55" s="72"/>
      <c r="Q55" s="72"/>
      <c r="R55" s="72"/>
      <c r="S55" s="72"/>
      <c r="T55" s="72"/>
      <c r="U55" s="72">
        <v>1</v>
      </c>
      <c r="V55" s="72"/>
      <c r="W55" s="72"/>
      <c r="X55" s="141"/>
      <c r="Y55" s="244"/>
      <c r="Z55" s="154"/>
      <c r="AA55" s="244"/>
      <c r="AB55" s="154"/>
      <c r="AC55" s="263">
        <f t="shared" si="23"/>
        <v>0</v>
      </c>
      <c r="AD55" s="234" t="s">
        <v>1102</v>
      </c>
    </row>
    <row r="56" spans="1:30" s="231" customFormat="1" ht="15">
      <c r="A56" s="232"/>
      <c r="B56" s="321"/>
      <c r="C56" s="322"/>
      <c r="D56" s="249"/>
      <c r="E56" s="239"/>
      <c r="F56" s="277"/>
      <c r="G56" s="223"/>
      <c r="H56" s="237"/>
      <c r="I56" s="236"/>
      <c r="J56" s="380"/>
      <c r="K56" s="221"/>
      <c r="L56" s="233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141"/>
      <c r="Y56" s="244"/>
      <c r="Z56" s="154"/>
      <c r="AA56" s="244"/>
      <c r="AB56" s="154"/>
      <c r="AC56" s="263"/>
      <c r="AD56" s="234"/>
    </row>
    <row r="57" spans="1:30" s="65" customFormat="1">
      <c r="A57" s="23"/>
      <c r="B57" s="82"/>
      <c r="C57" s="83" t="s">
        <v>50</v>
      </c>
      <c r="D57" s="84"/>
      <c r="E57" s="120"/>
      <c r="F57" s="304" t="s">
        <v>50</v>
      </c>
      <c r="G57" s="24"/>
      <c r="H57" s="93"/>
      <c r="I57" s="165"/>
      <c r="J57" s="24"/>
      <c r="K57" s="165"/>
      <c r="L57" s="110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111"/>
      <c r="Y57" s="351"/>
      <c r="Z57" s="165"/>
      <c r="AA57" s="351"/>
      <c r="AB57" s="165"/>
      <c r="AC57" s="165"/>
      <c r="AD57" s="309"/>
    </row>
    <row r="58" spans="1:30" s="65" customFormat="1">
      <c r="A58" s="23"/>
      <c r="B58" s="82"/>
      <c r="C58" s="83" t="s">
        <v>51</v>
      </c>
      <c r="D58" s="84"/>
      <c r="E58" s="120"/>
      <c r="F58" s="304" t="s">
        <v>51</v>
      </c>
      <c r="G58" s="24"/>
      <c r="H58" s="93"/>
      <c r="I58" s="165"/>
      <c r="J58" s="24"/>
      <c r="K58" s="165"/>
      <c r="L58" s="110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111"/>
      <c r="Y58" s="351"/>
      <c r="Z58" s="165"/>
      <c r="AA58" s="351"/>
      <c r="AB58" s="165"/>
      <c r="AC58" s="165"/>
      <c r="AD58" s="309"/>
    </row>
    <row r="59" spans="1:30" s="178" customFormat="1">
      <c r="A59" s="172"/>
      <c r="B59" s="302"/>
      <c r="C59" s="302"/>
      <c r="D59" s="323"/>
      <c r="E59" s="320"/>
      <c r="F59" s="272" t="s">
        <v>487</v>
      </c>
      <c r="G59" s="173" t="s">
        <v>294</v>
      </c>
      <c r="H59" s="174">
        <v>40</v>
      </c>
      <c r="I59" s="180" t="s">
        <v>504</v>
      </c>
      <c r="J59" s="173" t="s">
        <v>289</v>
      </c>
      <c r="K59" s="175">
        <v>3</v>
      </c>
      <c r="L59" s="176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7"/>
      <c r="Y59" s="353"/>
      <c r="Z59" s="175"/>
      <c r="AA59" s="353"/>
      <c r="AB59" s="175"/>
      <c r="AC59" s="263">
        <f t="shared" ref="AC59:AC64" si="24">E59-Y59</f>
        <v>0</v>
      </c>
      <c r="AD59" s="310"/>
    </row>
    <row r="60" spans="1:30" s="178" customFormat="1">
      <c r="A60" s="172"/>
      <c r="B60" s="302"/>
      <c r="C60" s="302"/>
      <c r="D60" s="323"/>
      <c r="E60" s="320"/>
      <c r="F60" s="272"/>
      <c r="G60" s="173"/>
      <c r="H60" s="174"/>
      <c r="I60" s="180" t="s">
        <v>488</v>
      </c>
      <c r="J60" s="173" t="s">
        <v>294</v>
      </c>
      <c r="K60" s="175">
        <v>40</v>
      </c>
      <c r="L60" s="176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7"/>
      <c r="Y60" s="353"/>
      <c r="Z60" s="175"/>
      <c r="AA60" s="353"/>
      <c r="AB60" s="175"/>
      <c r="AC60" s="263">
        <f t="shared" si="24"/>
        <v>0</v>
      </c>
      <c r="AD60" s="310"/>
    </row>
    <row r="61" spans="1:30" ht="30">
      <c r="A61" s="11"/>
      <c r="B61" s="81" t="s">
        <v>52</v>
      </c>
      <c r="C61" s="302" t="s">
        <v>53</v>
      </c>
      <c r="D61" s="323" t="s">
        <v>294</v>
      </c>
      <c r="E61" s="320">
        <v>40</v>
      </c>
      <c r="F61" s="274" t="s">
        <v>53</v>
      </c>
      <c r="G61" s="5" t="s">
        <v>294</v>
      </c>
      <c r="H61" s="91">
        <v>107</v>
      </c>
      <c r="I61" s="171" t="s">
        <v>489</v>
      </c>
      <c r="J61" s="25" t="s">
        <v>294</v>
      </c>
      <c r="K61" s="155">
        <v>1</v>
      </c>
      <c r="L61" s="106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107"/>
      <c r="Y61" s="349">
        <f t="shared" si="8"/>
        <v>0</v>
      </c>
      <c r="Z61" s="155"/>
      <c r="AA61" s="349"/>
      <c r="AB61" s="155">
        <f t="shared" si="1"/>
        <v>107</v>
      </c>
      <c r="AC61" s="339">
        <f t="shared" si="24"/>
        <v>40</v>
      </c>
      <c r="AD61" s="48"/>
    </row>
    <row r="62" spans="1:30">
      <c r="A62" s="11"/>
      <c r="B62" s="81"/>
      <c r="C62" s="302"/>
      <c r="D62" s="323"/>
      <c r="E62" s="320"/>
      <c r="F62" s="274"/>
      <c r="G62" s="5"/>
      <c r="H62" s="89"/>
      <c r="I62" s="171" t="s">
        <v>490</v>
      </c>
      <c r="J62" s="25" t="s">
        <v>294</v>
      </c>
      <c r="K62" s="155">
        <v>4</v>
      </c>
      <c r="L62" s="106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107"/>
      <c r="Y62" s="349"/>
      <c r="Z62" s="155"/>
      <c r="AA62" s="349"/>
      <c r="AB62" s="155"/>
      <c r="AC62" s="339">
        <f t="shared" si="24"/>
        <v>0</v>
      </c>
      <c r="AD62" s="48"/>
    </row>
    <row r="63" spans="1:30" ht="30">
      <c r="A63" s="11"/>
      <c r="B63" s="81"/>
      <c r="C63" s="302"/>
      <c r="D63" s="323"/>
      <c r="E63" s="320"/>
      <c r="F63" s="274"/>
      <c r="G63" s="5"/>
      <c r="H63" s="89"/>
      <c r="I63" s="171" t="s">
        <v>491</v>
      </c>
      <c r="J63" s="25" t="s">
        <v>294</v>
      </c>
      <c r="K63" s="155">
        <v>52</v>
      </c>
      <c r="L63" s="106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107"/>
      <c r="Y63" s="349"/>
      <c r="Z63" s="155"/>
      <c r="AA63" s="349"/>
      <c r="AB63" s="155"/>
      <c r="AC63" s="339">
        <f t="shared" si="24"/>
        <v>0</v>
      </c>
      <c r="AD63" s="48"/>
    </row>
    <row r="64" spans="1:30" ht="30">
      <c r="A64" s="11"/>
      <c r="B64" s="81"/>
      <c r="C64" s="302"/>
      <c r="D64" s="323"/>
      <c r="E64" s="320"/>
      <c r="F64" s="274"/>
      <c r="G64" s="5"/>
      <c r="H64" s="89"/>
      <c r="I64" s="171" t="s">
        <v>492</v>
      </c>
      <c r="J64" s="25" t="s">
        <v>294</v>
      </c>
      <c r="K64" s="155">
        <v>50</v>
      </c>
      <c r="L64" s="106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107"/>
      <c r="Y64" s="349"/>
      <c r="Z64" s="155"/>
      <c r="AA64" s="349"/>
      <c r="AB64" s="155"/>
      <c r="AC64" s="339">
        <f t="shared" si="24"/>
        <v>0</v>
      </c>
      <c r="AD64" s="48"/>
    </row>
    <row r="65" spans="1:30" s="65" customFormat="1">
      <c r="A65" s="23"/>
      <c r="B65" s="82"/>
      <c r="C65" s="83" t="s">
        <v>54</v>
      </c>
      <c r="D65" s="84"/>
      <c r="E65" s="120"/>
      <c r="F65" s="304" t="s">
        <v>54</v>
      </c>
      <c r="G65" s="24"/>
      <c r="H65" s="93"/>
      <c r="I65" s="165"/>
      <c r="J65" s="24"/>
      <c r="K65" s="165"/>
      <c r="L65" s="110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111"/>
      <c r="Y65" s="351"/>
      <c r="Z65" s="165"/>
      <c r="AA65" s="351"/>
      <c r="AB65" s="165"/>
      <c r="AC65" s="165"/>
      <c r="AD65" s="309"/>
    </row>
    <row r="66" spans="1:30" ht="30">
      <c r="A66" s="11"/>
      <c r="B66" s="81" t="s">
        <v>55</v>
      </c>
      <c r="C66" s="302" t="s">
        <v>56</v>
      </c>
      <c r="D66" s="323" t="s">
        <v>293</v>
      </c>
      <c r="E66" s="320">
        <v>406.7</v>
      </c>
      <c r="F66" s="274" t="s">
        <v>56</v>
      </c>
      <c r="G66" s="5" t="s">
        <v>293</v>
      </c>
      <c r="H66" s="89">
        <v>406.7</v>
      </c>
      <c r="I66" s="171" t="s">
        <v>493</v>
      </c>
      <c r="J66" s="25" t="s">
        <v>293</v>
      </c>
      <c r="K66" s="155">
        <v>376.98</v>
      </c>
      <c r="L66" s="10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105"/>
      <c r="Y66" s="348">
        <f t="shared" si="8"/>
        <v>0</v>
      </c>
      <c r="Z66" s="162"/>
      <c r="AA66" s="348"/>
      <c r="AB66" s="162">
        <f t="shared" si="1"/>
        <v>406.7</v>
      </c>
      <c r="AC66" s="263">
        <f t="shared" ref="AC66:AC69" si="25">E66-Y66</f>
        <v>406.7</v>
      </c>
      <c r="AD66" s="48"/>
    </row>
    <row r="67" spans="1:30" ht="30">
      <c r="A67" s="11"/>
      <c r="B67" s="81"/>
      <c r="C67" s="302"/>
      <c r="D67" s="323"/>
      <c r="E67" s="320"/>
      <c r="F67" s="274"/>
      <c r="G67" s="5"/>
      <c r="H67" s="89"/>
      <c r="I67" s="171" t="s">
        <v>494</v>
      </c>
      <c r="J67" s="25" t="s">
        <v>293</v>
      </c>
      <c r="K67" s="155">
        <v>17.78</v>
      </c>
      <c r="L67" s="10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105"/>
      <c r="Y67" s="348"/>
      <c r="Z67" s="162"/>
      <c r="AA67" s="348"/>
      <c r="AB67" s="162"/>
      <c r="AC67" s="263">
        <f t="shared" si="25"/>
        <v>0</v>
      </c>
      <c r="AD67" s="48"/>
    </row>
    <row r="68" spans="1:30" ht="30">
      <c r="A68" s="11"/>
      <c r="B68" s="81"/>
      <c r="C68" s="302"/>
      <c r="D68" s="323"/>
      <c r="E68" s="320"/>
      <c r="F68" s="274"/>
      <c r="G68" s="5"/>
      <c r="H68" s="89"/>
      <c r="I68" s="171" t="s">
        <v>495</v>
      </c>
      <c r="J68" s="25" t="s">
        <v>293</v>
      </c>
      <c r="K68" s="155">
        <v>9.68</v>
      </c>
      <c r="L68" s="10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105"/>
      <c r="Y68" s="348"/>
      <c r="Z68" s="162"/>
      <c r="AA68" s="348"/>
      <c r="AB68" s="162"/>
      <c r="AC68" s="263">
        <f t="shared" si="25"/>
        <v>0</v>
      </c>
      <c r="AD68" s="48"/>
    </row>
    <row r="69" spans="1:30" ht="30">
      <c r="A69" s="11"/>
      <c r="B69" s="81"/>
      <c r="C69" s="302"/>
      <c r="D69" s="323"/>
      <c r="E69" s="320"/>
      <c r="F69" s="274"/>
      <c r="G69" s="5"/>
      <c r="H69" s="89"/>
      <c r="I69" s="171" t="s">
        <v>495</v>
      </c>
      <c r="J69" s="25" t="s">
        <v>293</v>
      </c>
      <c r="K69" s="155">
        <v>2.2599999999999998</v>
      </c>
      <c r="L69" s="10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105"/>
      <c r="Y69" s="348"/>
      <c r="Z69" s="162"/>
      <c r="AA69" s="348"/>
      <c r="AB69" s="162"/>
      <c r="AC69" s="263">
        <f t="shared" si="25"/>
        <v>0</v>
      </c>
      <c r="AD69" s="48"/>
    </row>
    <row r="70" spans="1:30" s="65" customFormat="1">
      <c r="A70" s="23"/>
      <c r="B70" s="82"/>
      <c r="C70" s="83" t="s">
        <v>57</v>
      </c>
      <c r="D70" s="84"/>
      <c r="E70" s="120"/>
      <c r="F70" s="304" t="s">
        <v>57</v>
      </c>
      <c r="G70" s="24"/>
      <c r="H70" s="93"/>
      <c r="I70" s="165"/>
      <c r="J70" s="24"/>
      <c r="K70" s="165"/>
      <c r="L70" s="110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111"/>
      <c r="Y70" s="351"/>
      <c r="Z70" s="165"/>
      <c r="AA70" s="351"/>
      <c r="AB70" s="165"/>
      <c r="AC70" s="165"/>
      <c r="AD70" s="309"/>
    </row>
    <row r="71" spans="1:30" ht="60">
      <c r="A71" s="11"/>
      <c r="B71" s="81" t="s">
        <v>14</v>
      </c>
      <c r="C71" s="302" t="s">
        <v>15</v>
      </c>
      <c r="D71" s="323" t="s">
        <v>289</v>
      </c>
      <c r="E71" s="320">
        <v>108</v>
      </c>
      <c r="F71" s="274" t="s">
        <v>15</v>
      </c>
      <c r="G71" s="5" t="s">
        <v>289</v>
      </c>
      <c r="H71" s="91">
        <v>591.96</v>
      </c>
      <c r="I71" s="162"/>
      <c r="J71" s="5" t="s">
        <v>289</v>
      </c>
      <c r="K71" s="162"/>
      <c r="L71" s="104"/>
      <c r="M71" s="5"/>
      <c r="N71" s="5">
        <f>36.22+198.38</f>
        <v>234.6</v>
      </c>
      <c r="O71" s="5"/>
      <c r="P71" s="5"/>
      <c r="Q71" s="5">
        <v>125.5</v>
      </c>
      <c r="R71" s="5"/>
      <c r="S71" s="5"/>
      <c r="T71" s="5"/>
      <c r="U71" s="5"/>
      <c r="V71" s="5"/>
      <c r="W71" s="5"/>
      <c r="X71" s="105"/>
      <c r="Y71" s="348">
        <f t="shared" si="8"/>
        <v>360.1</v>
      </c>
      <c r="Z71" s="162"/>
      <c r="AA71" s="348"/>
      <c r="AB71" s="162">
        <f t="shared" si="1"/>
        <v>231.86</v>
      </c>
      <c r="AC71" s="263">
        <f t="shared" ref="AC71:AC79" si="26">E71-Y71</f>
        <v>-252.10000000000002</v>
      </c>
      <c r="AD71" s="48" t="s">
        <v>1045</v>
      </c>
    </row>
    <row r="72" spans="1:30" ht="30">
      <c r="A72" s="11"/>
      <c r="B72" s="81" t="s">
        <v>11</v>
      </c>
      <c r="C72" s="302" t="s">
        <v>6</v>
      </c>
      <c r="D72" s="323" t="s">
        <v>290</v>
      </c>
      <c r="E72" s="320">
        <v>64</v>
      </c>
      <c r="F72" s="274" t="s">
        <v>6</v>
      </c>
      <c r="G72" s="5" t="s">
        <v>1088</v>
      </c>
      <c r="H72" s="91">
        <v>875</v>
      </c>
      <c r="I72" s="162"/>
      <c r="J72" s="5" t="s">
        <v>1088</v>
      </c>
      <c r="K72" s="162"/>
      <c r="L72" s="104"/>
      <c r="M72" s="5"/>
      <c r="N72" s="5">
        <f>N71*0.59</f>
        <v>138.41399999999999</v>
      </c>
      <c r="O72" s="5"/>
      <c r="P72" s="5"/>
      <c r="Q72" s="5">
        <v>115</v>
      </c>
      <c r="R72" s="5"/>
      <c r="S72" s="5"/>
      <c r="T72" s="5"/>
      <c r="U72" s="5"/>
      <c r="V72" s="5"/>
      <c r="W72" s="5"/>
      <c r="X72" s="105"/>
      <c r="Y72" s="348">
        <f t="shared" si="8"/>
        <v>253.41399999999999</v>
      </c>
      <c r="Z72" s="162"/>
      <c r="AA72" s="348"/>
      <c r="AB72" s="162">
        <f t="shared" si="1"/>
        <v>621.58600000000001</v>
      </c>
      <c r="AC72" s="263">
        <f t="shared" si="26"/>
        <v>-189.41399999999999</v>
      </c>
      <c r="AD72" s="48" t="s">
        <v>410</v>
      </c>
    </row>
    <row r="73" spans="1:30" ht="60">
      <c r="A73" s="11"/>
      <c r="B73" s="81" t="s">
        <v>58</v>
      </c>
      <c r="C73" s="302" t="s">
        <v>59</v>
      </c>
      <c r="D73" s="323" t="s">
        <v>289</v>
      </c>
      <c r="E73" s="320">
        <v>3.2</v>
      </c>
      <c r="F73" s="274" t="s">
        <v>59</v>
      </c>
      <c r="G73" s="5" t="s">
        <v>289</v>
      </c>
      <c r="H73" s="91">
        <v>16.22</v>
      </c>
      <c r="I73" s="171" t="s">
        <v>462</v>
      </c>
      <c r="J73" s="25" t="s">
        <v>289</v>
      </c>
      <c r="K73" s="187">
        <f>H73*1.5*1.1</f>
        <v>26.763000000000002</v>
      </c>
      <c r="L73" s="104"/>
      <c r="M73" s="5"/>
      <c r="N73" s="5">
        <v>7</v>
      </c>
      <c r="O73" s="5"/>
      <c r="P73" s="5"/>
      <c r="Q73" s="5">
        <v>15</v>
      </c>
      <c r="R73" s="5"/>
      <c r="S73" s="5"/>
      <c r="T73" s="5"/>
      <c r="U73" s="5"/>
      <c r="V73" s="5"/>
      <c r="W73" s="5"/>
      <c r="X73" s="105"/>
      <c r="Y73" s="348">
        <f t="shared" si="8"/>
        <v>22</v>
      </c>
      <c r="Z73" s="162"/>
      <c r="AA73" s="348"/>
      <c r="AB73" s="162">
        <f t="shared" si="1"/>
        <v>-5.7800000000000011</v>
      </c>
      <c r="AC73" s="263">
        <f t="shared" si="26"/>
        <v>-18.8</v>
      </c>
      <c r="AD73" s="48" t="s">
        <v>1045</v>
      </c>
    </row>
    <row r="74" spans="1:30" ht="30">
      <c r="A74" s="11"/>
      <c r="B74" s="81" t="s">
        <v>60</v>
      </c>
      <c r="C74" s="302" t="s">
        <v>61</v>
      </c>
      <c r="D74" s="323" t="s">
        <v>291</v>
      </c>
      <c r="E74" s="320">
        <v>63.51</v>
      </c>
      <c r="F74" s="274" t="s">
        <v>61</v>
      </c>
      <c r="G74" s="5" t="s">
        <v>600</v>
      </c>
      <c r="H74" s="89">
        <v>63.51</v>
      </c>
      <c r="I74" s="171" t="s">
        <v>496</v>
      </c>
      <c r="J74" s="25" t="s">
        <v>600</v>
      </c>
      <c r="K74" s="155">
        <v>64</v>
      </c>
      <c r="L74" s="104"/>
      <c r="M74" s="5"/>
      <c r="N74" s="5">
        <v>60.98</v>
      </c>
      <c r="O74" s="5"/>
      <c r="P74" s="5"/>
      <c r="Q74" s="5">
        <v>60</v>
      </c>
      <c r="R74" s="5"/>
      <c r="S74" s="5"/>
      <c r="T74" s="5"/>
      <c r="U74" s="5"/>
      <c r="V74" s="5"/>
      <c r="W74" s="5"/>
      <c r="X74" s="105"/>
      <c r="Y74" s="348">
        <f t="shared" si="8"/>
        <v>120.97999999999999</v>
      </c>
      <c r="Z74" s="162"/>
      <c r="AA74" s="348"/>
      <c r="AB74" s="162">
        <f t="shared" si="1"/>
        <v>-57.469999999999992</v>
      </c>
      <c r="AC74" s="263">
        <f t="shared" si="26"/>
        <v>-57.469999999999992</v>
      </c>
      <c r="AD74" s="48" t="s">
        <v>1045</v>
      </c>
    </row>
    <row r="75" spans="1:30" ht="30">
      <c r="A75" s="11"/>
      <c r="B75" s="81"/>
      <c r="C75" s="302"/>
      <c r="D75" s="323"/>
      <c r="E75" s="320"/>
      <c r="F75" s="274"/>
      <c r="G75" s="5"/>
      <c r="H75" s="91"/>
      <c r="I75" s="171" t="s">
        <v>497</v>
      </c>
      <c r="J75" s="25" t="s">
        <v>294</v>
      </c>
      <c r="K75" s="155">
        <v>5</v>
      </c>
      <c r="L75" s="106"/>
      <c r="M75" s="25"/>
      <c r="N75" s="25"/>
      <c r="O75" s="25"/>
      <c r="P75" s="25"/>
      <c r="Q75" s="25">
        <v>5</v>
      </c>
      <c r="R75" s="25"/>
      <c r="S75" s="25"/>
      <c r="T75" s="25"/>
      <c r="U75" s="25"/>
      <c r="V75" s="25"/>
      <c r="W75" s="25"/>
      <c r="X75" s="107"/>
      <c r="Y75" s="349"/>
      <c r="Z75" s="155"/>
      <c r="AA75" s="349"/>
      <c r="AB75" s="155"/>
      <c r="AC75" s="339">
        <f t="shared" si="26"/>
        <v>0</v>
      </c>
      <c r="AD75" s="48" t="s">
        <v>1045</v>
      </c>
    </row>
    <row r="76" spans="1:30" ht="30">
      <c r="A76" s="11"/>
      <c r="B76" s="81"/>
      <c r="C76" s="302"/>
      <c r="D76" s="323"/>
      <c r="E76" s="320"/>
      <c r="F76" s="274"/>
      <c r="G76" s="5"/>
      <c r="H76" s="91"/>
      <c r="I76" s="171" t="s">
        <v>498</v>
      </c>
      <c r="J76" s="25" t="s">
        <v>294</v>
      </c>
      <c r="K76" s="155">
        <v>5</v>
      </c>
      <c r="L76" s="104"/>
      <c r="M76" s="5"/>
      <c r="N76" s="5"/>
      <c r="O76" s="5"/>
      <c r="P76" s="5"/>
      <c r="Q76" s="5">
        <v>5</v>
      </c>
      <c r="R76" s="5"/>
      <c r="S76" s="5"/>
      <c r="T76" s="5"/>
      <c r="U76" s="5"/>
      <c r="V76" s="5"/>
      <c r="W76" s="5"/>
      <c r="X76" s="105"/>
      <c r="Y76" s="348"/>
      <c r="Z76" s="162"/>
      <c r="AA76" s="348"/>
      <c r="AB76" s="162"/>
      <c r="AC76" s="263">
        <f t="shared" si="26"/>
        <v>0</v>
      </c>
      <c r="AD76" s="48" t="s">
        <v>1045</v>
      </c>
    </row>
    <row r="77" spans="1:30" ht="60">
      <c r="A77" s="11"/>
      <c r="B77" s="81" t="s">
        <v>58</v>
      </c>
      <c r="C77" s="302" t="s">
        <v>59</v>
      </c>
      <c r="D77" s="323" t="s">
        <v>289</v>
      </c>
      <c r="E77" s="320">
        <v>5</v>
      </c>
      <c r="F77" s="274" t="s">
        <v>59</v>
      </c>
      <c r="G77" s="5" t="s">
        <v>289</v>
      </c>
      <c r="H77" s="91">
        <v>563.04999999999995</v>
      </c>
      <c r="I77" s="171" t="s">
        <v>462</v>
      </c>
      <c r="J77" s="25" t="s">
        <v>289</v>
      </c>
      <c r="K77" s="187">
        <f>H77*1.5*1.1</f>
        <v>929.03250000000003</v>
      </c>
      <c r="L77" s="104"/>
      <c r="M77" s="5"/>
      <c r="N77" s="5">
        <v>5.3</v>
      </c>
      <c r="O77" s="5"/>
      <c r="P77" s="5"/>
      <c r="Q77" s="5">
        <v>8</v>
      </c>
      <c r="R77" s="5"/>
      <c r="S77" s="5"/>
      <c r="T77" s="5"/>
      <c r="U77" s="5"/>
      <c r="V77" s="5"/>
      <c r="W77" s="5"/>
      <c r="X77" s="105"/>
      <c r="Y77" s="348">
        <f t="shared" si="8"/>
        <v>13.3</v>
      </c>
      <c r="Z77" s="162"/>
      <c r="AA77" s="348"/>
      <c r="AB77" s="162">
        <f t="shared" si="1"/>
        <v>549.75</v>
      </c>
      <c r="AC77" s="263">
        <f t="shared" si="26"/>
        <v>-8.3000000000000007</v>
      </c>
      <c r="AD77" s="48" t="s">
        <v>1045</v>
      </c>
    </row>
    <row r="78" spans="1:30" ht="30">
      <c r="A78" s="11"/>
      <c r="B78" s="81" t="s">
        <v>62</v>
      </c>
      <c r="C78" s="302" t="s">
        <v>63</v>
      </c>
      <c r="D78" s="323" t="s">
        <v>289</v>
      </c>
      <c r="E78" s="320">
        <v>88</v>
      </c>
      <c r="F78" s="274" t="s">
        <v>63</v>
      </c>
      <c r="G78" s="5" t="s">
        <v>289</v>
      </c>
      <c r="H78" s="91">
        <v>35.6</v>
      </c>
      <c r="I78" s="162"/>
      <c r="J78" s="5" t="s">
        <v>289</v>
      </c>
      <c r="K78" s="162"/>
      <c r="L78" s="104"/>
      <c r="M78" s="5"/>
      <c r="N78" s="5">
        <f>22.91+54.65+132</f>
        <v>209.56</v>
      </c>
      <c r="O78" s="5"/>
      <c r="P78" s="5"/>
      <c r="Q78" s="5"/>
      <c r="R78" s="5"/>
      <c r="S78" s="5"/>
      <c r="T78" s="5"/>
      <c r="U78" s="5"/>
      <c r="V78" s="5"/>
      <c r="W78" s="5"/>
      <c r="X78" s="105"/>
      <c r="Y78" s="348">
        <f t="shared" si="8"/>
        <v>209.56</v>
      </c>
      <c r="Z78" s="162"/>
      <c r="AA78" s="348"/>
      <c r="AB78" s="162">
        <f t="shared" si="1"/>
        <v>-173.96</v>
      </c>
      <c r="AC78" s="263">
        <f t="shared" si="26"/>
        <v>-121.56</v>
      </c>
      <c r="AD78" s="48" t="s">
        <v>1045</v>
      </c>
    </row>
    <row r="79" spans="1:30" ht="30">
      <c r="A79" s="11"/>
      <c r="B79" s="81" t="s">
        <v>64</v>
      </c>
      <c r="C79" s="302" t="s">
        <v>65</v>
      </c>
      <c r="D79" s="323" t="s">
        <v>294</v>
      </c>
      <c r="E79" s="320">
        <v>1</v>
      </c>
      <c r="F79" s="274" t="s">
        <v>65</v>
      </c>
      <c r="G79" s="5" t="s">
        <v>294</v>
      </c>
      <c r="H79" s="89">
        <v>1</v>
      </c>
      <c r="I79" s="162"/>
      <c r="J79" s="5" t="s">
        <v>294</v>
      </c>
      <c r="K79" s="162"/>
      <c r="L79" s="104"/>
      <c r="M79" s="5"/>
      <c r="N79" s="5">
        <v>1</v>
      </c>
      <c r="O79" s="5"/>
      <c r="P79" s="5"/>
      <c r="Q79" s="5"/>
      <c r="R79" s="5"/>
      <c r="S79" s="5"/>
      <c r="T79" s="5"/>
      <c r="U79" s="5"/>
      <c r="V79" s="5"/>
      <c r="W79" s="5"/>
      <c r="X79" s="105"/>
      <c r="Y79" s="348">
        <f t="shared" si="8"/>
        <v>1</v>
      </c>
      <c r="Z79" s="162"/>
      <c r="AA79" s="348"/>
      <c r="AB79" s="162">
        <f t="shared" si="1"/>
        <v>0</v>
      </c>
      <c r="AC79" s="263">
        <f t="shared" si="26"/>
        <v>0</v>
      </c>
      <c r="AD79" s="48" t="s">
        <v>1045</v>
      </c>
    </row>
    <row r="80" spans="1:30" s="65" customFormat="1">
      <c r="A80" s="23"/>
      <c r="B80" s="82"/>
      <c r="C80" s="83" t="s">
        <v>66</v>
      </c>
      <c r="D80" s="84"/>
      <c r="E80" s="120"/>
      <c r="F80" s="304" t="s">
        <v>66</v>
      </c>
      <c r="G80" s="24"/>
      <c r="H80" s="93"/>
      <c r="I80" s="165"/>
      <c r="J80" s="24"/>
      <c r="K80" s="165"/>
      <c r="L80" s="110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111"/>
      <c r="Y80" s="351"/>
      <c r="Z80" s="165"/>
      <c r="AA80" s="351"/>
      <c r="AB80" s="165"/>
      <c r="AC80" s="165"/>
      <c r="AD80" s="309"/>
    </row>
    <row r="81" spans="1:30" ht="30">
      <c r="A81" s="11"/>
      <c r="B81" s="81" t="s">
        <v>67</v>
      </c>
      <c r="C81" s="302" t="s">
        <v>68</v>
      </c>
      <c r="D81" s="323" t="s">
        <v>294</v>
      </c>
      <c r="E81" s="320">
        <v>2</v>
      </c>
      <c r="F81" s="274" t="s">
        <v>68</v>
      </c>
      <c r="G81" s="5" t="s">
        <v>294</v>
      </c>
      <c r="H81" s="89">
        <v>2</v>
      </c>
      <c r="I81" s="171" t="s">
        <v>499</v>
      </c>
      <c r="J81" s="25" t="s">
        <v>294</v>
      </c>
      <c r="K81" s="155">
        <v>2</v>
      </c>
      <c r="L81" s="104"/>
      <c r="M81" s="5"/>
      <c r="N81" s="5"/>
      <c r="O81" s="5">
        <v>1</v>
      </c>
      <c r="P81" s="5"/>
      <c r="Q81" s="5">
        <v>4</v>
      </c>
      <c r="R81" s="5"/>
      <c r="S81" s="5"/>
      <c r="T81" s="5"/>
      <c r="U81" s="5"/>
      <c r="V81" s="5"/>
      <c r="W81" s="5"/>
      <c r="X81" s="105"/>
      <c r="Y81" s="348">
        <f t="shared" si="8"/>
        <v>5</v>
      </c>
      <c r="Z81" s="162"/>
      <c r="AA81" s="348"/>
      <c r="AB81" s="162">
        <f t="shared" si="1"/>
        <v>-3</v>
      </c>
      <c r="AC81" s="263">
        <f>E81-Y81</f>
        <v>-3</v>
      </c>
      <c r="AD81" s="48" t="s">
        <v>1045</v>
      </c>
    </row>
    <row r="82" spans="1:30" s="65" customFormat="1">
      <c r="A82" s="23"/>
      <c r="B82" s="82"/>
      <c r="C82" s="83" t="s">
        <v>69</v>
      </c>
      <c r="D82" s="84"/>
      <c r="E82" s="120"/>
      <c r="F82" s="304" t="s">
        <v>69</v>
      </c>
      <c r="G82" s="24"/>
      <c r="H82" s="93"/>
      <c r="I82" s="165"/>
      <c r="J82" s="24"/>
      <c r="K82" s="165"/>
      <c r="L82" s="110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111"/>
      <c r="Y82" s="351"/>
      <c r="Z82" s="165"/>
      <c r="AA82" s="351"/>
      <c r="AB82" s="165"/>
      <c r="AC82" s="165"/>
      <c r="AD82" s="309"/>
    </row>
    <row r="83" spans="1:30" ht="60">
      <c r="A83" s="11"/>
      <c r="B83" s="81" t="s">
        <v>58</v>
      </c>
      <c r="C83" s="302" t="s">
        <v>59</v>
      </c>
      <c r="D83" s="323" t="s">
        <v>289</v>
      </c>
      <c r="E83" s="320">
        <v>0.8</v>
      </c>
      <c r="F83" s="274" t="s">
        <v>59</v>
      </c>
      <c r="G83" s="5" t="s">
        <v>289</v>
      </c>
      <c r="H83" s="91">
        <v>0.57999999999999996</v>
      </c>
      <c r="I83" s="171" t="s">
        <v>500</v>
      </c>
      <c r="J83" s="25" t="s">
        <v>289</v>
      </c>
      <c r="K83" s="187">
        <f>H83*1.5*1.1</f>
        <v>0.95699999999999996</v>
      </c>
      <c r="L83" s="104"/>
      <c r="M83" s="5"/>
      <c r="N83" s="5"/>
      <c r="O83" s="5">
        <v>0.67</v>
      </c>
      <c r="P83" s="5"/>
      <c r="Q83" s="5"/>
      <c r="R83" s="5"/>
      <c r="S83" s="5"/>
      <c r="T83" s="5"/>
      <c r="U83" s="5"/>
      <c r="V83" s="5"/>
      <c r="W83" s="5"/>
      <c r="X83" s="105"/>
      <c r="Y83" s="348">
        <f t="shared" si="8"/>
        <v>0.67</v>
      </c>
      <c r="Z83" s="162"/>
      <c r="AA83" s="348"/>
      <c r="AB83" s="162">
        <f t="shared" si="1"/>
        <v>-9.000000000000008E-2</v>
      </c>
      <c r="AC83" s="263">
        <f t="shared" ref="AC83:AC99" si="27">E83-Y83</f>
        <v>0.13</v>
      </c>
      <c r="AD83" s="48" t="s">
        <v>1114</v>
      </c>
    </row>
    <row r="84" spans="1:30" ht="45">
      <c r="A84" s="11"/>
      <c r="B84" s="81" t="s">
        <v>24</v>
      </c>
      <c r="C84" s="302" t="s">
        <v>25</v>
      </c>
      <c r="D84" s="323" t="s">
        <v>289</v>
      </c>
      <c r="E84" s="320">
        <v>1.6</v>
      </c>
      <c r="F84" s="274" t="s">
        <v>25</v>
      </c>
      <c r="G84" s="5" t="s">
        <v>289</v>
      </c>
      <c r="H84" s="89">
        <v>1.6</v>
      </c>
      <c r="I84" s="162"/>
      <c r="J84" s="5" t="s">
        <v>289</v>
      </c>
      <c r="K84" s="162"/>
      <c r="L84" s="104"/>
      <c r="M84" s="5"/>
      <c r="N84" s="5"/>
      <c r="O84" s="5">
        <v>1.33</v>
      </c>
      <c r="P84" s="5"/>
      <c r="Q84" s="5"/>
      <c r="R84" s="5"/>
      <c r="S84" s="5"/>
      <c r="T84" s="5"/>
      <c r="U84" s="5"/>
      <c r="V84" s="5"/>
      <c r="W84" s="5"/>
      <c r="X84" s="105"/>
      <c r="Y84" s="348">
        <f t="shared" si="8"/>
        <v>1.33</v>
      </c>
      <c r="Z84" s="162"/>
      <c r="AA84" s="348"/>
      <c r="AB84" s="162">
        <f t="shared" si="1"/>
        <v>0.27</v>
      </c>
      <c r="AC84" s="263">
        <f t="shared" si="27"/>
        <v>0.27</v>
      </c>
      <c r="AD84" s="48" t="s">
        <v>1114</v>
      </c>
    </row>
    <row r="85" spans="1:30" ht="30">
      <c r="A85" s="11"/>
      <c r="B85" s="81" t="s">
        <v>70</v>
      </c>
      <c r="C85" s="302" t="s">
        <v>71</v>
      </c>
      <c r="D85" s="323" t="s">
        <v>289</v>
      </c>
      <c r="E85" s="320">
        <v>10.6</v>
      </c>
      <c r="F85" s="274" t="s">
        <v>71</v>
      </c>
      <c r="G85" s="5" t="s">
        <v>289</v>
      </c>
      <c r="H85" s="89">
        <v>10.6</v>
      </c>
      <c r="I85" s="171" t="s">
        <v>1087</v>
      </c>
      <c r="J85" s="25" t="s">
        <v>294</v>
      </c>
      <c r="K85" s="155">
        <v>2</v>
      </c>
      <c r="L85" s="104"/>
      <c r="M85" s="5"/>
      <c r="N85" s="5">
        <v>2</v>
      </c>
      <c r="O85" s="5"/>
      <c r="P85" s="5"/>
      <c r="Q85" s="5"/>
      <c r="R85" s="5"/>
      <c r="S85" s="5"/>
      <c r="T85" s="5"/>
      <c r="U85" s="5"/>
      <c r="V85" s="5"/>
      <c r="W85" s="5"/>
      <c r="X85" s="105"/>
      <c r="Y85" s="348">
        <f t="shared" si="8"/>
        <v>2</v>
      </c>
      <c r="Z85" s="162"/>
      <c r="AA85" s="348"/>
      <c r="AB85" s="162">
        <f t="shared" si="1"/>
        <v>8.6</v>
      </c>
      <c r="AC85" s="263">
        <f t="shared" si="27"/>
        <v>8.6</v>
      </c>
      <c r="AD85" s="48" t="s">
        <v>1115</v>
      </c>
    </row>
    <row r="86" spans="1:30" ht="30">
      <c r="A86" s="11"/>
      <c r="B86" s="81"/>
      <c r="C86" s="302"/>
      <c r="D86" s="323"/>
      <c r="E86" s="320"/>
      <c r="F86" s="274"/>
      <c r="G86" s="5"/>
      <c r="H86" s="89"/>
      <c r="I86" s="171" t="s">
        <v>1079</v>
      </c>
      <c r="J86" s="25" t="s">
        <v>294</v>
      </c>
      <c r="K86" s="155">
        <v>2</v>
      </c>
      <c r="L86" s="104"/>
      <c r="M86" s="5"/>
      <c r="N86" s="5">
        <v>2</v>
      </c>
      <c r="O86" s="5"/>
      <c r="P86" s="5"/>
      <c r="Q86" s="5"/>
      <c r="R86" s="5"/>
      <c r="S86" s="5"/>
      <c r="T86" s="5"/>
      <c r="U86" s="5"/>
      <c r="V86" s="5"/>
      <c r="W86" s="5"/>
      <c r="X86" s="105"/>
      <c r="Y86" s="348">
        <f t="shared" ref="Y86:Y98" si="28">SUM(L86:X86)</f>
        <v>2</v>
      </c>
      <c r="Z86" s="162"/>
      <c r="AA86" s="348"/>
      <c r="AB86" s="162">
        <f>K86-Y86</f>
        <v>0</v>
      </c>
      <c r="AC86" s="263">
        <f t="shared" si="27"/>
        <v>-2</v>
      </c>
      <c r="AD86" s="48" t="s">
        <v>1114</v>
      </c>
    </row>
    <row r="87" spans="1:30" ht="30">
      <c r="A87" s="11"/>
      <c r="B87" s="81"/>
      <c r="C87" s="302"/>
      <c r="D87" s="323"/>
      <c r="E87" s="320"/>
      <c r="F87" s="274"/>
      <c r="G87" s="5"/>
      <c r="H87" s="89"/>
      <c r="I87" s="171" t="s">
        <v>1080</v>
      </c>
      <c r="J87" s="25" t="s">
        <v>294</v>
      </c>
      <c r="K87" s="155">
        <v>4</v>
      </c>
      <c r="L87" s="104"/>
      <c r="M87" s="5"/>
      <c r="N87" s="5">
        <v>3</v>
      </c>
      <c r="O87" s="5"/>
      <c r="P87" s="5"/>
      <c r="Q87" s="5"/>
      <c r="R87" s="5"/>
      <c r="S87" s="5"/>
      <c r="T87" s="5"/>
      <c r="U87" s="5"/>
      <c r="V87" s="5"/>
      <c r="W87" s="5"/>
      <c r="X87" s="105"/>
      <c r="Y87" s="348">
        <f t="shared" ref="Y87:Y96" si="29">SUM(L87:X87)</f>
        <v>3</v>
      </c>
      <c r="Z87" s="162"/>
      <c r="AA87" s="348"/>
      <c r="AB87" s="162">
        <f t="shared" ref="AB87:AB96" si="30">K87-Y87</f>
        <v>1</v>
      </c>
      <c r="AC87" s="263">
        <f t="shared" si="27"/>
        <v>-3</v>
      </c>
      <c r="AD87" s="48" t="s">
        <v>1114</v>
      </c>
    </row>
    <row r="88" spans="1:30" ht="30">
      <c r="A88" s="11"/>
      <c r="B88" s="81"/>
      <c r="C88" s="302"/>
      <c r="D88" s="323"/>
      <c r="E88" s="320"/>
      <c r="F88" s="274"/>
      <c r="G88" s="5"/>
      <c r="H88" s="89"/>
      <c r="I88" s="171" t="s">
        <v>1110</v>
      </c>
      <c r="J88" s="25" t="s">
        <v>294</v>
      </c>
      <c r="K88" s="155">
        <v>2</v>
      </c>
      <c r="L88" s="104"/>
      <c r="M88" s="5"/>
      <c r="N88" s="5">
        <v>2</v>
      </c>
      <c r="O88" s="5"/>
      <c r="P88" s="5"/>
      <c r="Q88" s="5"/>
      <c r="R88" s="5"/>
      <c r="S88" s="5"/>
      <c r="T88" s="5"/>
      <c r="U88" s="5"/>
      <c r="V88" s="5"/>
      <c r="W88" s="5"/>
      <c r="X88" s="105"/>
      <c r="Y88" s="348">
        <f t="shared" si="29"/>
        <v>2</v>
      </c>
      <c r="Z88" s="162"/>
      <c r="AA88" s="348"/>
      <c r="AB88" s="162">
        <f t="shared" si="30"/>
        <v>0</v>
      </c>
      <c r="AC88" s="263">
        <f t="shared" si="27"/>
        <v>-2</v>
      </c>
      <c r="AD88" s="48" t="s">
        <v>1114</v>
      </c>
    </row>
    <row r="89" spans="1:30" ht="30">
      <c r="A89" s="11"/>
      <c r="B89" s="81"/>
      <c r="C89" s="302"/>
      <c r="D89" s="323"/>
      <c r="E89" s="320"/>
      <c r="F89" s="274"/>
      <c r="G89" s="5"/>
      <c r="H89" s="89"/>
      <c r="I89" s="171" t="s">
        <v>1109</v>
      </c>
      <c r="J89" s="25" t="s">
        <v>294</v>
      </c>
      <c r="K89" s="155">
        <v>2</v>
      </c>
      <c r="L89" s="104"/>
      <c r="M89" s="5"/>
      <c r="N89" s="5">
        <v>2</v>
      </c>
      <c r="O89" s="5"/>
      <c r="P89" s="5"/>
      <c r="Q89" s="5"/>
      <c r="R89" s="5"/>
      <c r="S89" s="5"/>
      <c r="T89" s="5"/>
      <c r="U89" s="5"/>
      <c r="V89" s="5"/>
      <c r="W89" s="5"/>
      <c r="X89" s="105"/>
      <c r="Y89" s="348">
        <f t="shared" si="29"/>
        <v>2</v>
      </c>
      <c r="Z89" s="162"/>
      <c r="AA89" s="348"/>
      <c r="AB89" s="162">
        <f t="shared" si="30"/>
        <v>0</v>
      </c>
      <c r="AC89" s="263">
        <f t="shared" si="27"/>
        <v>-2</v>
      </c>
      <c r="AD89" s="48" t="s">
        <v>1114</v>
      </c>
    </row>
    <row r="90" spans="1:30" ht="30">
      <c r="A90" s="11"/>
      <c r="B90" s="81"/>
      <c r="C90" s="302"/>
      <c r="D90" s="323"/>
      <c r="E90" s="320"/>
      <c r="F90" s="274"/>
      <c r="G90" s="5"/>
      <c r="H90" s="89"/>
      <c r="I90" s="171" t="s">
        <v>1081</v>
      </c>
      <c r="J90" s="25" t="s">
        <v>294</v>
      </c>
      <c r="K90" s="155">
        <v>5</v>
      </c>
      <c r="L90" s="104"/>
      <c r="M90" s="5"/>
      <c r="N90" s="5">
        <v>1</v>
      </c>
      <c r="O90" s="5"/>
      <c r="P90" s="5"/>
      <c r="Q90" s="5">
        <v>3</v>
      </c>
      <c r="R90" s="5">
        <v>1</v>
      </c>
      <c r="S90" s="5"/>
      <c r="T90" s="5"/>
      <c r="U90" s="5"/>
      <c r="V90" s="5"/>
      <c r="W90" s="5"/>
      <c r="X90" s="105"/>
      <c r="Y90" s="348">
        <f t="shared" si="29"/>
        <v>5</v>
      </c>
      <c r="Z90" s="162"/>
      <c r="AA90" s="348"/>
      <c r="AB90" s="162">
        <f t="shared" si="30"/>
        <v>0</v>
      </c>
      <c r="AC90" s="263">
        <f t="shared" si="27"/>
        <v>-5</v>
      </c>
      <c r="AD90" s="48" t="s">
        <v>1114</v>
      </c>
    </row>
    <row r="91" spans="1:30" ht="30">
      <c r="A91" s="11"/>
      <c r="B91" s="81"/>
      <c r="C91" s="302"/>
      <c r="D91" s="323"/>
      <c r="E91" s="320"/>
      <c r="F91" s="274"/>
      <c r="G91" s="5"/>
      <c r="H91" s="89"/>
      <c r="I91" s="171" t="s">
        <v>1082</v>
      </c>
      <c r="J91" s="25" t="s">
        <v>294</v>
      </c>
      <c r="K91" s="155">
        <v>6</v>
      </c>
      <c r="L91" s="104"/>
      <c r="M91" s="5"/>
      <c r="N91" s="5">
        <v>4</v>
      </c>
      <c r="O91" s="5"/>
      <c r="P91" s="5"/>
      <c r="Q91" s="5">
        <v>2</v>
      </c>
      <c r="R91" s="5"/>
      <c r="S91" s="5"/>
      <c r="T91" s="5"/>
      <c r="U91" s="5"/>
      <c r="V91" s="5"/>
      <c r="W91" s="5"/>
      <c r="X91" s="105"/>
      <c r="Y91" s="348">
        <f t="shared" si="29"/>
        <v>6</v>
      </c>
      <c r="Z91" s="162"/>
      <c r="AA91" s="348"/>
      <c r="AB91" s="162">
        <f t="shared" si="30"/>
        <v>0</v>
      </c>
      <c r="AC91" s="263">
        <f t="shared" si="27"/>
        <v>-6</v>
      </c>
      <c r="AD91" s="48" t="s">
        <v>1114</v>
      </c>
    </row>
    <row r="92" spans="1:30" ht="30">
      <c r="A92" s="11"/>
      <c r="B92" s="81"/>
      <c r="C92" s="302"/>
      <c r="D92" s="323"/>
      <c r="E92" s="320"/>
      <c r="F92" s="274"/>
      <c r="G92" s="5"/>
      <c r="H92" s="89"/>
      <c r="I92" s="171" t="s">
        <v>1111</v>
      </c>
      <c r="J92" s="25" t="s">
        <v>294</v>
      </c>
      <c r="K92" s="155">
        <v>2</v>
      </c>
      <c r="L92" s="104"/>
      <c r="M92" s="5"/>
      <c r="N92" s="5"/>
      <c r="O92" s="5"/>
      <c r="P92" s="5"/>
      <c r="Q92" s="5">
        <v>2</v>
      </c>
      <c r="R92" s="5"/>
      <c r="S92" s="5"/>
      <c r="T92" s="5"/>
      <c r="U92" s="5"/>
      <c r="V92" s="5"/>
      <c r="W92" s="5"/>
      <c r="X92" s="105"/>
      <c r="Y92" s="348">
        <f t="shared" ref="Y92:Y94" si="31">SUM(L92:X92)</f>
        <v>2</v>
      </c>
      <c r="Z92" s="162"/>
      <c r="AA92" s="348"/>
      <c r="AB92" s="162">
        <f t="shared" ref="AB92:AB94" si="32">K92-Y92</f>
        <v>0</v>
      </c>
      <c r="AC92" s="263">
        <f t="shared" ref="AC92:AC94" si="33">E92-Y92</f>
        <v>-2</v>
      </c>
      <c r="AD92" s="48" t="s">
        <v>1114</v>
      </c>
    </row>
    <row r="93" spans="1:30" ht="30">
      <c r="A93" s="11"/>
      <c r="B93" s="81"/>
      <c r="C93" s="302"/>
      <c r="D93" s="323"/>
      <c r="E93" s="320"/>
      <c r="F93" s="274"/>
      <c r="G93" s="5"/>
      <c r="H93" s="89"/>
      <c r="I93" s="171" t="s">
        <v>1112</v>
      </c>
      <c r="J93" s="25" t="s">
        <v>294</v>
      </c>
      <c r="K93" s="155">
        <v>3</v>
      </c>
      <c r="L93" s="104"/>
      <c r="M93" s="5"/>
      <c r="N93" s="5"/>
      <c r="O93" s="5"/>
      <c r="P93" s="5"/>
      <c r="Q93" s="5">
        <v>3</v>
      </c>
      <c r="R93" s="5"/>
      <c r="S93" s="5"/>
      <c r="T93" s="5"/>
      <c r="U93" s="5"/>
      <c r="V93" s="5"/>
      <c r="W93" s="5"/>
      <c r="X93" s="105"/>
      <c r="Y93" s="348">
        <f t="shared" si="31"/>
        <v>3</v>
      </c>
      <c r="Z93" s="162"/>
      <c r="AA93" s="348"/>
      <c r="AB93" s="162">
        <f t="shared" si="32"/>
        <v>0</v>
      </c>
      <c r="AC93" s="263">
        <f t="shared" si="33"/>
        <v>-3</v>
      </c>
      <c r="AD93" s="48" t="s">
        <v>1114</v>
      </c>
    </row>
    <row r="94" spans="1:30" ht="30">
      <c r="A94" s="11"/>
      <c r="B94" s="81"/>
      <c r="C94" s="302"/>
      <c r="D94" s="323"/>
      <c r="E94" s="320"/>
      <c r="F94" s="274"/>
      <c r="G94" s="5"/>
      <c r="H94" s="89"/>
      <c r="I94" s="171" t="s">
        <v>1113</v>
      </c>
      <c r="J94" s="25" t="s">
        <v>294</v>
      </c>
      <c r="K94" s="155">
        <v>6</v>
      </c>
      <c r="L94" s="104"/>
      <c r="M94" s="5"/>
      <c r="N94" s="5"/>
      <c r="O94" s="5"/>
      <c r="P94" s="5"/>
      <c r="Q94" s="5">
        <v>6</v>
      </c>
      <c r="R94" s="5"/>
      <c r="S94" s="5"/>
      <c r="T94" s="5"/>
      <c r="U94" s="5"/>
      <c r="V94" s="5"/>
      <c r="W94" s="5"/>
      <c r="X94" s="105"/>
      <c r="Y94" s="348">
        <f t="shared" si="31"/>
        <v>6</v>
      </c>
      <c r="Z94" s="162"/>
      <c r="AA94" s="348"/>
      <c r="AB94" s="162">
        <f t="shared" si="32"/>
        <v>0</v>
      </c>
      <c r="AC94" s="263">
        <f t="shared" si="33"/>
        <v>-6</v>
      </c>
      <c r="AD94" s="48" t="s">
        <v>1114</v>
      </c>
    </row>
    <row r="95" spans="1:30" ht="30">
      <c r="A95" s="11"/>
      <c r="B95" s="81"/>
      <c r="C95" s="302"/>
      <c r="D95" s="323"/>
      <c r="E95" s="320"/>
      <c r="F95" s="274"/>
      <c r="G95" s="5"/>
      <c r="H95" s="89"/>
      <c r="I95" s="171" t="s">
        <v>503</v>
      </c>
      <c r="J95" s="25" t="s">
        <v>294</v>
      </c>
      <c r="K95" s="155">
        <v>3</v>
      </c>
      <c r="L95" s="104"/>
      <c r="M95" s="5"/>
      <c r="N95" s="5">
        <v>3</v>
      </c>
      <c r="O95" s="5"/>
      <c r="P95" s="5"/>
      <c r="Q95" s="5"/>
      <c r="R95" s="5"/>
      <c r="S95" s="5"/>
      <c r="T95" s="5"/>
      <c r="U95" s="5"/>
      <c r="V95" s="5"/>
      <c r="W95" s="5"/>
      <c r="X95" s="105"/>
      <c r="Y95" s="348">
        <f t="shared" si="29"/>
        <v>3</v>
      </c>
      <c r="Z95" s="162"/>
      <c r="AA95" s="348"/>
      <c r="AB95" s="162">
        <f t="shared" si="30"/>
        <v>0</v>
      </c>
      <c r="AC95" s="263">
        <f t="shared" si="27"/>
        <v>-3</v>
      </c>
      <c r="AD95" s="48" t="s">
        <v>1114</v>
      </c>
    </row>
    <row r="96" spans="1:30" ht="30">
      <c r="A96" s="11"/>
      <c r="B96" s="81"/>
      <c r="C96" s="302"/>
      <c r="D96" s="323"/>
      <c r="E96" s="320"/>
      <c r="F96" s="274"/>
      <c r="G96" s="5"/>
      <c r="H96" s="89"/>
      <c r="I96" s="171" t="s">
        <v>504</v>
      </c>
      <c r="J96" s="25" t="s">
        <v>289</v>
      </c>
      <c r="K96" s="155">
        <v>5</v>
      </c>
      <c r="L96" s="104"/>
      <c r="M96" s="5"/>
      <c r="N96" s="5">
        <v>5</v>
      </c>
      <c r="O96" s="5"/>
      <c r="P96" s="5"/>
      <c r="Q96" s="5"/>
      <c r="R96" s="5"/>
      <c r="S96" s="5"/>
      <c r="T96" s="5"/>
      <c r="U96" s="5"/>
      <c r="V96" s="5"/>
      <c r="W96" s="5"/>
      <c r="X96" s="105"/>
      <c r="Y96" s="348">
        <f t="shared" si="29"/>
        <v>5</v>
      </c>
      <c r="Z96" s="162"/>
      <c r="AA96" s="348"/>
      <c r="AB96" s="162">
        <f t="shared" si="30"/>
        <v>0</v>
      </c>
      <c r="AC96" s="263">
        <f t="shared" si="27"/>
        <v>-5</v>
      </c>
      <c r="AD96" s="48" t="s">
        <v>1114</v>
      </c>
    </row>
    <row r="97" spans="1:30" ht="30">
      <c r="A97" s="11"/>
      <c r="B97" s="81" t="s">
        <v>72</v>
      </c>
      <c r="C97" s="302" t="s">
        <v>73</v>
      </c>
      <c r="D97" s="323" t="s">
        <v>294</v>
      </c>
      <c r="E97" s="320">
        <v>6</v>
      </c>
      <c r="F97" s="274" t="s">
        <v>73</v>
      </c>
      <c r="G97" s="5" t="s">
        <v>294</v>
      </c>
      <c r="H97" s="174">
        <v>8</v>
      </c>
      <c r="I97" s="171" t="s">
        <v>505</v>
      </c>
      <c r="J97" s="25" t="s">
        <v>294</v>
      </c>
      <c r="K97" s="155">
        <v>6</v>
      </c>
      <c r="L97" s="104"/>
      <c r="M97" s="5"/>
      <c r="N97" s="5"/>
      <c r="O97" s="5">
        <v>5</v>
      </c>
      <c r="P97" s="5"/>
      <c r="Q97" s="5">
        <v>1</v>
      </c>
      <c r="R97" s="5"/>
      <c r="S97" s="5"/>
      <c r="T97" s="5"/>
      <c r="U97" s="5"/>
      <c r="V97" s="5"/>
      <c r="W97" s="5"/>
      <c r="X97" s="105"/>
      <c r="Y97" s="348">
        <f t="shared" si="28"/>
        <v>6</v>
      </c>
      <c r="Z97" s="162"/>
      <c r="AA97" s="348"/>
      <c r="AB97" s="162">
        <f t="shared" ref="AB97:AB98" si="34">H97-Y97</f>
        <v>2</v>
      </c>
      <c r="AC97" s="263">
        <f t="shared" si="27"/>
        <v>0</v>
      </c>
      <c r="AD97" s="48" t="s">
        <v>1114</v>
      </c>
    </row>
    <row r="98" spans="1:30" ht="30">
      <c r="A98" s="11"/>
      <c r="B98" s="81"/>
      <c r="C98" s="302"/>
      <c r="D98" s="323"/>
      <c r="E98" s="320"/>
      <c r="F98" s="274"/>
      <c r="G98" s="5"/>
      <c r="H98" s="89"/>
      <c r="I98" s="171" t="s">
        <v>506</v>
      </c>
      <c r="J98" s="25" t="s">
        <v>294</v>
      </c>
      <c r="K98" s="155">
        <v>2</v>
      </c>
      <c r="L98" s="104"/>
      <c r="M98" s="5"/>
      <c r="N98" s="5"/>
      <c r="O98" s="5"/>
      <c r="P98" s="5"/>
      <c r="Q98" s="5">
        <v>2</v>
      </c>
      <c r="R98" s="5"/>
      <c r="S98" s="5"/>
      <c r="T98" s="5"/>
      <c r="U98" s="5"/>
      <c r="V98" s="5"/>
      <c r="W98" s="5"/>
      <c r="X98" s="105"/>
      <c r="Y98" s="348">
        <f t="shared" si="28"/>
        <v>2</v>
      </c>
      <c r="Z98" s="162"/>
      <c r="AA98" s="348"/>
      <c r="AB98" s="162">
        <f t="shared" si="34"/>
        <v>-2</v>
      </c>
      <c r="AC98" s="263">
        <f t="shared" si="27"/>
        <v>-2</v>
      </c>
      <c r="AD98" s="48" t="s">
        <v>1114</v>
      </c>
    </row>
    <row r="99" spans="1:30" ht="30">
      <c r="A99" s="11"/>
      <c r="B99" s="81" t="s">
        <v>74</v>
      </c>
      <c r="C99" s="302" t="s">
        <v>75</v>
      </c>
      <c r="D99" s="323" t="s">
        <v>293</v>
      </c>
      <c r="E99" s="320">
        <v>26.38</v>
      </c>
      <c r="F99" s="274" t="s">
        <v>75</v>
      </c>
      <c r="G99" s="5" t="s">
        <v>293</v>
      </c>
      <c r="H99" s="91">
        <v>44.18</v>
      </c>
      <c r="I99" s="171" t="s">
        <v>507</v>
      </c>
      <c r="J99" s="25" t="s">
        <v>293</v>
      </c>
      <c r="K99" s="155">
        <v>44.18</v>
      </c>
      <c r="L99" s="104"/>
      <c r="M99" s="5"/>
      <c r="N99" s="5"/>
      <c r="O99" s="5">
        <v>21.98</v>
      </c>
      <c r="P99" s="5">
        <v>22.2</v>
      </c>
      <c r="Q99" s="5"/>
      <c r="R99" s="5"/>
      <c r="S99" s="5"/>
      <c r="T99" s="5"/>
      <c r="U99" s="5"/>
      <c r="V99" s="5"/>
      <c r="W99" s="5"/>
      <c r="X99" s="105"/>
      <c r="Y99" s="348">
        <f t="shared" si="8"/>
        <v>44.18</v>
      </c>
      <c r="Z99" s="162"/>
      <c r="AA99" s="348"/>
      <c r="AB99" s="162">
        <f t="shared" si="1"/>
        <v>0</v>
      </c>
      <c r="AC99" s="263">
        <f t="shared" si="27"/>
        <v>-17.8</v>
      </c>
      <c r="AD99" s="48" t="s">
        <v>1114</v>
      </c>
    </row>
    <row r="100" spans="1:30" ht="30">
      <c r="A100" s="11"/>
      <c r="B100" s="81"/>
      <c r="C100" s="302"/>
      <c r="D100" s="323"/>
      <c r="E100" s="320"/>
      <c r="F100" s="275" t="s">
        <v>1069</v>
      </c>
      <c r="G100" s="25" t="s">
        <v>294</v>
      </c>
      <c r="H100" s="91">
        <f>K100+K101+K102</f>
        <v>6</v>
      </c>
      <c r="I100" s="342" t="s">
        <v>1070</v>
      </c>
      <c r="J100" s="343" t="s">
        <v>294</v>
      </c>
      <c r="K100" s="344">
        <v>3</v>
      </c>
      <c r="L100" s="10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105"/>
      <c r="Y100" s="348">
        <f t="shared" ref="Y100:Y103" si="35">SUM(L100:X100)</f>
        <v>0</v>
      </c>
      <c r="Z100" s="162"/>
      <c r="AA100" s="348"/>
      <c r="AB100" s="162">
        <f t="shared" ref="AB100:AB103" si="36">H100-Y100</f>
        <v>6</v>
      </c>
      <c r="AC100" s="263"/>
      <c r="AD100" s="48" t="s">
        <v>1114</v>
      </c>
    </row>
    <row r="101" spans="1:30">
      <c r="A101" s="11"/>
      <c r="B101" s="81"/>
      <c r="C101" s="302"/>
      <c r="D101" s="323"/>
      <c r="E101" s="320"/>
      <c r="F101" s="274"/>
      <c r="G101" s="5"/>
      <c r="H101" s="91"/>
      <c r="I101" s="171" t="s">
        <v>1071</v>
      </c>
      <c r="J101" s="25" t="s">
        <v>294</v>
      </c>
      <c r="K101" s="155">
        <v>2</v>
      </c>
      <c r="L101" s="104"/>
      <c r="M101" s="5"/>
      <c r="N101" s="5"/>
      <c r="O101" s="5"/>
      <c r="P101" s="5"/>
      <c r="Q101" s="25">
        <v>2</v>
      </c>
      <c r="R101" s="25"/>
      <c r="S101" s="25"/>
      <c r="T101" s="25"/>
      <c r="U101" s="25"/>
      <c r="V101" s="25"/>
      <c r="W101" s="25"/>
      <c r="X101" s="107"/>
      <c r="Y101" s="349">
        <f t="shared" si="35"/>
        <v>2</v>
      </c>
      <c r="Z101" s="162"/>
      <c r="AA101" s="348"/>
      <c r="AB101" s="162">
        <f t="shared" si="36"/>
        <v>-2</v>
      </c>
      <c r="AC101" s="263"/>
      <c r="AD101" s="48"/>
    </row>
    <row r="102" spans="1:30">
      <c r="A102" s="11"/>
      <c r="B102" s="81"/>
      <c r="C102" s="302"/>
      <c r="D102" s="323"/>
      <c r="E102" s="320"/>
      <c r="F102" s="274"/>
      <c r="G102" s="5"/>
      <c r="H102" s="91"/>
      <c r="I102" s="171" t="s">
        <v>1072</v>
      </c>
      <c r="J102" s="25" t="s">
        <v>294</v>
      </c>
      <c r="K102" s="155">
        <v>1</v>
      </c>
      <c r="L102" s="104"/>
      <c r="M102" s="5"/>
      <c r="N102" s="5"/>
      <c r="O102" s="5"/>
      <c r="P102" s="5"/>
      <c r="Q102" s="25">
        <v>1</v>
      </c>
      <c r="R102" s="25"/>
      <c r="S102" s="25"/>
      <c r="T102" s="25"/>
      <c r="U102" s="25"/>
      <c r="V102" s="25"/>
      <c r="W102" s="25"/>
      <c r="X102" s="107"/>
      <c r="Y102" s="349">
        <f t="shared" si="35"/>
        <v>1</v>
      </c>
      <c r="Z102" s="162"/>
      <c r="AA102" s="348"/>
      <c r="AB102" s="162">
        <f t="shared" si="36"/>
        <v>-1</v>
      </c>
      <c r="AC102" s="263"/>
      <c r="AD102" s="48"/>
    </row>
    <row r="103" spans="1:30">
      <c r="A103" s="11"/>
      <c r="B103" s="81"/>
      <c r="C103" s="302"/>
      <c r="D103" s="323"/>
      <c r="E103" s="320"/>
      <c r="F103" s="274"/>
      <c r="G103" s="5"/>
      <c r="H103" s="91"/>
      <c r="I103" s="171"/>
      <c r="J103" s="25"/>
      <c r="K103" s="155"/>
      <c r="L103" s="10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105"/>
      <c r="Y103" s="348">
        <f t="shared" si="35"/>
        <v>0</v>
      </c>
      <c r="Z103" s="162"/>
      <c r="AA103" s="348"/>
      <c r="AB103" s="162">
        <f t="shared" si="36"/>
        <v>0</v>
      </c>
      <c r="AC103" s="263"/>
      <c r="AD103" s="48"/>
    </row>
    <row r="104" spans="1:30" s="65" customFormat="1">
      <c r="A104" s="23"/>
      <c r="B104" s="82"/>
      <c r="C104" s="83" t="s">
        <v>76</v>
      </c>
      <c r="D104" s="84"/>
      <c r="E104" s="120"/>
      <c r="F104" s="304" t="s">
        <v>76</v>
      </c>
      <c r="G104" s="24"/>
      <c r="H104" s="93"/>
      <c r="I104" s="165"/>
      <c r="J104" s="24"/>
      <c r="K104" s="165"/>
      <c r="L104" s="110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111"/>
      <c r="Y104" s="351"/>
      <c r="Z104" s="165"/>
      <c r="AA104" s="351"/>
      <c r="AB104" s="165"/>
      <c r="AC104" s="165"/>
      <c r="AD104" s="309"/>
    </row>
    <row r="105" spans="1:30" ht="30">
      <c r="A105" s="11"/>
      <c r="B105" s="81" t="s">
        <v>70</v>
      </c>
      <c r="C105" s="302" t="s">
        <v>71</v>
      </c>
      <c r="D105" s="323" t="s">
        <v>289</v>
      </c>
      <c r="E105" s="320">
        <v>5.3</v>
      </c>
      <c r="F105" s="274" t="s">
        <v>71</v>
      </c>
      <c r="G105" s="5" t="s">
        <v>289</v>
      </c>
      <c r="H105" s="89">
        <v>5.3</v>
      </c>
      <c r="I105" s="162"/>
      <c r="J105" s="5" t="s">
        <v>289</v>
      </c>
      <c r="K105" s="162"/>
      <c r="L105" s="104"/>
      <c r="M105" s="5"/>
      <c r="N105" s="5"/>
      <c r="O105" s="5"/>
      <c r="P105" s="5"/>
      <c r="Q105" s="5">
        <v>10.6</v>
      </c>
      <c r="R105" s="5"/>
      <c r="S105" s="5"/>
      <c r="T105" s="5"/>
      <c r="U105" s="5"/>
      <c r="V105" s="5"/>
      <c r="W105" s="5"/>
      <c r="X105" s="105"/>
      <c r="Y105" s="348">
        <f t="shared" si="8"/>
        <v>10.6</v>
      </c>
      <c r="Z105" s="162"/>
      <c r="AA105" s="348"/>
      <c r="AB105" s="162">
        <f t="shared" si="1"/>
        <v>-5.3</v>
      </c>
      <c r="AC105" s="263">
        <f t="shared" ref="AC105:AC147" si="37">E105-Y105</f>
        <v>-5.3</v>
      </c>
      <c r="AD105" s="48" t="s">
        <v>411</v>
      </c>
    </row>
    <row r="106" spans="1:30" ht="30">
      <c r="A106" s="11"/>
      <c r="B106" s="81" t="s">
        <v>72</v>
      </c>
      <c r="C106" s="302" t="s">
        <v>73</v>
      </c>
      <c r="D106" s="323" t="s">
        <v>294</v>
      </c>
      <c r="E106" s="320">
        <v>1</v>
      </c>
      <c r="F106" s="274" t="s">
        <v>73</v>
      </c>
      <c r="G106" s="5" t="s">
        <v>294</v>
      </c>
      <c r="H106" s="89">
        <v>1</v>
      </c>
      <c r="I106" s="162"/>
      <c r="J106" s="5" t="s">
        <v>294</v>
      </c>
      <c r="K106" s="162"/>
      <c r="L106" s="104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105"/>
      <c r="Y106" s="348">
        <f t="shared" si="8"/>
        <v>0</v>
      </c>
      <c r="Z106" s="162"/>
      <c r="AA106" s="348"/>
      <c r="AB106" s="162">
        <f t="shared" si="1"/>
        <v>1</v>
      </c>
      <c r="AC106" s="263">
        <f t="shared" si="37"/>
        <v>1</v>
      </c>
      <c r="AD106" s="48" t="s">
        <v>411</v>
      </c>
    </row>
    <row r="107" spans="1:30" ht="75">
      <c r="A107" s="11"/>
      <c r="B107" s="81" t="s">
        <v>77</v>
      </c>
      <c r="C107" s="302" t="s">
        <v>78</v>
      </c>
      <c r="D107" s="323" t="s">
        <v>294</v>
      </c>
      <c r="E107" s="320">
        <v>1</v>
      </c>
      <c r="F107" s="274" t="s">
        <v>78</v>
      </c>
      <c r="G107" s="5" t="s">
        <v>294</v>
      </c>
      <c r="H107" s="89">
        <v>1</v>
      </c>
      <c r="I107" s="162"/>
      <c r="J107" s="5" t="s">
        <v>294</v>
      </c>
      <c r="K107" s="162"/>
      <c r="L107" s="104"/>
      <c r="M107" s="5"/>
      <c r="N107" s="5"/>
      <c r="O107" s="5"/>
      <c r="P107" s="5"/>
      <c r="Q107" s="5"/>
      <c r="R107" s="5">
        <v>1</v>
      </c>
      <c r="S107" s="5"/>
      <c r="T107" s="5"/>
      <c r="U107" s="5"/>
      <c r="V107" s="5"/>
      <c r="W107" s="5"/>
      <c r="X107" s="105"/>
      <c r="Y107" s="348">
        <f t="shared" si="8"/>
        <v>1</v>
      </c>
      <c r="Z107" s="162"/>
      <c r="AA107" s="348"/>
      <c r="AB107" s="162">
        <f t="shared" si="1"/>
        <v>0</v>
      </c>
      <c r="AC107" s="263">
        <f t="shared" si="37"/>
        <v>0</v>
      </c>
      <c r="AD107" s="48" t="s">
        <v>411</v>
      </c>
    </row>
    <row r="108" spans="1:30" ht="30">
      <c r="A108" s="11"/>
      <c r="B108" s="81" t="s">
        <v>79</v>
      </c>
      <c r="C108" s="302" t="s">
        <v>80</v>
      </c>
      <c r="D108" s="323" t="s">
        <v>294</v>
      </c>
      <c r="E108" s="320">
        <v>2</v>
      </c>
      <c r="F108" s="274" t="s">
        <v>80</v>
      </c>
      <c r="G108" s="5" t="s">
        <v>294</v>
      </c>
      <c r="H108" s="89">
        <v>2</v>
      </c>
      <c r="I108" s="170" t="s">
        <v>525</v>
      </c>
      <c r="J108" s="5" t="s">
        <v>294</v>
      </c>
      <c r="K108" s="162">
        <v>1</v>
      </c>
      <c r="L108" s="104"/>
      <c r="M108" s="5"/>
      <c r="N108" s="5"/>
      <c r="O108" s="5"/>
      <c r="P108" s="5"/>
      <c r="Q108" s="5"/>
      <c r="R108" s="5">
        <v>1</v>
      </c>
      <c r="S108" s="5"/>
      <c r="T108" s="5"/>
      <c r="U108" s="5"/>
      <c r="V108" s="5"/>
      <c r="W108" s="5"/>
      <c r="X108" s="105"/>
      <c r="Y108" s="348">
        <f t="shared" si="8"/>
        <v>1</v>
      </c>
      <c r="Z108" s="162"/>
      <c r="AA108" s="348"/>
      <c r="AB108" s="162">
        <f t="shared" si="1"/>
        <v>1</v>
      </c>
      <c r="AC108" s="263">
        <f t="shared" si="37"/>
        <v>1</v>
      </c>
      <c r="AD108" s="48" t="s">
        <v>411</v>
      </c>
    </row>
    <row r="109" spans="1:30" ht="60">
      <c r="A109" s="11"/>
      <c r="B109" s="81"/>
      <c r="C109" s="302"/>
      <c r="D109" s="323"/>
      <c r="E109" s="320"/>
      <c r="F109" s="275" t="s">
        <v>15</v>
      </c>
      <c r="G109" s="25" t="s">
        <v>289</v>
      </c>
      <c r="H109" s="91">
        <v>109</v>
      </c>
      <c r="I109" s="155"/>
      <c r="J109" s="25"/>
      <c r="K109" s="155"/>
      <c r="L109" s="106"/>
      <c r="M109" s="25"/>
      <c r="N109" s="25"/>
      <c r="O109" s="25"/>
      <c r="P109" s="25"/>
      <c r="Q109" s="25"/>
      <c r="R109" s="25">
        <v>29</v>
      </c>
      <c r="S109" s="25">
        <v>80</v>
      </c>
      <c r="T109" s="25"/>
      <c r="U109" s="25"/>
      <c r="V109" s="25"/>
      <c r="W109" s="25"/>
      <c r="X109" s="107"/>
      <c r="Y109" s="349">
        <f t="shared" ref="Y109:Y138" si="38">SUM(L109:X109)</f>
        <v>109</v>
      </c>
      <c r="Z109" s="155"/>
      <c r="AA109" s="349"/>
      <c r="AB109" s="155">
        <f t="shared" ref="AB109:AB138" si="39">H109-Y109</f>
        <v>0</v>
      </c>
      <c r="AC109" s="339">
        <f t="shared" si="37"/>
        <v>-109</v>
      </c>
      <c r="AD109" s="73" t="s">
        <v>411</v>
      </c>
    </row>
    <row r="110" spans="1:30" ht="30">
      <c r="A110" s="11"/>
      <c r="B110" s="81"/>
      <c r="C110" s="302"/>
      <c r="D110" s="323"/>
      <c r="E110" s="320"/>
      <c r="F110" s="275" t="s">
        <v>6</v>
      </c>
      <c r="G110" s="25" t="s">
        <v>1088</v>
      </c>
      <c r="H110" s="91">
        <f>H109*1.75*2</f>
        <v>381.5</v>
      </c>
      <c r="I110" s="155"/>
      <c r="J110" s="25"/>
      <c r="K110" s="155"/>
      <c r="L110" s="106"/>
      <c r="M110" s="25"/>
      <c r="N110" s="25"/>
      <c r="O110" s="25"/>
      <c r="P110" s="25"/>
      <c r="Q110" s="25"/>
      <c r="R110" s="91">
        <f>R109*1.75*2</f>
        <v>101.5</v>
      </c>
      <c r="S110" s="91">
        <f t="shared" ref="S110:T110" si="40">S109*1.75*2</f>
        <v>280</v>
      </c>
      <c r="T110" s="91">
        <f t="shared" si="40"/>
        <v>0</v>
      </c>
      <c r="U110" s="25"/>
      <c r="V110" s="25"/>
      <c r="W110" s="25"/>
      <c r="X110" s="107"/>
      <c r="Y110" s="349">
        <f t="shared" ref="Y110:Y111" si="41">SUM(L110:X110)</f>
        <v>381.5</v>
      </c>
      <c r="Z110" s="155"/>
      <c r="AA110" s="349"/>
      <c r="AB110" s="155">
        <f t="shared" ref="AB110:AB111" si="42">H110-Y110</f>
        <v>0</v>
      </c>
      <c r="AC110" s="339">
        <f t="shared" ref="AC110:AC111" si="43">E110-Y110</f>
        <v>-381.5</v>
      </c>
      <c r="AD110" s="73" t="s">
        <v>411</v>
      </c>
    </row>
    <row r="111" spans="1:30" ht="60">
      <c r="A111" s="11"/>
      <c r="B111" s="81"/>
      <c r="C111" s="302"/>
      <c r="D111" s="323"/>
      <c r="E111" s="320"/>
      <c r="F111" s="275" t="s">
        <v>59</v>
      </c>
      <c r="G111" s="25" t="s">
        <v>289</v>
      </c>
      <c r="H111" s="91">
        <v>0.9</v>
      </c>
      <c r="I111" s="170" t="s">
        <v>462</v>
      </c>
      <c r="J111" s="25" t="s">
        <v>289</v>
      </c>
      <c r="K111" s="155">
        <f>H111*1.1</f>
        <v>0.9900000000000001</v>
      </c>
      <c r="L111" s="106"/>
      <c r="M111" s="25"/>
      <c r="N111" s="25"/>
      <c r="O111" s="25"/>
      <c r="P111" s="25"/>
      <c r="Q111" s="25"/>
      <c r="R111" s="25"/>
      <c r="S111" s="25">
        <v>0.99</v>
      </c>
      <c r="T111" s="25"/>
      <c r="U111" s="25"/>
      <c r="V111" s="25"/>
      <c r="W111" s="25"/>
      <c r="X111" s="107"/>
      <c r="Y111" s="349">
        <f t="shared" si="41"/>
        <v>0.99</v>
      </c>
      <c r="Z111" s="155"/>
      <c r="AA111" s="349"/>
      <c r="AB111" s="155">
        <f t="shared" si="42"/>
        <v>-8.9999999999999969E-2</v>
      </c>
      <c r="AC111" s="339">
        <f t="shared" si="43"/>
        <v>-0.99</v>
      </c>
      <c r="AD111" s="73" t="s">
        <v>411</v>
      </c>
    </row>
    <row r="112" spans="1:30" s="225" customFormat="1" ht="30">
      <c r="A112" s="149"/>
      <c r="B112" s="337"/>
      <c r="C112" s="338"/>
      <c r="D112" s="173"/>
      <c r="E112" s="177"/>
      <c r="F112" s="275" t="s">
        <v>63</v>
      </c>
      <c r="G112" s="25" t="s">
        <v>289</v>
      </c>
      <c r="H112" s="91">
        <v>63</v>
      </c>
      <c r="I112" s="170" t="s">
        <v>500</v>
      </c>
      <c r="J112" s="25" t="s">
        <v>289</v>
      </c>
      <c r="K112" s="187">
        <f>H112*1.1</f>
        <v>69.300000000000011</v>
      </c>
      <c r="L112" s="106"/>
      <c r="M112" s="25"/>
      <c r="N112" s="25"/>
      <c r="O112" s="25"/>
      <c r="P112" s="25"/>
      <c r="Q112" s="25"/>
      <c r="R112" s="25"/>
      <c r="S112" s="25"/>
      <c r="T112" s="25">
        <v>69.3</v>
      </c>
      <c r="U112" s="25"/>
      <c r="V112" s="25"/>
      <c r="W112" s="25"/>
      <c r="X112" s="107"/>
      <c r="Y112" s="349">
        <f t="shared" ref="Y112" si="44">SUM(L112:X112)</f>
        <v>69.3</v>
      </c>
      <c r="Z112" s="155"/>
      <c r="AA112" s="349"/>
      <c r="AB112" s="155">
        <f t="shared" ref="AB112" si="45">H112-Y112</f>
        <v>-6.2999999999999972</v>
      </c>
      <c r="AC112" s="339">
        <f t="shared" ref="AC112" si="46">E112-Y112</f>
        <v>-69.3</v>
      </c>
      <c r="AD112" s="73" t="s">
        <v>411</v>
      </c>
    </row>
    <row r="113" spans="1:30" ht="30">
      <c r="A113" s="11"/>
      <c r="B113" s="81"/>
      <c r="C113" s="302"/>
      <c r="D113" s="323"/>
      <c r="E113" s="320"/>
      <c r="F113" s="275" t="s">
        <v>508</v>
      </c>
      <c r="G113" s="25" t="s">
        <v>600</v>
      </c>
      <c r="H113" s="91">
        <v>44</v>
      </c>
      <c r="I113" s="162"/>
      <c r="J113" s="5"/>
      <c r="K113" s="162"/>
      <c r="L113" s="104"/>
      <c r="M113" s="5"/>
      <c r="N113" s="5"/>
      <c r="O113" s="5"/>
      <c r="P113" s="5"/>
      <c r="Q113" s="5"/>
      <c r="R113" s="5">
        <v>44</v>
      </c>
      <c r="S113" s="5"/>
      <c r="T113" s="5"/>
      <c r="U113" s="5"/>
      <c r="V113" s="5"/>
      <c r="W113" s="5"/>
      <c r="X113" s="105"/>
      <c r="Y113" s="348">
        <f t="shared" si="38"/>
        <v>44</v>
      </c>
      <c r="Z113" s="162"/>
      <c r="AA113" s="348"/>
      <c r="AB113" s="162">
        <f t="shared" si="39"/>
        <v>0</v>
      </c>
      <c r="AC113" s="263">
        <f t="shared" si="37"/>
        <v>-44</v>
      </c>
      <c r="AD113" s="48" t="s">
        <v>1065</v>
      </c>
    </row>
    <row r="114" spans="1:30" ht="30">
      <c r="A114" s="11"/>
      <c r="B114" s="81"/>
      <c r="C114" s="302"/>
      <c r="D114" s="323"/>
      <c r="E114" s="320"/>
      <c r="F114" s="275" t="s">
        <v>509</v>
      </c>
      <c r="G114" s="25" t="s">
        <v>600</v>
      </c>
      <c r="H114" s="91">
        <v>50</v>
      </c>
      <c r="I114" s="162"/>
      <c r="J114" s="5"/>
      <c r="K114" s="162"/>
      <c r="L114" s="104"/>
      <c r="M114" s="5"/>
      <c r="N114" s="5"/>
      <c r="O114" s="5"/>
      <c r="P114" s="5"/>
      <c r="Q114" s="5"/>
      <c r="R114" s="5">
        <v>50</v>
      </c>
      <c r="S114" s="5"/>
      <c r="T114" s="5"/>
      <c r="U114" s="5"/>
      <c r="V114" s="5"/>
      <c r="W114" s="5"/>
      <c r="X114" s="105"/>
      <c r="Y114" s="348">
        <f t="shared" si="38"/>
        <v>50</v>
      </c>
      <c r="Z114" s="162"/>
      <c r="AA114" s="348"/>
      <c r="AB114" s="162">
        <f t="shared" si="39"/>
        <v>0</v>
      </c>
      <c r="AC114" s="263">
        <f t="shared" si="37"/>
        <v>-50</v>
      </c>
      <c r="AD114" s="48" t="s">
        <v>411</v>
      </c>
    </row>
    <row r="115" spans="1:30" ht="30">
      <c r="A115" s="11"/>
      <c r="B115" s="81"/>
      <c r="C115" s="302"/>
      <c r="D115" s="323"/>
      <c r="E115" s="320"/>
      <c r="F115" s="275" t="s">
        <v>510</v>
      </c>
      <c r="G115" s="25" t="s">
        <v>294</v>
      </c>
      <c r="H115" s="91">
        <v>1</v>
      </c>
      <c r="I115" s="162"/>
      <c r="J115" s="5"/>
      <c r="K115" s="162"/>
      <c r="L115" s="104"/>
      <c r="M115" s="5"/>
      <c r="N115" s="5"/>
      <c r="O115" s="5"/>
      <c r="P115" s="5"/>
      <c r="Q115" s="5"/>
      <c r="R115" s="5">
        <v>1</v>
      </c>
      <c r="S115" s="5"/>
      <c r="T115" s="5"/>
      <c r="U115" s="5"/>
      <c r="V115" s="5"/>
      <c r="W115" s="5"/>
      <c r="X115" s="105"/>
      <c r="Y115" s="348">
        <f t="shared" si="38"/>
        <v>1</v>
      </c>
      <c r="Z115" s="162"/>
      <c r="AA115" s="348"/>
      <c r="AB115" s="162">
        <f t="shared" si="39"/>
        <v>0</v>
      </c>
      <c r="AC115" s="263">
        <f t="shared" si="37"/>
        <v>-1</v>
      </c>
      <c r="AD115" s="48" t="s">
        <v>411</v>
      </c>
    </row>
    <row r="116" spans="1:30" ht="30">
      <c r="A116" s="11"/>
      <c r="B116" s="81"/>
      <c r="C116" s="302"/>
      <c r="D116" s="323"/>
      <c r="E116" s="320"/>
      <c r="F116" s="275" t="s">
        <v>511</v>
      </c>
      <c r="G116" s="25" t="s">
        <v>294</v>
      </c>
      <c r="H116" s="91">
        <v>1</v>
      </c>
      <c r="I116" s="171" t="s">
        <v>516</v>
      </c>
      <c r="J116" s="25" t="s">
        <v>294</v>
      </c>
      <c r="K116" s="155" t="s">
        <v>517</v>
      </c>
      <c r="L116" s="104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105"/>
      <c r="Y116" s="348">
        <f t="shared" si="38"/>
        <v>0</v>
      </c>
      <c r="Z116" s="162"/>
      <c r="AA116" s="348"/>
      <c r="AB116" s="162">
        <f t="shared" si="39"/>
        <v>1</v>
      </c>
      <c r="AC116" s="263">
        <f t="shared" si="37"/>
        <v>0</v>
      </c>
      <c r="AD116" s="48" t="s">
        <v>411</v>
      </c>
    </row>
    <row r="117" spans="1:30" ht="30">
      <c r="A117" s="11"/>
      <c r="B117" s="81"/>
      <c r="C117" s="302"/>
      <c r="D117" s="323"/>
      <c r="E117" s="320"/>
      <c r="F117" s="275"/>
      <c r="G117" s="25"/>
      <c r="H117" s="91"/>
      <c r="I117" s="171" t="s">
        <v>518</v>
      </c>
      <c r="J117" s="25" t="s">
        <v>294</v>
      </c>
      <c r="K117" s="155" t="s">
        <v>517</v>
      </c>
      <c r="L117" s="104"/>
      <c r="M117" s="5"/>
      <c r="N117" s="5"/>
      <c r="O117" s="5"/>
      <c r="P117" s="5"/>
      <c r="Q117" s="5"/>
      <c r="R117" s="5">
        <v>1</v>
      </c>
      <c r="S117" s="5"/>
      <c r="T117" s="5"/>
      <c r="U117" s="5"/>
      <c r="V117" s="5"/>
      <c r="W117" s="5"/>
      <c r="X117" s="105"/>
      <c r="Y117" s="348">
        <f t="shared" si="38"/>
        <v>1</v>
      </c>
      <c r="Z117" s="162"/>
      <c r="AA117" s="348"/>
      <c r="AB117" s="162">
        <f>K117-Y117</f>
        <v>0</v>
      </c>
      <c r="AC117" s="263">
        <f t="shared" si="37"/>
        <v>-1</v>
      </c>
      <c r="AD117" s="48"/>
    </row>
    <row r="118" spans="1:30" ht="30">
      <c r="A118" s="11"/>
      <c r="B118" s="81"/>
      <c r="C118" s="302"/>
      <c r="D118" s="323"/>
      <c r="E118" s="320"/>
      <c r="F118" s="275"/>
      <c r="G118" s="25"/>
      <c r="H118" s="91"/>
      <c r="I118" s="171" t="s">
        <v>519</v>
      </c>
      <c r="J118" s="25" t="s">
        <v>294</v>
      </c>
      <c r="K118" s="155" t="s">
        <v>517</v>
      </c>
      <c r="L118" s="104"/>
      <c r="M118" s="5"/>
      <c r="N118" s="5"/>
      <c r="O118" s="5"/>
      <c r="P118" s="5"/>
      <c r="Q118" s="5"/>
      <c r="R118" s="5">
        <v>1</v>
      </c>
      <c r="S118" s="5"/>
      <c r="T118" s="5"/>
      <c r="U118" s="5"/>
      <c r="V118" s="5"/>
      <c r="W118" s="5"/>
      <c r="X118" s="105"/>
      <c r="Y118" s="348">
        <f t="shared" si="38"/>
        <v>1</v>
      </c>
      <c r="Z118" s="162"/>
      <c r="AA118" s="348"/>
      <c r="AB118" s="162">
        <f t="shared" ref="AB118:AB133" si="47">K118-Y118</f>
        <v>0</v>
      </c>
      <c r="AC118" s="263">
        <f t="shared" si="37"/>
        <v>-1</v>
      </c>
      <c r="AD118" s="48"/>
    </row>
    <row r="119" spans="1:30" ht="30">
      <c r="A119" s="11"/>
      <c r="B119" s="81"/>
      <c r="C119" s="302"/>
      <c r="D119" s="323"/>
      <c r="E119" s="320"/>
      <c r="F119" s="275"/>
      <c r="G119" s="25"/>
      <c r="H119" s="91"/>
      <c r="I119" s="171" t="s">
        <v>520</v>
      </c>
      <c r="J119" s="25" t="s">
        <v>294</v>
      </c>
      <c r="K119" s="155" t="s">
        <v>517</v>
      </c>
      <c r="L119" s="104"/>
      <c r="M119" s="5"/>
      <c r="N119" s="5"/>
      <c r="O119" s="5"/>
      <c r="P119" s="5"/>
      <c r="Q119" s="5"/>
      <c r="R119" s="5">
        <v>1</v>
      </c>
      <c r="S119" s="5"/>
      <c r="T119" s="5"/>
      <c r="U119" s="5"/>
      <c r="V119" s="5"/>
      <c r="W119" s="5"/>
      <c r="X119" s="105"/>
      <c r="Y119" s="348">
        <f t="shared" si="38"/>
        <v>1</v>
      </c>
      <c r="Z119" s="162"/>
      <c r="AA119" s="348"/>
      <c r="AB119" s="162">
        <f t="shared" si="47"/>
        <v>0</v>
      </c>
      <c r="AC119" s="263">
        <f t="shared" si="37"/>
        <v>-1</v>
      </c>
      <c r="AD119" s="48"/>
    </row>
    <row r="120" spans="1:30" ht="30">
      <c r="A120" s="11"/>
      <c r="B120" s="81"/>
      <c r="C120" s="302"/>
      <c r="D120" s="323"/>
      <c r="E120" s="320"/>
      <c r="F120" s="275"/>
      <c r="G120" s="25"/>
      <c r="H120" s="91"/>
      <c r="I120" s="171" t="s">
        <v>521</v>
      </c>
      <c r="J120" s="25" t="s">
        <v>294</v>
      </c>
      <c r="K120" s="155" t="s">
        <v>517</v>
      </c>
      <c r="L120" s="104"/>
      <c r="M120" s="5"/>
      <c r="N120" s="5"/>
      <c r="O120" s="5"/>
      <c r="P120" s="5"/>
      <c r="Q120" s="5"/>
      <c r="R120" s="5">
        <v>1</v>
      </c>
      <c r="S120" s="5"/>
      <c r="T120" s="5"/>
      <c r="U120" s="5"/>
      <c r="V120" s="5"/>
      <c r="W120" s="5"/>
      <c r="X120" s="105"/>
      <c r="Y120" s="348">
        <f t="shared" si="38"/>
        <v>1</v>
      </c>
      <c r="Z120" s="162"/>
      <c r="AA120" s="348"/>
      <c r="AB120" s="162">
        <f t="shared" si="47"/>
        <v>0</v>
      </c>
      <c r="AC120" s="263">
        <f t="shared" si="37"/>
        <v>-1</v>
      </c>
      <c r="AD120" s="48"/>
    </row>
    <row r="121" spans="1:30">
      <c r="A121" s="11"/>
      <c r="B121" s="81"/>
      <c r="C121" s="302"/>
      <c r="D121" s="323"/>
      <c r="E121" s="320"/>
      <c r="F121" s="275"/>
      <c r="G121" s="25"/>
      <c r="H121" s="91"/>
      <c r="I121" s="171" t="s">
        <v>522</v>
      </c>
      <c r="J121" s="25" t="s">
        <v>294</v>
      </c>
      <c r="K121" s="155" t="s">
        <v>517</v>
      </c>
      <c r="L121" s="104"/>
      <c r="M121" s="5"/>
      <c r="N121" s="5"/>
      <c r="O121" s="5"/>
      <c r="P121" s="5"/>
      <c r="Q121" s="5"/>
      <c r="R121" s="5">
        <v>1</v>
      </c>
      <c r="S121" s="5"/>
      <c r="T121" s="5"/>
      <c r="U121" s="5"/>
      <c r="V121" s="5"/>
      <c r="W121" s="5"/>
      <c r="X121" s="105"/>
      <c r="Y121" s="348">
        <f t="shared" si="38"/>
        <v>1</v>
      </c>
      <c r="Z121" s="162"/>
      <c r="AA121" s="348"/>
      <c r="AB121" s="162">
        <f t="shared" si="47"/>
        <v>0</v>
      </c>
      <c r="AC121" s="263">
        <f t="shared" si="37"/>
        <v>-1</v>
      </c>
      <c r="AD121" s="48"/>
    </row>
    <row r="122" spans="1:30" ht="30">
      <c r="A122" s="11"/>
      <c r="B122" s="81"/>
      <c r="C122" s="302"/>
      <c r="D122" s="323"/>
      <c r="E122" s="320"/>
      <c r="F122" s="275"/>
      <c r="G122" s="25"/>
      <c r="H122" s="91"/>
      <c r="I122" s="171" t="s">
        <v>523</v>
      </c>
      <c r="J122" s="25" t="s">
        <v>294</v>
      </c>
      <c r="K122" s="155" t="s">
        <v>517</v>
      </c>
      <c r="L122" s="104"/>
      <c r="M122" s="5"/>
      <c r="N122" s="5"/>
      <c r="O122" s="5"/>
      <c r="P122" s="5"/>
      <c r="Q122" s="5"/>
      <c r="R122" s="5">
        <v>1</v>
      </c>
      <c r="S122" s="5"/>
      <c r="T122" s="5"/>
      <c r="U122" s="5"/>
      <c r="V122" s="5"/>
      <c r="W122" s="5"/>
      <c r="X122" s="105"/>
      <c r="Y122" s="348">
        <f t="shared" si="38"/>
        <v>1</v>
      </c>
      <c r="Z122" s="162"/>
      <c r="AA122" s="348"/>
      <c r="AB122" s="162">
        <f t="shared" si="47"/>
        <v>0</v>
      </c>
      <c r="AC122" s="263">
        <f t="shared" si="37"/>
        <v>-1</v>
      </c>
      <c r="AD122" s="48"/>
    </row>
    <row r="123" spans="1:30" ht="30">
      <c r="A123" s="11"/>
      <c r="B123" s="81"/>
      <c r="C123" s="302"/>
      <c r="D123" s="323"/>
      <c r="E123" s="320"/>
      <c r="F123" s="275"/>
      <c r="G123" s="25"/>
      <c r="H123" s="91"/>
      <c r="I123" s="171" t="s">
        <v>524</v>
      </c>
      <c r="J123" s="25" t="s">
        <v>294</v>
      </c>
      <c r="K123" s="155" t="s">
        <v>517</v>
      </c>
      <c r="L123" s="104"/>
      <c r="M123" s="5"/>
      <c r="N123" s="5"/>
      <c r="O123" s="5"/>
      <c r="P123" s="5"/>
      <c r="Q123" s="5"/>
      <c r="R123" s="5">
        <v>1</v>
      </c>
      <c r="S123" s="5"/>
      <c r="T123" s="5"/>
      <c r="U123" s="5"/>
      <c r="V123" s="5"/>
      <c r="W123" s="5"/>
      <c r="X123" s="105"/>
      <c r="Y123" s="348">
        <f t="shared" si="38"/>
        <v>1</v>
      </c>
      <c r="Z123" s="162"/>
      <c r="AA123" s="348"/>
      <c r="AB123" s="162">
        <f t="shared" si="47"/>
        <v>0</v>
      </c>
      <c r="AC123" s="263">
        <f t="shared" si="37"/>
        <v>-1</v>
      </c>
      <c r="AD123" s="48"/>
    </row>
    <row r="124" spans="1:30">
      <c r="A124" s="11"/>
      <c r="B124" s="81"/>
      <c r="C124" s="302"/>
      <c r="D124" s="323"/>
      <c r="E124" s="320"/>
      <c r="F124" s="275"/>
      <c r="G124" s="25"/>
      <c r="H124" s="91"/>
      <c r="I124" s="171" t="s">
        <v>527</v>
      </c>
      <c r="J124" s="25" t="s">
        <v>528</v>
      </c>
      <c r="K124" s="155" t="s">
        <v>517</v>
      </c>
      <c r="L124" s="104"/>
      <c r="M124" s="5"/>
      <c r="N124" s="5"/>
      <c r="O124" s="5"/>
      <c r="P124" s="5"/>
      <c r="Q124" s="5"/>
      <c r="R124" s="5">
        <v>1</v>
      </c>
      <c r="S124" s="5"/>
      <c r="T124" s="5"/>
      <c r="U124" s="5"/>
      <c r="V124" s="5"/>
      <c r="W124" s="5"/>
      <c r="X124" s="105"/>
      <c r="Y124" s="348">
        <f t="shared" si="38"/>
        <v>1</v>
      </c>
      <c r="Z124" s="162"/>
      <c r="AA124" s="348"/>
      <c r="AB124" s="162">
        <f t="shared" si="47"/>
        <v>0</v>
      </c>
      <c r="AC124" s="263">
        <f t="shared" si="37"/>
        <v>-1</v>
      </c>
      <c r="AD124" s="48"/>
    </row>
    <row r="125" spans="1:30">
      <c r="A125" s="11"/>
      <c r="B125" s="81"/>
      <c r="C125" s="302"/>
      <c r="D125" s="323"/>
      <c r="E125" s="320"/>
      <c r="F125" s="275"/>
      <c r="G125" s="25"/>
      <c r="H125" s="91"/>
      <c r="I125" s="171" t="s">
        <v>529</v>
      </c>
      <c r="J125" s="25" t="s">
        <v>528</v>
      </c>
      <c r="K125" s="155" t="s">
        <v>530</v>
      </c>
      <c r="L125" s="104"/>
      <c r="M125" s="5"/>
      <c r="N125" s="5"/>
      <c r="O125" s="5"/>
      <c r="P125" s="5"/>
      <c r="Q125" s="5"/>
      <c r="R125" s="5">
        <v>60</v>
      </c>
      <c r="S125" s="5"/>
      <c r="T125" s="5"/>
      <c r="U125" s="5"/>
      <c r="V125" s="5"/>
      <c r="W125" s="5"/>
      <c r="X125" s="105"/>
      <c r="Y125" s="348">
        <f t="shared" si="38"/>
        <v>60</v>
      </c>
      <c r="Z125" s="162"/>
      <c r="AA125" s="348"/>
      <c r="AB125" s="162">
        <f t="shared" si="47"/>
        <v>0</v>
      </c>
      <c r="AC125" s="263">
        <f t="shared" si="37"/>
        <v>-60</v>
      </c>
      <c r="AD125" s="48"/>
    </row>
    <row r="126" spans="1:30">
      <c r="A126" s="11"/>
      <c r="B126" s="81"/>
      <c r="C126" s="302"/>
      <c r="D126" s="323"/>
      <c r="E126" s="320"/>
      <c r="F126" s="275"/>
      <c r="G126" s="25"/>
      <c r="H126" s="91"/>
      <c r="I126" s="171" t="s">
        <v>531</v>
      </c>
      <c r="J126" s="25" t="s">
        <v>528</v>
      </c>
      <c r="K126" s="155" t="s">
        <v>532</v>
      </c>
      <c r="L126" s="104"/>
      <c r="M126" s="5"/>
      <c r="N126" s="5"/>
      <c r="O126" s="5"/>
      <c r="P126" s="5"/>
      <c r="Q126" s="5"/>
      <c r="R126" s="5">
        <v>48</v>
      </c>
      <c r="S126" s="5"/>
      <c r="T126" s="5"/>
      <c r="U126" s="5"/>
      <c r="V126" s="5"/>
      <c r="W126" s="5"/>
      <c r="X126" s="105"/>
      <c r="Y126" s="348">
        <f t="shared" si="38"/>
        <v>48</v>
      </c>
      <c r="Z126" s="162"/>
      <c r="AA126" s="348"/>
      <c r="AB126" s="162">
        <f t="shared" si="47"/>
        <v>0</v>
      </c>
      <c r="AC126" s="263">
        <f t="shared" si="37"/>
        <v>-48</v>
      </c>
      <c r="AD126" s="48"/>
    </row>
    <row r="127" spans="1:30">
      <c r="A127" s="11"/>
      <c r="B127" s="81"/>
      <c r="C127" s="302"/>
      <c r="D127" s="323"/>
      <c r="E127" s="320"/>
      <c r="F127" s="275"/>
      <c r="G127" s="25"/>
      <c r="H127" s="91"/>
      <c r="I127" s="171" t="s">
        <v>533</v>
      </c>
      <c r="J127" s="25" t="s">
        <v>294</v>
      </c>
      <c r="K127" s="155" t="s">
        <v>534</v>
      </c>
      <c r="L127" s="104"/>
      <c r="M127" s="5"/>
      <c r="N127" s="5"/>
      <c r="O127" s="5"/>
      <c r="P127" s="5"/>
      <c r="Q127" s="5"/>
      <c r="R127" s="5">
        <v>4</v>
      </c>
      <c r="S127" s="5"/>
      <c r="T127" s="5"/>
      <c r="U127" s="5"/>
      <c r="V127" s="5"/>
      <c r="W127" s="5"/>
      <c r="X127" s="105"/>
      <c r="Y127" s="348">
        <f t="shared" si="38"/>
        <v>4</v>
      </c>
      <c r="Z127" s="162"/>
      <c r="AA127" s="348"/>
      <c r="AB127" s="162">
        <f t="shared" si="47"/>
        <v>0</v>
      </c>
      <c r="AC127" s="263">
        <f t="shared" si="37"/>
        <v>-4</v>
      </c>
      <c r="AD127" s="48"/>
    </row>
    <row r="128" spans="1:30">
      <c r="A128" s="11"/>
      <c r="B128" s="81"/>
      <c r="C128" s="302"/>
      <c r="D128" s="323"/>
      <c r="E128" s="320"/>
      <c r="F128" s="275"/>
      <c r="G128" s="25"/>
      <c r="H128" s="91"/>
      <c r="I128" s="171" t="s">
        <v>535</v>
      </c>
      <c r="J128" s="25" t="s">
        <v>294</v>
      </c>
      <c r="K128" s="155" t="s">
        <v>534</v>
      </c>
      <c r="L128" s="104"/>
      <c r="M128" s="5"/>
      <c r="N128" s="5"/>
      <c r="O128" s="5"/>
      <c r="P128" s="5"/>
      <c r="Q128" s="5"/>
      <c r="R128" s="5">
        <v>4</v>
      </c>
      <c r="S128" s="5"/>
      <c r="T128" s="5"/>
      <c r="U128" s="5"/>
      <c r="V128" s="5"/>
      <c r="W128" s="5"/>
      <c r="X128" s="105"/>
      <c r="Y128" s="348">
        <f t="shared" si="38"/>
        <v>4</v>
      </c>
      <c r="Z128" s="162"/>
      <c r="AA128" s="348"/>
      <c r="AB128" s="162">
        <f t="shared" si="47"/>
        <v>0</v>
      </c>
      <c r="AC128" s="263">
        <f t="shared" si="37"/>
        <v>-4</v>
      </c>
      <c r="AD128" s="48"/>
    </row>
    <row r="129" spans="1:30">
      <c r="A129" s="11"/>
      <c r="B129" s="81"/>
      <c r="C129" s="302"/>
      <c r="D129" s="323"/>
      <c r="E129" s="320"/>
      <c r="F129" s="275"/>
      <c r="G129" s="25"/>
      <c r="H129" s="91"/>
      <c r="I129" s="171" t="s">
        <v>536</v>
      </c>
      <c r="J129" s="25" t="s">
        <v>294</v>
      </c>
      <c r="K129" s="155" t="s">
        <v>537</v>
      </c>
      <c r="L129" s="104"/>
      <c r="M129" s="5"/>
      <c r="N129" s="5"/>
      <c r="O129" s="5"/>
      <c r="P129" s="5"/>
      <c r="Q129" s="5"/>
      <c r="R129" s="5">
        <v>18</v>
      </c>
      <c r="S129" s="5"/>
      <c r="T129" s="5"/>
      <c r="U129" s="5"/>
      <c r="V129" s="5"/>
      <c r="W129" s="5"/>
      <c r="X129" s="105"/>
      <c r="Y129" s="348">
        <f t="shared" si="38"/>
        <v>18</v>
      </c>
      <c r="Z129" s="162"/>
      <c r="AA129" s="348"/>
      <c r="AB129" s="162">
        <f t="shared" si="47"/>
        <v>0</v>
      </c>
      <c r="AC129" s="263">
        <f t="shared" si="37"/>
        <v>-18</v>
      </c>
      <c r="AD129" s="48"/>
    </row>
    <row r="130" spans="1:30" ht="45">
      <c r="A130" s="11"/>
      <c r="B130" s="81"/>
      <c r="C130" s="302"/>
      <c r="D130" s="323"/>
      <c r="E130" s="320"/>
      <c r="F130" s="275"/>
      <c r="G130" s="25"/>
      <c r="H130" s="91"/>
      <c r="I130" s="171" t="s">
        <v>538</v>
      </c>
      <c r="J130" s="25" t="s">
        <v>294</v>
      </c>
      <c r="K130" s="155" t="s">
        <v>526</v>
      </c>
      <c r="L130" s="104"/>
      <c r="M130" s="5"/>
      <c r="N130" s="5"/>
      <c r="O130" s="5"/>
      <c r="P130" s="5"/>
      <c r="Q130" s="5"/>
      <c r="R130" s="5">
        <v>2</v>
      </c>
      <c r="S130" s="5"/>
      <c r="T130" s="5"/>
      <c r="U130" s="5"/>
      <c r="V130" s="5"/>
      <c r="W130" s="5"/>
      <c r="X130" s="105"/>
      <c r="Y130" s="348">
        <f t="shared" si="38"/>
        <v>2</v>
      </c>
      <c r="Z130" s="162"/>
      <c r="AA130" s="348"/>
      <c r="AB130" s="162">
        <f t="shared" si="47"/>
        <v>0</v>
      </c>
      <c r="AC130" s="263">
        <f t="shared" si="37"/>
        <v>-2</v>
      </c>
      <c r="AD130" s="48"/>
    </row>
    <row r="131" spans="1:30" ht="30">
      <c r="A131" s="11"/>
      <c r="B131" s="81"/>
      <c r="C131" s="302"/>
      <c r="D131" s="323"/>
      <c r="E131" s="320"/>
      <c r="F131" s="275"/>
      <c r="G131" s="25"/>
      <c r="H131" s="91"/>
      <c r="I131" s="171" t="s">
        <v>539</v>
      </c>
      <c r="J131" s="25" t="s">
        <v>294</v>
      </c>
      <c r="K131" s="155" t="s">
        <v>526</v>
      </c>
      <c r="L131" s="104"/>
      <c r="M131" s="5"/>
      <c r="N131" s="5"/>
      <c r="O131" s="5"/>
      <c r="P131" s="5"/>
      <c r="Q131" s="5"/>
      <c r="R131" s="5">
        <v>2</v>
      </c>
      <c r="S131" s="5"/>
      <c r="T131" s="5"/>
      <c r="U131" s="5"/>
      <c r="V131" s="5"/>
      <c r="W131" s="5"/>
      <c r="X131" s="105"/>
      <c r="Y131" s="348">
        <f t="shared" si="38"/>
        <v>2</v>
      </c>
      <c r="Z131" s="162"/>
      <c r="AA131" s="348"/>
      <c r="AB131" s="162">
        <f t="shared" si="47"/>
        <v>0</v>
      </c>
      <c r="AC131" s="263">
        <f t="shared" si="37"/>
        <v>-2</v>
      </c>
      <c r="AD131" s="48"/>
    </row>
    <row r="132" spans="1:30">
      <c r="A132" s="11"/>
      <c r="B132" s="81"/>
      <c r="C132" s="302"/>
      <c r="D132" s="323"/>
      <c r="E132" s="320"/>
      <c r="F132" s="275"/>
      <c r="G132" s="25"/>
      <c r="H132" s="91"/>
      <c r="I132" s="171" t="s">
        <v>540</v>
      </c>
      <c r="J132" s="25" t="s">
        <v>294</v>
      </c>
      <c r="K132" s="155" t="s">
        <v>526</v>
      </c>
      <c r="L132" s="104"/>
      <c r="M132" s="5"/>
      <c r="N132" s="5"/>
      <c r="O132" s="5"/>
      <c r="P132" s="5"/>
      <c r="Q132" s="5"/>
      <c r="R132" s="5">
        <v>2</v>
      </c>
      <c r="S132" s="5"/>
      <c r="T132" s="5"/>
      <c r="U132" s="5"/>
      <c r="V132" s="5"/>
      <c r="W132" s="5"/>
      <c r="X132" s="105"/>
      <c r="Y132" s="348">
        <f t="shared" si="38"/>
        <v>2</v>
      </c>
      <c r="Z132" s="162"/>
      <c r="AA132" s="348"/>
      <c r="AB132" s="162">
        <f t="shared" si="47"/>
        <v>0</v>
      </c>
      <c r="AC132" s="263">
        <f t="shared" si="37"/>
        <v>-2</v>
      </c>
      <c r="AD132" s="48"/>
    </row>
    <row r="133" spans="1:30">
      <c r="A133" s="11"/>
      <c r="B133" s="81"/>
      <c r="C133" s="302"/>
      <c r="D133" s="323"/>
      <c r="E133" s="320"/>
      <c r="F133" s="275" t="s">
        <v>512</v>
      </c>
      <c r="G133" s="25" t="s">
        <v>600</v>
      </c>
      <c r="H133" s="91">
        <v>52</v>
      </c>
      <c r="I133" s="171" t="s">
        <v>541</v>
      </c>
      <c r="J133" s="25" t="s">
        <v>600</v>
      </c>
      <c r="K133" s="155">
        <v>48</v>
      </c>
      <c r="L133" s="104"/>
      <c r="M133" s="5"/>
      <c r="N133" s="5"/>
      <c r="O133" s="5"/>
      <c r="P133" s="5"/>
      <c r="Q133" s="5"/>
      <c r="R133" s="5">
        <v>48</v>
      </c>
      <c r="S133" s="5"/>
      <c r="T133" s="5"/>
      <c r="U133" s="5"/>
      <c r="V133" s="5"/>
      <c r="W133" s="5"/>
      <c r="X133" s="105"/>
      <c r="Y133" s="348">
        <f t="shared" si="38"/>
        <v>48</v>
      </c>
      <c r="Z133" s="162"/>
      <c r="AA133" s="348"/>
      <c r="AB133" s="162">
        <f t="shared" si="47"/>
        <v>0</v>
      </c>
      <c r="AC133" s="263">
        <f t="shared" si="37"/>
        <v>-48</v>
      </c>
      <c r="AD133" s="48"/>
    </row>
    <row r="134" spans="1:30">
      <c r="A134" s="11"/>
      <c r="B134" s="81"/>
      <c r="C134" s="302"/>
      <c r="D134" s="323"/>
      <c r="E134" s="320"/>
      <c r="F134" s="275"/>
      <c r="G134" s="25"/>
      <c r="H134" s="91"/>
      <c r="I134" s="171" t="s">
        <v>542</v>
      </c>
      <c r="J134" s="25"/>
      <c r="K134" s="155"/>
      <c r="L134" s="104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105"/>
      <c r="Y134" s="348">
        <f t="shared" si="38"/>
        <v>0</v>
      </c>
      <c r="Z134" s="162"/>
      <c r="AA134" s="348"/>
      <c r="AB134" s="162">
        <f t="shared" si="39"/>
        <v>0</v>
      </c>
      <c r="AC134" s="263">
        <f t="shared" si="37"/>
        <v>0</v>
      </c>
      <c r="AD134" s="48"/>
    </row>
    <row r="135" spans="1:30" s="225" customFormat="1">
      <c r="A135" s="149"/>
      <c r="B135" s="337"/>
      <c r="C135" s="338"/>
      <c r="D135" s="173"/>
      <c r="E135" s="177"/>
      <c r="F135" s="275" t="s">
        <v>513</v>
      </c>
      <c r="G135" s="25" t="s">
        <v>600</v>
      </c>
      <c r="H135" s="91">
        <v>46</v>
      </c>
      <c r="I135" s="171"/>
      <c r="J135" s="25"/>
      <c r="K135" s="155"/>
      <c r="L135" s="106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107"/>
      <c r="Y135" s="349">
        <f t="shared" si="38"/>
        <v>0</v>
      </c>
      <c r="Z135" s="155"/>
      <c r="AA135" s="349"/>
      <c r="AB135" s="155">
        <f t="shared" si="39"/>
        <v>46</v>
      </c>
      <c r="AC135" s="339">
        <f t="shared" si="37"/>
        <v>0</v>
      </c>
      <c r="AD135" s="73"/>
    </row>
    <row r="136" spans="1:30" s="225" customFormat="1">
      <c r="A136" s="149"/>
      <c r="B136" s="337"/>
      <c r="C136" s="338"/>
      <c r="D136" s="173"/>
      <c r="E136" s="177"/>
      <c r="F136" s="275" t="s">
        <v>513</v>
      </c>
      <c r="G136" s="25" t="s">
        <v>600</v>
      </c>
      <c r="H136" s="91">
        <v>46</v>
      </c>
      <c r="I136" s="171"/>
      <c r="J136" s="25"/>
      <c r="K136" s="155"/>
      <c r="L136" s="106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107"/>
      <c r="Y136" s="349">
        <f t="shared" si="38"/>
        <v>0</v>
      </c>
      <c r="Z136" s="155"/>
      <c r="AA136" s="349"/>
      <c r="AB136" s="155">
        <f t="shared" si="39"/>
        <v>46</v>
      </c>
      <c r="AC136" s="339">
        <f t="shared" si="37"/>
        <v>0</v>
      </c>
      <c r="AD136" s="73"/>
    </row>
    <row r="137" spans="1:30" s="225" customFormat="1">
      <c r="A137" s="149"/>
      <c r="B137" s="337"/>
      <c r="C137" s="338"/>
      <c r="D137" s="173"/>
      <c r="E137" s="177"/>
      <c r="F137" s="275" t="s">
        <v>1090</v>
      </c>
      <c r="G137" s="25" t="s">
        <v>294</v>
      </c>
      <c r="H137" s="91">
        <v>1</v>
      </c>
      <c r="I137" s="367" t="s">
        <v>514</v>
      </c>
      <c r="J137" s="368" t="s">
        <v>294</v>
      </c>
      <c r="K137" s="340">
        <v>1</v>
      </c>
      <c r="L137" s="106"/>
      <c r="M137" s="25"/>
      <c r="N137" s="25"/>
      <c r="O137" s="25"/>
      <c r="P137" s="25"/>
      <c r="Q137" s="25"/>
      <c r="R137" s="25"/>
      <c r="S137" s="25"/>
      <c r="T137" s="25"/>
      <c r="U137" s="25">
        <v>1</v>
      </c>
      <c r="V137" s="25"/>
      <c r="W137" s="25"/>
      <c r="X137" s="107"/>
      <c r="Y137" s="349">
        <f t="shared" si="38"/>
        <v>1</v>
      </c>
      <c r="Z137" s="155"/>
      <c r="AA137" s="349"/>
      <c r="AB137" s="155">
        <f t="shared" si="39"/>
        <v>0</v>
      </c>
      <c r="AC137" s="339">
        <f>E137-Y137</f>
        <v>-1</v>
      </c>
      <c r="AD137" s="73" t="s">
        <v>1096</v>
      </c>
    </row>
    <row r="138" spans="1:30" s="225" customFormat="1">
      <c r="A138" s="149"/>
      <c r="B138" s="337"/>
      <c r="C138" s="338"/>
      <c r="D138" s="173"/>
      <c r="E138" s="177"/>
      <c r="F138" s="275" t="s">
        <v>515</v>
      </c>
      <c r="G138" s="25"/>
      <c r="H138" s="91"/>
      <c r="I138" s="171"/>
      <c r="J138" s="25" t="s">
        <v>289</v>
      </c>
      <c r="K138" s="155">
        <v>4.4000000000000004</v>
      </c>
      <c r="L138" s="106"/>
      <c r="M138" s="25"/>
      <c r="N138" s="25"/>
      <c r="O138" s="25"/>
      <c r="P138" s="25"/>
      <c r="Q138" s="25"/>
      <c r="R138" s="25"/>
      <c r="S138" s="25">
        <v>4.4000000000000004</v>
      </c>
      <c r="T138" s="25"/>
      <c r="U138" s="25"/>
      <c r="V138" s="25"/>
      <c r="W138" s="25"/>
      <c r="X138" s="107"/>
      <c r="Y138" s="349">
        <f t="shared" si="38"/>
        <v>4.4000000000000004</v>
      </c>
      <c r="Z138" s="155"/>
      <c r="AA138" s="349"/>
      <c r="AB138" s="155">
        <f t="shared" si="39"/>
        <v>-4.4000000000000004</v>
      </c>
      <c r="AC138" s="339">
        <f t="shared" si="37"/>
        <v>-4.4000000000000004</v>
      </c>
      <c r="AD138" s="73" t="s">
        <v>410</v>
      </c>
    </row>
    <row r="139" spans="1:30" ht="30">
      <c r="A139" s="11"/>
      <c r="B139" s="81" t="s">
        <v>81</v>
      </c>
      <c r="C139" s="302" t="s">
        <v>82</v>
      </c>
      <c r="D139" s="323" t="s">
        <v>291</v>
      </c>
      <c r="E139" s="320">
        <v>58.6</v>
      </c>
      <c r="F139" s="274" t="s">
        <v>82</v>
      </c>
      <c r="G139" s="5" t="s">
        <v>600</v>
      </c>
      <c r="H139" s="89">
        <v>58.6</v>
      </c>
      <c r="I139" s="162"/>
      <c r="J139" s="5" t="s">
        <v>600</v>
      </c>
      <c r="K139" s="162"/>
      <c r="L139" s="104"/>
      <c r="M139" s="5"/>
      <c r="N139" s="5"/>
      <c r="O139" s="5"/>
      <c r="P139" s="5"/>
      <c r="Q139" s="5">
        <v>50</v>
      </c>
      <c r="R139" s="5"/>
      <c r="S139" s="5"/>
      <c r="T139" s="5"/>
      <c r="U139" s="5"/>
      <c r="V139" s="5"/>
      <c r="W139" s="5"/>
      <c r="X139" s="105"/>
      <c r="Y139" s="348">
        <f t="shared" si="8"/>
        <v>50</v>
      </c>
      <c r="Z139" s="162"/>
      <c r="AA139" s="348"/>
      <c r="AB139" s="162">
        <f t="shared" si="1"/>
        <v>8.6000000000000014</v>
      </c>
      <c r="AC139" s="263">
        <f t="shared" si="37"/>
        <v>8.6000000000000014</v>
      </c>
      <c r="AD139" s="73" t="s">
        <v>410</v>
      </c>
    </row>
    <row r="140" spans="1:30" ht="45">
      <c r="A140" s="11"/>
      <c r="B140" s="81" t="s">
        <v>83</v>
      </c>
      <c r="C140" s="302" t="s">
        <v>84</v>
      </c>
      <c r="D140" s="323" t="s">
        <v>291</v>
      </c>
      <c r="E140" s="320">
        <v>0</v>
      </c>
      <c r="F140" s="274" t="s">
        <v>84</v>
      </c>
      <c r="G140" s="5" t="s">
        <v>600</v>
      </c>
      <c r="H140" s="89">
        <v>0</v>
      </c>
      <c r="I140" s="162"/>
      <c r="J140" s="5" t="s">
        <v>600</v>
      </c>
      <c r="K140" s="162"/>
      <c r="L140" s="104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105"/>
      <c r="Y140" s="348">
        <f t="shared" si="8"/>
        <v>0</v>
      </c>
      <c r="Z140" s="162"/>
      <c r="AA140" s="348"/>
      <c r="AB140" s="162">
        <f t="shared" si="1"/>
        <v>0</v>
      </c>
      <c r="AC140" s="263">
        <f t="shared" si="37"/>
        <v>0</v>
      </c>
      <c r="AD140" s="73" t="s">
        <v>410</v>
      </c>
    </row>
    <row r="141" spans="1:30" ht="30">
      <c r="A141" s="11"/>
      <c r="B141" s="81" t="s">
        <v>85</v>
      </c>
      <c r="C141" s="302" t="s">
        <v>86</v>
      </c>
      <c r="D141" s="323" t="s">
        <v>294</v>
      </c>
      <c r="E141" s="320">
        <v>2</v>
      </c>
      <c r="F141" s="274" t="s">
        <v>86</v>
      </c>
      <c r="G141" s="5" t="s">
        <v>294</v>
      </c>
      <c r="H141" s="89">
        <v>2</v>
      </c>
      <c r="I141" s="162"/>
      <c r="J141" s="5" t="s">
        <v>294</v>
      </c>
      <c r="K141" s="162"/>
      <c r="L141" s="104"/>
      <c r="M141" s="5"/>
      <c r="N141" s="5"/>
      <c r="O141" s="5"/>
      <c r="P141" s="5"/>
      <c r="Q141" s="5">
        <v>1</v>
      </c>
      <c r="R141" s="5"/>
      <c r="S141" s="5"/>
      <c r="T141" s="5"/>
      <c r="U141" s="5"/>
      <c r="V141" s="5"/>
      <c r="W141" s="5"/>
      <c r="X141" s="105"/>
      <c r="Y141" s="348">
        <f t="shared" si="8"/>
        <v>1</v>
      </c>
      <c r="Z141" s="162"/>
      <c r="AA141" s="348"/>
      <c r="AB141" s="162">
        <f t="shared" si="1"/>
        <v>1</v>
      </c>
      <c r="AC141" s="263">
        <f t="shared" si="37"/>
        <v>1</v>
      </c>
      <c r="AD141" s="73" t="s">
        <v>410</v>
      </c>
    </row>
    <row r="142" spans="1:30" ht="45">
      <c r="A142" s="11"/>
      <c r="B142" s="81" t="s">
        <v>87</v>
      </c>
      <c r="C142" s="302" t="s">
        <v>88</v>
      </c>
      <c r="D142" s="323" t="s">
        <v>291</v>
      </c>
      <c r="E142" s="320">
        <v>44</v>
      </c>
      <c r="F142" s="274" t="s">
        <v>88</v>
      </c>
      <c r="G142" s="5" t="s">
        <v>600</v>
      </c>
      <c r="H142" s="89">
        <v>44</v>
      </c>
      <c r="I142" s="162"/>
      <c r="J142" s="5" t="s">
        <v>600</v>
      </c>
      <c r="K142" s="162"/>
      <c r="L142" s="104"/>
      <c r="M142" s="5"/>
      <c r="N142" s="5"/>
      <c r="O142" s="5"/>
      <c r="P142" s="5"/>
      <c r="Q142" s="5">
        <v>44</v>
      </c>
      <c r="R142" s="5"/>
      <c r="S142" s="5"/>
      <c r="T142" s="5"/>
      <c r="U142" s="5"/>
      <c r="V142" s="5"/>
      <c r="W142" s="5"/>
      <c r="X142" s="105"/>
      <c r="Y142" s="348">
        <f t="shared" si="8"/>
        <v>44</v>
      </c>
      <c r="Z142" s="162"/>
      <c r="AA142" s="348"/>
      <c r="AB142" s="162">
        <f t="shared" si="1"/>
        <v>0</v>
      </c>
      <c r="AC142" s="263">
        <f t="shared" si="37"/>
        <v>0</v>
      </c>
      <c r="AD142" s="73" t="s">
        <v>410</v>
      </c>
    </row>
    <row r="143" spans="1:30" ht="30">
      <c r="A143" s="11"/>
      <c r="B143" s="81" t="s">
        <v>89</v>
      </c>
      <c r="C143" s="302" t="s">
        <v>90</v>
      </c>
      <c r="D143" s="323" t="s">
        <v>291</v>
      </c>
      <c r="E143" s="320">
        <v>44</v>
      </c>
      <c r="F143" s="274" t="s">
        <v>90</v>
      </c>
      <c r="G143" s="5" t="s">
        <v>600</v>
      </c>
      <c r="H143" s="89">
        <v>44</v>
      </c>
      <c r="I143" s="162"/>
      <c r="J143" s="5" t="s">
        <v>600</v>
      </c>
      <c r="K143" s="162"/>
      <c r="L143" s="104"/>
      <c r="M143" s="5"/>
      <c r="N143" s="5"/>
      <c r="O143" s="5"/>
      <c r="P143" s="5"/>
      <c r="Q143" s="5">
        <v>44</v>
      </c>
      <c r="R143" s="5"/>
      <c r="S143" s="5"/>
      <c r="T143" s="5"/>
      <c r="U143" s="5"/>
      <c r="V143" s="5"/>
      <c r="W143" s="5"/>
      <c r="X143" s="105"/>
      <c r="Y143" s="348">
        <f t="shared" si="8"/>
        <v>44</v>
      </c>
      <c r="Z143" s="162"/>
      <c r="AA143" s="348"/>
      <c r="AB143" s="162">
        <f t="shared" si="1"/>
        <v>0</v>
      </c>
      <c r="AC143" s="263">
        <f t="shared" si="37"/>
        <v>0</v>
      </c>
      <c r="AD143" s="73" t="s">
        <v>410</v>
      </c>
    </row>
    <row r="144" spans="1:30">
      <c r="A144" s="11"/>
      <c r="B144" s="81" t="s">
        <v>91</v>
      </c>
      <c r="C144" s="302" t="s">
        <v>92</v>
      </c>
      <c r="D144" s="323" t="s">
        <v>295</v>
      </c>
      <c r="E144" s="320">
        <v>2</v>
      </c>
      <c r="F144" s="274" t="s">
        <v>92</v>
      </c>
      <c r="G144" s="5" t="s">
        <v>295</v>
      </c>
      <c r="H144" s="89">
        <v>2</v>
      </c>
      <c r="I144" s="162"/>
      <c r="J144" s="5" t="s">
        <v>295</v>
      </c>
      <c r="K144" s="162"/>
      <c r="L144" s="104"/>
      <c r="M144" s="5"/>
      <c r="N144" s="5"/>
      <c r="O144" s="5"/>
      <c r="P144" s="5"/>
      <c r="Q144" s="5">
        <v>2</v>
      </c>
      <c r="R144" s="5"/>
      <c r="S144" s="5"/>
      <c r="T144" s="5"/>
      <c r="U144" s="5"/>
      <c r="V144" s="5"/>
      <c r="W144" s="5"/>
      <c r="X144" s="105"/>
      <c r="Y144" s="348">
        <f t="shared" si="8"/>
        <v>2</v>
      </c>
      <c r="Z144" s="162"/>
      <c r="AA144" s="348"/>
      <c r="AB144" s="162">
        <f t="shared" si="1"/>
        <v>0</v>
      </c>
      <c r="AC144" s="263">
        <f t="shared" si="37"/>
        <v>0</v>
      </c>
      <c r="AD144" s="73" t="s">
        <v>410</v>
      </c>
    </row>
    <row r="145" spans="1:30" ht="30">
      <c r="A145" s="11"/>
      <c r="B145" s="81" t="s">
        <v>93</v>
      </c>
      <c r="C145" s="302" t="s">
        <v>94</v>
      </c>
      <c r="D145" s="323" t="s">
        <v>296</v>
      </c>
      <c r="E145" s="320">
        <v>4</v>
      </c>
      <c r="F145" s="274" t="s">
        <v>94</v>
      </c>
      <c r="G145" s="5" t="s">
        <v>296</v>
      </c>
      <c r="H145" s="89">
        <v>4</v>
      </c>
      <c r="I145" s="162"/>
      <c r="J145" s="5" t="s">
        <v>296</v>
      </c>
      <c r="K145" s="162"/>
      <c r="L145" s="104"/>
      <c r="M145" s="5"/>
      <c r="N145" s="5"/>
      <c r="O145" s="5"/>
      <c r="P145" s="5"/>
      <c r="Q145" s="5">
        <v>4</v>
      </c>
      <c r="R145" s="5"/>
      <c r="S145" s="5"/>
      <c r="T145" s="5"/>
      <c r="U145" s="5"/>
      <c r="V145" s="5"/>
      <c r="W145" s="5"/>
      <c r="X145" s="105"/>
      <c r="Y145" s="348">
        <f t="shared" ref="Y145:Y217" si="48">SUM(L145:X145)</f>
        <v>4</v>
      </c>
      <c r="Z145" s="162"/>
      <c r="AA145" s="348"/>
      <c r="AB145" s="162">
        <f t="shared" ref="AB145:AB217" si="49">H145-Y145</f>
        <v>0</v>
      </c>
      <c r="AC145" s="263">
        <f t="shared" si="37"/>
        <v>0</v>
      </c>
      <c r="AD145" s="73" t="s">
        <v>410</v>
      </c>
    </row>
    <row r="146" spans="1:30">
      <c r="A146" s="11"/>
      <c r="B146" s="81" t="s">
        <v>95</v>
      </c>
      <c r="C146" s="302" t="s">
        <v>96</v>
      </c>
      <c r="D146" s="323" t="s">
        <v>289</v>
      </c>
      <c r="E146" s="320">
        <v>0.09</v>
      </c>
      <c r="F146" s="274" t="s">
        <v>96</v>
      </c>
      <c r="G146" s="5" t="s">
        <v>289</v>
      </c>
      <c r="H146" s="89">
        <v>0.09</v>
      </c>
      <c r="I146" s="162"/>
      <c r="J146" s="5" t="s">
        <v>289</v>
      </c>
      <c r="K146" s="162"/>
      <c r="L146" s="104"/>
      <c r="M146" s="5"/>
      <c r="N146" s="5"/>
      <c r="O146" s="5"/>
      <c r="P146" s="5"/>
      <c r="Q146" s="5">
        <v>0.09</v>
      </c>
      <c r="R146" s="5"/>
      <c r="S146" s="5"/>
      <c r="T146" s="5"/>
      <c r="U146" s="5"/>
      <c r="V146" s="5"/>
      <c r="W146" s="5"/>
      <c r="X146" s="105"/>
      <c r="Y146" s="348">
        <f t="shared" si="48"/>
        <v>0.09</v>
      </c>
      <c r="Z146" s="162"/>
      <c r="AA146" s="348"/>
      <c r="AB146" s="162">
        <f t="shared" si="49"/>
        <v>0</v>
      </c>
      <c r="AC146" s="263">
        <f t="shared" si="37"/>
        <v>0</v>
      </c>
      <c r="AD146" s="73" t="s">
        <v>410</v>
      </c>
    </row>
    <row r="147" spans="1:30">
      <c r="A147" s="11"/>
      <c r="B147" s="81" t="s">
        <v>74</v>
      </c>
      <c r="C147" s="302" t="s">
        <v>75</v>
      </c>
      <c r="D147" s="323" t="s">
        <v>293</v>
      </c>
      <c r="E147" s="320">
        <v>16.96</v>
      </c>
      <c r="F147" s="274" t="s">
        <v>75</v>
      </c>
      <c r="G147" s="5" t="s">
        <v>293</v>
      </c>
      <c r="H147" s="89">
        <v>16.96</v>
      </c>
      <c r="I147" s="162"/>
      <c r="J147" s="5" t="s">
        <v>293</v>
      </c>
      <c r="K147" s="162"/>
      <c r="L147" s="104"/>
      <c r="M147" s="5"/>
      <c r="N147" s="5"/>
      <c r="O147" s="5"/>
      <c r="P147" s="5"/>
      <c r="Q147" s="5">
        <v>16.96</v>
      </c>
      <c r="R147" s="5"/>
      <c r="S147" s="5"/>
      <c r="T147" s="5"/>
      <c r="U147" s="5"/>
      <c r="V147" s="5"/>
      <c r="W147" s="5"/>
      <c r="X147" s="105"/>
      <c r="Y147" s="348">
        <f t="shared" si="48"/>
        <v>16.96</v>
      </c>
      <c r="Z147" s="162"/>
      <c r="AA147" s="348"/>
      <c r="AB147" s="162">
        <f t="shared" si="49"/>
        <v>0</v>
      </c>
      <c r="AC147" s="263">
        <f t="shared" si="37"/>
        <v>0</v>
      </c>
      <c r="AD147" s="73" t="s">
        <v>410</v>
      </c>
    </row>
    <row r="148" spans="1:30" s="65" customFormat="1">
      <c r="A148" s="23"/>
      <c r="B148" s="82"/>
      <c r="C148" s="83" t="s">
        <v>97</v>
      </c>
      <c r="D148" s="84"/>
      <c r="E148" s="120"/>
      <c r="F148" s="304" t="s">
        <v>97</v>
      </c>
      <c r="G148" s="24"/>
      <c r="H148" s="93"/>
      <c r="I148" s="165"/>
      <c r="J148" s="24"/>
      <c r="K148" s="165"/>
      <c r="L148" s="110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111"/>
      <c r="Y148" s="351"/>
      <c r="Z148" s="165"/>
      <c r="AA148" s="351"/>
      <c r="AB148" s="165"/>
      <c r="AC148" s="165"/>
      <c r="AD148" s="309"/>
    </row>
    <row r="149" spans="1:30" s="65" customFormat="1" ht="30">
      <c r="A149" s="23"/>
      <c r="B149" s="82"/>
      <c r="C149" s="83" t="s">
        <v>550</v>
      </c>
      <c r="D149" s="84"/>
      <c r="E149" s="120"/>
      <c r="F149" s="304" t="s">
        <v>550</v>
      </c>
      <c r="G149" s="24"/>
      <c r="H149" s="93"/>
      <c r="I149" s="165"/>
      <c r="J149" s="24"/>
      <c r="K149" s="165"/>
      <c r="L149" s="110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111"/>
      <c r="Y149" s="351"/>
      <c r="Z149" s="165"/>
      <c r="AA149" s="351"/>
      <c r="AB149" s="165"/>
      <c r="AC149" s="165"/>
      <c r="AD149" s="309"/>
    </row>
    <row r="150" spans="1:30" ht="75">
      <c r="A150" s="11"/>
      <c r="B150" s="81" t="s">
        <v>98</v>
      </c>
      <c r="C150" s="302" t="s">
        <v>99</v>
      </c>
      <c r="D150" s="323" t="s">
        <v>289</v>
      </c>
      <c r="E150" s="320">
        <v>46.289879999999997</v>
      </c>
      <c r="F150" s="273" t="s">
        <v>99</v>
      </c>
      <c r="G150" s="15" t="s">
        <v>289</v>
      </c>
      <c r="H150" s="94">
        <v>46.289879999999997</v>
      </c>
      <c r="I150" s="166"/>
      <c r="J150" s="15" t="s">
        <v>289</v>
      </c>
      <c r="K150" s="166"/>
      <c r="L150" s="117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18"/>
      <c r="Y150" s="354">
        <f t="shared" si="48"/>
        <v>0</v>
      </c>
      <c r="Z150" s="166"/>
      <c r="AA150" s="354"/>
      <c r="AB150" s="166">
        <f t="shared" si="49"/>
        <v>46.289879999999997</v>
      </c>
      <c r="AC150" s="263">
        <f t="shared" ref="AC150:AC153" si="50">E150-Y150</f>
        <v>46.289879999999997</v>
      </c>
      <c r="AD150" s="311"/>
    </row>
    <row r="151" spans="1:30" ht="30">
      <c r="A151" s="11"/>
      <c r="B151" s="81" t="s">
        <v>33</v>
      </c>
      <c r="C151" s="302" t="s">
        <v>34</v>
      </c>
      <c r="D151" s="323" t="s">
        <v>289</v>
      </c>
      <c r="E151" s="320">
        <v>1.68</v>
      </c>
      <c r="F151" s="273" t="s">
        <v>34</v>
      </c>
      <c r="G151" s="15" t="s">
        <v>289</v>
      </c>
      <c r="H151" s="94">
        <v>1.68</v>
      </c>
      <c r="I151" s="171" t="s">
        <v>470</v>
      </c>
      <c r="J151" s="25" t="s">
        <v>289</v>
      </c>
      <c r="K151" s="155">
        <v>1.68</v>
      </c>
      <c r="L151" s="117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18"/>
      <c r="Y151" s="354">
        <f t="shared" si="48"/>
        <v>0</v>
      </c>
      <c r="Z151" s="166"/>
      <c r="AA151" s="354"/>
      <c r="AB151" s="166">
        <f t="shared" si="49"/>
        <v>1.68</v>
      </c>
      <c r="AC151" s="263">
        <f t="shared" si="50"/>
        <v>1.68</v>
      </c>
      <c r="AD151" s="312"/>
    </row>
    <row r="152" spans="1:30">
      <c r="A152" s="11"/>
      <c r="B152" s="81"/>
      <c r="C152" s="302"/>
      <c r="D152" s="323"/>
      <c r="E152" s="320"/>
      <c r="F152" s="275" t="s">
        <v>101</v>
      </c>
      <c r="G152" s="25" t="s">
        <v>289</v>
      </c>
      <c r="H152" s="91">
        <v>0.58799999999999997</v>
      </c>
      <c r="I152" s="171" t="s">
        <v>640</v>
      </c>
      <c r="J152" s="25" t="s">
        <v>289</v>
      </c>
      <c r="K152" s="155">
        <v>0.58799999999999997</v>
      </c>
      <c r="L152" s="117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18"/>
      <c r="Y152" s="354"/>
      <c r="Z152" s="166"/>
      <c r="AA152" s="354"/>
      <c r="AB152" s="166"/>
      <c r="AC152" s="263">
        <f t="shared" si="50"/>
        <v>0</v>
      </c>
      <c r="AD152" s="312"/>
    </row>
    <row r="153" spans="1:30">
      <c r="A153" s="11"/>
      <c r="B153" s="81" t="s">
        <v>100</v>
      </c>
      <c r="C153" s="302" t="s">
        <v>101</v>
      </c>
      <c r="D153" s="323" t="s">
        <v>289</v>
      </c>
      <c r="E153" s="320">
        <v>9.8280000000000012</v>
      </c>
      <c r="F153" s="273" t="s">
        <v>101</v>
      </c>
      <c r="G153" s="15" t="s">
        <v>289</v>
      </c>
      <c r="H153" s="94">
        <v>9.8280000000000012</v>
      </c>
      <c r="I153" s="171" t="s">
        <v>941</v>
      </c>
      <c r="J153" s="25" t="s">
        <v>289</v>
      </c>
      <c r="K153" s="155">
        <v>9.24</v>
      </c>
      <c r="L153" s="117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18"/>
      <c r="Y153" s="354">
        <f t="shared" si="48"/>
        <v>0</v>
      </c>
      <c r="Z153" s="166"/>
      <c r="AA153" s="354"/>
      <c r="AB153" s="166">
        <f t="shared" si="49"/>
        <v>9.8280000000000012</v>
      </c>
      <c r="AC153" s="263">
        <f t="shared" si="50"/>
        <v>9.8280000000000012</v>
      </c>
      <c r="AD153" s="312"/>
    </row>
    <row r="154" spans="1:30" s="65" customFormat="1" ht="30">
      <c r="A154" s="23"/>
      <c r="B154" s="82"/>
      <c r="C154" s="83" t="s">
        <v>549</v>
      </c>
      <c r="D154" s="84"/>
      <c r="E154" s="120"/>
      <c r="F154" s="304" t="s">
        <v>549</v>
      </c>
      <c r="G154" s="24"/>
      <c r="H154" s="93"/>
      <c r="I154" s="165"/>
      <c r="J154" s="24"/>
      <c r="K154" s="165"/>
      <c r="L154" s="110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111"/>
      <c r="Y154" s="351"/>
      <c r="Z154" s="165"/>
      <c r="AA154" s="351"/>
      <c r="AB154" s="165"/>
      <c r="AC154" s="318"/>
      <c r="AD154" s="313"/>
    </row>
    <row r="155" spans="1:30" ht="75">
      <c r="A155" s="11"/>
      <c r="B155" s="81" t="s">
        <v>98</v>
      </c>
      <c r="C155" s="302" t="s">
        <v>99</v>
      </c>
      <c r="D155" s="323" t="s">
        <v>289</v>
      </c>
      <c r="E155" s="320">
        <v>28.655639999999995</v>
      </c>
      <c r="F155" s="273" t="s">
        <v>99</v>
      </c>
      <c r="G155" s="15" t="s">
        <v>289</v>
      </c>
      <c r="H155" s="94">
        <v>28.655639999999995</v>
      </c>
      <c r="I155" s="166"/>
      <c r="J155" s="15" t="s">
        <v>289</v>
      </c>
      <c r="K155" s="166"/>
      <c r="L155" s="117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18"/>
      <c r="Y155" s="354">
        <f t="shared" si="48"/>
        <v>0</v>
      </c>
      <c r="Z155" s="166"/>
      <c r="AA155" s="354"/>
      <c r="AB155" s="166">
        <f t="shared" si="49"/>
        <v>28.655639999999995</v>
      </c>
      <c r="AC155" s="263">
        <f t="shared" ref="AC155:AC158" si="51">E155-Y155</f>
        <v>28.655639999999995</v>
      </c>
      <c r="AD155" s="311"/>
    </row>
    <row r="156" spans="1:30" ht="30">
      <c r="A156" s="11"/>
      <c r="B156" s="81" t="s">
        <v>33</v>
      </c>
      <c r="C156" s="302" t="s">
        <v>34</v>
      </c>
      <c r="D156" s="323" t="s">
        <v>289</v>
      </c>
      <c r="E156" s="320">
        <v>1.04</v>
      </c>
      <c r="F156" s="273" t="s">
        <v>34</v>
      </c>
      <c r="G156" s="15" t="s">
        <v>289</v>
      </c>
      <c r="H156" s="94">
        <v>1.04</v>
      </c>
      <c r="I156" s="171" t="s">
        <v>470</v>
      </c>
      <c r="J156" s="25" t="s">
        <v>289</v>
      </c>
      <c r="K156" s="155">
        <v>1.04</v>
      </c>
      <c r="L156" s="117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18"/>
      <c r="Y156" s="354">
        <f t="shared" si="48"/>
        <v>0</v>
      </c>
      <c r="Z156" s="166"/>
      <c r="AA156" s="354"/>
      <c r="AB156" s="166">
        <f t="shared" si="49"/>
        <v>1.04</v>
      </c>
      <c r="AC156" s="263">
        <f t="shared" si="51"/>
        <v>1.04</v>
      </c>
      <c r="AD156" s="312"/>
    </row>
    <row r="157" spans="1:30">
      <c r="A157" s="11"/>
      <c r="B157" s="81"/>
      <c r="C157" s="302"/>
      <c r="D157" s="323"/>
      <c r="E157" s="320"/>
      <c r="F157" s="275" t="s">
        <v>101</v>
      </c>
      <c r="G157" s="25" t="s">
        <v>289</v>
      </c>
      <c r="H157" s="91">
        <f>K157</f>
        <v>0.36399999999999999</v>
      </c>
      <c r="I157" s="171" t="s">
        <v>640</v>
      </c>
      <c r="J157" s="25" t="s">
        <v>289</v>
      </c>
      <c r="K157" s="155">
        <v>0.36399999999999999</v>
      </c>
      <c r="L157" s="117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18"/>
      <c r="Y157" s="354"/>
      <c r="Z157" s="166"/>
      <c r="AA157" s="354"/>
      <c r="AB157" s="166"/>
      <c r="AC157" s="263">
        <f t="shared" si="51"/>
        <v>0</v>
      </c>
      <c r="AD157" s="312"/>
    </row>
    <row r="158" spans="1:30">
      <c r="A158" s="11"/>
      <c r="B158" s="81" t="s">
        <v>100</v>
      </c>
      <c r="C158" s="302" t="s">
        <v>101</v>
      </c>
      <c r="D158" s="323" t="s">
        <v>289</v>
      </c>
      <c r="E158" s="320">
        <v>6.0840000000000005</v>
      </c>
      <c r="F158" s="273" t="s">
        <v>101</v>
      </c>
      <c r="G158" s="15" t="s">
        <v>289</v>
      </c>
      <c r="H158" s="94">
        <v>6.0840000000000005</v>
      </c>
      <c r="I158" s="171" t="s">
        <v>941</v>
      </c>
      <c r="J158" s="25" t="s">
        <v>289</v>
      </c>
      <c r="K158" s="155">
        <v>5.72</v>
      </c>
      <c r="L158" s="117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18"/>
      <c r="Y158" s="354">
        <f t="shared" si="48"/>
        <v>0</v>
      </c>
      <c r="Z158" s="166"/>
      <c r="AA158" s="354"/>
      <c r="AB158" s="166">
        <f t="shared" si="49"/>
        <v>6.0840000000000005</v>
      </c>
      <c r="AC158" s="263">
        <f t="shared" si="51"/>
        <v>6.0840000000000005</v>
      </c>
      <c r="AD158" s="312"/>
    </row>
    <row r="159" spans="1:30" s="65" customFormat="1" ht="30">
      <c r="A159" s="23"/>
      <c r="B159" s="82"/>
      <c r="C159" s="83" t="s">
        <v>548</v>
      </c>
      <c r="D159" s="84"/>
      <c r="E159" s="120"/>
      <c r="F159" s="304" t="s">
        <v>548</v>
      </c>
      <c r="G159" s="24"/>
      <c r="H159" s="93"/>
      <c r="I159" s="165"/>
      <c r="J159" s="24"/>
      <c r="K159" s="165"/>
      <c r="L159" s="110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111"/>
      <c r="Y159" s="351"/>
      <c r="Z159" s="165"/>
      <c r="AA159" s="351"/>
      <c r="AB159" s="165"/>
      <c r="AC159" s="318"/>
      <c r="AD159" s="313"/>
    </row>
    <row r="160" spans="1:30" ht="75">
      <c r="A160" s="11"/>
      <c r="B160" s="81" t="s">
        <v>98</v>
      </c>
      <c r="C160" s="302" t="s">
        <v>99</v>
      </c>
      <c r="D160" s="323" t="s">
        <v>289</v>
      </c>
      <c r="E160" s="320">
        <v>11.2</v>
      </c>
      <c r="F160" s="273" t="s">
        <v>99</v>
      </c>
      <c r="G160" s="15" t="s">
        <v>289</v>
      </c>
      <c r="H160" s="94">
        <v>11.2</v>
      </c>
      <c r="I160" s="166"/>
      <c r="J160" s="15" t="s">
        <v>289</v>
      </c>
      <c r="K160" s="166"/>
      <c r="L160" s="117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18"/>
      <c r="Y160" s="354">
        <f t="shared" si="48"/>
        <v>0</v>
      </c>
      <c r="Z160" s="166"/>
      <c r="AA160" s="354"/>
      <c r="AB160" s="166">
        <f t="shared" si="49"/>
        <v>11.2</v>
      </c>
      <c r="AC160" s="263">
        <f t="shared" ref="AC160:AC168" si="52">E160-Y160</f>
        <v>11.2</v>
      </c>
      <c r="AD160" s="311"/>
    </row>
    <row r="161" spans="1:30">
      <c r="A161" s="11"/>
      <c r="B161" s="81" t="s">
        <v>100</v>
      </c>
      <c r="C161" s="302" t="s">
        <v>101</v>
      </c>
      <c r="D161" s="323" t="s">
        <v>289</v>
      </c>
      <c r="E161" s="320">
        <v>1.04</v>
      </c>
      <c r="F161" s="273" t="s">
        <v>101</v>
      </c>
      <c r="G161" s="15" t="s">
        <v>289</v>
      </c>
      <c r="H161" s="94">
        <v>1.04</v>
      </c>
      <c r="I161" s="171" t="s">
        <v>640</v>
      </c>
      <c r="J161" s="25" t="s">
        <v>289</v>
      </c>
      <c r="K161" s="155">
        <v>1.04</v>
      </c>
      <c r="L161" s="117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18"/>
      <c r="Y161" s="354">
        <f t="shared" si="48"/>
        <v>0</v>
      </c>
      <c r="Z161" s="166"/>
      <c r="AA161" s="354"/>
      <c r="AB161" s="166">
        <f t="shared" si="49"/>
        <v>1.04</v>
      </c>
      <c r="AC161" s="263">
        <f t="shared" si="52"/>
        <v>1.04</v>
      </c>
      <c r="AD161" s="312"/>
    </row>
    <row r="162" spans="1:30" ht="30">
      <c r="A162" s="11"/>
      <c r="B162" s="81" t="s">
        <v>102</v>
      </c>
      <c r="C162" s="302" t="s">
        <v>103</v>
      </c>
      <c r="D162" s="323" t="s">
        <v>292</v>
      </c>
      <c r="E162" s="320">
        <v>0.11512</v>
      </c>
      <c r="F162" s="273" t="s">
        <v>103</v>
      </c>
      <c r="G162" s="15" t="s">
        <v>635</v>
      </c>
      <c r="H162" s="94">
        <v>0.11512</v>
      </c>
      <c r="I162" s="170" t="s">
        <v>543</v>
      </c>
      <c r="J162" s="25" t="s">
        <v>297</v>
      </c>
      <c r="K162" s="155">
        <v>19.98</v>
      </c>
      <c r="L162" s="117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18"/>
      <c r="Y162" s="354">
        <f t="shared" si="48"/>
        <v>0</v>
      </c>
      <c r="Z162" s="166"/>
      <c r="AA162" s="354"/>
      <c r="AB162" s="166">
        <f t="shared" si="49"/>
        <v>0.11512</v>
      </c>
      <c r="AC162" s="263">
        <f t="shared" si="52"/>
        <v>0.11512</v>
      </c>
      <c r="AD162" s="312"/>
    </row>
    <row r="163" spans="1:30">
      <c r="A163" s="11"/>
      <c r="B163" s="81"/>
      <c r="C163" s="302"/>
      <c r="D163" s="323"/>
      <c r="E163" s="320"/>
      <c r="F163" s="273"/>
      <c r="G163" s="15"/>
      <c r="H163" s="94"/>
      <c r="I163" s="170" t="s">
        <v>544</v>
      </c>
      <c r="J163" s="25" t="s">
        <v>297</v>
      </c>
      <c r="K163" s="155">
        <v>8.8000000000000007</v>
      </c>
      <c r="L163" s="117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18"/>
      <c r="Y163" s="354"/>
      <c r="Z163" s="166"/>
      <c r="AA163" s="354"/>
      <c r="AB163" s="166"/>
      <c r="AC163" s="263">
        <f t="shared" si="52"/>
        <v>0</v>
      </c>
      <c r="AD163" s="312"/>
    </row>
    <row r="164" spans="1:30">
      <c r="A164" s="11"/>
      <c r="B164" s="81" t="s">
        <v>104</v>
      </c>
      <c r="C164" s="302" t="s">
        <v>105</v>
      </c>
      <c r="D164" s="323" t="s">
        <v>297</v>
      </c>
      <c r="E164" s="320">
        <v>4.5999999999999996</v>
      </c>
      <c r="F164" s="273" t="s">
        <v>105</v>
      </c>
      <c r="G164" s="15" t="s">
        <v>297</v>
      </c>
      <c r="H164" s="94">
        <v>4.5999999999999996</v>
      </c>
      <c r="I164" s="170" t="s">
        <v>545</v>
      </c>
      <c r="J164" s="25" t="s">
        <v>297</v>
      </c>
      <c r="K164" s="155">
        <v>2.52</v>
      </c>
      <c r="L164" s="117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18"/>
      <c r="Y164" s="354">
        <f t="shared" si="48"/>
        <v>0</v>
      </c>
      <c r="Z164" s="166"/>
      <c r="AA164" s="354"/>
      <c r="AB164" s="166">
        <f t="shared" si="49"/>
        <v>4.5999999999999996</v>
      </c>
      <c r="AC164" s="263">
        <f t="shared" si="52"/>
        <v>4.5999999999999996</v>
      </c>
      <c r="AD164" s="312"/>
    </row>
    <row r="165" spans="1:30">
      <c r="A165" s="11"/>
      <c r="B165" s="81"/>
      <c r="C165" s="302"/>
      <c r="D165" s="323"/>
      <c r="E165" s="320"/>
      <c r="F165" s="273"/>
      <c r="G165" s="15"/>
      <c r="H165" s="94"/>
      <c r="I165" s="170" t="s">
        <v>546</v>
      </c>
      <c r="J165" s="25" t="s">
        <v>297</v>
      </c>
      <c r="K165" s="155">
        <v>2.08</v>
      </c>
      <c r="L165" s="117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18"/>
      <c r="Y165" s="354"/>
      <c r="Z165" s="166"/>
      <c r="AA165" s="354"/>
      <c r="AB165" s="166"/>
      <c r="AC165" s="263">
        <f t="shared" si="52"/>
        <v>0</v>
      </c>
      <c r="AD165" s="312"/>
    </row>
    <row r="166" spans="1:30">
      <c r="A166" s="11"/>
      <c r="B166" s="81" t="s">
        <v>100</v>
      </c>
      <c r="C166" s="302" t="s">
        <v>101</v>
      </c>
      <c r="D166" s="323" t="s">
        <v>289</v>
      </c>
      <c r="E166" s="320">
        <v>5.48</v>
      </c>
      <c r="F166" s="273" t="s">
        <v>101</v>
      </c>
      <c r="G166" s="15" t="s">
        <v>289</v>
      </c>
      <c r="H166" s="94">
        <v>5.48</v>
      </c>
      <c r="I166" s="171" t="s">
        <v>941</v>
      </c>
      <c r="J166" s="25" t="s">
        <v>289</v>
      </c>
      <c r="K166" s="155">
        <v>4.4400000000000004</v>
      </c>
      <c r="L166" s="117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18"/>
      <c r="Y166" s="354">
        <f t="shared" si="48"/>
        <v>0</v>
      </c>
      <c r="Z166" s="166"/>
      <c r="AA166" s="354"/>
      <c r="AB166" s="166">
        <f t="shared" si="49"/>
        <v>5.48</v>
      </c>
      <c r="AC166" s="263">
        <f t="shared" si="52"/>
        <v>5.48</v>
      </c>
      <c r="AD166" s="312"/>
    </row>
    <row r="167" spans="1:30" ht="30">
      <c r="A167" s="11"/>
      <c r="B167" s="81" t="s">
        <v>106</v>
      </c>
      <c r="C167" s="302" t="s">
        <v>107</v>
      </c>
      <c r="D167" s="323" t="s">
        <v>293</v>
      </c>
      <c r="E167" s="320">
        <v>29.12</v>
      </c>
      <c r="F167" s="273" t="s">
        <v>107</v>
      </c>
      <c r="G167" s="15" t="s">
        <v>293</v>
      </c>
      <c r="H167" s="94">
        <v>29.12</v>
      </c>
      <c r="I167" s="170" t="s">
        <v>547</v>
      </c>
      <c r="J167" s="25" t="s">
        <v>293</v>
      </c>
      <c r="K167" s="155">
        <v>29.12</v>
      </c>
      <c r="L167" s="117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18"/>
      <c r="Y167" s="354">
        <f t="shared" si="48"/>
        <v>0</v>
      </c>
      <c r="Z167" s="166"/>
      <c r="AA167" s="354"/>
      <c r="AB167" s="166">
        <f t="shared" si="49"/>
        <v>29.12</v>
      </c>
      <c r="AC167" s="263">
        <f t="shared" si="52"/>
        <v>29.12</v>
      </c>
      <c r="AD167" s="312" t="s">
        <v>456</v>
      </c>
    </row>
    <row r="168" spans="1:30" ht="30">
      <c r="A168" s="11"/>
      <c r="B168" s="81" t="s">
        <v>62</v>
      </c>
      <c r="C168" s="302" t="s">
        <v>63</v>
      </c>
      <c r="D168" s="323" t="s">
        <v>289</v>
      </c>
      <c r="E168" s="320">
        <v>4.68</v>
      </c>
      <c r="F168" s="273" t="s">
        <v>63</v>
      </c>
      <c r="G168" s="15" t="s">
        <v>289</v>
      </c>
      <c r="H168" s="94">
        <v>4.68</v>
      </c>
      <c r="I168" s="166"/>
      <c r="J168" s="15" t="s">
        <v>289</v>
      </c>
      <c r="K168" s="166"/>
      <c r="L168" s="117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18"/>
      <c r="Y168" s="354">
        <f t="shared" si="48"/>
        <v>0</v>
      </c>
      <c r="Z168" s="166"/>
      <c r="AA168" s="354"/>
      <c r="AB168" s="166">
        <f t="shared" si="49"/>
        <v>4.68</v>
      </c>
      <c r="AC168" s="263">
        <f t="shared" si="52"/>
        <v>4.68</v>
      </c>
      <c r="AD168" s="312"/>
    </row>
    <row r="169" spans="1:30" s="65" customFormat="1" ht="30">
      <c r="A169" s="23"/>
      <c r="B169" s="82"/>
      <c r="C169" s="83" t="s">
        <v>551</v>
      </c>
      <c r="D169" s="84"/>
      <c r="E169" s="120"/>
      <c r="F169" s="304" t="s">
        <v>551</v>
      </c>
      <c r="G169" s="24"/>
      <c r="H169" s="93"/>
      <c r="I169" s="165"/>
      <c r="J169" s="24"/>
      <c r="K169" s="165"/>
      <c r="L169" s="110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111"/>
      <c r="Y169" s="351"/>
      <c r="Z169" s="165"/>
      <c r="AA169" s="351"/>
      <c r="AB169" s="165"/>
      <c r="AC169" s="318"/>
      <c r="AD169" s="313"/>
    </row>
    <row r="170" spans="1:30" ht="60">
      <c r="A170" s="11"/>
      <c r="B170" s="81" t="s">
        <v>14</v>
      </c>
      <c r="C170" s="302" t="s">
        <v>15</v>
      </c>
      <c r="D170" s="323" t="s">
        <v>289</v>
      </c>
      <c r="E170" s="320">
        <v>193.6</v>
      </c>
      <c r="F170" s="275" t="s">
        <v>15</v>
      </c>
      <c r="G170" s="25" t="s">
        <v>289</v>
      </c>
      <c r="H170" s="91">
        <v>193.6</v>
      </c>
      <c r="I170" s="155"/>
      <c r="J170" s="25" t="s">
        <v>289</v>
      </c>
      <c r="K170" s="155"/>
      <c r="L170" s="106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107"/>
      <c r="Y170" s="349">
        <f t="shared" si="48"/>
        <v>0</v>
      </c>
      <c r="Z170" s="155"/>
      <c r="AA170" s="349"/>
      <c r="AB170" s="155">
        <f t="shared" si="49"/>
        <v>193.6</v>
      </c>
      <c r="AC170" s="263">
        <f t="shared" ref="AC170:AC176" si="53">E170-Y170</f>
        <v>193.6</v>
      </c>
      <c r="AD170" s="391" t="s">
        <v>1046</v>
      </c>
    </row>
    <row r="171" spans="1:30">
      <c r="A171" s="11"/>
      <c r="B171" s="81" t="s">
        <v>100</v>
      </c>
      <c r="C171" s="302" t="s">
        <v>101</v>
      </c>
      <c r="D171" s="323" t="s">
        <v>289</v>
      </c>
      <c r="E171" s="320">
        <v>11</v>
      </c>
      <c r="F171" s="275" t="s">
        <v>101</v>
      </c>
      <c r="G171" s="25" t="s">
        <v>289</v>
      </c>
      <c r="H171" s="91">
        <v>11</v>
      </c>
      <c r="I171" s="155"/>
      <c r="J171" s="25" t="s">
        <v>289</v>
      </c>
      <c r="K171" s="155"/>
      <c r="L171" s="106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107"/>
      <c r="Y171" s="349">
        <f t="shared" si="48"/>
        <v>0</v>
      </c>
      <c r="Z171" s="155"/>
      <c r="AA171" s="349"/>
      <c r="AB171" s="155">
        <f t="shared" si="49"/>
        <v>11</v>
      </c>
      <c r="AC171" s="263">
        <f t="shared" si="53"/>
        <v>11</v>
      </c>
      <c r="AD171" s="392"/>
    </row>
    <row r="172" spans="1:30" ht="30">
      <c r="A172" s="11"/>
      <c r="B172" s="81" t="s">
        <v>102</v>
      </c>
      <c r="C172" s="302" t="s">
        <v>103</v>
      </c>
      <c r="D172" s="323" t="s">
        <v>292</v>
      </c>
      <c r="E172" s="320">
        <v>2.5151499999999998</v>
      </c>
      <c r="F172" s="275" t="s">
        <v>103</v>
      </c>
      <c r="G172" s="25" t="s">
        <v>635</v>
      </c>
      <c r="H172" s="91">
        <v>2.5151499999999998</v>
      </c>
      <c r="I172" s="155"/>
      <c r="J172" s="25" t="s">
        <v>635</v>
      </c>
      <c r="K172" s="155"/>
      <c r="L172" s="106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107"/>
      <c r="Y172" s="349">
        <f t="shared" si="48"/>
        <v>0</v>
      </c>
      <c r="Z172" s="155"/>
      <c r="AA172" s="349"/>
      <c r="AB172" s="155">
        <f t="shared" si="49"/>
        <v>2.5151499999999998</v>
      </c>
      <c r="AC172" s="263">
        <f t="shared" si="53"/>
        <v>2.5151499999999998</v>
      </c>
      <c r="AD172" s="392"/>
    </row>
    <row r="173" spans="1:30">
      <c r="A173" s="11"/>
      <c r="B173" s="81" t="s">
        <v>104</v>
      </c>
      <c r="C173" s="302" t="s">
        <v>105</v>
      </c>
      <c r="D173" s="323" t="s">
        <v>297</v>
      </c>
      <c r="E173" s="320">
        <v>17.600000000000001</v>
      </c>
      <c r="F173" s="275" t="s">
        <v>105</v>
      </c>
      <c r="G173" s="25" t="s">
        <v>297</v>
      </c>
      <c r="H173" s="91">
        <v>17.600000000000001</v>
      </c>
      <c r="I173" s="155"/>
      <c r="J173" s="25" t="s">
        <v>297</v>
      </c>
      <c r="K173" s="155"/>
      <c r="L173" s="106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107"/>
      <c r="Y173" s="349">
        <f t="shared" si="48"/>
        <v>0</v>
      </c>
      <c r="Z173" s="155"/>
      <c r="AA173" s="349"/>
      <c r="AB173" s="155">
        <f t="shared" si="49"/>
        <v>17.600000000000001</v>
      </c>
      <c r="AC173" s="263">
        <f t="shared" si="53"/>
        <v>17.600000000000001</v>
      </c>
      <c r="AD173" s="392"/>
    </row>
    <row r="174" spans="1:30">
      <c r="A174" s="11"/>
      <c r="B174" s="81" t="s">
        <v>100</v>
      </c>
      <c r="C174" s="302" t="s">
        <v>101</v>
      </c>
      <c r="D174" s="323" t="s">
        <v>289</v>
      </c>
      <c r="E174" s="320">
        <v>33</v>
      </c>
      <c r="F174" s="275" t="s">
        <v>101</v>
      </c>
      <c r="G174" s="25" t="s">
        <v>289</v>
      </c>
      <c r="H174" s="91">
        <v>33</v>
      </c>
      <c r="I174" s="155"/>
      <c r="J174" s="25" t="s">
        <v>289</v>
      </c>
      <c r="K174" s="155"/>
      <c r="L174" s="106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107"/>
      <c r="Y174" s="349">
        <f t="shared" si="48"/>
        <v>0</v>
      </c>
      <c r="Z174" s="155"/>
      <c r="AA174" s="349"/>
      <c r="AB174" s="155">
        <f t="shared" si="49"/>
        <v>33</v>
      </c>
      <c r="AC174" s="263">
        <f t="shared" si="53"/>
        <v>33</v>
      </c>
      <c r="AD174" s="392"/>
    </row>
    <row r="175" spans="1:30" ht="30">
      <c r="A175" s="11"/>
      <c r="B175" s="81" t="s">
        <v>106</v>
      </c>
      <c r="C175" s="302" t="s">
        <v>107</v>
      </c>
      <c r="D175" s="323" t="s">
        <v>293</v>
      </c>
      <c r="E175" s="320">
        <v>252.99999999999997</v>
      </c>
      <c r="F175" s="275" t="s">
        <v>107</v>
      </c>
      <c r="G175" s="25" t="s">
        <v>293</v>
      </c>
      <c r="H175" s="91">
        <v>252.99999999999997</v>
      </c>
      <c r="I175" s="155"/>
      <c r="J175" s="25" t="s">
        <v>293</v>
      </c>
      <c r="K175" s="155"/>
      <c r="L175" s="106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107"/>
      <c r="Y175" s="349">
        <f t="shared" si="48"/>
        <v>0</v>
      </c>
      <c r="Z175" s="155"/>
      <c r="AA175" s="349"/>
      <c r="AB175" s="155">
        <f t="shared" si="49"/>
        <v>252.99999999999997</v>
      </c>
      <c r="AC175" s="263">
        <f t="shared" si="53"/>
        <v>252.99999999999997</v>
      </c>
      <c r="AD175" s="392"/>
    </row>
    <row r="176" spans="1:30" ht="30">
      <c r="A176" s="11"/>
      <c r="B176" s="81" t="s">
        <v>62</v>
      </c>
      <c r="C176" s="302" t="s">
        <v>63</v>
      </c>
      <c r="D176" s="323" t="s">
        <v>289</v>
      </c>
      <c r="E176" s="320">
        <v>149.6</v>
      </c>
      <c r="F176" s="275" t="s">
        <v>63</v>
      </c>
      <c r="G176" s="25" t="s">
        <v>289</v>
      </c>
      <c r="H176" s="91">
        <v>149.6</v>
      </c>
      <c r="I176" s="155"/>
      <c r="J176" s="25" t="s">
        <v>289</v>
      </c>
      <c r="K176" s="155"/>
      <c r="L176" s="106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107"/>
      <c r="Y176" s="349">
        <f t="shared" si="48"/>
        <v>0</v>
      </c>
      <c r="Z176" s="155"/>
      <c r="AA176" s="349"/>
      <c r="AB176" s="155">
        <f t="shared" si="49"/>
        <v>149.6</v>
      </c>
      <c r="AC176" s="263">
        <f t="shared" si="53"/>
        <v>149.6</v>
      </c>
      <c r="AD176" s="393"/>
    </row>
    <row r="177" spans="1:30" s="65" customFormat="1" ht="30">
      <c r="A177" s="23"/>
      <c r="B177" s="82"/>
      <c r="C177" s="83" t="s">
        <v>552</v>
      </c>
      <c r="D177" s="84"/>
      <c r="E177" s="120"/>
      <c r="F177" s="304" t="s">
        <v>552</v>
      </c>
      <c r="G177" s="24"/>
      <c r="H177" s="93"/>
      <c r="I177" s="165"/>
      <c r="J177" s="24"/>
      <c r="K177" s="165"/>
      <c r="L177" s="110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111"/>
      <c r="Y177" s="351"/>
      <c r="Z177" s="165"/>
      <c r="AA177" s="351"/>
      <c r="AB177" s="165"/>
      <c r="AC177" s="165"/>
      <c r="AD177" s="309"/>
    </row>
    <row r="178" spans="1:30" ht="60">
      <c r="A178" s="11"/>
      <c r="B178" s="81" t="s">
        <v>14</v>
      </c>
      <c r="C178" s="302" t="s">
        <v>15</v>
      </c>
      <c r="D178" s="323" t="s">
        <v>289</v>
      </c>
      <c r="E178" s="320">
        <v>24.6</v>
      </c>
      <c r="F178" s="275" t="s">
        <v>15</v>
      </c>
      <c r="G178" s="25" t="s">
        <v>289</v>
      </c>
      <c r="H178" s="91">
        <v>24.6</v>
      </c>
      <c r="I178" s="155"/>
      <c r="J178" s="25" t="s">
        <v>289</v>
      </c>
      <c r="K178" s="155"/>
      <c r="L178" s="106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107"/>
      <c r="Y178" s="349">
        <f t="shared" si="48"/>
        <v>0</v>
      </c>
      <c r="Z178" s="155"/>
      <c r="AA178" s="349"/>
      <c r="AB178" s="155">
        <f t="shared" si="49"/>
        <v>24.6</v>
      </c>
      <c r="AC178" s="263">
        <f t="shared" ref="AC178:AC184" si="54">E178-Y178</f>
        <v>24.6</v>
      </c>
      <c r="AD178" s="391" t="s">
        <v>1047</v>
      </c>
    </row>
    <row r="179" spans="1:30">
      <c r="A179" s="11"/>
      <c r="B179" s="81" t="s">
        <v>100</v>
      </c>
      <c r="C179" s="302" t="s">
        <v>101</v>
      </c>
      <c r="D179" s="323" t="s">
        <v>289</v>
      </c>
      <c r="E179" s="320">
        <v>1.4000000000000001</v>
      </c>
      <c r="F179" s="275" t="s">
        <v>101</v>
      </c>
      <c r="G179" s="25" t="s">
        <v>289</v>
      </c>
      <c r="H179" s="91">
        <v>1.4000000000000001</v>
      </c>
      <c r="I179" s="155"/>
      <c r="J179" s="25" t="s">
        <v>289</v>
      </c>
      <c r="K179" s="155"/>
      <c r="L179" s="106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107"/>
      <c r="Y179" s="349">
        <f t="shared" si="48"/>
        <v>0</v>
      </c>
      <c r="Z179" s="155"/>
      <c r="AA179" s="349"/>
      <c r="AB179" s="155">
        <f t="shared" si="49"/>
        <v>1.4000000000000001</v>
      </c>
      <c r="AC179" s="263">
        <f t="shared" si="54"/>
        <v>1.4000000000000001</v>
      </c>
      <c r="AD179" s="392"/>
    </row>
    <row r="180" spans="1:30" ht="30">
      <c r="A180" s="11"/>
      <c r="B180" s="81" t="s">
        <v>102</v>
      </c>
      <c r="C180" s="302" t="s">
        <v>103</v>
      </c>
      <c r="D180" s="323" t="s">
        <v>292</v>
      </c>
      <c r="E180" s="320">
        <v>0.32011000000000001</v>
      </c>
      <c r="F180" s="275" t="s">
        <v>103</v>
      </c>
      <c r="G180" s="25" t="s">
        <v>635</v>
      </c>
      <c r="H180" s="91">
        <v>0.32011000000000001</v>
      </c>
      <c r="I180" s="155"/>
      <c r="J180" s="25" t="s">
        <v>635</v>
      </c>
      <c r="K180" s="155"/>
      <c r="L180" s="106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107"/>
      <c r="Y180" s="349">
        <f t="shared" si="48"/>
        <v>0</v>
      </c>
      <c r="Z180" s="155"/>
      <c r="AA180" s="349"/>
      <c r="AB180" s="155">
        <f t="shared" si="49"/>
        <v>0.32011000000000001</v>
      </c>
      <c r="AC180" s="263">
        <f t="shared" si="54"/>
        <v>0.32011000000000001</v>
      </c>
      <c r="AD180" s="392"/>
    </row>
    <row r="181" spans="1:30">
      <c r="A181" s="11"/>
      <c r="B181" s="81" t="s">
        <v>104</v>
      </c>
      <c r="C181" s="302" t="s">
        <v>105</v>
      </c>
      <c r="D181" s="323" t="s">
        <v>297</v>
      </c>
      <c r="E181" s="320">
        <v>2.2400000000000002</v>
      </c>
      <c r="F181" s="275" t="s">
        <v>105</v>
      </c>
      <c r="G181" s="25" t="s">
        <v>297</v>
      </c>
      <c r="H181" s="91">
        <v>2.2400000000000002</v>
      </c>
      <c r="I181" s="155"/>
      <c r="J181" s="25" t="s">
        <v>297</v>
      </c>
      <c r="K181" s="155"/>
      <c r="L181" s="106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107"/>
      <c r="Y181" s="349">
        <f t="shared" si="48"/>
        <v>0</v>
      </c>
      <c r="Z181" s="155"/>
      <c r="AA181" s="349"/>
      <c r="AB181" s="155">
        <f t="shared" si="49"/>
        <v>2.2400000000000002</v>
      </c>
      <c r="AC181" s="263">
        <f t="shared" si="54"/>
        <v>2.2400000000000002</v>
      </c>
      <c r="AD181" s="392"/>
    </row>
    <row r="182" spans="1:30">
      <c r="A182" s="11"/>
      <c r="B182" s="81" t="s">
        <v>100</v>
      </c>
      <c r="C182" s="302" t="s">
        <v>101</v>
      </c>
      <c r="D182" s="323" t="s">
        <v>289</v>
      </c>
      <c r="E182" s="320">
        <v>4.2</v>
      </c>
      <c r="F182" s="275" t="s">
        <v>101</v>
      </c>
      <c r="G182" s="25" t="s">
        <v>289</v>
      </c>
      <c r="H182" s="91">
        <v>4.2</v>
      </c>
      <c r="I182" s="155"/>
      <c r="J182" s="25" t="s">
        <v>289</v>
      </c>
      <c r="K182" s="155"/>
      <c r="L182" s="106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107"/>
      <c r="Y182" s="349">
        <f t="shared" si="48"/>
        <v>0</v>
      </c>
      <c r="Z182" s="155"/>
      <c r="AA182" s="349"/>
      <c r="AB182" s="155">
        <f t="shared" si="49"/>
        <v>4.2</v>
      </c>
      <c r="AC182" s="263">
        <f t="shared" si="54"/>
        <v>4.2</v>
      </c>
      <c r="AD182" s="392"/>
    </row>
    <row r="183" spans="1:30" ht="30">
      <c r="A183" s="11"/>
      <c r="B183" s="81" t="s">
        <v>106</v>
      </c>
      <c r="C183" s="302" t="s">
        <v>107</v>
      </c>
      <c r="D183" s="323" t="s">
        <v>293</v>
      </c>
      <c r="E183" s="320">
        <v>32.199999999999996</v>
      </c>
      <c r="F183" s="275" t="s">
        <v>107</v>
      </c>
      <c r="G183" s="25" t="s">
        <v>293</v>
      </c>
      <c r="H183" s="91">
        <v>32.199999999999996</v>
      </c>
      <c r="I183" s="155"/>
      <c r="J183" s="25" t="s">
        <v>293</v>
      </c>
      <c r="K183" s="155"/>
      <c r="L183" s="106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107"/>
      <c r="Y183" s="349">
        <f t="shared" si="48"/>
        <v>0</v>
      </c>
      <c r="Z183" s="155"/>
      <c r="AA183" s="349"/>
      <c r="AB183" s="155">
        <f t="shared" si="49"/>
        <v>32.199999999999996</v>
      </c>
      <c r="AC183" s="263">
        <f t="shared" si="54"/>
        <v>32.199999999999996</v>
      </c>
      <c r="AD183" s="392"/>
    </row>
    <row r="184" spans="1:30" ht="30">
      <c r="A184" s="11"/>
      <c r="B184" s="81" t="s">
        <v>62</v>
      </c>
      <c r="C184" s="302" t="s">
        <v>63</v>
      </c>
      <c r="D184" s="323" t="s">
        <v>289</v>
      </c>
      <c r="E184" s="320">
        <v>19.000000000000004</v>
      </c>
      <c r="F184" s="275" t="s">
        <v>63</v>
      </c>
      <c r="G184" s="25" t="s">
        <v>289</v>
      </c>
      <c r="H184" s="91">
        <v>19.000000000000004</v>
      </c>
      <c r="I184" s="155"/>
      <c r="J184" s="25" t="s">
        <v>289</v>
      </c>
      <c r="K184" s="155"/>
      <c r="L184" s="106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107"/>
      <c r="Y184" s="349">
        <f t="shared" si="48"/>
        <v>0</v>
      </c>
      <c r="Z184" s="155"/>
      <c r="AA184" s="349"/>
      <c r="AB184" s="155">
        <f t="shared" si="49"/>
        <v>19.000000000000004</v>
      </c>
      <c r="AC184" s="263">
        <f t="shared" si="54"/>
        <v>19.000000000000004</v>
      </c>
      <c r="AD184" s="393"/>
    </row>
    <row r="185" spans="1:30" s="65" customFormat="1" ht="30">
      <c r="A185" s="23"/>
      <c r="B185" s="82"/>
      <c r="C185" s="83" t="s">
        <v>553</v>
      </c>
      <c r="D185" s="84"/>
      <c r="E185" s="120"/>
      <c r="F185" s="304" t="s">
        <v>553</v>
      </c>
      <c r="G185" s="24"/>
      <c r="H185" s="93"/>
      <c r="I185" s="165"/>
      <c r="J185" s="24"/>
      <c r="K185" s="165"/>
      <c r="L185" s="110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111"/>
      <c r="Y185" s="351"/>
      <c r="Z185" s="165"/>
      <c r="AA185" s="351"/>
      <c r="AB185" s="165"/>
      <c r="AC185" s="165"/>
      <c r="AD185" s="309"/>
    </row>
    <row r="186" spans="1:30" ht="60">
      <c r="A186" s="11"/>
      <c r="B186" s="81" t="s">
        <v>14</v>
      </c>
      <c r="C186" s="302" t="s">
        <v>15</v>
      </c>
      <c r="D186" s="323" t="s">
        <v>289</v>
      </c>
      <c r="E186" s="320">
        <v>14</v>
      </c>
      <c r="F186" s="273" t="s">
        <v>15</v>
      </c>
      <c r="G186" s="15" t="s">
        <v>289</v>
      </c>
      <c r="H186" s="94">
        <v>14</v>
      </c>
      <c r="I186" s="166"/>
      <c r="J186" s="15" t="s">
        <v>289</v>
      </c>
      <c r="K186" s="166"/>
      <c r="L186" s="117"/>
      <c r="M186" s="15"/>
      <c r="N186" s="15"/>
      <c r="O186" s="15"/>
      <c r="P186" s="15"/>
      <c r="Q186" s="15"/>
      <c r="R186" s="15">
        <v>14</v>
      </c>
      <c r="S186" s="15"/>
      <c r="T186" s="15"/>
      <c r="U186" s="15"/>
      <c r="V186" s="15"/>
      <c r="W186" s="15"/>
      <c r="X186" s="118"/>
      <c r="Y186" s="354">
        <f t="shared" si="48"/>
        <v>14</v>
      </c>
      <c r="Z186" s="166"/>
      <c r="AA186" s="354"/>
      <c r="AB186" s="166">
        <f t="shared" si="49"/>
        <v>0</v>
      </c>
      <c r="AC186" s="263">
        <f t="shared" ref="AC186:AC195" si="55">E186-Y186</f>
        <v>0</v>
      </c>
      <c r="AD186" s="311" t="s">
        <v>411</v>
      </c>
    </row>
    <row r="187" spans="1:30" ht="30">
      <c r="A187" s="11"/>
      <c r="B187" s="81" t="s">
        <v>100</v>
      </c>
      <c r="C187" s="302" t="s">
        <v>101</v>
      </c>
      <c r="D187" s="323" t="s">
        <v>289</v>
      </c>
      <c r="E187" s="320">
        <v>0.94</v>
      </c>
      <c r="F187" s="273" t="s">
        <v>101</v>
      </c>
      <c r="G187" s="15" t="s">
        <v>289</v>
      </c>
      <c r="H187" s="94">
        <v>0.94</v>
      </c>
      <c r="I187" s="171" t="s">
        <v>640</v>
      </c>
      <c r="J187" s="25" t="s">
        <v>289</v>
      </c>
      <c r="K187" s="155">
        <v>0.94</v>
      </c>
      <c r="L187" s="117"/>
      <c r="M187" s="15"/>
      <c r="N187" s="15"/>
      <c r="O187" s="15"/>
      <c r="P187" s="15"/>
      <c r="Q187" s="15"/>
      <c r="R187" s="15">
        <v>1.7</v>
      </c>
      <c r="S187" s="15"/>
      <c r="T187" s="15"/>
      <c r="U187" s="15"/>
      <c r="V187" s="15"/>
      <c r="W187" s="15"/>
      <c r="X187" s="118"/>
      <c r="Y187" s="354">
        <f t="shared" si="48"/>
        <v>1.7</v>
      </c>
      <c r="Z187" s="166"/>
      <c r="AA187" s="354"/>
      <c r="AB187" s="166">
        <f t="shared" si="49"/>
        <v>-0.76</v>
      </c>
      <c r="AC187" s="263">
        <f t="shared" si="55"/>
        <v>-0.76</v>
      </c>
      <c r="AD187" s="312" t="s">
        <v>411</v>
      </c>
    </row>
    <row r="188" spans="1:30" ht="30">
      <c r="A188" s="11"/>
      <c r="B188" s="81" t="s">
        <v>102</v>
      </c>
      <c r="C188" s="302" t="s">
        <v>103</v>
      </c>
      <c r="D188" s="323" t="s">
        <v>292</v>
      </c>
      <c r="E188" s="320">
        <v>0.77804999999999991</v>
      </c>
      <c r="F188" s="273" t="s">
        <v>103</v>
      </c>
      <c r="G188" s="15" t="s">
        <v>635</v>
      </c>
      <c r="H188" s="94">
        <v>0.77804999999999991</v>
      </c>
      <c r="I188" s="170" t="s">
        <v>543</v>
      </c>
      <c r="J188" s="25" t="s">
        <v>297</v>
      </c>
      <c r="K188" s="155">
        <v>612.54</v>
      </c>
      <c r="L188" s="117"/>
      <c r="M188" s="15"/>
      <c r="N188" s="15"/>
      <c r="O188" s="15"/>
      <c r="P188" s="15"/>
      <c r="Q188" s="15"/>
      <c r="R188" s="15">
        <f>H188/2</f>
        <v>0.38902499999999995</v>
      </c>
      <c r="S188" s="15">
        <v>0.38902500000000001</v>
      </c>
      <c r="T188" s="15"/>
      <c r="U188" s="15"/>
      <c r="V188" s="15"/>
      <c r="W188" s="15"/>
      <c r="X188" s="118"/>
      <c r="Y188" s="354">
        <f t="shared" si="48"/>
        <v>0.77804999999999991</v>
      </c>
      <c r="Z188" s="166"/>
      <c r="AA188" s="354"/>
      <c r="AB188" s="166">
        <f t="shared" si="49"/>
        <v>0</v>
      </c>
      <c r="AC188" s="263">
        <f t="shared" si="55"/>
        <v>0</v>
      </c>
      <c r="AD188" s="312" t="s">
        <v>411</v>
      </c>
    </row>
    <row r="189" spans="1:30">
      <c r="A189" s="11"/>
      <c r="B189" s="81"/>
      <c r="C189" s="302"/>
      <c r="D189" s="323"/>
      <c r="E189" s="320"/>
      <c r="F189" s="273"/>
      <c r="G189" s="15"/>
      <c r="H189" s="94"/>
      <c r="I189" s="170" t="s">
        <v>556</v>
      </c>
      <c r="J189" s="25" t="s">
        <v>297</v>
      </c>
      <c r="K189" s="155">
        <v>142.94999999999999</v>
      </c>
      <c r="L189" s="117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18"/>
      <c r="Y189" s="354"/>
      <c r="Z189" s="166"/>
      <c r="AA189" s="354"/>
      <c r="AB189" s="166"/>
      <c r="AC189" s="263">
        <f t="shared" si="55"/>
        <v>0</v>
      </c>
      <c r="AD189" s="312"/>
    </row>
    <row r="190" spans="1:30">
      <c r="A190" s="11"/>
      <c r="B190" s="81"/>
      <c r="C190" s="302"/>
      <c r="D190" s="323"/>
      <c r="E190" s="320"/>
      <c r="F190" s="273"/>
      <c r="G190" s="15"/>
      <c r="H190" s="94"/>
      <c r="I190" s="170" t="s">
        <v>557</v>
      </c>
      <c r="J190" s="25" t="s">
        <v>297</v>
      </c>
      <c r="K190" s="155">
        <v>22.56</v>
      </c>
      <c r="L190" s="117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18"/>
      <c r="Y190" s="354"/>
      <c r="Z190" s="166"/>
      <c r="AA190" s="354"/>
      <c r="AB190" s="166"/>
      <c r="AC190" s="263">
        <f t="shared" si="55"/>
        <v>0</v>
      </c>
      <c r="AD190" s="312"/>
    </row>
    <row r="191" spans="1:30" ht="30">
      <c r="A191" s="11"/>
      <c r="B191" s="81" t="s">
        <v>104</v>
      </c>
      <c r="C191" s="302" t="s">
        <v>105</v>
      </c>
      <c r="D191" s="323" t="s">
        <v>297</v>
      </c>
      <c r="E191" s="320">
        <v>114.24</v>
      </c>
      <c r="F191" s="273" t="s">
        <v>105</v>
      </c>
      <c r="G191" s="15" t="s">
        <v>297</v>
      </c>
      <c r="H191" s="94">
        <v>114.24</v>
      </c>
      <c r="I191" s="170" t="s">
        <v>558</v>
      </c>
      <c r="J191" s="25" t="s">
        <v>297</v>
      </c>
      <c r="K191" s="155">
        <v>114.24</v>
      </c>
      <c r="L191" s="117"/>
      <c r="M191" s="15"/>
      <c r="N191" s="15"/>
      <c r="O191" s="15"/>
      <c r="P191" s="15"/>
      <c r="Q191" s="15"/>
      <c r="R191" s="15"/>
      <c r="S191" s="15">
        <v>114.24</v>
      </c>
      <c r="T191" s="15"/>
      <c r="U191" s="15"/>
      <c r="V191" s="15"/>
      <c r="W191" s="15"/>
      <c r="X191" s="118"/>
      <c r="Y191" s="354">
        <f t="shared" si="48"/>
        <v>114.24</v>
      </c>
      <c r="Z191" s="166"/>
      <c r="AA191" s="354"/>
      <c r="AB191" s="166">
        <f t="shared" si="49"/>
        <v>0</v>
      </c>
      <c r="AC191" s="263">
        <f t="shared" si="55"/>
        <v>0</v>
      </c>
      <c r="AD191" s="312" t="s">
        <v>411</v>
      </c>
    </row>
    <row r="192" spans="1:30" ht="30">
      <c r="A192" s="11"/>
      <c r="B192" s="81" t="s">
        <v>100</v>
      </c>
      <c r="C192" s="302" t="s">
        <v>101</v>
      </c>
      <c r="D192" s="323" t="s">
        <v>289</v>
      </c>
      <c r="E192" s="320">
        <v>4.4000000000000004</v>
      </c>
      <c r="F192" s="273" t="s">
        <v>101</v>
      </c>
      <c r="G192" s="15" t="s">
        <v>289</v>
      </c>
      <c r="H192" s="94">
        <v>4.4000000000000004</v>
      </c>
      <c r="I192" s="171" t="s">
        <v>941</v>
      </c>
      <c r="J192" s="25" t="s">
        <v>289</v>
      </c>
      <c r="K192" s="155">
        <v>4.4000000000000004</v>
      </c>
      <c r="L192" s="117"/>
      <c r="M192" s="15"/>
      <c r="N192" s="15"/>
      <c r="O192" s="15"/>
      <c r="P192" s="15"/>
      <c r="Q192" s="15"/>
      <c r="R192" s="15"/>
      <c r="S192" s="15">
        <v>4.4000000000000004</v>
      </c>
      <c r="T192" s="15">
        <v>2.4</v>
      </c>
      <c r="U192" s="15"/>
      <c r="V192" s="15"/>
      <c r="W192" s="15"/>
      <c r="X192" s="118"/>
      <c r="Y192" s="354">
        <f t="shared" si="48"/>
        <v>6.8000000000000007</v>
      </c>
      <c r="Z192" s="166"/>
      <c r="AA192" s="354"/>
      <c r="AB192" s="166">
        <f t="shared" si="49"/>
        <v>-2.4000000000000004</v>
      </c>
      <c r="AC192" s="263">
        <f t="shared" si="55"/>
        <v>-2.4000000000000004</v>
      </c>
      <c r="AD192" s="312" t="s">
        <v>411</v>
      </c>
    </row>
    <row r="193" spans="1:30" ht="30">
      <c r="A193" s="11"/>
      <c r="B193" s="81" t="s">
        <v>106</v>
      </c>
      <c r="C193" s="302" t="s">
        <v>107</v>
      </c>
      <c r="D193" s="323" t="s">
        <v>293</v>
      </c>
      <c r="E193" s="320">
        <v>26.8</v>
      </c>
      <c r="F193" s="273" t="s">
        <v>107</v>
      </c>
      <c r="G193" s="15" t="s">
        <v>293</v>
      </c>
      <c r="H193" s="94">
        <v>26.8</v>
      </c>
      <c r="I193" s="170" t="s">
        <v>547</v>
      </c>
      <c r="J193" s="25" t="s">
        <v>293</v>
      </c>
      <c r="K193" s="155">
        <v>26.8</v>
      </c>
      <c r="L193" s="117"/>
      <c r="M193" s="15"/>
      <c r="N193" s="15"/>
      <c r="O193" s="15"/>
      <c r="P193" s="15"/>
      <c r="Q193" s="15"/>
      <c r="R193" s="15">
        <v>6.5</v>
      </c>
      <c r="S193" s="15">
        <v>20.3</v>
      </c>
      <c r="T193" s="15"/>
      <c r="U193" s="15"/>
      <c r="V193" s="15"/>
      <c r="W193" s="15"/>
      <c r="X193" s="118"/>
      <c r="Y193" s="354">
        <f t="shared" si="48"/>
        <v>26.8</v>
      </c>
      <c r="Z193" s="166"/>
      <c r="AA193" s="354"/>
      <c r="AB193" s="166">
        <f t="shared" si="49"/>
        <v>0</v>
      </c>
      <c r="AC193" s="263">
        <f t="shared" si="55"/>
        <v>0</v>
      </c>
      <c r="AD193" s="312" t="s">
        <v>411</v>
      </c>
    </row>
    <row r="194" spans="1:30" ht="30">
      <c r="A194" s="11"/>
      <c r="B194" s="81" t="s">
        <v>62</v>
      </c>
      <c r="C194" s="302" t="s">
        <v>63</v>
      </c>
      <c r="D194" s="323" t="s">
        <v>289</v>
      </c>
      <c r="E194" s="320">
        <v>7.67</v>
      </c>
      <c r="F194" s="273" t="s">
        <v>63</v>
      </c>
      <c r="G194" s="15" t="s">
        <v>289</v>
      </c>
      <c r="H194" s="94">
        <v>7.67</v>
      </c>
      <c r="I194" s="170" t="s">
        <v>500</v>
      </c>
      <c r="J194" s="25" t="s">
        <v>289</v>
      </c>
      <c r="K194" s="187">
        <f>H194*1.5*1.1</f>
        <v>12.6555</v>
      </c>
      <c r="L194" s="117"/>
      <c r="M194" s="15"/>
      <c r="N194" s="15"/>
      <c r="O194" s="15"/>
      <c r="P194" s="15"/>
      <c r="Q194" s="15"/>
      <c r="R194" s="15"/>
      <c r="S194" s="15">
        <v>12.66</v>
      </c>
      <c r="T194" s="15"/>
      <c r="U194" s="15"/>
      <c r="V194" s="15"/>
      <c r="W194" s="15"/>
      <c r="X194" s="118"/>
      <c r="Y194" s="354">
        <f t="shared" si="48"/>
        <v>12.66</v>
      </c>
      <c r="Z194" s="166"/>
      <c r="AA194" s="354"/>
      <c r="AB194" s="166">
        <f t="shared" si="49"/>
        <v>-4.99</v>
      </c>
      <c r="AC194" s="263">
        <f t="shared" si="55"/>
        <v>-4.99</v>
      </c>
      <c r="AD194" s="312" t="s">
        <v>411</v>
      </c>
    </row>
    <row r="195" spans="1:30" s="225" customFormat="1" ht="30">
      <c r="A195" s="149"/>
      <c r="B195" s="81"/>
      <c r="C195" s="302"/>
      <c r="D195" s="323"/>
      <c r="E195" s="320"/>
      <c r="F195" s="275" t="s">
        <v>974</v>
      </c>
      <c r="G195" s="25" t="s">
        <v>600</v>
      </c>
      <c r="H195" s="91">
        <v>20</v>
      </c>
      <c r="I195" s="170" t="s">
        <v>859</v>
      </c>
      <c r="J195" s="25" t="s">
        <v>600</v>
      </c>
      <c r="K195" s="187">
        <f>8+4*3</f>
        <v>20</v>
      </c>
      <c r="L195" s="106"/>
      <c r="M195" s="25"/>
      <c r="N195" s="25"/>
      <c r="O195" s="25"/>
      <c r="P195" s="25"/>
      <c r="Q195" s="25"/>
      <c r="R195" s="25"/>
      <c r="S195" s="25">
        <v>20</v>
      </c>
      <c r="T195" s="25"/>
      <c r="U195" s="25"/>
      <c r="V195" s="25"/>
      <c r="W195" s="25"/>
      <c r="X195" s="107"/>
      <c r="Y195" s="354">
        <f t="shared" ref="Y195" si="56">SUM(L195:X195)</f>
        <v>20</v>
      </c>
      <c r="Z195" s="166"/>
      <c r="AA195" s="354"/>
      <c r="AB195" s="166">
        <f t="shared" ref="AB195" si="57">H195-Y195</f>
        <v>0</v>
      </c>
      <c r="AC195" s="263">
        <f t="shared" si="55"/>
        <v>-20</v>
      </c>
      <c r="AD195" s="312" t="s">
        <v>411</v>
      </c>
    </row>
    <row r="196" spans="1:30" s="65" customFormat="1" ht="30">
      <c r="A196" s="23"/>
      <c r="B196" s="82"/>
      <c r="C196" s="83" t="s">
        <v>554</v>
      </c>
      <c r="D196" s="84"/>
      <c r="E196" s="120"/>
      <c r="F196" s="304" t="s">
        <v>554</v>
      </c>
      <c r="G196" s="24"/>
      <c r="H196" s="93"/>
      <c r="I196" s="165"/>
      <c r="J196" s="24"/>
      <c r="K196" s="165"/>
      <c r="L196" s="110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111"/>
      <c r="Y196" s="351"/>
      <c r="Z196" s="165"/>
      <c r="AA196" s="351"/>
      <c r="AB196" s="165"/>
      <c r="AC196" s="318"/>
      <c r="AD196" s="313"/>
    </row>
    <row r="197" spans="1:30" ht="60">
      <c r="A197" s="11"/>
      <c r="B197" s="81" t="s">
        <v>14</v>
      </c>
      <c r="C197" s="302" t="s">
        <v>15</v>
      </c>
      <c r="D197" s="323" t="s">
        <v>289</v>
      </c>
      <c r="E197" s="320">
        <v>2.56</v>
      </c>
      <c r="F197" s="273" t="s">
        <v>15</v>
      </c>
      <c r="G197" s="15" t="s">
        <v>289</v>
      </c>
      <c r="H197" s="94">
        <v>2.56</v>
      </c>
      <c r="I197" s="166"/>
      <c r="J197" s="15" t="s">
        <v>289</v>
      </c>
      <c r="K197" s="166"/>
      <c r="L197" s="117"/>
      <c r="M197" s="15"/>
      <c r="N197" s="15"/>
      <c r="O197" s="15"/>
      <c r="P197" s="15"/>
      <c r="Q197" s="15"/>
      <c r="R197" s="15"/>
      <c r="S197" s="15">
        <v>2.56</v>
      </c>
      <c r="T197" s="15"/>
      <c r="U197" s="15"/>
      <c r="V197" s="15"/>
      <c r="W197" s="15"/>
      <c r="X197" s="118"/>
      <c r="Y197" s="354">
        <f t="shared" si="48"/>
        <v>2.56</v>
      </c>
      <c r="Z197" s="166"/>
      <c r="AA197" s="354"/>
      <c r="AB197" s="166">
        <f t="shared" si="49"/>
        <v>0</v>
      </c>
      <c r="AC197" s="263">
        <f t="shared" ref="AC197:AC204" si="58">E197-Y197</f>
        <v>0</v>
      </c>
      <c r="AD197" s="311" t="s">
        <v>411</v>
      </c>
    </row>
    <row r="198" spans="1:30" ht="30">
      <c r="A198" s="11"/>
      <c r="B198" s="81" t="s">
        <v>100</v>
      </c>
      <c r="C198" s="302" t="s">
        <v>101</v>
      </c>
      <c r="D198" s="323" t="s">
        <v>289</v>
      </c>
      <c r="E198" s="320">
        <v>0.12</v>
      </c>
      <c r="F198" s="273" t="s">
        <v>101</v>
      </c>
      <c r="G198" s="15" t="s">
        <v>289</v>
      </c>
      <c r="H198" s="94">
        <v>0.12</v>
      </c>
      <c r="I198" s="171" t="s">
        <v>640</v>
      </c>
      <c r="J198" s="25" t="s">
        <v>289</v>
      </c>
      <c r="K198" s="155">
        <f>0.06*2</f>
        <v>0.12</v>
      </c>
      <c r="L198" s="117"/>
      <c r="M198" s="15"/>
      <c r="N198" s="15"/>
      <c r="O198" s="15"/>
      <c r="P198" s="15"/>
      <c r="Q198" s="15"/>
      <c r="R198" s="15"/>
      <c r="S198" s="15">
        <v>0.12</v>
      </c>
      <c r="T198" s="15"/>
      <c r="U198" s="15"/>
      <c r="V198" s="15"/>
      <c r="W198" s="15"/>
      <c r="X198" s="118"/>
      <c r="Y198" s="354">
        <f t="shared" si="48"/>
        <v>0.12</v>
      </c>
      <c r="Z198" s="166"/>
      <c r="AA198" s="354"/>
      <c r="AB198" s="166">
        <f t="shared" si="49"/>
        <v>0</v>
      </c>
      <c r="AC198" s="263">
        <f t="shared" si="58"/>
        <v>0</v>
      </c>
      <c r="AD198" s="312" t="s">
        <v>411</v>
      </c>
    </row>
    <row r="199" spans="1:30" ht="30">
      <c r="A199" s="11"/>
      <c r="B199" s="81" t="s">
        <v>102</v>
      </c>
      <c r="C199" s="302" t="s">
        <v>103</v>
      </c>
      <c r="D199" s="323" t="s">
        <v>292</v>
      </c>
      <c r="E199" s="320">
        <v>1.4919999999999999E-2</v>
      </c>
      <c r="F199" s="273" t="s">
        <v>103</v>
      </c>
      <c r="G199" s="15" t="s">
        <v>635</v>
      </c>
      <c r="H199" s="94">
        <v>1.4919999999999999E-2</v>
      </c>
      <c r="I199" s="170" t="s">
        <v>543</v>
      </c>
      <c r="J199" s="25" t="s">
        <v>297</v>
      </c>
      <c r="K199" s="155">
        <f>5*2</f>
        <v>10</v>
      </c>
      <c r="L199" s="117"/>
      <c r="M199" s="15"/>
      <c r="N199" s="15"/>
      <c r="O199" s="15"/>
      <c r="P199" s="15"/>
      <c r="Q199" s="15"/>
      <c r="R199" s="15"/>
      <c r="S199" s="15">
        <f>H199</f>
        <v>1.4919999999999999E-2</v>
      </c>
      <c r="T199" s="15"/>
      <c r="U199" s="15"/>
      <c r="V199" s="15"/>
      <c r="W199" s="15"/>
      <c r="X199" s="118"/>
      <c r="Y199" s="354">
        <f t="shared" si="48"/>
        <v>1.4919999999999999E-2</v>
      </c>
      <c r="Z199" s="166"/>
      <c r="AA199" s="354"/>
      <c r="AB199" s="166">
        <f t="shared" si="49"/>
        <v>0</v>
      </c>
      <c r="AC199" s="263">
        <f t="shared" si="58"/>
        <v>0</v>
      </c>
      <c r="AD199" s="312" t="s">
        <v>411</v>
      </c>
    </row>
    <row r="200" spans="1:30" ht="30">
      <c r="A200" s="11"/>
      <c r="B200" s="81"/>
      <c r="C200" s="302"/>
      <c r="D200" s="323"/>
      <c r="E200" s="320"/>
      <c r="F200" s="273"/>
      <c r="G200" s="15"/>
      <c r="H200" s="94"/>
      <c r="I200" s="170" t="s">
        <v>544</v>
      </c>
      <c r="J200" s="25" t="s">
        <v>297</v>
      </c>
      <c r="K200" s="155">
        <f>2.46*2</f>
        <v>4.92</v>
      </c>
      <c r="L200" s="117"/>
      <c r="M200" s="15"/>
      <c r="N200" s="15"/>
      <c r="O200" s="15"/>
      <c r="P200" s="15"/>
      <c r="Q200" s="15"/>
      <c r="R200" s="15"/>
      <c r="S200" s="15">
        <v>4.92</v>
      </c>
      <c r="T200" s="15"/>
      <c r="U200" s="15"/>
      <c r="V200" s="15"/>
      <c r="W200" s="15"/>
      <c r="X200" s="118"/>
      <c r="Y200" s="354">
        <f t="shared" ref="Y200" si="59">SUM(L200:X200)</f>
        <v>4.92</v>
      </c>
      <c r="Z200" s="166"/>
      <c r="AA200" s="354"/>
      <c r="AB200" s="166">
        <f>K200-Y200</f>
        <v>0</v>
      </c>
      <c r="AC200" s="263">
        <f t="shared" si="58"/>
        <v>-4.92</v>
      </c>
      <c r="AD200" s="312" t="s">
        <v>411</v>
      </c>
    </row>
    <row r="201" spans="1:30" ht="30">
      <c r="A201" s="11"/>
      <c r="B201" s="81" t="s">
        <v>104</v>
      </c>
      <c r="C201" s="302" t="s">
        <v>105</v>
      </c>
      <c r="D201" s="323" t="s">
        <v>297</v>
      </c>
      <c r="E201" s="320">
        <v>0.38</v>
      </c>
      <c r="F201" s="273" t="s">
        <v>105</v>
      </c>
      <c r="G201" s="15" t="s">
        <v>297</v>
      </c>
      <c r="H201" s="94">
        <v>0.38</v>
      </c>
      <c r="I201" s="170" t="s">
        <v>559</v>
      </c>
      <c r="J201" s="25" t="s">
        <v>297</v>
      </c>
      <c r="K201" s="155">
        <f>0.19*2</f>
        <v>0.38</v>
      </c>
      <c r="L201" s="117"/>
      <c r="M201" s="15"/>
      <c r="N201" s="15"/>
      <c r="O201" s="15"/>
      <c r="P201" s="15"/>
      <c r="Q201" s="15"/>
      <c r="R201" s="15"/>
      <c r="S201" s="15">
        <v>0.38</v>
      </c>
      <c r="T201" s="15"/>
      <c r="U201" s="15"/>
      <c r="V201" s="15"/>
      <c r="W201" s="15"/>
      <c r="X201" s="118"/>
      <c r="Y201" s="354">
        <f t="shared" si="48"/>
        <v>0.38</v>
      </c>
      <c r="Z201" s="166"/>
      <c r="AA201" s="354"/>
      <c r="AB201" s="166">
        <f t="shared" si="49"/>
        <v>0</v>
      </c>
      <c r="AC201" s="263">
        <f t="shared" si="58"/>
        <v>0</v>
      </c>
      <c r="AD201" s="312" t="s">
        <v>411</v>
      </c>
    </row>
    <row r="202" spans="1:30" ht="30">
      <c r="A202" s="11"/>
      <c r="B202" s="81" t="s">
        <v>100</v>
      </c>
      <c r="C202" s="302" t="s">
        <v>101</v>
      </c>
      <c r="D202" s="323" t="s">
        <v>289</v>
      </c>
      <c r="E202" s="320">
        <v>0.42</v>
      </c>
      <c r="F202" s="273" t="s">
        <v>101</v>
      </c>
      <c r="G202" s="15" t="s">
        <v>289</v>
      </c>
      <c r="H202" s="94">
        <v>0.42</v>
      </c>
      <c r="I202" s="171" t="s">
        <v>941</v>
      </c>
      <c r="J202" s="25" t="s">
        <v>289</v>
      </c>
      <c r="K202" s="155">
        <f>0.21*2</f>
        <v>0.42</v>
      </c>
      <c r="L202" s="117"/>
      <c r="M202" s="15"/>
      <c r="N202" s="15"/>
      <c r="O202" s="15"/>
      <c r="P202" s="15"/>
      <c r="Q202" s="15"/>
      <c r="R202" s="15"/>
      <c r="S202" s="15">
        <v>0.42</v>
      </c>
      <c r="T202" s="15">
        <v>1</v>
      </c>
      <c r="U202" s="15"/>
      <c r="V202" s="15"/>
      <c r="W202" s="15"/>
      <c r="X202" s="118"/>
      <c r="Y202" s="354">
        <f t="shared" si="48"/>
        <v>1.42</v>
      </c>
      <c r="Z202" s="166"/>
      <c r="AA202" s="354"/>
      <c r="AB202" s="166">
        <f t="shared" si="49"/>
        <v>-1</v>
      </c>
      <c r="AC202" s="263">
        <f t="shared" si="58"/>
        <v>-1</v>
      </c>
      <c r="AD202" s="312" t="s">
        <v>411</v>
      </c>
    </row>
    <row r="203" spans="1:30" ht="30">
      <c r="A203" s="11"/>
      <c r="B203" s="81" t="s">
        <v>106</v>
      </c>
      <c r="C203" s="302" t="s">
        <v>107</v>
      </c>
      <c r="D203" s="323" t="s">
        <v>293</v>
      </c>
      <c r="E203" s="320">
        <v>2.8</v>
      </c>
      <c r="F203" s="273" t="s">
        <v>107</v>
      </c>
      <c r="G203" s="15" t="s">
        <v>293</v>
      </c>
      <c r="H203" s="94">
        <v>2.8</v>
      </c>
      <c r="I203" s="170" t="s">
        <v>547</v>
      </c>
      <c r="J203" s="25" t="s">
        <v>293</v>
      </c>
      <c r="K203" s="155">
        <v>2.8</v>
      </c>
      <c r="L203" s="117"/>
      <c r="M203" s="15"/>
      <c r="N203" s="15"/>
      <c r="O203" s="15"/>
      <c r="P203" s="15"/>
      <c r="Q203" s="15"/>
      <c r="R203" s="15"/>
      <c r="S203" s="15">
        <v>0.6</v>
      </c>
      <c r="T203" s="15">
        <v>2.2000000000000002</v>
      </c>
      <c r="U203" s="15"/>
      <c r="V203" s="15"/>
      <c r="W203" s="15"/>
      <c r="X203" s="118"/>
      <c r="Y203" s="354">
        <f t="shared" si="48"/>
        <v>2.8000000000000003</v>
      </c>
      <c r="Z203" s="166"/>
      <c r="AA203" s="354"/>
      <c r="AB203" s="166">
        <f t="shared" si="49"/>
        <v>0</v>
      </c>
      <c r="AC203" s="263">
        <f t="shared" si="58"/>
        <v>0</v>
      </c>
      <c r="AD203" s="312" t="s">
        <v>411</v>
      </c>
    </row>
    <row r="204" spans="1:30" ht="30">
      <c r="A204" s="11"/>
      <c r="B204" s="81" t="s">
        <v>62</v>
      </c>
      <c r="C204" s="302" t="s">
        <v>63</v>
      </c>
      <c r="D204" s="323" t="s">
        <v>289</v>
      </c>
      <c r="E204" s="320">
        <v>2.02</v>
      </c>
      <c r="F204" s="273" t="s">
        <v>63</v>
      </c>
      <c r="G204" s="15" t="s">
        <v>289</v>
      </c>
      <c r="H204" s="94">
        <v>2.02</v>
      </c>
      <c r="I204" s="166"/>
      <c r="J204" s="15" t="s">
        <v>289</v>
      </c>
      <c r="K204" s="166"/>
      <c r="L204" s="117"/>
      <c r="M204" s="15"/>
      <c r="N204" s="15"/>
      <c r="O204" s="15"/>
      <c r="P204" s="15"/>
      <c r="Q204" s="15"/>
      <c r="R204" s="15"/>
      <c r="S204" s="15"/>
      <c r="T204" s="15">
        <v>2.02</v>
      </c>
      <c r="U204" s="15"/>
      <c r="V204" s="15"/>
      <c r="W204" s="15"/>
      <c r="X204" s="118"/>
      <c r="Y204" s="354">
        <f t="shared" si="48"/>
        <v>2.02</v>
      </c>
      <c r="Z204" s="166"/>
      <c r="AA204" s="354"/>
      <c r="AB204" s="166">
        <f t="shared" si="49"/>
        <v>0</v>
      </c>
      <c r="AC204" s="263">
        <f t="shared" si="58"/>
        <v>0</v>
      </c>
      <c r="AD204" s="312" t="s">
        <v>411</v>
      </c>
    </row>
    <row r="205" spans="1:30" s="65" customFormat="1" ht="30">
      <c r="A205" s="23"/>
      <c r="B205" s="82"/>
      <c r="C205" s="83" t="s">
        <v>555</v>
      </c>
      <c r="D205" s="84"/>
      <c r="E205" s="120"/>
      <c r="F205" s="305" t="s">
        <v>555</v>
      </c>
      <c r="G205" s="84"/>
      <c r="H205" s="95"/>
      <c r="I205" s="167"/>
      <c r="J205" s="84"/>
      <c r="K205" s="167"/>
      <c r="L205" s="119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120"/>
      <c r="Y205" s="355"/>
      <c r="Z205" s="167"/>
      <c r="AA205" s="355"/>
      <c r="AB205" s="167"/>
      <c r="AC205" s="319"/>
      <c r="AD205" s="314"/>
    </row>
    <row r="206" spans="1:30" ht="60">
      <c r="A206" s="11"/>
      <c r="B206" s="81" t="s">
        <v>14</v>
      </c>
      <c r="C206" s="302" t="s">
        <v>15</v>
      </c>
      <c r="D206" s="323" t="s">
        <v>289</v>
      </c>
      <c r="E206" s="320">
        <v>3.88</v>
      </c>
      <c r="F206" s="273" t="s">
        <v>15</v>
      </c>
      <c r="G206" s="15" t="s">
        <v>289</v>
      </c>
      <c r="H206" s="94">
        <v>3.88</v>
      </c>
      <c r="I206" s="166"/>
      <c r="J206" s="15" t="s">
        <v>289</v>
      </c>
      <c r="K206" s="166"/>
      <c r="L206" s="117"/>
      <c r="M206" s="15"/>
      <c r="N206" s="15"/>
      <c r="O206" s="15"/>
      <c r="P206" s="15"/>
      <c r="Q206" s="15"/>
      <c r="R206" s="15"/>
      <c r="S206" s="15">
        <v>3.88</v>
      </c>
      <c r="T206" s="15"/>
      <c r="U206" s="15"/>
      <c r="V206" s="15"/>
      <c r="W206" s="15"/>
      <c r="X206" s="118"/>
      <c r="Y206" s="354">
        <f t="shared" si="48"/>
        <v>3.88</v>
      </c>
      <c r="Z206" s="166"/>
      <c r="AA206" s="354"/>
      <c r="AB206" s="166">
        <f t="shared" si="49"/>
        <v>0</v>
      </c>
      <c r="AC206" s="263">
        <f t="shared" ref="AC206:AC212" si="60">E206-Y206</f>
        <v>0</v>
      </c>
      <c r="AD206" s="311" t="s">
        <v>411</v>
      </c>
    </row>
    <row r="207" spans="1:30" ht="30">
      <c r="A207" s="11"/>
      <c r="B207" s="81" t="s">
        <v>100</v>
      </c>
      <c r="C207" s="302" t="s">
        <v>101</v>
      </c>
      <c r="D207" s="323" t="s">
        <v>289</v>
      </c>
      <c r="E207" s="320">
        <v>0.2</v>
      </c>
      <c r="F207" s="273" t="s">
        <v>101</v>
      </c>
      <c r="G207" s="15" t="s">
        <v>289</v>
      </c>
      <c r="H207" s="94">
        <v>0.2</v>
      </c>
      <c r="I207" s="171" t="s">
        <v>640</v>
      </c>
      <c r="J207" s="25" t="s">
        <v>289</v>
      </c>
      <c r="K207" s="155">
        <v>0.2</v>
      </c>
      <c r="L207" s="117"/>
      <c r="M207" s="15"/>
      <c r="N207" s="15"/>
      <c r="O207" s="15"/>
      <c r="P207" s="15"/>
      <c r="Q207" s="15"/>
      <c r="R207" s="15"/>
      <c r="S207" s="15">
        <v>0.2</v>
      </c>
      <c r="T207" s="15"/>
      <c r="U207" s="15"/>
      <c r="V207" s="15"/>
      <c r="W207" s="15"/>
      <c r="X207" s="118"/>
      <c r="Y207" s="354">
        <f t="shared" si="48"/>
        <v>0.2</v>
      </c>
      <c r="Z207" s="166"/>
      <c r="AA207" s="354"/>
      <c r="AB207" s="166">
        <f t="shared" si="49"/>
        <v>0</v>
      </c>
      <c r="AC207" s="263">
        <f t="shared" si="60"/>
        <v>0</v>
      </c>
      <c r="AD207" s="312" t="s">
        <v>411</v>
      </c>
    </row>
    <row r="208" spans="1:30" ht="30">
      <c r="A208" s="11"/>
      <c r="B208" s="81" t="s">
        <v>102</v>
      </c>
      <c r="C208" s="302" t="s">
        <v>103</v>
      </c>
      <c r="D208" s="323" t="s">
        <v>292</v>
      </c>
      <c r="E208" s="320">
        <v>3.5999999999999997E-2</v>
      </c>
      <c r="F208" s="273" t="s">
        <v>103</v>
      </c>
      <c r="G208" s="15" t="s">
        <v>635</v>
      </c>
      <c r="H208" s="94">
        <v>3.5999999999999997E-2</v>
      </c>
      <c r="I208" s="170" t="s">
        <v>543</v>
      </c>
      <c r="J208" s="25" t="s">
        <v>297</v>
      </c>
      <c r="K208" s="155">
        <v>30.2</v>
      </c>
      <c r="L208" s="117"/>
      <c r="M208" s="15"/>
      <c r="N208" s="15"/>
      <c r="O208" s="15"/>
      <c r="P208" s="15"/>
      <c r="Q208" s="15"/>
      <c r="R208" s="15"/>
      <c r="S208" s="15"/>
      <c r="T208" s="15">
        <v>3.5999999999999997E-2</v>
      </c>
      <c r="U208" s="15"/>
      <c r="V208" s="15"/>
      <c r="W208" s="15"/>
      <c r="X208" s="118"/>
      <c r="Y208" s="354">
        <f t="shared" si="48"/>
        <v>3.5999999999999997E-2</v>
      </c>
      <c r="Z208" s="166"/>
      <c r="AA208" s="354"/>
      <c r="AB208" s="166">
        <f t="shared" si="49"/>
        <v>0</v>
      </c>
      <c r="AC208" s="263">
        <f t="shared" si="60"/>
        <v>0</v>
      </c>
      <c r="AD208" s="312" t="s">
        <v>411</v>
      </c>
    </row>
    <row r="209" spans="1:30" ht="30">
      <c r="A209" s="11"/>
      <c r="B209" s="81"/>
      <c r="C209" s="302"/>
      <c r="D209" s="323"/>
      <c r="E209" s="320"/>
      <c r="F209" s="273"/>
      <c r="G209" s="15"/>
      <c r="H209" s="94"/>
      <c r="I209" s="170" t="s">
        <v>557</v>
      </c>
      <c r="J209" s="25" t="s">
        <v>297</v>
      </c>
      <c r="K209" s="155">
        <v>5.8</v>
      </c>
      <c r="L209" s="117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18"/>
      <c r="Y209" s="354"/>
      <c r="Z209" s="166"/>
      <c r="AA209" s="354"/>
      <c r="AB209" s="166"/>
      <c r="AC209" s="263">
        <f t="shared" si="60"/>
        <v>0</v>
      </c>
      <c r="AD209" s="312" t="s">
        <v>411</v>
      </c>
    </row>
    <row r="210" spans="1:30" ht="30">
      <c r="A210" s="11"/>
      <c r="B210" s="81" t="s">
        <v>100</v>
      </c>
      <c r="C210" s="302" t="s">
        <v>101</v>
      </c>
      <c r="D210" s="323" t="s">
        <v>289</v>
      </c>
      <c r="E210" s="320">
        <v>1</v>
      </c>
      <c r="F210" s="273" t="s">
        <v>101</v>
      </c>
      <c r="G210" s="15" t="s">
        <v>289</v>
      </c>
      <c r="H210" s="94">
        <v>1</v>
      </c>
      <c r="I210" s="171" t="s">
        <v>941</v>
      </c>
      <c r="J210" s="25" t="s">
        <v>289</v>
      </c>
      <c r="K210" s="155">
        <v>0.8</v>
      </c>
      <c r="L210" s="117"/>
      <c r="M210" s="15"/>
      <c r="N210" s="15"/>
      <c r="O210" s="15"/>
      <c r="P210" s="15"/>
      <c r="Q210" s="15"/>
      <c r="R210" s="15"/>
      <c r="S210" s="15"/>
      <c r="T210" s="15">
        <v>1</v>
      </c>
      <c r="U210" s="15">
        <v>0.8</v>
      </c>
      <c r="V210" s="15"/>
      <c r="W210" s="15"/>
      <c r="X210" s="118"/>
      <c r="Y210" s="354">
        <f t="shared" si="48"/>
        <v>1.8</v>
      </c>
      <c r="Z210" s="166"/>
      <c r="AA210" s="354"/>
      <c r="AB210" s="166">
        <f t="shared" si="49"/>
        <v>-0.8</v>
      </c>
      <c r="AC210" s="263">
        <f t="shared" si="60"/>
        <v>-0.8</v>
      </c>
      <c r="AD210" s="312" t="s">
        <v>411</v>
      </c>
    </row>
    <row r="211" spans="1:30" ht="30">
      <c r="A211" s="11"/>
      <c r="B211" s="81" t="s">
        <v>106</v>
      </c>
      <c r="C211" s="302" t="s">
        <v>107</v>
      </c>
      <c r="D211" s="323" t="s">
        <v>293</v>
      </c>
      <c r="E211" s="320">
        <v>11.8</v>
      </c>
      <c r="F211" s="273" t="s">
        <v>107</v>
      </c>
      <c r="G211" s="15" t="s">
        <v>293</v>
      </c>
      <c r="H211" s="94">
        <v>11.8</v>
      </c>
      <c r="I211" s="170" t="s">
        <v>547</v>
      </c>
      <c r="J211" s="25" t="s">
        <v>293</v>
      </c>
      <c r="K211" s="155">
        <v>2.8</v>
      </c>
      <c r="L211" s="117"/>
      <c r="M211" s="15"/>
      <c r="N211" s="15"/>
      <c r="O211" s="15"/>
      <c r="P211" s="15"/>
      <c r="Q211" s="15"/>
      <c r="R211" s="15"/>
      <c r="S211" s="15">
        <v>1.8</v>
      </c>
      <c r="T211" s="15">
        <v>10</v>
      </c>
      <c r="U211" s="15"/>
      <c r="V211" s="15"/>
      <c r="W211" s="15"/>
      <c r="X211" s="118"/>
      <c r="Y211" s="354">
        <f t="shared" si="48"/>
        <v>11.8</v>
      </c>
      <c r="Z211" s="166"/>
      <c r="AA211" s="354"/>
      <c r="AB211" s="166">
        <f t="shared" si="49"/>
        <v>0</v>
      </c>
      <c r="AC211" s="263">
        <f t="shared" si="60"/>
        <v>0</v>
      </c>
      <c r="AD211" s="312" t="s">
        <v>411</v>
      </c>
    </row>
    <row r="212" spans="1:30" ht="30">
      <c r="A212" s="11"/>
      <c r="B212" s="81" t="s">
        <v>62</v>
      </c>
      <c r="C212" s="302" t="s">
        <v>63</v>
      </c>
      <c r="D212" s="323" t="s">
        <v>289</v>
      </c>
      <c r="E212" s="320">
        <v>2.6799999999999997</v>
      </c>
      <c r="F212" s="273" t="s">
        <v>63</v>
      </c>
      <c r="G212" s="15" t="s">
        <v>289</v>
      </c>
      <c r="H212" s="94">
        <v>2.6799999999999997</v>
      </c>
      <c r="I212" s="166"/>
      <c r="J212" s="15" t="s">
        <v>289</v>
      </c>
      <c r="K212" s="166"/>
      <c r="L212" s="117"/>
      <c r="M212" s="15"/>
      <c r="N212" s="15"/>
      <c r="O212" s="15"/>
      <c r="P212" s="15"/>
      <c r="Q212" s="15"/>
      <c r="R212" s="15"/>
      <c r="S212" s="15"/>
      <c r="T212" s="15">
        <v>2.68</v>
      </c>
      <c r="U212" s="15"/>
      <c r="V212" s="15"/>
      <c r="W212" s="15"/>
      <c r="X212" s="118"/>
      <c r="Y212" s="354">
        <f t="shared" si="48"/>
        <v>2.68</v>
      </c>
      <c r="Z212" s="166"/>
      <c r="AA212" s="354"/>
      <c r="AB212" s="166">
        <f t="shared" si="49"/>
        <v>0</v>
      </c>
      <c r="AC212" s="263">
        <f t="shared" si="60"/>
        <v>0</v>
      </c>
      <c r="AD212" s="312" t="s">
        <v>411</v>
      </c>
    </row>
    <row r="213" spans="1:30" s="65" customFormat="1">
      <c r="A213" s="23"/>
      <c r="B213" s="82"/>
      <c r="C213" s="83" t="s">
        <v>108</v>
      </c>
      <c r="D213" s="84"/>
      <c r="E213" s="120"/>
      <c r="F213" s="304" t="s">
        <v>108</v>
      </c>
      <c r="G213" s="24"/>
      <c r="H213" s="93"/>
      <c r="I213" s="165"/>
      <c r="J213" s="24"/>
      <c r="K213" s="165"/>
      <c r="L213" s="110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111"/>
      <c r="Y213" s="351"/>
      <c r="Z213" s="165"/>
      <c r="AA213" s="351"/>
      <c r="AB213" s="165"/>
      <c r="AC213" s="318"/>
      <c r="AD213" s="313"/>
    </row>
    <row r="214" spans="1:30" s="65" customFormat="1">
      <c r="A214" s="23"/>
      <c r="B214" s="82"/>
      <c r="C214" s="83" t="s">
        <v>109</v>
      </c>
      <c r="D214" s="84"/>
      <c r="E214" s="120"/>
      <c r="F214" s="304" t="s">
        <v>109</v>
      </c>
      <c r="G214" s="24"/>
      <c r="H214" s="93"/>
      <c r="I214" s="165"/>
      <c r="J214" s="24"/>
      <c r="K214" s="165"/>
      <c r="L214" s="110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111"/>
      <c r="Y214" s="351"/>
      <c r="Z214" s="165"/>
      <c r="AA214" s="351"/>
      <c r="AB214" s="165"/>
      <c r="AC214" s="165"/>
      <c r="AD214" s="309"/>
    </row>
    <row r="215" spans="1:30">
      <c r="A215" s="11"/>
      <c r="B215" s="81" t="s">
        <v>110</v>
      </c>
      <c r="C215" s="302" t="s">
        <v>111</v>
      </c>
      <c r="D215" s="323" t="s">
        <v>294</v>
      </c>
      <c r="E215" s="320">
        <v>1</v>
      </c>
      <c r="F215" s="274" t="s">
        <v>775</v>
      </c>
      <c r="G215" s="5" t="s">
        <v>294</v>
      </c>
      <c r="H215" s="89">
        <v>1</v>
      </c>
      <c r="I215" s="170" t="s">
        <v>560</v>
      </c>
      <c r="J215" s="25" t="s">
        <v>294</v>
      </c>
      <c r="K215" s="155">
        <v>1</v>
      </c>
      <c r="L215" s="104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105"/>
      <c r="Y215" s="348">
        <f t="shared" si="48"/>
        <v>0</v>
      </c>
      <c r="Z215" s="162"/>
      <c r="AA215" s="348"/>
      <c r="AB215" s="162">
        <f t="shared" si="49"/>
        <v>1</v>
      </c>
      <c r="AC215" s="263">
        <f t="shared" ref="AC215:AC224" si="61">E215-Y215</f>
        <v>1</v>
      </c>
      <c r="AD215" s="48"/>
    </row>
    <row r="216" spans="1:30" ht="30">
      <c r="A216" s="11"/>
      <c r="B216" s="81" t="s">
        <v>112</v>
      </c>
      <c r="C216" s="302" t="s">
        <v>113</v>
      </c>
      <c r="D216" s="323" t="s">
        <v>294</v>
      </c>
      <c r="E216" s="320">
        <v>1</v>
      </c>
      <c r="F216" s="274" t="s">
        <v>113</v>
      </c>
      <c r="G216" s="5" t="s">
        <v>294</v>
      </c>
      <c r="H216" s="89">
        <v>1</v>
      </c>
      <c r="I216" s="170" t="s">
        <v>561</v>
      </c>
      <c r="J216" s="25" t="s">
        <v>294</v>
      </c>
      <c r="K216" s="155">
        <v>1</v>
      </c>
      <c r="L216" s="104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105"/>
      <c r="Y216" s="348">
        <f t="shared" si="48"/>
        <v>0</v>
      </c>
      <c r="Z216" s="162"/>
      <c r="AA216" s="348"/>
      <c r="AB216" s="162">
        <f t="shared" si="49"/>
        <v>1</v>
      </c>
      <c r="AC216" s="263">
        <f t="shared" si="61"/>
        <v>1</v>
      </c>
      <c r="AD216" s="48"/>
    </row>
    <row r="217" spans="1:30" ht="30">
      <c r="A217" s="11"/>
      <c r="B217" s="81" t="s">
        <v>114</v>
      </c>
      <c r="C217" s="302" t="s">
        <v>115</v>
      </c>
      <c r="D217" s="323" t="s">
        <v>294</v>
      </c>
      <c r="E217" s="320">
        <v>1</v>
      </c>
      <c r="F217" s="274" t="s">
        <v>115</v>
      </c>
      <c r="G217" s="5" t="s">
        <v>294</v>
      </c>
      <c r="H217" s="89">
        <v>1</v>
      </c>
      <c r="I217" s="170" t="s">
        <v>562</v>
      </c>
      <c r="J217" s="25" t="s">
        <v>294</v>
      </c>
      <c r="K217" s="155">
        <v>1</v>
      </c>
      <c r="L217" s="104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105"/>
      <c r="Y217" s="348">
        <f t="shared" si="48"/>
        <v>0</v>
      </c>
      <c r="Z217" s="162"/>
      <c r="AA217" s="348"/>
      <c r="AB217" s="162">
        <f t="shared" si="49"/>
        <v>1</v>
      </c>
      <c r="AC217" s="263">
        <f t="shared" si="61"/>
        <v>1</v>
      </c>
      <c r="AD217" s="48"/>
    </row>
    <row r="218" spans="1:30" ht="30">
      <c r="A218" s="11"/>
      <c r="B218" s="81" t="s">
        <v>116</v>
      </c>
      <c r="C218" s="302" t="s">
        <v>117</v>
      </c>
      <c r="D218" s="323" t="s">
        <v>294</v>
      </c>
      <c r="E218" s="320">
        <v>3</v>
      </c>
      <c r="F218" s="274" t="s">
        <v>117</v>
      </c>
      <c r="G218" s="5" t="s">
        <v>294</v>
      </c>
      <c r="H218" s="89">
        <v>3</v>
      </c>
      <c r="I218" s="170" t="s">
        <v>563</v>
      </c>
      <c r="J218" s="25" t="s">
        <v>294</v>
      </c>
      <c r="K218" s="155">
        <v>3</v>
      </c>
      <c r="L218" s="104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105"/>
      <c r="Y218" s="348">
        <f t="shared" ref="Y218:Y326" si="62">SUM(L218:X218)</f>
        <v>0</v>
      </c>
      <c r="Z218" s="162"/>
      <c r="AA218" s="348"/>
      <c r="AB218" s="162">
        <f t="shared" ref="AB218:AB326" si="63">H218-Y218</f>
        <v>3</v>
      </c>
      <c r="AC218" s="263">
        <f t="shared" si="61"/>
        <v>3</v>
      </c>
      <c r="AD218" s="48"/>
    </row>
    <row r="219" spans="1:30" ht="30">
      <c r="A219" s="11"/>
      <c r="B219" s="81" t="s">
        <v>118</v>
      </c>
      <c r="C219" s="302" t="s">
        <v>119</v>
      </c>
      <c r="D219" s="323" t="s">
        <v>294</v>
      </c>
      <c r="E219" s="320">
        <v>1</v>
      </c>
      <c r="F219" s="274" t="s">
        <v>119</v>
      </c>
      <c r="G219" s="5" t="s">
        <v>294</v>
      </c>
      <c r="H219" s="89">
        <v>1</v>
      </c>
      <c r="I219" s="170" t="s">
        <v>564</v>
      </c>
      <c r="J219" s="25" t="s">
        <v>294</v>
      </c>
      <c r="K219" s="155">
        <v>1</v>
      </c>
      <c r="L219" s="104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105"/>
      <c r="Y219" s="348">
        <f t="shared" si="62"/>
        <v>0</v>
      </c>
      <c r="Z219" s="162"/>
      <c r="AA219" s="348"/>
      <c r="AB219" s="162">
        <f t="shared" si="63"/>
        <v>1</v>
      </c>
      <c r="AC219" s="263">
        <f t="shared" si="61"/>
        <v>1</v>
      </c>
      <c r="AD219" s="48"/>
    </row>
    <row r="220" spans="1:30" ht="30">
      <c r="A220" s="11"/>
      <c r="B220" s="81" t="s">
        <v>120</v>
      </c>
      <c r="C220" s="302" t="s">
        <v>121</v>
      </c>
      <c r="D220" s="323" t="s">
        <v>294</v>
      </c>
      <c r="E220" s="320">
        <v>1</v>
      </c>
      <c r="F220" s="274" t="s">
        <v>121</v>
      </c>
      <c r="G220" s="5" t="s">
        <v>294</v>
      </c>
      <c r="H220" s="89">
        <v>1</v>
      </c>
      <c r="I220" s="170" t="s">
        <v>565</v>
      </c>
      <c r="J220" s="25" t="s">
        <v>294</v>
      </c>
      <c r="K220" s="155">
        <v>1</v>
      </c>
      <c r="L220" s="104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105"/>
      <c r="Y220" s="348">
        <f t="shared" si="62"/>
        <v>0</v>
      </c>
      <c r="Z220" s="162"/>
      <c r="AA220" s="348"/>
      <c r="AB220" s="162">
        <f t="shared" si="63"/>
        <v>1</v>
      </c>
      <c r="AC220" s="263">
        <f t="shared" si="61"/>
        <v>1</v>
      </c>
      <c r="AD220" s="48"/>
    </row>
    <row r="221" spans="1:30" ht="30">
      <c r="A221" s="11"/>
      <c r="B221" s="81"/>
      <c r="C221" s="302"/>
      <c r="D221" s="323"/>
      <c r="E221" s="320"/>
      <c r="F221" s="275" t="s">
        <v>159</v>
      </c>
      <c r="G221" s="25" t="s">
        <v>600</v>
      </c>
      <c r="H221" s="91">
        <v>30</v>
      </c>
      <c r="I221" s="170" t="s">
        <v>566</v>
      </c>
      <c r="J221" s="25" t="s">
        <v>600</v>
      </c>
      <c r="K221" s="155">
        <v>30</v>
      </c>
      <c r="L221" s="104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105"/>
      <c r="Y221" s="349">
        <f t="shared" ref="Y221:Y223" si="64">SUM(L221:X221)</f>
        <v>0</v>
      </c>
      <c r="Z221" s="155"/>
      <c r="AA221" s="349"/>
      <c r="AB221" s="155">
        <f t="shared" ref="AB221:AB223" si="65">H221-Y221</f>
        <v>30</v>
      </c>
      <c r="AC221" s="263">
        <f t="shared" si="61"/>
        <v>0</v>
      </c>
      <c r="AD221" s="48"/>
    </row>
    <row r="222" spans="1:30" ht="45">
      <c r="A222" s="11"/>
      <c r="B222" s="81"/>
      <c r="C222" s="302"/>
      <c r="D222" s="323"/>
      <c r="E222" s="320"/>
      <c r="F222" s="275" t="s">
        <v>181</v>
      </c>
      <c r="G222" s="25" t="s">
        <v>600</v>
      </c>
      <c r="H222" s="91">
        <v>500</v>
      </c>
      <c r="I222" s="170" t="s">
        <v>613</v>
      </c>
      <c r="J222" s="25" t="s">
        <v>600</v>
      </c>
      <c r="K222" s="155">
        <v>500</v>
      </c>
      <c r="L222" s="10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105"/>
      <c r="Y222" s="349">
        <f t="shared" si="64"/>
        <v>0</v>
      </c>
      <c r="Z222" s="155"/>
      <c r="AA222" s="349"/>
      <c r="AB222" s="155">
        <f t="shared" si="65"/>
        <v>500</v>
      </c>
      <c r="AC222" s="263">
        <f t="shared" si="61"/>
        <v>0</v>
      </c>
      <c r="AD222" s="48"/>
    </row>
    <row r="223" spans="1:30" ht="60">
      <c r="A223" s="11"/>
      <c r="B223" s="81"/>
      <c r="C223" s="302"/>
      <c r="D223" s="323"/>
      <c r="E223" s="320"/>
      <c r="F223" s="275" t="s">
        <v>123</v>
      </c>
      <c r="G223" s="25" t="s">
        <v>600</v>
      </c>
      <c r="H223" s="91">
        <v>40.25</v>
      </c>
      <c r="I223" s="170" t="s">
        <v>567</v>
      </c>
      <c r="J223" s="25" t="s">
        <v>600</v>
      </c>
      <c r="K223" s="155">
        <v>40.25</v>
      </c>
      <c r="L223" s="10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105"/>
      <c r="Y223" s="349">
        <f t="shared" si="64"/>
        <v>0</v>
      </c>
      <c r="Z223" s="155"/>
      <c r="AA223" s="349"/>
      <c r="AB223" s="155">
        <f t="shared" si="65"/>
        <v>40.25</v>
      </c>
      <c r="AC223" s="263">
        <f t="shared" si="61"/>
        <v>0</v>
      </c>
      <c r="AD223" s="48"/>
    </row>
    <row r="224" spans="1:30" ht="60">
      <c r="A224" s="11"/>
      <c r="B224" s="81" t="s">
        <v>122</v>
      </c>
      <c r="C224" s="302" t="s">
        <v>123</v>
      </c>
      <c r="D224" s="323" t="s">
        <v>291</v>
      </c>
      <c r="E224" s="320">
        <v>42</v>
      </c>
      <c r="F224" s="274" t="s">
        <v>123</v>
      </c>
      <c r="G224" s="5" t="s">
        <v>600</v>
      </c>
      <c r="H224" s="89">
        <v>42</v>
      </c>
      <c r="I224" s="170" t="s">
        <v>568</v>
      </c>
      <c r="J224" s="25" t="s">
        <v>600</v>
      </c>
      <c r="K224" s="155">
        <v>40.25</v>
      </c>
      <c r="L224" s="10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105"/>
      <c r="Y224" s="348">
        <f t="shared" si="62"/>
        <v>0</v>
      </c>
      <c r="Z224" s="162"/>
      <c r="AA224" s="348"/>
      <c r="AB224" s="162">
        <f t="shared" si="63"/>
        <v>42</v>
      </c>
      <c r="AC224" s="263">
        <f t="shared" si="61"/>
        <v>42</v>
      </c>
      <c r="AD224" s="48"/>
    </row>
    <row r="225" spans="1:30" s="65" customFormat="1">
      <c r="A225" s="23"/>
      <c r="B225" s="82"/>
      <c r="C225" s="83" t="s">
        <v>124</v>
      </c>
      <c r="D225" s="84"/>
      <c r="E225" s="120"/>
      <c r="F225" s="304" t="s">
        <v>124</v>
      </c>
      <c r="G225" s="24"/>
      <c r="H225" s="93"/>
      <c r="I225" s="165"/>
      <c r="J225" s="24"/>
      <c r="K225" s="165"/>
      <c r="L225" s="110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111"/>
      <c r="Y225" s="351"/>
      <c r="Z225" s="165"/>
      <c r="AA225" s="351"/>
      <c r="AB225" s="165"/>
      <c r="AC225" s="165"/>
      <c r="AD225" s="309"/>
    </row>
    <row r="226" spans="1:30" ht="30">
      <c r="A226" s="11"/>
      <c r="B226" s="81" t="s">
        <v>125</v>
      </c>
      <c r="C226" s="302" t="s">
        <v>126</v>
      </c>
      <c r="D226" s="323" t="s">
        <v>294</v>
      </c>
      <c r="E226" s="320">
        <v>1</v>
      </c>
      <c r="F226" s="274" t="s">
        <v>126</v>
      </c>
      <c r="G226" s="5" t="s">
        <v>294</v>
      </c>
      <c r="H226" s="89">
        <v>1</v>
      </c>
      <c r="I226" s="170" t="s">
        <v>569</v>
      </c>
      <c r="J226" s="25" t="s">
        <v>570</v>
      </c>
      <c r="K226" s="155">
        <v>1</v>
      </c>
      <c r="L226" s="10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105"/>
      <c r="Y226" s="348">
        <f t="shared" si="62"/>
        <v>0</v>
      </c>
      <c r="Z226" s="162"/>
      <c r="AA226" s="348"/>
      <c r="AB226" s="162">
        <f t="shared" si="63"/>
        <v>1</v>
      </c>
      <c r="AC226" s="263">
        <f t="shared" ref="AC226:AC237" si="66">E226-Y226</f>
        <v>1</v>
      </c>
      <c r="AD226" s="48"/>
    </row>
    <row r="227" spans="1:30">
      <c r="A227" s="11"/>
      <c r="B227" s="81" t="s">
        <v>127</v>
      </c>
      <c r="C227" s="302" t="s">
        <v>128</v>
      </c>
      <c r="D227" s="323" t="s">
        <v>294</v>
      </c>
      <c r="E227" s="320">
        <v>1</v>
      </c>
      <c r="F227" s="274" t="s">
        <v>128</v>
      </c>
      <c r="G227" s="5" t="s">
        <v>294</v>
      </c>
      <c r="H227" s="89">
        <v>1</v>
      </c>
      <c r="I227" s="170" t="s">
        <v>571</v>
      </c>
      <c r="J227" s="25" t="s">
        <v>294</v>
      </c>
      <c r="K227" s="155">
        <v>1</v>
      </c>
      <c r="L227" s="10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105"/>
      <c r="Y227" s="348">
        <f t="shared" si="62"/>
        <v>0</v>
      </c>
      <c r="Z227" s="162"/>
      <c r="AA227" s="348"/>
      <c r="AB227" s="162">
        <f t="shared" si="63"/>
        <v>1</v>
      </c>
      <c r="AC227" s="263">
        <f t="shared" si="66"/>
        <v>1</v>
      </c>
      <c r="AD227" s="48"/>
    </row>
    <row r="228" spans="1:30">
      <c r="A228" s="11"/>
      <c r="B228" s="81" t="s">
        <v>129</v>
      </c>
      <c r="C228" s="302" t="s">
        <v>121</v>
      </c>
      <c r="D228" s="323" t="s">
        <v>294</v>
      </c>
      <c r="E228" s="320">
        <v>1</v>
      </c>
      <c r="F228" s="274" t="s">
        <v>121</v>
      </c>
      <c r="G228" s="5" t="s">
        <v>294</v>
      </c>
      <c r="H228" s="89">
        <v>1</v>
      </c>
      <c r="I228" s="170" t="s">
        <v>572</v>
      </c>
      <c r="J228" s="25" t="s">
        <v>294</v>
      </c>
      <c r="K228" s="155">
        <v>1</v>
      </c>
      <c r="L228" s="104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105"/>
      <c r="Y228" s="348">
        <f t="shared" si="62"/>
        <v>0</v>
      </c>
      <c r="Z228" s="162"/>
      <c r="AA228" s="348"/>
      <c r="AB228" s="162">
        <f t="shared" si="63"/>
        <v>1</v>
      </c>
      <c r="AC228" s="263">
        <f t="shared" si="66"/>
        <v>1</v>
      </c>
      <c r="AD228" s="48"/>
    </row>
    <row r="229" spans="1:30">
      <c r="A229" s="11"/>
      <c r="B229" s="81" t="s">
        <v>130</v>
      </c>
      <c r="C229" s="302" t="s">
        <v>131</v>
      </c>
      <c r="D229" s="323" t="s">
        <v>294</v>
      </c>
      <c r="E229" s="320">
        <v>1</v>
      </c>
      <c r="F229" s="274" t="s">
        <v>131</v>
      </c>
      <c r="G229" s="5" t="s">
        <v>294</v>
      </c>
      <c r="H229" s="89">
        <v>1</v>
      </c>
      <c r="I229" s="170" t="s">
        <v>573</v>
      </c>
      <c r="J229" s="25" t="s">
        <v>294</v>
      </c>
      <c r="K229" s="155">
        <v>1</v>
      </c>
      <c r="L229" s="10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105"/>
      <c r="Y229" s="348">
        <f t="shared" si="62"/>
        <v>0</v>
      </c>
      <c r="Z229" s="162"/>
      <c r="AA229" s="348"/>
      <c r="AB229" s="162">
        <f t="shared" si="63"/>
        <v>1</v>
      </c>
      <c r="AC229" s="263">
        <f t="shared" si="66"/>
        <v>1</v>
      </c>
      <c r="AD229" s="48"/>
    </row>
    <row r="230" spans="1:30" ht="30">
      <c r="A230" s="11"/>
      <c r="B230" s="81" t="s">
        <v>132</v>
      </c>
      <c r="C230" s="302" t="s">
        <v>133</v>
      </c>
      <c r="D230" s="323" t="s">
        <v>294</v>
      </c>
      <c r="E230" s="320">
        <v>1</v>
      </c>
      <c r="F230" s="274" t="s">
        <v>133</v>
      </c>
      <c r="G230" s="5" t="s">
        <v>294</v>
      </c>
      <c r="H230" s="89">
        <v>1</v>
      </c>
      <c r="I230" s="170" t="s">
        <v>574</v>
      </c>
      <c r="J230" s="25">
        <v>0</v>
      </c>
      <c r="K230" s="155">
        <v>1</v>
      </c>
      <c r="L230" s="10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105"/>
      <c r="Y230" s="348">
        <f t="shared" si="62"/>
        <v>0</v>
      </c>
      <c r="Z230" s="162"/>
      <c r="AA230" s="348"/>
      <c r="AB230" s="162">
        <f t="shared" si="63"/>
        <v>1</v>
      </c>
      <c r="AC230" s="263">
        <f t="shared" si="66"/>
        <v>1</v>
      </c>
      <c r="AD230" s="48"/>
    </row>
    <row r="231" spans="1:30">
      <c r="A231" s="11"/>
      <c r="B231" s="81" t="s">
        <v>134</v>
      </c>
      <c r="C231" s="302" t="s">
        <v>135</v>
      </c>
      <c r="D231" s="323" t="s">
        <v>294</v>
      </c>
      <c r="E231" s="320">
        <v>1</v>
      </c>
      <c r="F231" s="274" t="s">
        <v>135</v>
      </c>
      <c r="G231" s="5" t="s">
        <v>294</v>
      </c>
      <c r="H231" s="89">
        <v>1</v>
      </c>
      <c r="I231" s="170" t="s">
        <v>575</v>
      </c>
      <c r="J231" s="25" t="s">
        <v>294</v>
      </c>
      <c r="K231" s="155">
        <v>1</v>
      </c>
      <c r="L231" s="10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105"/>
      <c r="Y231" s="348">
        <f t="shared" si="62"/>
        <v>0</v>
      </c>
      <c r="Z231" s="162"/>
      <c r="AA231" s="348"/>
      <c r="AB231" s="162">
        <f t="shared" si="63"/>
        <v>1</v>
      </c>
      <c r="AC231" s="263">
        <f t="shared" si="66"/>
        <v>1</v>
      </c>
      <c r="AD231" s="48"/>
    </row>
    <row r="232" spans="1:30">
      <c r="A232" s="11"/>
      <c r="B232" s="81" t="s">
        <v>136</v>
      </c>
      <c r="C232" s="302" t="s">
        <v>137</v>
      </c>
      <c r="D232" s="323" t="s">
        <v>294</v>
      </c>
      <c r="E232" s="320">
        <v>1</v>
      </c>
      <c r="F232" s="274" t="s">
        <v>137</v>
      </c>
      <c r="G232" s="5" t="s">
        <v>294</v>
      </c>
      <c r="H232" s="89">
        <v>1</v>
      </c>
      <c r="I232" s="170" t="s">
        <v>576</v>
      </c>
      <c r="J232" s="25" t="s">
        <v>294</v>
      </c>
      <c r="K232" s="155">
        <v>1</v>
      </c>
      <c r="L232" s="10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105"/>
      <c r="Y232" s="348">
        <f t="shared" si="62"/>
        <v>0</v>
      </c>
      <c r="Z232" s="162"/>
      <c r="AA232" s="348"/>
      <c r="AB232" s="162">
        <f t="shared" si="63"/>
        <v>1</v>
      </c>
      <c r="AC232" s="263">
        <f t="shared" si="66"/>
        <v>1</v>
      </c>
      <c r="AD232" s="48"/>
    </row>
    <row r="233" spans="1:30" ht="45">
      <c r="A233" s="11"/>
      <c r="B233" s="81" t="s">
        <v>138</v>
      </c>
      <c r="C233" s="302" t="s">
        <v>139</v>
      </c>
      <c r="D233" s="323" t="s">
        <v>291</v>
      </c>
      <c r="E233" s="320">
        <v>40</v>
      </c>
      <c r="F233" s="274" t="s">
        <v>139</v>
      </c>
      <c r="G233" s="5" t="s">
        <v>600</v>
      </c>
      <c r="H233" s="91">
        <v>11.5</v>
      </c>
      <c r="I233" s="170" t="s">
        <v>577</v>
      </c>
      <c r="J233" s="25" t="s">
        <v>600</v>
      </c>
      <c r="K233" s="155">
        <v>11.5</v>
      </c>
      <c r="L233" s="10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105"/>
      <c r="Y233" s="348">
        <f t="shared" si="62"/>
        <v>0</v>
      </c>
      <c r="Z233" s="162"/>
      <c r="AA233" s="348"/>
      <c r="AB233" s="162">
        <f t="shared" si="63"/>
        <v>11.5</v>
      </c>
      <c r="AC233" s="263">
        <f t="shared" si="66"/>
        <v>40</v>
      </c>
      <c r="AD233" s="48"/>
    </row>
    <row r="234" spans="1:30" ht="60">
      <c r="A234" s="11"/>
      <c r="B234" s="81" t="s">
        <v>140</v>
      </c>
      <c r="C234" s="302" t="s">
        <v>141</v>
      </c>
      <c r="D234" s="323" t="s">
        <v>291</v>
      </c>
      <c r="E234" s="320">
        <v>10</v>
      </c>
      <c r="F234" s="274" t="s">
        <v>141</v>
      </c>
      <c r="G234" s="5" t="s">
        <v>600</v>
      </c>
      <c r="H234" s="91">
        <v>23</v>
      </c>
      <c r="I234" s="170" t="s">
        <v>567</v>
      </c>
      <c r="J234" s="25" t="s">
        <v>600</v>
      </c>
      <c r="K234" s="155">
        <v>23</v>
      </c>
      <c r="L234" s="10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105"/>
      <c r="Y234" s="348">
        <f t="shared" si="62"/>
        <v>0</v>
      </c>
      <c r="Z234" s="162"/>
      <c r="AA234" s="348"/>
      <c r="AB234" s="162">
        <f t="shared" si="63"/>
        <v>23</v>
      </c>
      <c r="AC234" s="263">
        <f t="shared" si="66"/>
        <v>10</v>
      </c>
      <c r="AD234" s="48"/>
    </row>
    <row r="235" spans="1:30" ht="45">
      <c r="A235" s="11"/>
      <c r="B235" s="81" t="s">
        <v>142</v>
      </c>
      <c r="C235" s="302" t="s">
        <v>143</v>
      </c>
      <c r="D235" s="323" t="s">
        <v>291</v>
      </c>
      <c r="E235" s="320">
        <v>20</v>
      </c>
      <c r="F235" s="274" t="s">
        <v>143</v>
      </c>
      <c r="G235" s="5" t="s">
        <v>600</v>
      </c>
      <c r="H235" s="91">
        <v>13.799999999999999</v>
      </c>
      <c r="I235" s="170" t="s">
        <v>578</v>
      </c>
      <c r="J235" s="25" t="s">
        <v>600</v>
      </c>
      <c r="K235" s="155">
        <v>13.799999999999999</v>
      </c>
      <c r="L235" s="10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105"/>
      <c r="Y235" s="348">
        <f t="shared" si="62"/>
        <v>0</v>
      </c>
      <c r="Z235" s="162"/>
      <c r="AA235" s="348"/>
      <c r="AB235" s="162">
        <f t="shared" si="63"/>
        <v>13.799999999999999</v>
      </c>
      <c r="AC235" s="263">
        <f t="shared" si="66"/>
        <v>20</v>
      </c>
      <c r="AD235" s="48"/>
    </row>
    <row r="236" spans="1:30" ht="45">
      <c r="A236" s="11"/>
      <c r="B236" s="81" t="s">
        <v>144</v>
      </c>
      <c r="C236" s="302" t="s">
        <v>145</v>
      </c>
      <c r="D236" s="323" t="s">
        <v>291</v>
      </c>
      <c r="E236" s="320">
        <v>12</v>
      </c>
      <c r="F236" s="274" t="s">
        <v>145</v>
      </c>
      <c r="G236" s="5" t="s">
        <v>600</v>
      </c>
      <c r="H236" s="91">
        <v>1</v>
      </c>
      <c r="I236" s="170" t="s">
        <v>579</v>
      </c>
      <c r="J236" s="25" t="s">
        <v>294</v>
      </c>
      <c r="K236" s="155">
        <v>1</v>
      </c>
      <c r="L236" s="10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105"/>
      <c r="Y236" s="348">
        <f t="shared" si="62"/>
        <v>0</v>
      </c>
      <c r="Z236" s="162"/>
      <c r="AA236" s="348"/>
      <c r="AB236" s="162">
        <f t="shared" si="63"/>
        <v>1</v>
      </c>
      <c r="AC236" s="263">
        <f t="shared" si="66"/>
        <v>12</v>
      </c>
      <c r="AD236" s="48"/>
    </row>
    <row r="237" spans="1:30" ht="30">
      <c r="A237" s="11"/>
      <c r="B237" s="81"/>
      <c r="C237" s="302"/>
      <c r="D237" s="323"/>
      <c r="E237" s="320"/>
      <c r="F237" s="275" t="s">
        <v>776</v>
      </c>
      <c r="G237" s="25" t="s">
        <v>600</v>
      </c>
      <c r="H237" s="91">
        <v>1</v>
      </c>
      <c r="I237" s="170" t="s">
        <v>777</v>
      </c>
      <c r="J237" s="25" t="s">
        <v>294</v>
      </c>
      <c r="K237" s="155">
        <v>1</v>
      </c>
      <c r="L237" s="10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105"/>
      <c r="Y237" s="348">
        <f t="shared" ref="Y237" si="67">SUM(L237:X237)</f>
        <v>0</v>
      </c>
      <c r="Z237" s="162"/>
      <c r="AA237" s="348"/>
      <c r="AB237" s="162">
        <f t="shared" ref="AB237" si="68">H237-Y237</f>
        <v>1</v>
      </c>
      <c r="AC237" s="263">
        <f t="shared" si="66"/>
        <v>0</v>
      </c>
      <c r="AD237" s="48"/>
    </row>
    <row r="238" spans="1:30" s="65" customFormat="1">
      <c r="A238" s="23"/>
      <c r="B238" s="82"/>
      <c r="C238" s="83" t="s">
        <v>146</v>
      </c>
      <c r="D238" s="84"/>
      <c r="E238" s="120"/>
      <c r="F238" s="304" t="s">
        <v>146</v>
      </c>
      <c r="G238" s="24"/>
      <c r="H238" s="93"/>
      <c r="I238" s="165"/>
      <c r="J238" s="24"/>
      <c r="K238" s="165"/>
      <c r="L238" s="110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111"/>
      <c r="Y238" s="351"/>
      <c r="Z238" s="165"/>
      <c r="AA238" s="351"/>
      <c r="AB238" s="165"/>
      <c r="AC238" s="165"/>
      <c r="AD238" s="309"/>
    </row>
    <row r="239" spans="1:30" ht="30">
      <c r="A239" s="11"/>
      <c r="B239" s="81" t="s">
        <v>110</v>
      </c>
      <c r="C239" s="302" t="s">
        <v>111</v>
      </c>
      <c r="D239" s="323" t="s">
        <v>294</v>
      </c>
      <c r="E239" s="320">
        <v>1</v>
      </c>
      <c r="F239" s="274" t="s">
        <v>111</v>
      </c>
      <c r="G239" s="5" t="s">
        <v>294</v>
      </c>
      <c r="H239" s="89">
        <v>1</v>
      </c>
      <c r="I239" s="170" t="s">
        <v>580</v>
      </c>
      <c r="J239" s="25" t="s">
        <v>294</v>
      </c>
      <c r="K239" s="155">
        <v>1</v>
      </c>
      <c r="L239" s="10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105"/>
      <c r="Y239" s="348">
        <f t="shared" si="62"/>
        <v>0</v>
      </c>
      <c r="Z239" s="162"/>
      <c r="AA239" s="348"/>
      <c r="AB239" s="162">
        <f t="shared" si="63"/>
        <v>1</v>
      </c>
      <c r="AC239" s="263">
        <f t="shared" ref="AC239:AC259" si="69">E239-Y239</f>
        <v>1</v>
      </c>
      <c r="AD239" s="48"/>
    </row>
    <row r="240" spans="1:30" ht="30">
      <c r="A240" s="11"/>
      <c r="B240" s="81" t="s">
        <v>114</v>
      </c>
      <c r="C240" s="302" t="s">
        <v>115</v>
      </c>
      <c r="D240" s="323" t="s">
        <v>294</v>
      </c>
      <c r="E240" s="320">
        <v>3</v>
      </c>
      <c r="F240" s="274" t="s">
        <v>115</v>
      </c>
      <c r="G240" s="5" t="s">
        <v>294</v>
      </c>
      <c r="H240" s="89">
        <v>3</v>
      </c>
      <c r="I240" s="170" t="s">
        <v>581</v>
      </c>
      <c r="J240" s="25" t="s">
        <v>294</v>
      </c>
      <c r="K240" s="155">
        <v>3</v>
      </c>
      <c r="L240" s="10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105"/>
      <c r="Y240" s="348">
        <f t="shared" si="62"/>
        <v>0</v>
      </c>
      <c r="Z240" s="162"/>
      <c r="AA240" s="348"/>
      <c r="AB240" s="162">
        <f t="shared" si="63"/>
        <v>3</v>
      </c>
      <c r="AC240" s="263">
        <f t="shared" si="69"/>
        <v>3</v>
      </c>
      <c r="AD240" s="48"/>
    </row>
    <row r="241" spans="1:30" ht="30">
      <c r="A241" s="11"/>
      <c r="B241" s="81" t="s">
        <v>112</v>
      </c>
      <c r="C241" s="302" t="s">
        <v>113</v>
      </c>
      <c r="D241" s="323" t="s">
        <v>294</v>
      </c>
      <c r="E241" s="320">
        <v>4</v>
      </c>
      <c r="F241" s="274" t="s">
        <v>113</v>
      </c>
      <c r="G241" s="5" t="s">
        <v>294</v>
      </c>
      <c r="H241" s="89">
        <v>4</v>
      </c>
      <c r="I241" s="170" t="s">
        <v>582</v>
      </c>
      <c r="J241" s="25" t="s">
        <v>294</v>
      </c>
      <c r="K241" s="155">
        <v>4</v>
      </c>
      <c r="L241" s="10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105"/>
      <c r="Y241" s="348">
        <f t="shared" si="62"/>
        <v>0</v>
      </c>
      <c r="Z241" s="162"/>
      <c r="AA241" s="348"/>
      <c r="AB241" s="162">
        <f t="shared" si="63"/>
        <v>4</v>
      </c>
      <c r="AC241" s="263">
        <f t="shared" si="69"/>
        <v>4</v>
      </c>
      <c r="AD241" s="48"/>
    </row>
    <row r="242" spans="1:30" ht="30">
      <c r="A242" s="11"/>
      <c r="B242" s="81" t="s">
        <v>147</v>
      </c>
      <c r="C242" s="302" t="s">
        <v>148</v>
      </c>
      <c r="D242" s="323" t="s">
        <v>294</v>
      </c>
      <c r="E242" s="320">
        <v>2</v>
      </c>
      <c r="F242" s="274" t="s">
        <v>148</v>
      </c>
      <c r="G242" s="5" t="s">
        <v>294</v>
      </c>
      <c r="H242" s="89">
        <v>2</v>
      </c>
      <c r="I242" s="170" t="s">
        <v>583</v>
      </c>
      <c r="J242" s="25" t="s">
        <v>294</v>
      </c>
      <c r="K242" s="155">
        <v>2</v>
      </c>
      <c r="L242" s="10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105"/>
      <c r="Y242" s="348">
        <f t="shared" si="62"/>
        <v>0</v>
      </c>
      <c r="Z242" s="162"/>
      <c r="AA242" s="348"/>
      <c r="AB242" s="162">
        <f t="shared" si="63"/>
        <v>2</v>
      </c>
      <c r="AC242" s="263">
        <f t="shared" si="69"/>
        <v>2</v>
      </c>
      <c r="AD242" s="48"/>
    </row>
    <row r="243" spans="1:30">
      <c r="A243" s="11"/>
      <c r="B243" s="81" t="s">
        <v>149</v>
      </c>
      <c r="C243" s="302" t="s">
        <v>150</v>
      </c>
      <c r="D243" s="323" t="s">
        <v>294</v>
      </c>
      <c r="E243" s="320">
        <v>2</v>
      </c>
      <c r="F243" s="274" t="s">
        <v>150</v>
      </c>
      <c r="G243" s="5" t="s">
        <v>294</v>
      </c>
      <c r="H243" s="89">
        <v>2</v>
      </c>
      <c r="I243" s="170" t="s">
        <v>584</v>
      </c>
      <c r="J243" s="25" t="s">
        <v>294</v>
      </c>
      <c r="K243" s="155">
        <v>2</v>
      </c>
      <c r="L243" s="10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105"/>
      <c r="Y243" s="348">
        <f t="shared" si="62"/>
        <v>0</v>
      </c>
      <c r="Z243" s="162"/>
      <c r="AA243" s="348"/>
      <c r="AB243" s="162">
        <f t="shared" si="63"/>
        <v>2</v>
      </c>
      <c r="AC243" s="263">
        <f t="shared" si="69"/>
        <v>2</v>
      </c>
      <c r="AD243" s="48"/>
    </row>
    <row r="244" spans="1:30" ht="30">
      <c r="A244" s="11"/>
      <c r="B244" s="81" t="s">
        <v>132</v>
      </c>
      <c r="C244" s="302" t="s">
        <v>133</v>
      </c>
      <c r="D244" s="323" t="s">
        <v>294</v>
      </c>
      <c r="E244" s="320">
        <v>2</v>
      </c>
      <c r="F244" s="274" t="s">
        <v>133</v>
      </c>
      <c r="G244" s="5" t="s">
        <v>294</v>
      </c>
      <c r="H244" s="89">
        <v>2</v>
      </c>
      <c r="I244" s="170" t="s">
        <v>585</v>
      </c>
      <c r="J244" s="25" t="s">
        <v>294</v>
      </c>
      <c r="K244" s="155">
        <v>2</v>
      </c>
      <c r="L244" s="10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105"/>
      <c r="Y244" s="348">
        <f t="shared" si="62"/>
        <v>0</v>
      </c>
      <c r="Z244" s="162"/>
      <c r="AA244" s="348"/>
      <c r="AB244" s="162">
        <f t="shared" si="63"/>
        <v>2</v>
      </c>
      <c r="AC244" s="263">
        <f t="shared" si="69"/>
        <v>2</v>
      </c>
      <c r="AD244" s="48"/>
    </row>
    <row r="245" spans="1:30" ht="30">
      <c r="A245" s="11"/>
      <c r="B245" s="81" t="s">
        <v>132</v>
      </c>
      <c r="C245" s="302" t="s">
        <v>133</v>
      </c>
      <c r="D245" s="323" t="s">
        <v>294</v>
      </c>
      <c r="E245" s="320">
        <v>1</v>
      </c>
      <c r="F245" s="274" t="s">
        <v>133</v>
      </c>
      <c r="G245" s="5" t="s">
        <v>294</v>
      </c>
      <c r="H245" s="89">
        <v>1</v>
      </c>
      <c r="I245" s="170" t="s">
        <v>586</v>
      </c>
      <c r="J245" s="25" t="s">
        <v>294</v>
      </c>
      <c r="K245" s="155">
        <v>1</v>
      </c>
      <c r="L245" s="10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105"/>
      <c r="Y245" s="348">
        <f t="shared" si="62"/>
        <v>0</v>
      </c>
      <c r="Z245" s="162"/>
      <c r="AA245" s="348"/>
      <c r="AB245" s="162">
        <f t="shared" si="63"/>
        <v>1</v>
      </c>
      <c r="AC245" s="263">
        <f t="shared" si="69"/>
        <v>1</v>
      </c>
      <c r="AD245" s="48"/>
    </row>
    <row r="246" spans="1:30" ht="30">
      <c r="A246" s="11"/>
      <c r="B246" s="81" t="s">
        <v>151</v>
      </c>
      <c r="C246" s="302" t="s">
        <v>1001</v>
      </c>
      <c r="D246" s="323" t="s">
        <v>294</v>
      </c>
      <c r="E246" s="320">
        <v>1</v>
      </c>
      <c r="F246" s="274" t="s">
        <v>133</v>
      </c>
      <c r="G246" s="5" t="s">
        <v>294</v>
      </c>
      <c r="H246" s="89">
        <v>1</v>
      </c>
      <c r="I246" s="170" t="s">
        <v>778</v>
      </c>
      <c r="J246" s="25" t="s">
        <v>294</v>
      </c>
      <c r="K246" s="155">
        <v>1</v>
      </c>
      <c r="L246" s="10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105"/>
      <c r="Y246" s="348">
        <f t="shared" si="62"/>
        <v>0</v>
      </c>
      <c r="Z246" s="162"/>
      <c r="AA246" s="348"/>
      <c r="AB246" s="162">
        <f t="shared" si="63"/>
        <v>1</v>
      </c>
      <c r="AC246" s="263">
        <f t="shared" si="69"/>
        <v>1</v>
      </c>
      <c r="AD246" s="48"/>
    </row>
    <row r="247" spans="1:30" ht="30">
      <c r="A247" s="11"/>
      <c r="B247" s="81" t="s">
        <v>151</v>
      </c>
      <c r="C247" s="302" t="s">
        <v>1001</v>
      </c>
      <c r="D247" s="323" t="s">
        <v>294</v>
      </c>
      <c r="E247" s="320">
        <v>1</v>
      </c>
      <c r="F247" s="274" t="s">
        <v>148</v>
      </c>
      <c r="G247" s="5" t="s">
        <v>294</v>
      </c>
      <c r="H247" s="89">
        <v>1</v>
      </c>
      <c r="I247" s="170" t="s">
        <v>587</v>
      </c>
      <c r="J247" s="25" t="s">
        <v>294</v>
      </c>
      <c r="K247" s="155">
        <v>1</v>
      </c>
      <c r="L247" s="10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105"/>
      <c r="Y247" s="348">
        <f t="shared" si="62"/>
        <v>0</v>
      </c>
      <c r="Z247" s="162"/>
      <c r="AA247" s="348"/>
      <c r="AB247" s="162">
        <f t="shared" si="63"/>
        <v>1</v>
      </c>
      <c r="AC247" s="263">
        <f t="shared" si="69"/>
        <v>1</v>
      </c>
      <c r="AD247" s="48"/>
    </row>
    <row r="248" spans="1:30" ht="30">
      <c r="A248" s="11"/>
      <c r="B248" s="81" t="s">
        <v>152</v>
      </c>
      <c r="C248" s="302" t="s">
        <v>1002</v>
      </c>
      <c r="D248" s="323" t="s">
        <v>294</v>
      </c>
      <c r="E248" s="320">
        <v>1</v>
      </c>
      <c r="F248" s="274" t="s">
        <v>148</v>
      </c>
      <c r="G248" s="5" t="s">
        <v>294</v>
      </c>
      <c r="H248" s="89">
        <v>1</v>
      </c>
      <c r="I248" s="170" t="s">
        <v>588</v>
      </c>
      <c r="J248" s="25" t="s">
        <v>294</v>
      </c>
      <c r="K248" s="155">
        <v>1</v>
      </c>
      <c r="L248" s="10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105"/>
      <c r="Y248" s="348">
        <f t="shared" si="62"/>
        <v>0</v>
      </c>
      <c r="Z248" s="162"/>
      <c r="AA248" s="348"/>
      <c r="AB248" s="162">
        <f t="shared" si="63"/>
        <v>1</v>
      </c>
      <c r="AC248" s="263">
        <f t="shared" si="69"/>
        <v>1</v>
      </c>
      <c r="AD248" s="48"/>
    </row>
    <row r="249" spans="1:30">
      <c r="A249" s="11"/>
      <c r="B249" s="81" t="s">
        <v>153</v>
      </c>
      <c r="C249" s="302" t="s">
        <v>154</v>
      </c>
      <c r="D249" s="323" t="s">
        <v>294</v>
      </c>
      <c r="E249" s="320">
        <v>2</v>
      </c>
      <c r="F249" s="274" t="s">
        <v>154</v>
      </c>
      <c r="G249" s="5" t="s">
        <v>294</v>
      </c>
      <c r="H249" s="89">
        <v>2</v>
      </c>
      <c r="I249" s="170" t="s">
        <v>589</v>
      </c>
      <c r="J249" s="25" t="s">
        <v>294</v>
      </c>
      <c r="K249" s="155">
        <v>1</v>
      </c>
      <c r="L249" s="10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105"/>
      <c r="Y249" s="348">
        <f t="shared" si="62"/>
        <v>0</v>
      </c>
      <c r="Z249" s="162"/>
      <c r="AA249" s="348"/>
      <c r="AB249" s="162">
        <f t="shared" si="63"/>
        <v>2</v>
      </c>
      <c r="AC249" s="263">
        <f t="shared" si="69"/>
        <v>2</v>
      </c>
      <c r="AD249" s="48"/>
    </row>
    <row r="250" spans="1:30">
      <c r="A250" s="11"/>
      <c r="B250" s="81" t="s">
        <v>129</v>
      </c>
      <c r="C250" s="302" t="s">
        <v>121</v>
      </c>
      <c r="D250" s="323" t="s">
        <v>294</v>
      </c>
      <c r="E250" s="320">
        <v>4</v>
      </c>
      <c r="F250" s="274" t="s">
        <v>121</v>
      </c>
      <c r="G250" s="5" t="s">
        <v>294</v>
      </c>
      <c r="H250" s="89">
        <v>4</v>
      </c>
      <c r="I250" s="170" t="s">
        <v>590</v>
      </c>
      <c r="J250" s="25" t="s">
        <v>294</v>
      </c>
      <c r="K250" s="155">
        <v>2</v>
      </c>
      <c r="L250" s="10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105"/>
      <c r="Y250" s="348">
        <f t="shared" si="62"/>
        <v>0</v>
      </c>
      <c r="Z250" s="162"/>
      <c r="AA250" s="348"/>
      <c r="AB250" s="162">
        <f t="shared" si="63"/>
        <v>4</v>
      </c>
      <c r="AC250" s="263">
        <f t="shared" si="69"/>
        <v>4</v>
      </c>
      <c r="AD250" s="48"/>
    </row>
    <row r="251" spans="1:30" ht="30">
      <c r="A251" s="11"/>
      <c r="B251" s="81" t="s">
        <v>155</v>
      </c>
      <c r="C251" s="302" t="s">
        <v>156</v>
      </c>
      <c r="D251" s="323" t="s">
        <v>294</v>
      </c>
      <c r="E251" s="320">
        <v>1</v>
      </c>
      <c r="F251" s="274" t="s">
        <v>156</v>
      </c>
      <c r="G251" s="5" t="s">
        <v>294</v>
      </c>
      <c r="H251" s="89">
        <v>1</v>
      </c>
      <c r="I251" s="170" t="s">
        <v>591</v>
      </c>
      <c r="J251" s="25" t="s">
        <v>294</v>
      </c>
      <c r="K251" s="155">
        <v>4</v>
      </c>
      <c r="L251" s="10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105"/>
      <c r="Y251" s="348">
        <f t="shared" si="62"/>
        <v>0</v>
      </c>
      <c r="Z251" s="162"/>
      <c r="AA251" s="348"/>
      <c r="AB251" s="162">
        <f t="shared" si="63"/>
        <v>1</v>
      </c>
      <c r="AC251" s="263">
        <f t="shared" si="69"/>
        <v>1</v>
      </c>
      <c r="AD251" s="48"/>
    </row>
    <row r="252" spans="1:30" ht="30">
      <c r="A252" s="11"/>
      <c r="B252" s="81" t="s">
        <v>138</v>
      </c>
      <c r="C252" s="302" t="s">
        <v>139</v>
      </c>
      <c r="D252" s="323" t="s">
        <v>291</v>
      </c>
      <c r="E252" s="320">
        <v>400</v>
      </c>
      <c r="F252" s="274"/>
      <c r="G252" s="5"/>
      <c r="H252" s="89"/>
      <c r="I252" s="170"/>
      <c r="J252" s="25"/>
      <c r="K252" s="155"/>
      <c r="L252" s="10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105"/>
      <c r="Y252" s="354">
        <f t="shared" si="62"/>
        <v>0</v>
      </c>
      <c r="Z252" s="166"/>
      <c r="AA252" s="354"/>
      <c r="AB252" s="166">
        <f t="shared" si="63"/>
        <v>0</v>
      </c>
      <c r="AC252" s="263">
        <f t="shared" si="69"/>
        <v>400</v>
      </c>
      <c r="AD252" s="48"/>
    </row>
    <row r="253" spans="1:30" ht="30">
      <c r="A253" s="11"/>
      <c r="B253" s="81" t="s">
        <v>157</v>
      </c>
      <c r="C253" s="302" t="s">
        <v>1003</v>
      </c>
      <c r="D253" s="323" t="s">
        <v>291</v>
      </c>
      <c r="E253" s="320">
        <v>400</v>
      </c>
      <c r="F253" s="274"/>
      <c r="G253" s="5"/>
      <c r="H253" s="89"/>
      <c r="I253" s="170"/>
      <c r="J253" s="25"/>
      <c r="K253" s="155"/>
      <c r="L253" s="10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105"/>
      <c r="Y253" s="354">
        <f t="shared" si="62"/>
        <v>0</v>
      </c>
      <c r="Z253" s="166"/>
      <c r="AA253" s="354"/>
      <c r="AB253" s="166">
        <f t="shared" si="63"/>
        <v>0</v>
      </c>
      <c r="AC253" s="263">
        <f t="shared" si="69"/>
        <v>400</v>
      </c>
      <c r="AD253" s="48"/>
    </row>
    <row r="254" spans="1:30">
      <c r="A254" s="11"/>
      <c r="B254" s="81" t="s">
        <v>158</v>
      </c>
      <c r="C254" s="302" t="s">
        <v>159</v>
      </c>
      <c r="D254" s="323" t="s">
        <v>291</v>
      </c>
      <c r="E254" s="320">
        <v>400</v>
      </c>
      <c r="F254" s="274"/>
      <c r="G254" s="5"/>
      <c r="H254" s="89"/>
      <c r="I254" s="170"/>
      <c r="J254" s="25"/>
      <c r="K254" s="155"/>
      <c r="L254" s="10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105"/>
      <c r="Y254" s="354">
        <f t="shared" si="62"/>
        <v>0</v>
      </c>
      <c r="Z254" s="166"/>
      <c r="AA254" s="354"/>
      <c r="AB254" s="166">
        <f t="shared" si="63"/>
        <v>0</v>
      </c>
      <c r="AC254" s="263">
        <f t="shared" si="69"/>
        <v>400</v>
      </c>
      <c r="AD254" s="48"/>
    </row>
    <row r="255" spans="1:30" ht="30">
      <c r="A255" s="11"/>
      <c r="B255" s="81"/>
      <c r="C255" s="302"/>
      <c r="D255" s="323"/>
      <c r="E255" s="320"/>
      <c r="F255" s="274" t="s">
        <v>779</v>
      </c>
      <c r="G255" s="5" t="s">
        <v>600</v>
      </c>
      <c r="H255" s="89">
        <v>400</v>
      </c>
      <c r="I255" s="170" t="s">
        <v>592</v>
      </c>
      <c r="J255" s="25" t="s">
        <v>294</v>
      </c>
      <c r="K255" s="155">
        <v>1</v>
      </c>
      <c r="L255" s="10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105"/>
      <c r="Y255" s="348">
        <f t="shared" si="62"/>
        <v>0</v>
      </c>
      <c r="Z255" s="162"/>
      <c r="AA255" s="348"/>
      <c r="AB255" s="162">
        <f t="shared" si="63"/>
        <v>400</v>
      </c>
      <c r="AC255" s="263">
        <f t="shared" si="69"/>
        <v>0</v>
      </c>
      <c r="AD255" s="48"/>
    </row>
    <row r="256" spans="1:30" ht="30">
      <c r="A256" s="11"/>
      <c r="B256" s="81" t="s">
        <v>160</v>
      </c>
      <c r="C256" s="302" t="s">
        <v>1004</v>
      </c>
      <c r="D256" s="323" t="s">
        <v>291</v>
      </c>
      <c r="E256" s="320">
        <v>200</v>
      </c>
      <c r="F256" s="274"/>
      <c r="G256" s="5"/>
      <c r="H256" s="89"/>
      <c r="I256" s="170"/>
      <c r="J256" s="25"/>
      <c r="K256" s="155"/>
      <c r="L256" s="10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105"/>
      <c r="Y256" s="354">
        <f t="shared" si="62"/>
        <v>0</v>
      </c>
      <c r="Z256" s="166"/>
      <c r="AA256" s="354"/>
      <c r="AB256" s="166">
        <f t="shared" si="63"/>
        <v>0</v>
      </c>
      <c r="AC256" s="263">
        <f t="shared" si="69"/>
        <v>200</v>
      </c>
      <c r="AD256" s="48"/>
    </row>
    <row r="257" spans="1:30" ht="30">
      <c r="A257" s="11"/>
      <c r="B257" s="81"/>
      <c r="C257" s="302"/>
      <c r="D257" s="323"/>
      <c r="E257" s="320"/>
      <c r="F257" s="274" t="s">
        <v>780</v>
      </c>
      <c r="G257" s="5" t="s">
        <v>600</v>
      </c>
      <c r="H257" s="89">
        <v>20</v>
      </c>
      <c r="I257" s="170" t="s">
        <v>781</v>
      </c>
      <c r="J257" s="25" t="s">
        <v>600</v>
      </c>
      <c r="K257" s="155">
        <v>20</v>
      </c>
      <c r="L257" s="10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105"/>
      <c r="Y257" s="348">
        <f t="shared" si="62"/>
        <v>0</v>
      </c>
      <c r="Z257" s="162"/>
      <c r="AA257" s="348"/>
      <c r="AB257" s="162">
        <f t="shared" si="63"/>
        <v>20</v>
      </c>
      <c r="AC257" s="263">
        <f t="shared" si="69"/>
        <v>0</v>
      </c>
      <c r="AD257" s="48"/>
    </row>
    <row r="258" spans="1:30" ht="30">
      <c r="A258" s="11"/>
      <c r="B258" s="81" t="s">
        <v>1005</v>
      </c>
      <c r="C258" s="302" t="s">
        <v>161</v>
      </c>
      <c r="D258" s="323" t="s">
        <v>291</v>
      </c>
      <c r="E258" s="320">
        <v>200</v>
      </c>
      <c r="F258" s="274" t="s">
        <v>161</v>
      </c>
      <c r="G258" s="5" t="s">
        <v>600</v>
      </c>
      <c r="H258" s="89">
        <v>20</v>
      </c>
      <c r="I258" s="179" t="s">
        <v>782</v>
      </c>
      <c r="J258" s="173" t="s">
        <v>600</v>
      </c>
      <c r="K258" s="175">
        <v>20</v>
      </c>
      <c r="L258" s="10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105"/>
      <c r="Y258" s="348">
        <f t="shared" si="62"/>
        <v>0</v>
      </c>
      <c r="Z258" s="162"/>
      <c r="AA258" s="348"/>
      <c r="AB258" s="162">
        <f t="shared" si="63"/>
        <v>20</v>
      </c>
      <c r="AC258" s="263">
        <f t="shared" si="69"/>
        <v>200</v>
      </c>
      <c r="AD258" s="48"/>
    </row>
    <row r="259" spans="1:30" ht="30">
      <c r="A259" s="11"/>
      <c r="B259" s="81"/>
      <c r="C259" s="302"/>
      <c r="D259" s="323"/>
      <c r="E259" s="320"/>
      <c r="F259" s="274" t="s">
        <v>783</v>
      </c>
      <c r="G259" s="5" t="s">
        <v>294</v>
      </c>
      <c r="H259" s="89">
        <v>10</v>
      </c>
      <c r="I259" s="170" t="s">
        <v>784</v>
      </c>
      <c r="J259" s="25" t="s">
        <v>294</v>
      </c>
      <c r="K259" s="155">
        <v>10</v>
      </c>
      <c r="L259" s="10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105"/>
      <c r="Y259" s="348">
        <f t="shared" si="62"/>
        <v>0</v>
      </c>
      <c r="Z259" s="162"/>
      <c r="AA259" s="348"/>
      <c r="AB259" s="162">
        <f t="shared" si="63"/>
        <v>10</v>
      </c>
      <c r="AC259" s="263">
        <f t="shared" si="69"/>
        <v>0</v>
      </c>
      <c r="AD259" s="48"/>
    </row>
    <row r="260" spans="1:30" s="225" customFormat="1">
      <c r="A260" s="149"/>
      <c r="B260" s="337"/>
      <c r="C260" s="338"/>
      <c r="D260" s="173"/>
      <c r="E260" s="177"/>
      <c r="F260" s="275" t="s">
        <v>1063</v>
      </c>
      <c r="G260" s="25"/>
      <c r="H260" s="91"/>
      <c r="I260" s="170"/>
      <c r="J260" s="25"/>
      <c r="K260" s="155"/>
      <c r="L260" s="106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107"/>
      <c r="Y260" s="349"/>
      <c r="Z260" s="155"/>
      <c r="AA260" s="349"/>
      <c r="AB260" s="155"/>
      <c r="AC260" s="339"/>
      <c r="AD260" s="73"/>
    </row>
    <row r="261" spans="1:30" s="65" customFormat="1">
      <c r="A261" s="23"/>
      <c r="B261" s="82"/>
      <c r="C261" s="83" t="s">
        <v>162</v>
      </c>
      <c r="D261" s="84"/>
      <c r="E261" s="120"/>
      <c r="F261" s="304" t="s">
        <v>162</v>
      </c>
      <c r="G261" s="24"/>
      <c r="H261" s="93"/>
      <c r="I261" s="165"/>
      <c r="J261" s="24"/>
      <c r="K261" s="165"/>
      <c r="L261" s="110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111"/>
      <c r="Y261" s="351"/>
      <c r="Z261" s="165"/>
      <c r="AA261" s="351"/>
      <c r="AB261" s="165"/>
      <c r="AC261" s="165"/>
      <c r="AD261" s="309"/>
    </row>
    <row r="262" spans="1:30" ht="30">
      <c r="A262" s="11"/>
      <c r="B262" s="81" t="s">
        <v>132</v>
      </c>
      <c r="C262" s="302" t="s">
        <v>133</v>
      </c>
      <c r="D262" s="323" t="s">
        <v>294</v>
      </c>
      <c r="E262" s="320">
        <v>1</v>
      </c>
      <c r="F262" s="274" t="s">
        <v>133</v>
      </c>
      <c r="G262" s="5" t="s">
        <v>294</v>
      </c>
      <c r="H262" s="89">
        <v>1</v>
      </c>
      <c r="I262" s="170" t="s">
        <v>585</v>
      </c>
      <c r="J262" s="25" t="s">
        <v>294</v>
      </c>
      <c r="K262" s="155">
        <v>1</v>
      </c>
      <c r="L262" s="10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105"/>
      <c r="Y262" s="348">
        <f t="shared" si="62"/>
        <v>0</v>
      </c>
      <c r="Z262" s="162"/>
      <c r="AA262" s="348"/>
      <c r="AB262" s="162">
        <f t="shared" si="63"/>
        <v>1</v>
      </c>
      <c r="AC262" s="263">
        <f t="shared" ref="AC262:AC267" si="70">E262-Y262</f>
        <v>1</v>
      </c>
      <c r="AD262" s="48"/>
    </row>
    <row r="263" spans="1:30" ht="30">
      <c r="A263" s="11"/>
      <c r="B263" s="81" t="s">
        <v>132</v>
      </c>
      <c r="C263" s="302" t="s">
        <v>133</v>
      </c>
      <c r="D263" s="323" t="s">
        <v>294</v>
      </c>
      <c r="E263" s="320">
        <v>1</v>
      </c>
      <c r="F263" s="274" t="s">
        <v>133</v>
      </c>
      <c r="G263" s="5" t="s">
        <v>294</v>
      </c>
      <c r="H263" s="89">
        <v>1</v>
      </c>
      <c r="I263" s="170" t="s">
        <v>594</v>
      </c>
      <c r="J263" s="25" t="s">
        <v>294</v>
      </c>
      <c r="K263" s="155">
        <v>1</v>
      </c>
      <c r="L263" s="10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105"/>
      <c r="Y263" s="348">
        <f t="shared" si="62"/>
        <v>0</v>
      </c>
      <c r="Z263" s="162"/>
      <c r="AA263" s="348"/>
      <c r="AB263" s="162">
        <f t="shared" si="63"/>
        <v>1</v>
      </c>
      <c r="AC263" s="263">
        <f t="shared" si="70"/>
        <v>1</v>
      </c>
      <c r="AD263" s="48"/>
    </row>
    <row r="264" spans="1:30" ht="60">
      <c r="A264" s="11"/>
      <c r="B264" s="81" t="s">
        <v>163</v>
      </c>
      <c r="C264" s="302" t="s">
        <v>164</v>
      </c>
      <c r="D264" s="323" t="s">
        <v>291</v>
      </c>
      <c r="E264" s="320">
        <v>40</v>
      </c>
      <c r="F264" s="274" t="s">
        <v>164</v>
      </c>
      <c r="G264" s="5" t="s">
        <v>600</v>
      </c>
      <c r="H264" s="89">
        <v>40</v>
      </c>
      <c r="I264" s="170" t="s">
        <v>595</v>
      </c>
      <c r="J264" s="25" t="s">
        <v>600</v>
      </c>
      <c r="K264" s="155">
        <v>40</v>
      </c>
      <c r="L264" s="10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105"/>
      <c r="Y264" s="348">
        <f t="shared" si="62"/>
        <v>0</v>
      </c>
      <c r="Z264" s="162"/>
      <c r="AA264" s="348"/>
      <c r="AB264" s="162">
        <f t="shared" si="63"/>
        <v>40</v>
      </c>
      <c r="AC264" s="263">
        <f t="shared" si="70"/>
        <v>40</v>
      </c>
      <c r="AD264" s="48"/>
    </row>
    <row r="265" spans="1:30" ht="60">
      <c r="A265" s="11"/>
      <c r="B265" s="81" t="s">
        <v>144</v>
      </c>
      <c r="C265" s="302" t="s">
        <v>145</v>
      </c>
      <c r="D265" s="323" t="s">
        <v>291</v>
      </c>
      <c r="E265" s="320">
        <v>54</v>
      </c>
      <c r="F265" s="274" t="s">
        <v>145</v>
      </c>
      <c r="G265" s="5" t="s">
        <v>600</v>
      </c>
      <c r="H265" s="89">
        <v>54</v>
      </c>
      <c r="I265" s="170" t="s">
        <v>596</v>
      </c>
      <c r="J265" s="25" t="s">
        <v>600</v>
      </c>
      <c r="K265" s="155">
        <v>54</v>
      </c>
      <c r="L265" s="104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105"/>
      <c r="Y265" s="348">
        <f t="shared" si="62"/>
        <v>0</v>
      </c>
      <c r="Z265" s="162"/>
      <c r="AA265" s="348"/>
      <c r="AB265" s="162">
        <f t="shared" si="63"/>
        <v>54</v>
      </c>
      <c r="AC265" s="263">
        <f t="shared" si="70"/>
        <v>54</v>
      </c>
      <c r="AD265" s="48"/>
    </row>
    <row r="266" spans="1:30" ht="45">
      <c r="A266" s="11"/>
      <c r="B266" s="81" t="s">
        <v>140</v>
      </c>
      <c r="C266" s="302" t="s">
        <v>141</v>
      </c>
      <c r="D266" s="323" t="s">
        <v>291</v>
      </c>
      <c r="E266" s="320">
        <v>660</v>
      </c>
      <c r="F266" s="274" t="s">
        <v>141</v>
      </c>
      <c r="G266" s="5" t="s">
        <v>600</v>
      </c>
      <c r="H266" s="89">
        <v>660</v>
      </c>
      <c r="I266" s="170" t="s">
        <v>597</v>
      </c>
      <c r="J266" s="25" t="s">
        <v>600</v>
      </c>
      <c r="K266" s="155">
        <v>660</v>
      </c>
      <c r="L266" s="104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105"/>
      <c r="Y266" s="348">
        <f t="shared" si="62"/>
        <v>0</v>
      </c>
      <c r="Z266" s="162"/>
      <c r="AA266" s="348"/>
      <c r="AB266" s="162">
        <f t="shared" si="63"/>
        <v>660</v>
      </c>
      <c r="AC266" s="263">
        <f t="shared" si="70"/>
        <v>660</v>
      </c>
      <c r="AD266" s="48"/>
    </row>
    <row r="267" spans="1:30" ht="30">
      <c r="A267" s="11"/>
      <c r="B267" s="81"/>
      <c r="C267" s="302"/>
      <c r="D267" s="323"/>
      <c r="E267" s="320"/>
      <c r="F267" s="275" t="s">
        <v>593</v>
      </c>
      <c r="G267" s="25" t="s">
        <v>294</v>
      </c>
      <c r="H267" s="91">
        <v>8</v>
      </c>
      <c r="I267" s="170" t="s">
        <v>598</v>
      </c>
      <c r="J267" s="25" t="s">
        <v>294</v>
      </c>
      <c r="K267" s="155">
        <v>8</v>
      </c>
      <c r="L267" s="104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105"/>
      <c r="Y267" s="348"/>
      <c r="Z267" s="162"/>
      <c r="AA267" s="348"/>
      <c r="AB267" s="162"/>
      <c r="AC267" s="263">
        <f t="shared" si="70"/>
        <v>0</v>
      </c>
      <c r="AD267" s="48"/>
    </row>
    <row r="268" spans="1:30" s="225" customFormat="1">
      <c r="A268" s="149"/>
      <c r="B268" s="337"/>
      <c r="C268" s="338"/>
      <c r="D268" s="173"/>
      <c r="E268" s="177"/>
      <c r="F268" s="275" t="s">
        <v>1063</v>
      </c>
      <c r="G268" s="25"/>
      <c r="H268" s="91"/>
      <c r="I268" s="170"/>
      <c r="J268" s="25"/>
      <c r="K268" s="155"/>
      <c r="L268" s="106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107"/>
      <c r="Y268" s="349"/>
      <c r="Z268" s="155"/>
      <c r="AA268" s="349"/>
      <c r="AB268" s="155"/>
      <c r="AC268" s="339"/>
      <c r="AD268" s="73"/>
    </row>
    <row r="269" spans="1:30" s="65" customFormat="1">
      <c r="A269" s="23"/>
      <c r="B269" s="82"/>
      <c r="C269" s="83" t="s">
        <v>165</v>
      </c>
      <c r="D269" s="84"/>
      <c r="E269" s="120"/>
      <c r="F269" s="304" t="s">
        <v>165</v>
      </c>
      <c r="G269" s="24"/>
      <c r="H269" s="93"/>
      <c r="I269" s="165"/>
      <c r="J269" s="24"/>
      <c r="K269" s="165"/>
      <c r="L269" s="110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111"/>
      <c r="Y269" s="351"/>
      <c r="Z269" s="165"/>
      <c r="AA269" s="351"/>
      <c r="AB269" s="165"/>
      <c r="AC269" s="165"/>
      <c r="AD269" s="309"/>
    </row>
    <row r="270" spans="1:30">
      <c r="A270" s="11"/>
      <c r="B270" s="81" t="s">
        <v>166</v>
      </c>
      <c r="C270" s="302" t="s">
        <v>167</v>
      </c>
      <c r="D270" s="323" t="s">
        <v>294</v>
      </c>
      <c r="E270" s="320">
        <v>17</v>
      </c>
      <c r="F270" s="274" t="s">
        <v>167</v>
      </c>
      <c r="G270" s="5" t="s">
        <v>294</v>
      </c>
      <c r="H270" s="91">
        <v>0</v>
      </c>
      <c r="I270" s="162"/>
      <c r="J270" s="5" t="s">
        <v>294</v>
      </c>
      <c r="K270" s="162"/>
      <c r="L270" s="104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105"/>
      <c r="Y270" s="348">
        <f t="shared" si="62"/>
        <v>0</v>
      </c>
      <c r="Z270" s="162"/>
      <c r="AA270" s="348"/>
      <c r="AB270" s="162">
        <f t="shared" si="63"/>
        <v>0</v>
      </c>
      <c r="AC270" s="263">
        <f t="shared" ref="AC270:AC275" si="71">E270-Y270</f>
        <v>17</v>
      </c>
      <c r="AD270" s="48"/>
    </row>
    <row r="271" spans="1:30" ht="30">
      <c r="A271" s="11"/>
      <c r="B271" s="81" t="s">
        <v>155</v>
      </c>
      <c r="C271" s="302" t="s">
        <v>156</v>
      </c>
      <c r="D271" s="323" t="s">
        <v>294</v>
      </c>
      <c r="E271" s="320">
        <v>3</v>
      </c>
      <c r="F271" s="274" t="s">
        <v>156</v>
      </c>
      <c r="G271" s="5" t="s">
        <v>294</v>
      </c>
      <c r="H271" s="91">
        <v>0</v>
      </c>
      <c r="I271" s="162"/>
      <c r="J271" s="5" t="s">
        <v>294</v>
      </c>
      <c r="K271" s="162"/>
      <c r="L271" s="104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105"/>
      <c r="Y271" s="348">
        <f t="shared" si="62"/>
        <v>0</v>
      </c>
      <c r="Z271" s="162"/>
      <c r="AA271" s="348"/>
      <c r="AB271" s="162">
        <f t="shared" si="63"/>
        <v>0</v>
      </c>
      <c r="AC271" s="263">
        <f t="shared" si="71"/>
        <v>3</v>
      </c>
      <c r="AD271" s="48"/>
    </row>
    <row r="272" spans="1:30" ht="30">
      <c r="A272" s="11"/>
      <c r="B272" s="81" t="s">
        <v>155</v>
      </c>
      <c r="C272" s="302" t="s">
        <v>156</v>
      </c>
      <c r="D272" s="323" t="s">
        <v>294</v>
      </c>
      <c r="E272" s="320">
        <v>2</v>
      </c>
      <c r="F272" s="274" t="s">
        <v>156</v>
      </c>
      <c r="G272" s="5" t="s">
        <v>294</v>
      </c>
      <c r="H272" s="91">
        <v>0</v>
      </c>
      <c r="I272" s="162"/>
      <c r="J272" s="5" t="s">
        <v>294</v>
      </c>
      <c r="K272" s="162"/>
      <c r="L272" s="104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105"/>
      <c r="Y272" s="348">
        <f t="shared" si="62"/>
        <v>0</v>
      </c>
      <c r="Z272" s="162"/>
      <c r="AA272" s="348"/>
      <c r="AB272" s="162">
        <f t="shared" si="63"/>
        <v>0</v>
      </c>
      <c r="AC272" s="263">
        <f t="shared" si="71"/>
        <v>2</v>
      </c>
      <c r="AD272" s="48"/>
    </row>
    <row r="273" spans="1:30">
      <c r="A273" s="11"/>
      <c r="B273" s="81" t="s">
        <v>168</v>
      </c>
      <c r="C273" s="302" t="s">
        <v>169</v>
      </c>
      <c r="D273" s="323" t="s">
        <v>294</v>
      </c>
      <c r="E273" s="320">
        <v>1</v>
      </c>
      <c r="F273" s="274" t="s">
        <v>169</v>
      </c>
      <c r="G273" s="5" t="s">
        <v>294</v>
      </c>
      <c r="H273" s="91">
        <v>0</v>
      </c>
      <c r="I273" s="162"/>
      <c r="J273" s="5" t="s">
        <v>294</v>
      </c>
      <c r="K273" s="162"/>
      <c r="L273" s="104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105"/>
      <c r="Y273" s="348">
        <f t="shared" si="62"/>
        <v>0</v>
      </c>
      <c r="Z273" s="162"/>
      <c r="AA273" s="348"/>
      <c r="AB273" s="162">
        <f t="shared" si="63"/>
        <v>0</v>
      </c>
      <c r="AC273" s="263">
        <f t="shared" si="71"/>
        <v>1</v>
      </c>
      <c r="AD273" s="48"/>
    </row>
    <row r="274" spans="1:30" ht="45">
      <c r="A274" s="11"/>
      <c r="B274" s="81" t="s">
        <v>140</v>
      </c>
      <c r="C274" s="302" t="s">
        <v>141</v>
      </c>
      <c r="D274" s="323" t="s">
        <v>291</v>
      </c>
      <c r="E274" s="320">
        <v>900</v>
      </c>
      <c r="F274" s="274" t="s">
        <v>141</v>
      </c>
      <c r="G274" s="5" t="s">
        <v>600</v>
      </c>
      <c r="H274" s="91">
        <v>0</v>
      </c>
      <c r="I274" s="162"/>
      <c r="J274" s="5" t="s">
        <v>600</v>
      </c>
      <c r="K274" s="162"/>
      <c r="L274" s="10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105"/>
      <c r="Y274" s="348">
        <f t="shared" si="62"/>
        <v>0</v>
      </c>
      <c r="Z274" s="162"/>
      <c r="AA274" s="348"/>
      <c r="AB274" s="162">
        <f t="shared" si="63"/>
        <v>0</v>
      </c>
      <c r="AC274" s="263">
        <f t="shared" si="71"/>
        <v>900</v>
      </c>
      <c r="AD274" s="48"/>
    </row>
    <row r="275" spans="1:30" ht="45">
      <c r="A275" s="11"/>
      <c r="B275" s="81" t="s">
        <v>140</v>
      </c>
      <c r="C275" s="302" t="s">
        <v>141</v>
      </c>
      <c r="D275" s="323" t="s">
        <v>291</v>
      </c>
      <c r="E275" s="320">
        <v>750</v>
      </c>
      <c r="F275" s="274" t="s">
        <v>141</v>
      </c>
      <c r="G275" s="5" t="s">
        <v>600</v>
      </c>
      <c r="H275" s="91">
        <v>0</v>
      </c>
      <c r="I275" s="162"/>
      <c r="J275" s="5" t="s">
        <v>600</v>
      </c>
      <c r="K275" s="162"/>
      <c r="L275" s="104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105"/>
      <c r="Y275" s="348">
        <f t="shared" si="62"/>
        <v>0</v>
      </c>
      <c r="Z275" s="162"/>
      <c r="AA275" s="348"/>
      <c r="AB275" s="162">
        <f t="shared" si="63"/>
        <v>0</v>
      </c>
      <c r="AC275" s="263">
        <f t="shared" si="71"/>
        <v>750</v>
      </c>
      <c r="AD275" s="48"/>
    </row>
    <row r="276" spans="1:30" s="225" customFormat="1">
      <c r="A276" s="149"/>
      <c r="B276" s="337"/>
      <c r="C276" s="338"/>
      <c r="D276" s="173"/>
      <c r="E276" s="177"/>
      <c r="F276" s="275" t="s">
        <v>1063</v>
      </c>
      <c r="G276" s="25"/>
      <c r="H276" s="91"/>
      <c r="I276" s="170"/>
      <c r="J276" s="25"/>
      <c r="K276" s="155"/>
      <c r="L276" s="106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107"/>
      <c r="Y276" s="349"/>
      <c r="Z276" s="155"/>
      <c r="AA276" s="349"/>
      <c r="AB276" s="155"/>
      <c r="AC276" s="339"/>
      <c r="AD276" s="73"/>
    </row>
    <row r="277" spans="1:30" s="178" customFormat="1">
      <c r="A277" s="181"/>
      <c r="B277" s="82"/>
      <c r="C277" s="83" t="s">
        <v>423</v>
      </c>
      <c r="D277" s="84"/>
      <c r="E277" s="120"/>
      <c r="F277" s="306" t="s">
        <v>423</v>
      </c>
      <c r="G277" s="182"/>
      <c r="H277" s="183"/>
      <c r="I277" s="184"/>
      <c r="J277" s="182"/>
      <c r="K277" s="184"/>
      <c r="L277" s="185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6"/>
      <c r="Y277" s="356"/>
      <c r="Z277" s="184"/>
      <c r="AA277" s="356"/>
      <c r="AB277" s="184"/>
      <c r="AC277" s="184"/>
      <c r="AD277" s="315"/>
    </row>
    <row r="278" spans="1:30" ht="30">
      <c r="A278" s="11"/>
      <c r="B278" s="81"/>
      <c r="C278" s="302"/>
      <c r="D278" s="323"/>
      <c r="E278" s="320"/>
      <c r="F278" s="275" t="s">
        <v>336</v>
      </c>
      <c r="G278" s="25" t="s">
        <v>294</v>
      </c>
      <c r="H278" s="91">
        <v>17</v>
      </c>
      <c r="I278" s="170" t="s">
        <v>785</v>
      </c>
      <c r="J278" s="25" t="s">
        <v>294</v>
      </c>
      <c r="K278" s="155">
        <v>17</v>
      </c>
      <c r="L278" s="104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105"/>
      <c r="Y278" s="349">
        <f t="shared" ref="Y278:Y309" si="72">SUM(L278:X278)</f>
        <v>0</v>
      </c>
      <c r="Z278" s="155"/>
      <c r="AA278" s="349"/>
      <c r="AB278" s="155">
        <f t="shared" ref="AB278:AB309" si="73">H278-Y278</f>
        <v>17</v>
      </c>
      <c r="AC278" s="263">
        <f t="shared" ref="AC278:AC309" si="74">E278-Y278</f>
        <v>0</v>
      </c>
      <c r="AD278" s="48"/>
    </row>
    <row r="279" spans="1:30">
      <c r="A279" s="11"/>
      <c r="B279" s="81"/>
      <c r="C279" s="302"/>
      <c r="D279" s="323"/>
      <c r="E279" s="320"/>
      <c r="F279" s="275" t="s">
        <v>786</v>
      </c>
      <c r="G279" s="25" t="s">
        <v>294</v>
      </c>
      <c r="H279" s="91">
        <v>17</v>
      </c>
      <c r="I279" s="170" t="s">
        <v>787</v>
      </c>
      <c r="J279" s="25" t="s">
        <v>294</v>
      </c>
      <c r="K279" s="155">
        <v>17</v>
      </c>
      <c r="L279" s="104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105"/>
      <c r="Y279" s="349">
        <f t="shared" si="72"/>
        <v>0</v>
      </c>
      <c r="Z279" s="155"/>
      <c r="AA279" s="349"/>
      <c r="AB279" s="155">
        <f t="shared" si="73"/>
        <v>17</v>
      </c>
      <c r="AC279" s="263">
        <f t="shared" si="74"/>
        <v>0</v>
      </c>
      <c r="AD279" s="48"/>
    </row>
    <row r="280" spans="1:30" ht="30">
      <c r="A280" s="11"/>
      <c r="B280" s="81"/>
      <c r="C280" s="302"/>
      <c r="D280" s="323"/>
      <c r="E280" s="320"/>
      <c r="F280" s="275" t="s">
        <v>177</v>
      </c>
      <c r="G280" s="25" t="s">
        <v>294</v>
      </c>
      <c r="H280" s="91">
        <v>17</v>
      </c>
      <c r="I280" s="170" t="s">
        <v>788</v>
      </c>
      <c r="J280" s="25" t="s">
        <v>294</v>
      </c>
      <c r="K280" s="155">
        <v>17</v>
      </c>
      <c r="L280" s="104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105"/>
      <c r="Y280" s="349">
        <f t="shared" si="72"/>
        <v>0</v>
      </c>
      <c r="Z280" s="155"/>
      <c r="AA280" s="349"/>
      <c r="AB280" s="155">
        <f t="shared" si="73"/>
        <v>17</v>
      </c>
      <c r="AC280" s="263">
        <f t="shared" si="74"/>
        <v>0</v>
      </c>
      <c r="AD280" s="48"/>
    </row>
    <row r="281" spans="1:30">
      <c r="A281" s="11"/>
      <c r="B281" s="81"/>
      <c r="C281" s="302"/>
      <c r="D281" s="323"/>
      <c r="E281" s="320"/>
      <c r="F281" s="275" t="s">
        <v>789</v>
      </c>
      <c r="G281" s="25" t="s">
        <v>294</v>
      </c>
      <c r="H281" s="91">
        <v>17</v>
      </c>
      <c r="I281" s="170" t="s">
        <v>790</v>
      </c>
      <c r="J281" s="25" t="s">
        <v>294</v>
      </c>
      <c r="K281" s="155">
        <v>17</v>
      </c>
      <c r="L281" s="104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105"/>
      <c r="Y281" s="349">
        <f t="shared" si="72"/>
        <v>0</v>
      </c>
      <c r="Z281" s="155"/>
      <c r="AA281" s="349"/>
      <c r="AB281" s="155">
        <f t="shared" si="73"/>
        <v>17</v>
      </c>
      <c r="AC281" s="263">
        <f t="shared" si="74"/>
        <v>0</v>
      </c>
      <c r="AD281" s="48"/>
    </row>
    <row r="282" spans="1:30">
      <c r="A282" s="11"/>
      <c r="B282" s="81"/>
      <c r="C282" s="302"/>
      <c r="D282" s="323"/>
      <c r="E282" s="320"/>
      <c r="F282" s="275" t="s">
        <v>599</v>
      </c>
      <c r="G282" s="25" t="s">
        <v>294</v>
      </c>
      <c r="H282" s="91">
        <v>20</v>
      </c>
      <c r="I282" s="170" t="s">
        <v>791</v>
      </c>
      <c r="J282" s="25" t="s">
        <v>294</v>
      </c>
      <c r="K282" s="155">
        <v>10</v>
      </c>
      <c r="L282" s="104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105"/>
      <c r="Y282" s="349">
        <f t="shared" si="72"/>
        <v>0</v>
      </c>
      <c r="Z282" s="155"/>
      <c r="AA282" s="349"/>
      <c r="AB282" s="155">
        <f t="shared" si="73"/>
        <v>20</v>
      </c>
      <c r="AC282" s="263">
        <f t="shared" si="74"/>
        <v>0</v>
      </c>
      <c r="AD282" s="48"/>
    </row>
    <row r="283" spans="1:30">
      <c r="A283" s="11"/>
      <c r="B283" s="81"/>
      <c r="C283" s="302"/>
      <c r="D283" s="323"/>
      <c r="E283" s="320"/>
      <c r="F283" s="275"/>
      <c r="G283" s="25"/>
      <c r="H283" s="91"/>
      <c r="I283" s="170" t="s">
        <v>792</v>
      </c>
      <c r="J283" s="25" t="s">
        <v>294</v>
      </c>
      <c r="K283" s="155">
        <v>10</v>
      </c>
      <c r="L283" s="104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105"/>
      <c r="Y283" s="349">
        <f t="shared" si="72"/>
        <v>0</v>
      </c>
      <c r="Z283" s="155"/>
      <c r="AA283" s="349"/>
      <c r="AB283" s="155">
        <f t="shared" si="73"/>
        <v>0</v>
      </c>
      <c r="AC283" s="263">
        <f t="shared" si="74"/>
        <v>0</v>
      </c>
      <c r="AD283" s="48"/>
    </row>
    <row r="284" spans="1:30">
      <c r="A284" s="11"/>
      <c r="B284" s="81"/>
      <c r="C284" s="302"/>
      <c r="D284" s="323"/>
      <c r="E284" s="320"/>
      <c r="F284" s="275" t="s">
        <v>793</v>
      </c>
      <c r="G284" s="25" t="s">
        <v>294</v>
      </c>
      <c r="H284" s="91">
        <v>14</v>
      </c>
      <c r="I284" s="170" t="s">
        <v>602</v>
      </c>
      <c r="J284" s="25" t="s">
        <v>294</v>
      </c>
      <c r="K284" s="155">
        <v>14</v>
      </c>
      <c r="L284" s="104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105"/>
      <c r="Y284" s="349">
        <f t="shared" si="72"/>
        <v>0</v>
      </c>
      <c r="Z284" s="155"/>
      <c r="AA284" s="349"/>
      <c r="AB284" s="155">
        <f t="shared" si="73"/>
        <v>14</v>
      </c>
      <c r="AC284" s="263">
        <f t="shared" si="74"/>
        <v>0</v>
      </c>
      <c r="AD284" s="48"/>
    </row>
    <row r="285" spans="1:30" ht="45">
      <c r="A285" s="11"/>
      <c r="B285" s="81"/>
      <c r="C285" s="302"/>
      <c r="D285" s="323"/>
      <c r="E285" s="320"/>
      <c r="F285" s="275" t="s">
        <v>169</v>
      </c>
      <c r="G285" s="25" t="s">
        <v>294</v>
      </c>
      <c r="H285" s="91">
        <v>1</v>
      </c>
      <c r="I285" s="170" t="s">
        <v>603</v>
      </c>
      <c r="J285" s="25" t="s">
        <v>294</v>
      </c>
      <c r="K285" s="155">
        <v>1</v>
      </c>
      <c r="L285" s="104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105"/>
      <c r="Y285" s="349">
        <f t="shared" si="72"/>
        <v>0</v>
      </c>
      <c r="Z285" s="155"/>
      <c r="AA285" s="349"/>
      <c r="AB285" s="155">
        <f t="shared" si="73"/>
        <v>1</v>
      </c>
      <c r="AC285" s="263">
        <f t="shared" si="74"/>
        <v>0</v>
      </c>
      <c r="AD285" s="48"/>
    </row>
    <row r="286" spans="1:30" ht="30">
      <c r="A286" s="11"/>
      <c r="B286" s="81"/>
      <c r="C286" s="302"/>
      <c r="D286" s="323"/>
      <c r="E286" s="320"/>
      <c r="F286" s="275" t="s">
        <v>156</v>
      </c>
      <c r="G286" s="25" t="s">
        <v>570</v>
      </c>
      <c r="H286" s="91">
        <v>1</v>
      </c>
      <c r="I286" s="170" t="s">
        <v>794</v>
      </c>
      <c r="J286" s="25" t="s">
        <v>570</v>
      </c>
      <c r="K286" s="155">
        <v>1</v>
      </c>
      <c r="L286" s="104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105"/>
      <c r="Y286" s="349">
        <f t="shared" si="72"/>
        <v>0</v>
      </c>
      <c r="Z286" s="155"/>
      <c r="AA286" s="349"/>
      <c r="AB286" s="155">
        <f t="shared" si="73"/>
        <v>1</v>
      </c>
      <c r="AC286" s="263">
        <f t="shared" si="74"/>
        <v>0</v>
      </c>
      <c r="AD286" s="48"/>
    </row>
    <row r="287" spans="1:30">
      <c r="A287" s="11"/>
      <c r="B287" s="81"/>
      <c r="C287" s="302"/>
      <c r="D287" s="323"/>
      <c r="E287" s="320"/>
      <c r="F287" s="275" t="s">
        <v>795</v>
      </c>
      <c r="G287" s="25" t="s">
        <v>294</v>
      </c>
      <c r="H287" s="91">
        <v>1</v>
      </c>
      <c r="I287" s="170" t="s">
        <v>604</v>
      </c>
      <c r="J287" s="25" t="s">
        <v>294</v>
      </c>
      <c r="K287" s="155">
        <v>1</v>
      </c>
      <c r="L287" s="104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105"/>
      <c r="Y287" s="349">
        <f t="shared" si="72"/>
        <v>0</v>
      </c>
      <c r="Z287" s="155"/>
      <c r="AA287" s="349"/>
      <c r="AB287" s="155">
        <f t="shared" si="73"/>
        <v>1</v>
      </c>
      <c r="AC287" s="263">
        <f t="shared" si="74"/>
        <v>0</v>
      </c>
      <c r="AD287" s="48"/>
    </row>
    <row r="288" spans="1:30">
      <c r="A288" s="11"/>
      <c r="B288" s="81"/>
      <c r="C288" s="302"/>
      <c r="D288" s="323"/>
      <c r="E288" s="320"/>
      <c r="F288" s="275" t="s">
        <v>204</v>
      </c>
      <c r="G288" s="25" t="s">
        <v>294</v>
      </c>
      <c r="H288" s="91">
        <v>4</v>
      </c>
      <c r="I288" s="170" t="s">
        <v>796</v>
      </c>
      <c r="J288" s="25" t="s">
        <v>294</v>
      </c>
      <c r="K288" s="155">
        <v>4</v>
      </c>
      <c r="L288" s="10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105"/>
      <c r="Y288" s="349">
        <f t="shared" si="72"/>
        <v>0</v>
      </c>
      <c r="Z288" s="155"/>
      <c r="AA288" s="349"/>
      <c r="AB288" s="155">
        <f t="shared" si="73"/>
        <v>4</v>
      </c>
      <c r="AC288" s="263">
        <f t="shared" si="74"/>
        <v>0</v>
      </c>
      <c r="AD288" s="48"/>
    </row>
    <row r="289" spans="1:30" ht="30">
      <c r="A289" s="11"/>
      <c r="B289" s="81"/>
      <c r="C289" s="302"/>
      <c r="D289" s="323"/>
      <c r="E289" s="320"/>
      <c r="F289" s="275" t="s">
        <v>156</v>
      </c>
      <c r="G289" s="25" t="s">
        <v>294</v>
      </c>
      <c r="H289" s="91">
        <v>4</v>
      </c>
      <c r="I289" s="170" t="s">
        <v>605</v>
      </c>
      <c r="J289" s="25" t="s">
        <v>294</v>
      </c>
      <c r="K289" s="155">
        <v>4</v>
      </c>
      <c r="L289" s="104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105"/>
      <c r="Y289" s="349">
        <f t="shared" si="72"/>
        <v>0</v>
      </c>
      <c r="Z289" s="155"/>
      <c r="AA289" s="349"/>
      <c r="AB289" s="155">
        <f t="shared" si="73"/>
        <v>4</v>
      </c>
      <c r="AC289" s="263">
        <f t="shared" si="74"/>
        <v>0</v>
      </c>
      <c r="AD289" s="48"/>
    </row>
    <row r="290" spans="1:30" ht="30">
      <c r="A290" s="11"/>
      <c r="B290" s="81"/>
      <c r="C290" s="302"/>
      <c r="D290" s="323"/>
      <c r="E290" s="320"/>
      <c r="F290" s="275" t="s">
        <v>121</v>
      </c>
      <c r="G290" s="25" t="s">
        <v>294</v>
      </c>
      <c r="H290" s="91">
        <v>8</v>
      </c>
      <c r="I290" s="170" t="s">
        <v>797</v>
      </c>
      <c r="J290" s="25" t="s">
        <v>294</v>
      </c>
      <c r="K290" s="155">
        <v>8</v>
      </c>
      <c r="L290" s="104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105"/>
      <c r="Y290" s="349">
        <f t="shared" si="72"/>
        <v>0</v>
      </c>
      <c r="Z290" s="155"/>
      <c r="AA290" s="349"/>
      <c r="AB290" s="155">
        <f t="shared" si="73"/>
        <v>8</v>
      </c>
      <c r="AC290" s="263">
        <f t="shared" si="74"/>
        <v>0</v>
      </c>
      <c r="AD290" s="48"/>
    </row>
    <row r="291" spans="1:30">
      <c r="A291" s="11"/>
      <c r="B291" s="81"/>
      <c r="C291" s="302"/>
      <c r="D291" s="323"/>
      <c r="E291" s="320"/>
      <c r="F291" s="275" t="s">
        <v>105</v>
      </c>
      <c r="G291" s="25" t="s">
        <v>294</v>
      </c>
      <c r="H291" s="91">
        <v>4</v>
      </c>
      <c r="I291" s="170" t="s">
        <v>606</v>
      </c>
      <c r="J291" s="25" t="s">
        <v>294</v>
      </c>
      <c r="K291" s="155">
        <v>4</v>
      </c>
      <c r="L291" s="104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105"/>
      <c r="Y291" s="349">
        <f t="shared" si="72"/>
        <v>0</v>
      </c>
      <c r="Z291" s="155"/>
      <c r="AA291" s="349"/>
      <c r="AB291" s="155">
        <f t="shared" si="73"/>
        <v>4</v>
      </c>
      <c r="AC291" s="263">
        <f t="shared" si="74"/>
        <v>0</v>
      </c>
      <c r="AD291" s="48"/>
    </row>
    <row r="292" spans="1:30" ht="30">
      <c r="A292" s="11"/>
      <c r="B292" s="81"/>
      <c r="C292" s="302"/>
      <c r="D292" s="323"/>
      <c r="E292" s="320"/>
      <c r="F292" s="275" t="s">
        <v>128</v>
      </c>
      <c r="G292" s="25" t="s">
        <v>294</v>
      </c>
      <c r="H292" s="91">
        <v>4</v>
      </c>
      <c r="I292" s="170" t="s">
        <v>798</v>
      </c>
      <c r="J292" s="25" t="s">
        <v>294</v>
      </c>
      <c r="K292" s="155">
        <v>4</v>
      </c>
      <c r="L292" s="104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105"/>
      <c r="Y292" s="349">
        <f t="shared" si="72"/>
        <v>0</v>
      </c>
      <c r="Z292" s="155"/>
      <c r="AA292" s="349"/>
      <c r="AB292" s="155">
        <f t="shared" si="73"/>
        <v>4</v>
      </c>
      <c r="AC292" s="263">
        <f t="shared" si="74"/>
        <v>0</v>
      </c>
      <c r="AD292" s="48"/>
    </row>
    <row r="293" spans="1:30" ht="30">
      <c r="A293" s="11"/>
      <c r="B293" s="81"/>
      <c r="C293" s="302"/>
      <c r="D293" s="323"/>
      <c r="E293" s="320"/>
      <c r="F293" s="275" t="s">
        <v>128</v>
      </c>
      <c r="G293" s="25" t="s">
        <v>294</v>
      </c>
      <c r="H293" s="91">
        <v>4</v>
      </c>
      <c r="I293" s="170" t="s">
        <v>799</v>
      </c>
      <c r="J293" s="25" t="s">
        <v>294</v>
      </c>
      <c r="K293" s="155">
        <v>4</v>
      </c>
      <c r="L293" s="104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105"/>
      <c r="Y293" s="349">
        <f t="shared" si="72"/>
        <v>0</v>
      </c>
      <c r="Z293" s="155"/>
      <c r="AA293" s="349"/>
      <c r="AB293" s="155">
        <f t="shared" si="73"/>
        <v>4</v>
      </c>
      <c r="AC293" s="263">
        <f t="shared" si="74"/>
        <v>0</v>
      </c>
      <c r="AD293" s="48"/>
    </row>
    <row r="294" spans="1:30" ht="30">
      <c r="A294" s="11"/>
      <c r="B294" s="81"/>
      <c r="C294" s="302"/>
      <c r="D294" s="323"/>
      <c r="E294" s="320"/>
      <c r="F294" s="275" t="s">
        <v>156</v>
      </c>
      <c r="G294" s="25" t="s">
        <v>294</v>
      </c>
      <c r="H294" s="91">
        <v>4</v>
      </c>
      <c r="I294" s="170" t="s">
        <v>800</v>
      </c>
      <c r="J294" s="25" t="s">
        <v>294</v>
      </c>
      <c r="K294" s="155">
        <v>4</v>
      </c>
      <c r="L294" s="104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105"/>
      <c r="Y294" s="349">
        <f t="shared" si="72"/>
        <v>0</v>
      </c>
      <c r="Z294" s="155"/>
      <c r="AA294" s="349"/>
      <c r="AB294" s="155">
        <f t="shared" si="73"/>
        <v>4</v>
      </c>
      <c r="AC294" s="263">
        <f t="shared" si="74"/>
        <v>0</v>
      </c>
      <c r="AD294" s="48"/>
    </row>
    <row r="295" spans="1:30" s="227" customFormat="1" ht="30">
      <c r="A295" s="226"/>
      <c r="B295" s="81"/>
      <c r="C295" s="302"/>
      <c r="D295" s="323"/>
      <c r="E295" s="320"/>
      <c r="F295" s="273" t="s">
        <v>243</v>
      </c>
      <c r="G295" s="15" t="s">
        <v>294</v>
      </c>
      <c r="H295" s="94">
        <v>1</v>
      </c>
      <c r="I295" s="224"/>
      <c r="J295" s="15"/>
      <c r="K295" s="166"/>
      <c r="L295" s="117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18"/>
      <c r="Y295" s="354">
        <f t="shared" si="72"/>
        <v>0</v>
      </c>
      <c r="Z295" s="166"/>
      <c r="AA295" s="354"/>
      <c r="AB295" s="166">
        <f t="shared" si="73"/>
        <v>1</v>
      </c>
      <c r="AC295" s="263">
        <f t="shared" si="74"/>
        <v>0</v>
      </c>
      <c r="AD295" s="311"/>
    </row>
    <row r="296" spans="1:30" s="227" customFormat="1" ht="45">
      <c r="A296" s="226"/>
      <c r="B296" s="81"/>
      <c r="C296" s="302"/>
      <c r="D296" s="323"/>
      <c r="E296" s="320"/>
      <c r="F296" s="273" t="s">
        <v>245</v>
      </c>
      <c r="G296" s="15" t="s">
        <v>294</v>
      </c>
      <c r="H296" s="94">
        <v>21</v>
      </c>
      <c r="I296" s="224"/>
      <c r="J296" s="15"/>
      <c r="K296" s="166"/>
      <c r="L296" s="117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18"/>
      <c r="Y296" s="354">
        <f t="shared" si="72"/>
        <v>0</v>
      </c>
      <c r="Z296" s="166"/>
      <c r="AA296" s="354"/>
      <c r="AB296" s="166">
        <f t="shared" si="73"/>
        <v>21</v>
      </c>
      <c r="AC296" s="263">
        <f t="shared" si="74"/>
        <v>0</v>
      </c>
      <c r="AD296" s="311"/>
    </row>
    <row r="297" spans="1:30" s="227" customFormat="1" ht="30">
      <c r="A297" s="226"/>
      <c r="B297" s="81"/>
      <c r="C297" s="302"/>
      <c r="D297" s="323"/>
      <c r="E297" s="320"/>
      <c r="F297" s="273" t="s">
        <v>247</v>
      </c>
      <c r="G297" s="15" t="s">
        <v>294</v>
      </c>
      <c r="H297" s="94">
        <v>1</v>
      </c>
      <c r="I297" s="224"/>
      <c r="J297" s="15"/>
      <c r="K297" s="166"/>
      <c r="L297" s="117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18"/>
      <c r="Y297" s="354">
        <f t="shared" si="72"/>
        <v>0</v>
      </c>
      <c r="Z297" s="166"/>
      <c r="AA297" s="354"/>
      <c r="AB297" s="166">
        <f t="shared" si="73"/>
        <v>1</v>
      </c>
      <c r="AC297" s="263">
        <f t="shared" si="74"/>
        <v>0</v>
      </c>
      <c r="AD297" s="311"/>
    </row>
    <row r="298" spans="1:30" s="227" customFormat="1" ht="60">
      <c r="A298" s="226"/>
      <c r="B298" s="81"/>
      <c r="C298" s="302"/>
      <c r="D298" s="323"/>
      <c r="E298" s="320"/>
      <c r="F298" s="273" t="s">
        <v>251</v>
      </c>
      <c r="G298" s="15" t="s">
        <v>294</v>
      </c>
      <c r="H298" s="94">
        <v>1</v>
      </c>
      <c r="I298" s="224"/>
      <c r="J298" s="15"/>
      <c r="K298" s="166"/>
      <c r="L298" s="117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18"/>
      <c r="Y298" s="354">
        <f t="shared" si="72"/>
        <v>0</v>
      </c>
      <c r="Z298" s="166"/>
      <c r="AA298" s="354"/>
      <c r="AB298" s="166">
        <f t="shared" si="73"/>
        <v>1</v>
      </c>
      <c r="AC298" s="263">
        <f t="shared" si="74"/>
        <v>0</v>
      </c>
      <c r="AD298" s="311"/>
    </row>
    <row r="299" spans="1:30" s="227" customFormat="1" ht="30">
      <c r="A299" s="226"/>
      <c r="B299" s="81"/>
      <c r="C299" s="302"/>
      <c r="D299" s="323"/>
      <c r="E299" s="320"/>
      <c r="F299" s="273" t="s">
        <v>253</v>
      </c>
      <c r="G299" s="15" t="s">
        <v>294</v>
      </c>
      <c r="H299" s="94">
        <v>1</v>
      </c>
      <c r="I299" s="224"/>
      <c r="J299" s="15"/>
      <c r="K299" s="166"/>
      <c r="L299" s="117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18"/>
      <c r="Y299" s="354">
        <f t="shared" si="72"/>
        <v>0</v>
      </c>
      <c r="Z299" s="166"/>
      <c r="AA299" s="354"/>
      <c r="AB299" s="166">
        <f t="shared" si="73"/>
        <v>1</v>
      </c>
      <c r="AC299" s="263">
        <f t="shared" si="74"/>
        <v>0</v>
      </c>
      <c r="AD299" s="311"/>
    </row>
    <row r="300" spans="1:30" s="227" customFormat="1" ht="45">
      <c r="A300" s="226"/>
      <c r="B300" s="81"/>
      <c r="C300" s="302"/>
      <c r="D300" s="323"/>
      <c r="E300" s="320"/>
      <c r="F300" s="273" t="s">
        <v>181</v>
      </c>
      <c r="G300" s="15" t="s">
        <v>600</v>
      </c>
      <c r="H300" s="94">
        <v>900</v>
      </c>
      <c r="I300" s="170" t="s">
        <v>613</v>
      </c>
      <c r="J300" s="25" t="s">
        <v>600</v>
      </c>
      <c r="K300" s="155">
        <v>900</v>
      </c>
      <c r="L300" s="117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18"/>
      <c r="Y300" s="354">
        <f t="shared" si="72"/>
        <v>0</v>
      </c>
      <c r="Z300" s="166"/>
      <c r="AA300" s="354"/>
      <c r="AB300" s="166">
        <f t="shared" si="73"/>
        <v>900</v>
      </c>
      <c r="AC300" s="263">
        <f t="shared" si="74"/>
        <v>0</v>
      </c>
      <c r="AD300" s="311"/>
    </row>
    <row r="301" spans="1:30" ht="30">
      <c r="A301" s="11"/>
      <c r="B301" s="81"/>
      <c r="C301" s="302"/>
      <c r="D301" s="323"/>
      <c r="E301" s="320"/>
      <c r="F301" s="275" t="s">
        <v>801</v>
      </c>
      <c r="G301" s="25" t="s">
        <v>600</v>
      </c>
      <c r="H301" s="91">
        <v>750</v>
      </c>
      <c r="I301" s="170" t="s">
        <v>802</v>
      </c>
      <c r="J301" s="25" t="s">
        <v>600</v>
      </c>
      <c r="K301" s="155">
        <v>750</v>
      </c>
      <c r="L301" s="10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105"/>
      <c r="Y301" s="349">
        <f t="shared" si="72"/>
        <v>0</v>
      </c>
      <c r="Z301" s="155"/>
      <c r="AA301" s="349"/>
      <c r="AB301" s="155">
        <f t="shared" si="73"/>
        <v>750</v>
      </c>
      <c r="AC301" s="263">
        <f t="shared" si="74"/>
        <v>0</v>
      </c>
      <c r="AD301" s="48"/>
    </row>
    <row r="302" spans="1:30">
      <c r="A302" s="11"/>
      <c r="B302" s="81"/>
      <c r="C302" s="302"/>
      <c r="D302" s="323"/>
      <c r="E302" s="320"/>
      <c r="F302" s="275" t="s">
        <v>803</v>
      </c>
      <c r="G302" s="25" t="s">
        <v>294</v>
      </c>
      <c r="H302" s="91">
        <v>1</v>
      </c>
      <c r="I302" s="170" t="s">
        <v>804</v>
      </c>
      <c r="J302" s="25" t="s">
        <v>294</v>
      </c>
      <c r="K302" s="155">
        <v>2</v>
      </c>
      <c r="L302" s="104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105"/>
      <c r="Y302" s="349">
        <f t="shared" si="72"/>
        <v>0</v>
      </c>
      <c r="Z302" s="155"/>
      <c r="AA302" s="349"/>
      <c r="AB302" s="155">
        <f t="shared" si="73"/>
        <v>1</v>
      </c>
      <c r="AC302" s="263">
        <f t="shared" si="74"/>
        <v>0</v>
      </c>
      <c r="AD302" s="48"/>
    </row>
    <row r="303" spans="1:30">
      <c r="A303" s="11"/>
      <c r="B303" s="81"/>
      <c r="C303" s="302"/>
      <c r="D303" s="323"/>
      <c r="E303" s="320"/>
      <c r="F303" s="275"/>
      <c r="G303" s="25"/>
      <c r="H303" s="91"/>
      <c r="I303" s="170" t="s">
        <v>1078</v>
      </c>
      <c r="J303" s="25" t="s">
        <v>294</v>
      </c>
      <c r="K303" s="155">
        <v>2</v>
      </c>
      <c r="L303" s="104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105"/>
      <c r="Y303" s="349">
        <f t="shared" si="72"/>
        <v>0</v>
      </c>
      <c r="Z303" s="155"/>
      <c r="AA303" s="349"/>
      <c r="AB303" s="155">
        <f t="shared" si="73"/>
        <v>0</v>
      </c>
      <c r="AC303" s="263">
        <f t="shared" si="74"/>
        <v>0</v>
      </c>
      <c r="AD303" s="48"/>
    </row>
    <row r="304" spans="1:30">
      <c r="A304" s="11"/>
      <c r="B304" s="81"/>
      <c r="C304" s="302"/>
      <c r="D304" s="323"/>
      <c r="E304" s="320"/>
      <c r="F304" s="275"/>
      <c r="G304" s="25"/>
      <c r="H304" s="91"/>
      <c r="I304" s="170" t="s">
        <v>1083</v>
      </c>
      <c r="J304" s="25" t="s">
        <v>294</v>
      </c>
      <c r="K304" s="155">
        <v>2</v>
      </c>
      <c r="L304" s="104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105"/>
      <c r="Y304" s="349">
        <f t="shared" si="72"/>
        <v>0</v>
      </c>
      <c r="Z304" s="155"/>
      <c r="AA304" s="349"/>
      <c r="AB304" s="155">
        <f t="shared" si="73"/>
        <v>0</v>
      </c>
      <c r="AC304" s="263">
        <f t="shared" si="74"/>
        <v>0</v>
      </c>
      <c r="AD304" s="48"/>
    </row>
    <row r="305" spans="1:30">
      <c r="A305" s="11"/>
      <c r="B305" s="81"/>
      <c r="C305" s="302"/>
      <c r="D305" s="323"/>
      <c r="E305" s="320"/>
      <c r="F305" s="275"/>
      <c r="G305" s="25"/>
      <c r="H305" s="91"/>
      <c r="I305" s="170" t="s">
        <v>805</v>
      </c>
      <c r="J305" s="25" t="s">
        <v>294</v>
      </c>
      <c r="K305" s="155">
        <v>2</v>
      </c>
      <c r="L305" s="104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105"/>
      <c r="Y305" s="349">
        <f t="shared" si="72"/>
        <v>0</v>
      </c>
      <c r="Z305" s="155"/>
      <c r="AA305" s="349"/>
      <c r="AB305" s="155">
        <f t="shared" si="73"/>
        <v>0</v>
      </c>
      <c r="AC305" s="263">
        <f t="shared" si="74"/>
        <v>0</v>
      </c>
      <c r="AD305" s="48"/>
    </row>
    <row r="306" spans="1:30">
      <c r="A306" s="11"/>
      <c r="B306" s="81"/>
      <c r="C306" s="302"/>
      <c r="D306" s="323"/>
      <c r="E306" s="320"/>
      <c r="F306" s="275"/>
      <c r="G306" s="25"/>
      <c r="H306" s="91"/>
      <c r="I306" s="170" t="s">
        <v>806</v>
      </c>
      <c r="J306" s="25" t="s">
        <v>294</v>
      </c>
      <c r="K306" s="155">
        <v>8</v>
      </c>
      <c r="L306" s="104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105"/>
      <c r="Y306" s="349">
        <f t="shared" si="72"/>
        <v>0</v>
      </c>
      <c r="Z306" s="155"/>
      <c r="AA306" s="349"/>
      <c r="AB306" s="155">
        <f t="shared" si="73"/>
        <v>0</v>
      </c>
      <c r="AC306" s="263">
        <f t="shared" si="74"/>
        <v>0</v>
      </c>
      <c r="AD306" s="48"/>
    </row>
    <row r="307" spans="1:30" ht="30">
      <c r="A307" s="11"/>
      <c r="B307" s="81"/>
      <c r="C307" s="302"/>
      <c r="D307" s="323"/>
      <c r="E307" s="320"/>
      <c r="F307" s="275"/>
      <c r="G307" s="25"/>
      <c r="H307" s="91"/>
      <c r="I307" s="170" t="s">
        <v>807</v>
      </c>
      <c r="J307" s="25" t="s">
        <v>294</v>
      </c>
      <c r="K307" s="155">
        <v>2</v>
      </c>
      <c r="L307" s="104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105"/>
      <c r="Y307" s="349">
        <f t="shared" si="72"/>
        <v>0</v>
      </c>
      <c r="Z307" s="155"/>
      <c r="AA307" s="349"/>
      <c r="AB307" s="155">
        <f t="shared" si="73"/>
        <v>0</v>
      </c>
      <c r="AC307" s="263">
        <f t="shared" si="74"/>
        <v>0</v>
      </c>
      <c r="AD307" s="48"/>
    </row>
    <row r="308" spans="1:30">
      <c r="A308" s="11"/>
      <c r="B308" s="81"/>
      <c r="C308" s="302"/>
      <c r="D308" s="323"/>
      <c r="E308" s="320"/>
      <c r="F308" s="275" t="s">
        <v>159</v>
      </c>
      <c r="G308" s="25" t="s">
        <v>600</v>
      </c>
      <c r="H308" s="91">
        <v>530</v>
      </c>
      <c r="I308" s="170" t="s">
        <v>808</v>
      </c>
      <c r="J308" s="25" t="s">
        <v>600</v>
      </c>
      <c r="K308" s="155">
        <v>530</v>
      </c>
      <c r="L308" s="104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105"/>
      <c r="Y308" s="349">
        <f t="shared" si="72"/>
        <v>0</v>
      </c>
      <c r="Z308" s="155"/>
      <c r="AA308" s="349"/>
      <c r="AB308" s="155">
        <f t="shared" si="73"/>
        <v>530</v>
      </c>
      <c r="AC308" s="263">
        <f t="shared" si="74"/>
        <v>0</v>
      </c>
      <c r="AD308" s="48"/>
    </row>
    <row r="309" spans="1:30">
      <c r="A309" s="11"/>
      <c r="B309" s="81"/>
      <c r="C309" s="302"/>
      <c r="D309" s="323"/>
      <c r="E309" s="320"/>
      <c r="F309" s="275" t="s">
        <v>451</v>
      </c>
      <c r="G309" s="25" t="s">
        <v>600</v>
      </c>
      <c r="H309" s="91">
        <v>536</v>
      </c>
      <c r="I309" s="170" t="s">
        <v>809</v>
      </c>
      <c r="J309" s="25" t="s">
        <v>600</v>
      </c>
      <c r="K309" s="155">
        <v>536</v>
      </c>
      <c r="L309" s="104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105"/>
      <c r="Y309" s="349">
        <f t="shared" si="72"/>
        <v>0</v>
      </c>
      <c r="Z309" s="155"/>
      <c r="AA309" s="349"/>
      <c r="AB309" s="155">
        <f t="shared" si="73"/>
        <v>536</v>
      </c>
      <c r="AC309" s="263">
        <f t="shared" si="74"/>
        <v>0</v>
      </c>
      <c r="AD309" s="48"/>
    </row>
    <row r="310" spans="1:30" s="225" customFormat="1">
      <c r="A310" s="149"/>
      <c r="B310" s="337"/>
      <c r="C310" s="338"/>
      <c r="D310" s="173"/>
      <c r="E310" s="177"/>
      <c r="F310" s="275" t="s">
        <v>1063</v>
      </c>
      <c r="G310" s="25"/>
      <c r="H310" s="91"/>
      <c r="I310" s="170"/>
      <c r="J310" s="25"/>
      <c r="K310" s="155"/>
      <c r="L310" s="106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107"/>
      <c r="Y310" s="349"/>
      <c r="Z310" s="155"/>
      <c r="AA310" s="349"/>
      <c r="AB310" s="155"/>
      <c r="AC310" s="339"/>
      <c r="AD310" s="73"/>
    </row>
    <row r="311" spans="1:30" s="65" customFormat="1">
      <c r="A311" s="23"/>
      <c r="B311" s="82"/>
      <c r="C311" s="83" t="s">
        <v>170</v>
      </c>
      <c r="D311" s="84"/>
      <c r="E311" s="120"/>
      <c r="F311" s="304" t="s">
        <v>170</v>
      </c>
      <c r="G311" s="24"/>
      <c r="H311" s="93"/>
      <c r="I311" s="165"/>
      <c r="J311" s="24"/>
      <c r="K311" s="165"/>
      <c r="L311" s="110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111"/>
      <c r="Y311" s="351"/>
      <c r="Z311" s="165"/>
      <c r="AA311" s="351"/>
      <c r="AB311" s="165"/>
      <c r="AC311" s="165"/>
      <c r="AD311" s="309"/>
    </row>
    <row r="312" spans="1:30" s="225" customFormat="1">
      <c r="A312" s="149"/>
      <c r="B312" s="81"/>
      <c r="C312" s="302"/>
      <c r="D312" s="323"/>
      <c r="E312" s="320"/>
      <c r="F312" s="272" t="s">
        <v>810</v>
      </c>
      <c r="G312" s="25" t="s">
        <v>294</v>
      </c>
      <c r="H312" s="91">
        <v>2</v>
      </c>
      <c r="I312" s="170" t="s">
        <v>811</v>
      </c>
      <c r="J312" s="25" t="s">
        <v>294</v>
      </c>
      <c r="K312" s="155">
        <v>2</v>
      </c>
      <c r="L312" s="106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107"/>
      <c r="Y312" s="349">
        <f t="shared" si="62"/>
        <v>0</v>
      </c>
      <c r="Z312" s="155"/>
      <c r="AA312" s="349"/>
      <c r="AB312" s="155">
        <f t="shared" si="63"/>
        <v>2</v>
      </c>
      <c r="AC312" s="263">
        <f t="shared" ref="AC312:AC375" si="75">E312-Y312</f>
        <v>0</v>
      </c>
      <c r="AD312" s="73"/>
    </row>
    <row r="313" spans="1:30" s="225" customFormat="1">
      <c r="A313" s="149"/>
      <c r="B313" s="81"/>
      <c r="C313" s="302"/>
      <c r="D313" s="323"/>
      <c r="E313" s="320"/>
      <c r="F313" s="272" t="s">
        <v>812</v>
      </c>
      <c r="G313" s="25" t="s">
        <v>293</v>
      </c>
      <c r="H313" s="91">
        <v>0.85</v>
      </c>
      <c r="I313" s="170"/>
      <c r="J313" s="25" t="s">
        <v>293</v>
      </c>
      <c r="K313" s="155">
        <v>0.85</v>
      </c>
      <c r="L313" s="106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107"/>
      <c r="Y313" s="349">
        <f t="shared" si="62"/>
        <v>0</v>
      </c>
      <c r="Z313" s="155"/>
      <c r="AA313" s="349"/>
      <c r="AB313" s="155">
        <f t="shared" si="63"/>
        <v>0.85</v>
      </c>
      <c r="AC313" s="263">
        <f t="shared" si="75"/>
        <v>0</v>
      </c>
      <c r="AD313" s="73"/>
    </row>
    <row r="314" spans="1:30" s="225" customFormat="1">
      <c r="A314" s="149"/>
      <c r="B314" s="81"/>
      <c r="C314" s="302"/>
      <c r="D314" s="323"/>
      <c r="E314" s="320"/>
      <c r="F314" s="272" t="s">
        <v>813</v>
      </c>
      <c r="G314" s="25" t="s">
        <v>294</v>
      </c>
      <c r="H314" s="91">
        <v>4</v>
      </c>
      <c r="I314" s="170" t="s">
        <v>814</v>
      </c>
      <c r="J314" s="25" t="s">
        <v>294</v>
      </c>
      <c r="K314" s="155">
        <v>4</v>
      </c>
      <c r="L314" s="106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107"/>
      <c r="Y314" s="349">
        <f t="shared" si="62"/>
        <v>0</v>
      </c>
      <c r="Z314" s="155"/>
      <c r="AA314" s="349"/>
      <c r="AB314" s="155">
        <f t="shared" si="63"/>
        <v>4</v>
      </c>
      <c r="AC314" s="263">
        <f t="shared" si="75"/>
        <v>0</v>
      </c>
      <c r="AD314" s="73"/>
    </row>
    <row r="315" spans="1:30" s="225" customFormat="1">
      <c r="A315" s="149"/>
      <c r="B315" s="81"/>
      <c r="C315" s="302"/>
      <c r="D315" s="323"/>
      <c r="E315" s="320"/>
      <c r="F315" s="272" t="s">
        <v>115</v>
      </c>
      <c r="G315" s="25" t="s">
        <v>294</v>
      </c>
      <c r="H315" s="91">
        <v>1</v>
      </c>
      <c r="I315" s="170" t="s">
        <v>815</v>
      </c>
      <c r="J315" s="25" t="s">
        <v>294</v>
      </c>
      <c r="K315" s="155">
        <v>1</v>
      </c>
      <c r="L315" s="106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107"/>
      <c r="Y315" s="349">
        <f t="shared" si="62"/>
        <v>0</v>
      </c>
      <c r="Z315" s="155"/>
      <c r="AA315" s="349"/>
      <c r="AB315" s="155">
        <f t="shared" si="63"/>
        <v>1</v>
      </c>
      <c r="AC315" s="263">
        <f t="shared" si="75"/>
        <v>0</v>
      </c>
      <c r="AD315" s="73"/>
    </row>
    <row r="316" spans="1:30" s="225" customFormat="1">
      <c r="A316" s="149"/>
      <c r="B316" s="81"/>
      <c r="C316" s="302"/>
      <c r="D316" s="323"/>
      <c r="E316" s="320"/>
      <c r="F316" s="272" t="s">
        <v>816</v>
      </c>
      <c r="G316" s="25" t="s">
        <v>294</v>
      </c>
      <c r="H316" s="91">
        <v>4</v>
      </c>
      <c r="I316" s="170" t="s">
        <v>817</v>
      </c>
      <c r="J316" s="25" t="s">
        <v>294</v>
      </c>
      <c r="K316" s="155">
        <v>4</v>
      </c>
      <c r="L316" s="106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107"/>
      <c r="Y316" s="349">
        <f t="shared" si="62"/>
        <v>0</v>
      </c>
      <c r="Z316" s="155"/>
      <c r="AA316" s="349"/>
      <c r="AB316" s="155">
        <f t="shared" si="63"/>
        <v>4</v>
      </c>
      <c r="AC316" s="263">
        <f t="shared" si="75"/>
        <v>0</v>
      </c>
      <c r="AD316" s="73"/>
    </row>
    <row r="317" spans="1:30" s="225" customFormat="1" ht="30">
      <c r="A317" s="149"/>
      <c r="B317" s="81"/>
      <c r="C317" s="302"/>
      <c r="D317" s="323"/>
      <c r="E317" s="320"/>
      <c r="F317" s="272" t="s">
        <v>172</v>
      </c>
      <c r="G317" s="25" t="s">
        <v>294</v>
      </c>
      <c r="H317" s="91">
        <v>4</v>
      </c>
      <c r="I317" s="170" t="s">
        <v>818</v>
      </c>
      <c r="J317" s="25" t="s">
        <v>294</v>
      </c>
      <c r="K317" s="155">
        <v>4</v>
      </c>
      <c r="L317" s="106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107"/>
      <c r="Y317" s="349">
        <f t="shared" si="62"/>
        <v>0</v>
      </c>
      <c r="Z317" s="155"/>
      <c r="AA317" s="349"/>
      <c r="AB317" s="155">
        <f t="shared" si="63"/>
        <v>4</v>
      </c>
      <c r="AC317" s="263">
        <f t="shared" si="75"/>
        <v>0</v>
      </c>
      <c r="AD317" s="73"/>
    </row>
    <row r="318" spans="1:30" s="225" customFormat="1" ht="30">
      <c r="A318" s="149"/>
      <c r="B318" s="81"/>
      <c r="C318" s="302"/>
      <c r="D318" s="323"/>
      <c r="E318" s="320"/>
      <c r="F318" s="272" t="s">
        <v>819</v>
      </c>
      <c r="G318" s="25" t="s">
        <v>294</v>
      </c>
      <c r="H318" s="91">
        <v>4</v>
      </c>
      <c r="I318" s="170" t="s">
        <v>797</v>
      </c>
      <c r="J318" s="25" t="s">
        <v>294</v>
      </c>
      <c r="K318" s="155">
        <v>4</v>
      </c>
      <c r="L318" s="106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107"/>
      <c r="Y318" s="349">
        <f t="shared" si="62"/>
        <v>0</v>
      </c>
      <c r="Z318" s="155"/>
      <c r="AA318" s="349"/>
      <c r="AB318" s="155">
        <f t="shared" si="63"/>
        <v>4</v>
      </c>
      <c r="AC318" s="263">
        <f t="shared" si="75"/>
        <v>0</v>
      </c>
      <c r="AD318" s="73"/>
    </row>
    <row r="319" spans="1:30" s="225" customFormat="1" ht="60">
      <c r="A319" s="149"/>
      <c r="B319" s="81"/>
      <c r="C319" s="302"/>
      <c r="D319" s="323"/>
      <c r="E319" s="320"/>
      <c r="F319" s="272" t="s">
        <v>820</v>
      </c>
      <c r="G319" s="25" t="s">
        <v>294</v>
      </c>
      <c r="H319" s="91">
        <v>4</v>
      </c>
      <c r="I319" s="170" t="s">
        <v>821</v>
      </c>
      <c r="J319" s="25" t="s">
        <v>294</v>
      </c>
      <c r="K319" s="155">
        <v>4</v>
      </c>
      <c r="L319" s="106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107"/>
      <c r="Y319" s="349">
        <f t="shared" si="62"/>
        <v>0</v>
      </c>
      <c r="Z319" s="155"/>
      <c r="AA319" s="349"/>
      <c r="AB319" s="155">
        <f t="shared" si="63"/>
        <v>4</v>
      </c>
      <c r="AC319" s="263">
        <f t="shared" si="75"/>
        <v>0</v>
      </c>
      <c r="AD319" s="73"/>
    </row>
    <row r="320" spans="1:30" s="225" customFormat="1">
      <c r="A320" s="149"/>
      <c r="B320" s="81"/>
      <c r="C320" s="302"/>
      <c r="D320" s="323"/>
      <c r="E320" s="320"/>
      <c r="F320" s="272" t="s">
        <v>172</v>
      </c>
      <c r="G320" s="25" t="s">
        <v>294</v>
      </c>
      <c r="H320" s="91">
        <v>4</v>
      </c>
      <c r="I320" s="170" t="s">
        <v>822</v>
      </c>
      <c r="J320" s="25" t="s">
        <v>294</v>
      </c>
      <c r="K320" s="155">
        <v>4</v>
      </c>
      <c r="L320" s="106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107"/>
      <c r="Y320" s="349">
        <f t="shared" si="62"/>
        <v>0</v>
      </c>
      <c r="Z320" s="155"/>
      <c r="AA320" s="349"/>
      <c r="AB320" s="155">
        <f t="shared" si="63"/>
        <v>4</v>
      </c>
      <c r="AC320" s="263">
        <f t="shared" si="75"/>
        <v>0</v>
      </c>
      <c r="AD320" s="73"/>
    </row>
    <row r="321" spans="1:30" s="225" customFormat="1">
      <c r="A321" s="149"/>
      <c r="B321" s="81"/>
      <c r="C321" s="302"/>
      <c r="D321" s="323"/>
      <c r="E321" s="320"/>
      <c r="F321" s="272" t="s">
        <v>823</v>
      </c>
      <c r="G321" s="25" t="s">
        <v>294</v>
      </c>
      <c r="H321" s="91">
        <v>4</v>
      </c>
      <c r="I321" s="170" t="s">
        <v>824</v>
      </c>
      <c r="J321" s="25" t="s">
        <v>294</v>
      </c>
      <c r="K321" s="155">
        <v>4</v>
      </c>
      <c r="L321" s="106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107"/>
      <c r="Y321" s="349">
        <f t="shared" si="62"/>
        <v>0</v>
      </c>
      <c r="Z321" s="155"/>
      <c r="AA321" s="349"/>
      <c r="AB321" s="155">
        <f t="shared" si="63"/>
        <v>4</v>
      </c>
      <c r="AC321" s="263">
        <f t="shared" si="75"/>
        <v>0</v>
      </c>
      <c r="AD321" s="73"/>
    </row>
    <row r="322" spans="1:30" s="225" customFormat="1">
      <c r="A322" s="149"/>
      <c r="B322" s="81"/>
      <c r="C322" s="302"/>
      <c r="D322" s="323"/>
      <c r="E322" s="320"/>
      <c r="F322" s="272" t="s">
        <v>825</v>
      </c>
      <c r="G322" s="25" t="s">
        <v>294</v>
      </c>
      <c r="H322" s="91">
        <v>4</v>
      </c>
      <c r="I322" s="170" t="s">
        <v>826</v>
      </c>
      <c r="J322" s="25" t="s">
        <v>294</v>
      </c>
      <c r="K322" s="155">
        <v>4</v>
      </c>
      <c r="L322" s="106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107"/>
      <c r="Y322" s="349">
        <f t="shared" si="62"/>
        <v>0</v>
      </c>
      <c r="Z322" s="155"/>
      <c r="AA322" s="349"/>
      <c r="AB322" s="155">
        <f t="shared" si="63"/>
        <v>4</v>
      </c>
      <c r="AC322" s="263">
        <f t="shared" si="75"/>
        <v>0</v>
      </c>
      <c r="AD322" s="73"/>
    </row>
    <row r="323" spans="1:30" s="225" customFormat="1">
      <c r="A323" s="149"/>
      <c r="B323" s="81"/>
      <c r="C323" s="302"/>
      <c r="D323" s="323"/>
      <c r="E323" s="320"/>
      <c r="F323" s="272" t="s">
        <v>827</v>
      </c>
      <c r="G323" s="25" t="s">
        <v>294</v>
      </c>
      <c r="H323" s="91">
        <v>4</v>
      </c>
      <c r="I323" s="170" t="s">
        <v>828</v>
      </c>
      <c r="J323" s="25" t="s">
        <v>294</v>
      </c>
      <c r="K323" s="155">
        <v>4</v>
      </c>
      <c r="L323" s="106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107"/>
      <c r="Y323" s="349">
        <f t="shared" si="62"/>
        <v>0</v>
      </c>
      <c r="Z323" s="155"/>
      <c r="AA323" s="349"/>
      <c r="AB323" s="155">
        <f t="shared" si="63"/>
        <v>4</v>
      </c>
      <c r="AC323" s="263">
        <f t="shared" si="75"/>
        <v>0</v>
      </c>
      <c r="AD323" s="73"/>
    </row>
    <row r="324" spans="1:30" s="225" customFormat="1">
      <c r="A324" s="149"/>
      <c r="B324" s="81"/>
      <c r="C324" s="302"/>
      <c r="D324" s="323"/>
      <c r="E324" s="320"/>
      <c r="F324" s="272" t="s">
        <v>174</v>
      </c>
      <c r="G324" s="25" t="s">
        <v>294</v>
      </c>
      <c r="H324" s="91">
        <v>4</v>
      </c>
      <c r="I324" s="170" t="s">
        <v>829</v>
      </c>
      <c r="J324" s="25" t="s">
        <v>294</v>
      </c>
      <c r="K324" s="155">
        <v>4</v>
      </c>
      <c r="L324" s="106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107"/>
      <c r="Y324" s="349">
        <f t="shared" si="62"/>
        <v>0</v>
      </c>
      <c r="Z324" s="155"/>
      <c r="AA324" s="349"/>
      <c r="AB324" s="155">
        <f t="shared" si="63"/>
        <v>4</v>
      </c>
      <c r="AC324" s="263">
        <f t="shared" si="75"/>
        <v>0</v>
      </c>
      <c r="AD324" s="73"/>
    </row>
    <row r="325" spans="1:30" s="225" customFormat="1">
      <c r="A325" s="149"/>
      <c r="B325" s="81"/>
      <c r="C325" s="302"/>
      <c r="D325" s="323"/>
      <c r="E325" s="320"/>
      <c r="F325" s="272" t="s">
        <v>179</v>
      </c>
      <c r="G325" s="25" t="s">
        <v>294</v>
      </c>
      <c r="H325" s="91">
        <v>4</v>
      </c>
      <c r="I325" s="170" t="s">
        <v>830</v>
      </c>
      <c r="J325" s="25" t="s">
        <v>294</v>
      </c>
      <c r="K325" s="155">
        <v>4</v>
      </c>
      <c r="L325" s="106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107"/>
      <c r="Y325" s="349">
        <f t="shared" si="62"/>
        <v>0</v>
      </c>
      <c r="Z325" s="155"/>
      <c r="AA325" s="349"/>
      <c r="AB325" s="155">
        <f t="shared" si="63"/>
        <v>4</v>
      </c>
      <c r="AC325" s="263">
        <f t="shared" si="75"/>
        <v>0</v>
      </c>
      <c r="AD325" s="73"/>
    </row>
    <row r="326" spans="1:30" s="225" customFormat="1">
      <c r="A326" s="149"/>
      <c r="B326" s="81"/>
      <c r="C326" s="302"/>
      <c r="D326" s="323"/>
      <c r="E326" s="320"/>
      <c r="F326" s="272" t="s">
        <v>135</v>
      </c>
      <c r="G326" s="25" t="s">
        <v>294</v>
      </c>
      <c r="H326" s="91">
        <v>4</v>
      </c>
      <c r="I326" s="170" t="s">
        <v>831</v>
      </c>
      <c r="J326" s="25" t="s">
        <v>294</v>
      </c>
      <c r="K326" s="155">
        <v>4</v>
      </c>
      <c r="L326" s="106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107"/>
      <c r="Y326" s="349">
        <f t="shared" si="62"/>
        <v>0</v>
      </c>
      <c r="Z326" s="155"/>
      <c r="AA326" s="349"/>
      <c r="AB326" s="155">
        <f t="shared" si="63"/>
        <v>4</v>
      </c>
      <c r="AC326" s="263">
        <f t="shared" si="75"/>
        <v>0</v>
      </c>
      <c r="AD326" s="73"/>
    </row>
    <row r="327" spans="1:30" s="225" customFormat="1">
      <c r="A327" s="149"/>
      <c r="B327" s="81"/>
      <c r="C327" s="302"/>
      <c r="D327" s="323"/>
      <c r="E327" s="320"/>
      <c r="F327" s="272" t="s">
        <v>176</v>
      </c>
      <c r="G327" s="25" t="s">
        <v>294</v>
      </c>
      <c r="H327" s="91">
        <v>1</v>
      </c>
      <c r="I327" s="170" t="s">
        <v>832</v>
      </c>
      <c r="J327" s="25" t="s">
        <v>294</v>
      </c>
      <c r="K327" s="155">
        <v>1</v>
      </c>
      <c r="L327" s="106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107"/>
      <c r="Y327" s="349">
        <f t="shared" ref="Y327:Y447" si="76">SUM(L327:X327)</f>
        <v>0</v>
      </c>
      <c r="Z327" s="155"/>
      <c r="AA327" s="349"/>
      <c r="AB327" s="155">
        <f t="shared" ref="AB327:AB447" si="77">H327-Y327</f>
        <v>1</v>
      </c>
      <c r="AC327" s="263">
        <f t="shared" si="75"/>
        <v>0</v>
      </c>
      <c r="AD327" s="73"/>
    </row>
    <row r="328" spans="1:30" s="225" customFormat="1">
      <c r="A328" s="149"/>
      <c r="B328" s="81"/>
      <c r="C328" s="302"/>
      <c r="D328" s="323"/>
      <c r="E328" s="320"/>
      <c r="F328" s="272" t="s">
        <v>167</v>
      </c>
      <c r="G328" s="25" t="s">
        <v>294</v>
      </c>
      <c r="H328" s="91">
        <v>4</v>
      </c>
      <c r="I328" s="170" t="s">
        <v>601</v>
      </c>
      <c r="J328" s="25" t="s">
        <v>294</v>
      </c>
      <c r="K328" s="155">
        <v>4</v>
      </c>
      <c r="L328" s="106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107"/>
      <c r="Y328" s="349">
        <f t="shared" si="76"/>
        <v>0</v>
      </c>
      <c r="Z328" s="155"/>
      <c r="AA328" s="349"/>
      <c r="AB328" s="155">
        <f t="shared" si="77"/>
        <v>4</v>
      </c>
      <c r="AC328" s="263">
        <f t="shared" si="75"/>
        <v>0</v>
      </c>
      <c r="AD328" s="73"/>
    </row>
    <row r="329" spans="1:30" s="225" customFormat="1">
      <c r="A329" s="149"/>
      <c r="B329" s="81"/>
      <c r="C329" s="302"/>
      <c r="D329" s="323"/>
      <c r="E329" s="320"/>
      <c r="F329" s="272" t="s">
        <v>833</v>
      </c>
      <c r="G329" s="25" t="s">
        <v>294</v>
      </c>
      <c r="H329" s="91">
        <v>4</v>
      </c>
      <c r="I329" s="170" t="s">
        <v>787</v>
      </c>
      <c r="J329" s="25" t="s">
        <v>294</v>
      </c>
      <c r="K329" s="155">
        <v>4</v>
      </c>
      <c r="L329" s="106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107"/>
      <c r="Y329" s="349">
        <f t="shared" si="76"/>
        <v>0</v>
      </c>
      <c r="Z329" s="155"/>
      <c r="AA329" s="349"/>
      <c r="AB329" s="155">
        <f t="shared" si="77"/>
        <v>4</v>
      </c>
      <c r="AC329" s="263">
        <f t="shared" si="75"/>
        <v>0</v>
      </c>
      <c r="AD329" s="73"/>
    </row>
    <row r="330" spans="1:30" s="225" customFormat="1" ht="30">
      <c r="A330" s="149"/>
      <c r="B330" s="81"/>
      <c r="C330" s="302"/>
      <c r="D330" s="323"/>
      <c r="E330" s="320"/>
      <c r="F330" s="272" t="s">
        <v>177</v>
      </c>
      <c r="G330" s="25" t="s">
        <v>294</v>
      </c>
      <c r="H330" s="91">
        <v>4</v>
      </c>
      <c r="I330" s="170" t="s">
        <v>834</v>
      </c>
      <c r="J330" s="25" t="s">
        <v>294</v>
      </c>
      <c r="K330" s="155">
        <v>4</v>
      </c>
      <c r="L330" s="106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107"/>
      <c r="Y330" s="349">
        <f t="shared" si="76"/>
        <v>0</v>
      </c>
      <c r="Z330" s="155"/>
      <c r="AA330" s="349"/>
      <c r="AB330" s="155">
        <f t="shared" si="77"/>
        <v>4</v>
      </c>
      <c r="AC330" s="263">
        <f t="shared" si="75"/>
        <v>0</v>
      </c>
      <c r="AD330" s="73"/>
    </row>
    <row r="331" spans="1:30" s="225" customFormat="1">
      <c r="A331" s="149"/>
      <c r="B331" s="81"/>
      <c r="C331" s="302"/>
      <c r="D331" s="323"/>
      <c r="E331" s="320"/>
      <c r="F331" s="272"/>
      <c r="G331" s="25" t="s">
        <v>294</v>
      </c>
      <c r="H331" s="91">
        <v>4</v>
      </c>
      <c r="I331" s="170" t="s">
        <v>790</v>
      </c>
      <c r="J331" s="25" t="s">
        <v>294</v>
      </c>
      <c r="K331" s="155">
        <v>4</v>
      </c>
      <c r="L331" s="106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107"/>
      <c r="Y331" s="349">
        <f t="shared" si="76"/>
        <v>0</v>
      </c>
      <c r="Z331" s="155"/>
      <c r="AA331" s="349"/>
      <c r="AB331" s="155">
        <f t="shared" si="77"/>
        <v>4</v>
      </c>
      <c r="AC331" s="263">
        <f t="shared" si="75"/>
        <v>0</v>
      </c>
      <c r="AD331" s="73"/>
    </row>
    <row r="332" spans="1:30" s="225" customFormat="1">
      <c r="A332" s="149"/>
      <c r="B332" s="81"/>
      <c r="C332" s="302"/>
      <c r="D332" s="323"/>
      <c r="E332" s="320"/>
      <c r="F332" s="272" t="s">
        <v>169</v>
      </c>
      <c r="G332" s="25" t="s">
        <v>294</v>
      </c>
      <c r="H332" s="91">
        <v>1</v>
      </c>
      <c r="I332" s="170" t="s">
        <v>835</v>
      </c>
      <c r="J332" s="25" t="s">
        <v>294</v>
      </c>
      <c r="K332" s="155">
        <v>1</v>
      </c>
      <c r="L332" s="106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107"/>
      <c r="Y332" s="349">
        <f t="shared" si="76"/>
        <v>0</v>
      </c>
      <c r="Z332" s="155"/>
      <c r="AA332" s="349"/>
      <c r="AB332" s="155">
        <f t="shared" si="77"/>
        <v>1</v>
      </c>
      <c r="AC332" s="263">
        <f t="shared" si="75"/>
        <v>0</v>
      </c>
      <c r="AD332" s="73"/>
    </row>
    <row r="333" spans="1:30" s="225" customFormat="1" ht="30">
      <c r="A333" s="149"/>
      <c r="B333" s="81"/>
      <c r="C333" s="302"/>
      <c r="D333" s="323"/>
      <c r="E333" s="320"/>
      <c r="F333" s="272" t="s">
        <v>836</v>
      </c>
      <c r="G333" s="25" t="s">
        <v>294</v>
      </c>
      <c r="H333" s="91">
        <v>1</v>
      </c>
      <c r="I333" s="170" t="s">
        <v>837</v>
      </c>
      <c r="J333" s="25" t="s">
        <v>294</v>
      </c>
      <c r="K333" s="155">
        <v>1</v>
      </c>
      <c r="L333" s="106"/>
      <c r="M333" s="25"/>
      <c r="N333" s="25"/>
      <c r="O333" s="25"/>
      <c r="P333" s="25">
        <v>8</v>
      </c>
      <c r="Q333" s="25"/>
      <c r="R333" s="25"/>
      <c r="S333" s="25"/>
      <c r="T333" s="25"/>
      <c r="U333" s="25"/>
      <c r="V333" s="25"/>
      <c r="W333" s="25"/>
      <c r="X333" s="107"/>
      <c r="Y333" s="349">
        <f t="shared" si="76"/>
        <v>8</v>
      </c>
      <c r="Z333" s="155"/>
      <c r="AA333" s="349"/>
      <c r="AB333" s="155">
        <f t="shared" si="77"/>
        <v>-7</v>
      </c>
      <c r="AC333" s="263">
        <f t="shared" si="75"/>
        <v>-8</v>
      </c>
      <c r="AD333" s="73"/>
    </row>
    <row r="334" spans="1:30" s="225" customFormat="1">
      <c r="A334" s="149"/>
      <c r="B334" s="81"/>
      <c r="C334" s="302"/>
      <c r="D334" s="323"/>
      <c r="E334" s="320"/>
      <c r="F334" s="272" t="s">
        <v>838</v>
      </c>
      <c r="G334" s="25" t="s">
        <v>294</v>
      </c>
      <c r="H334" s="91">
        <v>1</v>
      </c>
      <c r="I334" s="170" t="s">
        <v>839</v>
      </c>
      <c r="J334" s="25" t="s">
        <v>294</v>
      </c>
      <c r="K334" s="155">
        <v>1</v>
      </c>
      <c r="L334" s="106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107"/>
      <c r="Y334" s="349">
        <f t="shared" si="76"/>
        <v>0</v>
      </c>
      <c r="Z334" s="155"/>
      <c r="AA334" s="349"/>
      <c r="AB334" s="155">
        <f t="shared" si="77"/>
        <v>1</v>
      </c>
      <c r="AC334" s="263">
        <f t="shared" si="75"/>
        <v>0</v>
      </c>
      <c r="AD334" s="73"/>
    </row>
    <row r="335" spans="1:30" s="225" customFormat="1">
      <c r="A335" s="149"/>
      <c r="B335" s="81"/>
      <c r="C335" s="302"/>
      <c r="D335" s="323"/>
      <c r="E335" s="320"/>
      <c r="F335" s="272" t="s">
        <v>840</v>
      </c>
      <c r="G335" s="25" t="s">
        <v>294</v>
      </c>
      <c r="H335" s="91">
        <v>8</v>
      </c>
      <c r="I335" s="170" t="s">
        <v>841</v>
      </c>
      <c r="J335" s="25" t="s">
        <v>294</v>
      </c>
      <c r="K335" s="155">
        <v>8</v>
      </c>
      <c r="L335" s="106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107"/>
      <c r="Y335" s="349">
        <f t="shared" si="76"/>
        <v>0</v>
      </c>
      <c r="Z335" s="155"/>
      <c r="AA335" s="349"/>
      <c r="AB335" s="155">
        <f t="shared" si="77"/>
        <v>8</v>
      </c>
      <c r="AC335" s="263">
        <f t="shared" si="75"/>
        <v>0</v>
      </c>
      <c r="AD335" s="73"/>
    </row>
    <row r="336" spans="1:30" s="225" customFormat="1">
      <c r="A336" s="149"/>
      <c r="B336" s="81"/>
      <c r="C336" s="302"/>
      <c r="D336" s="323"/>
      <c r="E336" s="320"/>
      <c r="F336" s="272" t="s">
        <v>840</v>
      </c>
      <c r="G336" s="25" t="s">
        <v>294</v>
      </c>
      <c r="H336" s="91">
        <v>4</v>
      </c>
      <c r="I336" s="170" t="s">
        <v>842</v>
      </c>
      <c r="J336" s="25" t="s">
        <v>294</v>
      </c>
      <c r="K336" s="155">
        <v>4</v>
      </c>
      <c r="L336" s="106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107"/>
      <c r="Y336" s="349">
        <f t="shared" si="76"/>
        <v>0</v>
      </c>
      <c r="Z336" s="155"/>
      <c r="AA336" s="349"/>
      <c r="AB336" s="155">
        <f t="shared" si="77"/>
        <v>4</v>
      </c>
      <c r="AC336" s="263">
        <f t="shared" si="75"/>
        <v>0</v>
      </c>
      <c r="AD336" s="73"/>
    </row>
    <row r="337" spans="1:30" s="225" customFormat="1" ht="45">
      <c r="A337" s="149"/>
      <c r="B337" s="81"/>
      <c r="C337" s="302"/>
      <c r="D337" s="323"/>
      <c r="E337" s="320"/>
      <c r="F337" s="272" t="s">
        <v>181</v>
      </c>
      <c r="G337" s="25" t="s">
        <v>600</v>
      </c>
      <c r="H337" s="91">
        <v>2750</v>
      </c>
      <c r="I337" s="170" t="s">
        <v>613</v>
      </c>
      <c r="J337" s="25" t="s">
        <v>600</v>
      </c>
      <c r="K337" s="155">
        <v>2750</v>
      </c>
      <c r="L337" s="106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107"/>
      <c r="Y337" s="349">
        <f t="shared" si="76"/>
        <v>0</v>
      </c>
      <c r="Z337" s="155"/>
      <c r="AA337" s="349"/>
      <c r="AB337" s="155">
        <f t="shared" si="77"/>
        <v>2750</v>
      </c>
      <c r="AC337" s="263">
        <f t="shared" si="75"/>
        <v>0</v>
      </c>
      <c r="AD337" s="73"/>
    </row>
    <row r="338" spans="1:30" s="225" customFormat="1" ht="45">
      <c r="A338" s="149"/>
      <c r="B338" s="81"/>
      <c r="C338" s="302"/>
      <c r="D338" s="323"/>
      <c r="E338" s="320"/>
      <c r="F338" s="272" t="s">
        <v>843</v>
      </c>
      <c r="G338" s="25" t="s">
        <v>600</v>
      </c>
      <c r="H338" s="91">
        <v>800</v>
      </c>
      <c r="I338" s="170" t="s">
        <v>844</v>
      </c>
      <c r="J338" s="25" t="s">
        <v>600</v>
      </c>
      <c r="K338" s="155">
        <v>800</v>
      </c>
      <c r="L338" s="106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107"/>
      <c r="Y338" s="349">
        <f t="shared" si="76"/>
        <v>0</v>
      </c>
      <c r="Z338" s="155"/>
      <c r="AA338" s="349"/>
      <c r="AB338" s="155">
        <f t="shared" si="77"/>
        <v>800</v>
      </c>
      <c r="AC338" s="263">
        <f t="shared" si="75"/>
        <v>0</v>
      </c>
      <c r="AD338" s="73"/>
    </row>
    <row r="339" spans="1:30" s="225" customFormat="1">
      <c r="A339" s="149"/>
      <c r="B339" s="81"/>
      <c r="C339" s="302"/>
      <c r="D339" s="323"/>
      <c r="E339" s="320"/>
      <c r="F339" s="272" t="s">
        <v>803</v>
      </c>
      <c r="G339" s="25" t="s">
        <v>294</v>
      </c>
      <c r="H339" s="91">
        <v>2</v>
      </c>
      <c r="I339" s="170" t="s">
        <v>804</v>
      </c>
      <c r="J339" s="25" t="s">
        <v>294</v>
      </c>
      <c r="K339" s="155">
        <v>2</v>
      </c>
      <c r="L339" s="106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107"/>
      <c r="Y339" s="349">
        <f t="shared" si="76"/>
        <v>0</v>
      </c>
      <c r="Z339" s="155"/>
      <c r="AA339" s="349"/>
      <c r="AB339" s="155">
        <f t="shared" si="77"/>
        <v>2</v>
      </c>
      <c r="AC339" s="263">
        <f t="shared" si="75"/>
        <v>0</v>
      </c>
      <c r="AD339" s="73"/>
    </row>
    <row r="340" spans="1:30" s="225" customFormat="1">
      <c r="A340" s="149"/>
      <c r="B340" s="81"/>
      <c r="C340" s="302"/>
      <c r="D340" s="323"/>
      <c r="E340" s="320"/>
      <c r="F340" s="272"/>
      <c r="G340" s="25"/>
      <c r="H340" s="91"/>
      <c r="I340" s="170" t="s">
        <v>1084</v>
      </c>
      <c r="J340" s="25" t="s">
        <v>294</v>
      </c>
      <c r="K340" s="155">
        <v>2</v>
      </c>
      <c r="L340" s="106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107"/>
      <c r="Y340" s="349">
        <f t="shared" si="76"/>
        <v>0</v>
      </c>
      <c r="Z340" s="155"/>
      <c r="AA340" s="349"/>
      <c r="AB340" s="155">
        <f t="shared" si="77"/>
        <v>0</v>
      </c>
      <c r="AC340" s="263">
        <f t="shared" si="75"/>
        <v>0</v>
      </c>
      <c r="AD340" s="73"/>
    </row>
    <row r="341" spans="1:30" s="225" customFormat="1">
      <c r="A341" s="149"/>
      <c r="B341" s="81"/>
      <c r="C341" s="302"/>
      <c r="D341" s="323"/>
      <c r="E341" s="320"/>
      <c r="F341" s="272"/>
      <c r="G341" s="25"/>
      <c r="H341" s="91"/>
      <c r="I341" s="170" t="s">
        <v>1085</v>
      </c>
      <c r="J341" s="25" t="s">
        <v>294</v>
      </c>
      <c r="K341" s="155">
        <v>2</v>
      </c>
      <c r="L341" s="106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107"/>
      <c r="Y341" s="349">
        <f t="shared" si="76"/>
        <v>0</v>
      </c>
      <c r="Z341" s="155"/>
      <c r="AA341" s="349"/>
      <c r="AB341" s="155">
        <f t="shared" si="77"/>
        <v>0</v>
      </c>
      <c r="AC341" s="263">
        <f t="shared" si="75"/>
        <v>0</v>
      </c>
      <c r="AD341" s="73"/>
    </row>
    <row r="342" spans="1:30" s="225" customFormat="1">
      <c r="A342" s="149"/>
      <c r="B342" s="81"/>
      <c r="C342" s="302"/>
      <c r="D342" s="323"/>
      <c r="E342" s="320"/>
      <c r="F342" s="272"/>
      <c r="G342" s="25"/>
      <c r="H342" s="91"/>
      <c r="I342" s="170" t="s">
        <v>805</v>
      </c>
      <c r="J342" s="25" t="s">
        <v>294</v>
      </c>
      <c r="K342" s="155">
        <v>2</v>
      </c>
      <c r="L342" s="106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107"/>
      <c r="Y342" s="349">
        <f t="shared" si="76"/>
        <v>0</v>
      </c>
      <c r="Z342" s="155"/>
      <c r="AA342" s="349"/>
      <c r="AB342" s="155">
        <f t="shared" si="77"/>
        <v>0</v>
      </c>
      <c r="AC342" s="263">
        <f t="shared" si="75"/>
        <v>0</v>
      </c>
      <c r="AD342" s="73"/>
    </row>
    <row r="343" spans="1:30" s="225" customFormat="1">
      <c r="A343" s="149"/>
      <c r="B343" s="81"/>
      <c r="C343" s="302"/>
      <c r="D343" s="323"/>
      <c r="E343" s="320"/>
      <c r="F343" s="272"/>
      <c r="G343" s="25"/>
      <c r="H343" s="91"/>
      <c r="I343" s="170" t="s">
        <v>806</v>
      </c>
      <c r="J343" s="25" t="s">
        <v>294</v>
      </c>
      <c r="K343" s="155">
        <v>8</v>
      </c>
      <c r="L343" s="106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107"/>
      <c r="Y343" s="349">
        <f t="shared" si="76"/>
        <v>0</v>
      </c>
      <c r="Z343" s="155"/>
      <c r="AA343" s="349"/>
      <c r="AB343" s="155">
        <f t="shared" si="77"/>
        <v>0</v>
      </c>
      <c r="AC343" s="263">
        <f t="shared" si="75"/>
        <v>0</v>
      </c>
      <c r="AD343" s="73"/>
    </row>
    <row r="344" spans="1:30" s="225" customFormat="1" ht="30">
      <c r="A344" s="149"/>
      <c r="B344" s="81"/>
      <c r="C344" s="302"/>
      <c r="D344" s="323"/>
      <c r="E344" s="320"/>
      <c r="F344" s="272"/>
      <c r="G344" s="25"/>
      <c r="H344" s="91"/>
      <c r="I344" s="170" t="s">
        <v>807</v>
      </c>
      <c r="J344" s="25" t="s">
        <v>294</v>
      </c>
      <c r="K344" s="155">
        <v>2</v>
      </c>
      <c r="L344" s="106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107"/>
      <c r="Y344" s="349">
        <f t="shared" ref="Y344:Y347" si="78">SUM(L344:X344)</f>
        <v>0</v>
      </c>
      <c r="Z344" s="155"/>
      <c r="AA344" s="349"/>
      <c r="AB344" s="155">
        <f t="shared" ref="AB344:AB347" si="79">H344-Y344</f>
        <v>0</v>
      </c>
      <c r="AC344" s="263">
        <f t="shared" si="75"/>
        <v>0</v>
      </c>
      <c r="AD344" s="73"/>
    </row>
    <row r="345" spans="1:30" s="225" customFormat="1">
      <c r="A345" s="149"/>
      <c r="B345" s="81"/>
      <c r="C345" s="302"/>
      <c r="D345" s="323"/>
      <c r="E345" s="320"/>
      <c r="F345" s="272" t="s">
        <v>159</v>
      </c>
      <c r="G345" s="25" t="s">
        <v>600</v>
      </c>
      <c r="H345" s="91">
        <v>8</v>
      </c>
      <c r="I345" s="170" t="s">
        <v>808</v>
      </c>
      <c r="J345" s="25" t="s">
        <v>600</v>
      </c>
      <c r="K345" s="155">
        <v>8</v>
      </c>
      <c r="L345" s="106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107"/>
      <c r="Y345" s="349">
        <f t="shared" si="78"/>
        <v>0</v>
      </c>
      <c r="Z345" s="155"/>
      <c r="AA345" s="349"/>
      <c r="AB345" s="155">
        <f t="shared" si="79"/>
        <v>8</v>
      </c>
      <c r="AC345" s="263">
        <f t="shared" si="75"/>
        <v>0</v>
      </c>
      <c r="AD345" s="73"/>
    </row>
    <row r="346" spans="1:30" s="225" customFormat="1">
      <c r="A346" s="149"/>
      <c r="B346" s="81"/>
      <c r="C346" s="302"/>
      <c r="D346" s="323"/>
      <c r="E346" s="320"/>
      <c r="F346" s="272" t="s">
        <v>451</v>
      </c>
      <c r="G346" s="25" t="s">
        <v>600</v>
      </c>
      <c r="H346" s="91">
        <v>123</v>
      </c>
      <c r="I346" s="170" t="s">
        <v>809</v>
      </c>
      <c r="J346" s="25" t="s">
        <v>600</v>
      </c>
      <c r="K346" s="155">
        <v>123</v>
      </c>
      <c r="L346" s="106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107"/>
      <c r="Y346" s="349">
        <f t="shared" si="78"/>
        <v>0</v>
      </c>
      <c r="Z346" s="155"/>
      <c r="AA346" s="349"/>
      <c r="AB346" s="155">
        <f t="shared" si="79"/>
        <v>123</v>
      </c>
      <c r="AC346" s="263">
        <f t="shared" si="75"/>
        <v>0</v>
      </c>
      <c r="AD346" s="73"/>
    </row>
    <row r="347" spans="1:30" s="225" customFormat="1">
      <c r="A347" s="149"/>
      <c r="B347" s="81"/>
      <c r="C347" s="302"/>
      <c r="D347" s="323"/>
      <c r="E347" s="320"/>
      <c r="F347" s="272" t="s">
        <v>845</v>
      </c>
      <c r="G347" s="25" t="s">
        <v>600</v>
      </c>
      <c r="H347" s="91">
        <v>159</v>
      </c>
      <c r="I347" s="170" t="s">
        <v>846</v>
      </c>
      <c r="J347" s="25" t="s">
        <v>600</v>
      </c>
      <c r="K347" s="155">
        <v>159</v>
      </c>
      <c r="L347" s="106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107"/>
      <c r="Y347" s="349">
        <f t="shared" si="78"/>
        <v>0</v>
      </c>
      <c r="Z347" s="155"/>
      <c r="AA347" s="349"/>
      <c r="AB347" s="155">
        <f t="shared" si="79"/>
        <v>159</v>
      </c>
      <c r="AC347" s="263">
        <f t="shared" si="75"/>
        <v>0</v>
      </c>
      <c r="AD347" s="73"/>
    </row>
    <row r="348" spans="1:30" s="227" customFormat="1">
      <c r="A348" s="226"/>
      <c r="B348" s="81" t="s">
        <v>147</v>
      </c>
      <c r="C348" s="302" t="s">
        <v>148</v>
      </c>
      <c r="D348" s="323" t="s">
        <v>294</v>
      </c>
      <c r="E348" s="320">
        <v>1</v>
      </c>
      <c r="F348" s="301"/>
      <c r="G348" s="15"/>
      <c r="H348" s="94"/>
      <c r="I348" s="224"/>
      <c r="J348" s="15"/>
      <c r="K348" s="166"/>
      <c r="L348" s="117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18"/>
      <c r="Y348" s="349">
        <f t="shared" ref="Y348:Y379" si="80">SUM(L348:X348)</f>
        <v>0</v>
      </c>
      <c r="Z348" s="155"/>
      <c r="AA348" s="349"/>
      <c r="AB348" s="155">
        <f t="shared" ref="AB348:AB379" si="81">H348-Y348</f>
        <v>0</v>
      </c>
      <c r="AC348" s="263">
        <f t="shared" si="75"/>
        <v>1</v>
      </c>
      <c r="AD348" s="311"/>
    </row>
    <row r="349" spans="1:30" s="227" customFormat="1">
      <c r="A349" s="226"/>
      <c r="B349" s="81" t="s">
        <v>147</v>
      </c>
      <c r="C349" s="302" t="s">
        <v>148</v>
      </c>
      <c r="D349" s="323" t="s">
        <v>294</v>
      </c>
      <c r="E349" s="320">
        <v>1</v>
      </c>
      <c r="F349" s="301"/>
      <c r="G349" s="15"/>
      <c r="H349" s="94"/>
      <c r="I349" s="224"/>
      <c r="J349" s="15"/>
      <c r="K349" s="166"/>
      <c r="L349" s="117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18"/>
      <c r="Y349" s="349">
        <f t="shared" si="80"/>
        <v>0</v>
      </c>
      <c r="Z349" s="155"/>
      <c r="AA349" s="349"/>
      <c r="AB349" s="155">
        <f t="shared" si="81"/>
        <v>0</v>
      </c>
      <c r="AC349" s="263">
        <f t="shared" si="75"/>
        <v>1</v>
      </c>
      <c r="AD349" s="311"/>
    </row>
    <row r="350" spans="1:30" s="227" customFormat="1">
      <c r="A350" s="226"/>
      <c r="B350" s="81" t="s">
        <v>114</v>
      </c>
      <c r="C350" s="302" t="s">
        <v>115</v>
      </c>
      <c r="D350" s="323" t="s">
        <v>294</v>
      </c>
      <c r="E350" s="320">
        <v>2</v>
      </c>
      <c r="F350" s="301"/>
      <c r="G350" s="15"/>
      <c r="H350" s="94"/>
      <c r="I350" s="224"/>
      <c r="J350" s="15"/>
      <c r="K350" s="166"/>
      <c r="L350" s="117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18"/>
      <c r="Y350" s="349">
        <f t="shared" si="80"/>
        <v>0</v>
      </c>
      <c r="Z350" s="155"/>
      <c r="AA350" s="349"/>
      <c r="AB350" s="155">
        <f t="shared" si="81"/>
        <v>0</v>
      </c>
      <c r="AC350" s="263">
        <f t="shared" si="75"/>
        <v>2</v>
      </c>
      <c r="AD350" s="311"/>
    </row>
    <row r="351" spans="1:30" s="227" customFormat="1">
      <c r="A351" s="226"/>
      <c r="B351" s="81" t="s">
        <v>1006</v>
      </c>
      <c r="C351" s="302" t="s">
        <v>1007</v>
      </c>
      <c r="D351" s="323" t="s">
        <v>294</v>
      </c>
      <c r="E351" s="320">
        <v>4</v>
      </c>
      <c r="F351" s="301"/>
      <c r="G351" s="15"/>
      <c r="H351" s="94"/>
      <c r="I351" s="224"/>
      <c r="J351" s="15"/>
      <c r="K351" s="166"/>
      <c r="L351" s="117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18"/>
      <c r="Y351" s="349">
        <f t="shared" si="80"/>
        <v>0</v>
      </c>
      <c r="Z351" s="155"/>
      <c r="AA351" s="349"/>
      <c r="AB351" s="155">
        <f t="shared" si="81"/>
        <v>0</v>
      </c>
      <c r="AC351" s="263">
        <f t="shared" si="75"/>
        <v>4</v>
      </c>
      <c r="AD351" s="311"/>
    </row>
    <row r="352" spans="1:30" s="227" customFormat="1">
      <c r="A352" s="226"/>
      <c r="B352" s="81" t="s">
        <v>171</v>
      </c>
      <c r="C352" s="302" t="s">
        <v>172</v>
      </c>
      <c r="D352" s="323" t="s">
        <v>294</v>
      </c>
      <c r="E352" s="320">
        <v>4</v>
      </c>
      <c r="F352" s="301"/>
      <c r="G352" s="15"/>
      <c r="H352" s="94"/>
      <c r="I352" s="224"/>
      <c r="J352" s="15"/>
      <c r="K352" s="166"/>
      <c r="L352" s="117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18"/>
      <c r="Y352" s="349">
        <f t="shared" si="80"/>
        <v>0</v>
      </c>
      <c r="Z352" s="155"/>
      <c r="AA352" s="349"/>
      <c r="AB352" s="155">
        <f t="shared" si="81"/>
        <v>0</v>
      </c>
      <c r="AC352" s="263">
        <f t="shared" si="75"/>
        <v>4</v>
      </c>
      <c r="AD352" s="311"/>
    </row>
    <row r="353" spans="1:30" s="227" customFormat="1" ht="30">
      <c r="A353" s="226"/>
      <c r="B353" s="81" t="s">
        <v>1008</v>
      </c>
      <c r="C353" s="302" t="s">
        <v>1009</v>
      </c>
      <c r="D353" s="323" t="s">
        <v>294</v>
      </c>
      <c r="E353" s="320">
        <v>4</v>
      </c>
      <c r="F353" s="301"/>
      <c r="G353" s="15"/>
      <c r="H353" s="94"/>
      <c r="I353" s="224"/>
      <c r="J353" s="15"/>
      <c r="K353" s="166"/>
      <c r="L353" s="117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18"/>
      <c r="Y353" s="349">
        <f t="shared" si="80"/>
        <v>0</v>
      </c>
      <c r="Z353" s="155"/>
      <c r="AA353" s="349"/>
      <c r="AB353" s="155">
        <f t="shared" si="81"/>
        <v>0</v>
      </c>
      <c r="AC353" s="263">
        <f t="shared" si="75"/>
        <v>4</v>
      </c>
      <c r="AD353" s="311"/>
    </row>
    <row r="354" spans="1:30" s="227" customFormat="1" ht="30">
      <c r="A354" s="226"/>
      <c r="B354" s="81" t="s">
        <v>173</v>
      </c>
      <c r="C354" s="302" t="s">
        <v>1010</v>
      </c>
      <c r="D354" s="323" t="s">
        <v>291</v>
      </c>
      <c r="E354" s="320">
        <v>41</v>
      </c>
      <c r="F354" s="301"/>
      <c r="G354" s="15"/>
      <c r="H354" s="94"/>
      <c r="I354" s="224"/>
      <c r="J354" s="15"/>
      <c r="K354" s="166"/>
      <c r="L354" s="117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18"/>
      <c r="Y354" s="349">
        <f t="shared" si="80"/>
        <v>0</v>
      </c>
      <c r="Z354" s="155"/>
      <c r="AA354" s="349"/>
      <c r="AB354" s="155">
        <f t="shared" si="81"/>
        <v>0</v>
      </c>
      <c r="AC354" s="263">
        <f t="shared" si="75"/>
        <v>41</v>
      </c>
      <c r="AD354" s="311"/>
    </row>
    <row r="355" spans="1:30" s="227" customFormat="1">
      <c r="A355" s="226"/>
      <c r="B355" s="81" t="s">
        <v>1011</v>
      </c>
      <c r="C355" s="302" t="s">
        <v>174</v>
      </c>
      <c r="D355" s="323" t="s">
        <v>294</v>
      </c>
      <c r="E355" s="320">
        <v>4</v>
      </c>
      <c r="F355" s="301"/>
      <c r="G355" s="15"/>
      <c r="H355" s="94"/>
      <c r="I355" s="224"/>
      <c r="J355" s="15"/>
      <c r="K355" s="166"/>
      <c r="L355" s="117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18"/>
      <c r="Y355" s="349">
        <f t="shared" si="80"/>
        <v>0</v>
      </c>
      <c r="Z355" s="155"/>
      <c r="AA355" s="349"/>
      <c r="AB355" s="155">
        <f t="shared" si="81"/>
        <v>0</v>
      </c>
      <c r="AC355" s="263">
        <f t="shared" si="75"/>
        <v>4</v>
      </c>
      <c r="AD355" s="311"/>
    </row>
    <row r="356" spans="1:30" s="227" customFormat="1">
      <c r="A356" s="226"/>
      <c r="B356" s="81" t="s">
        <v>1012</v>
      </c>
      <c r="C356" s="302" t="s">
        <v>1013</v>
      </c>
      <c r="D356" s="323" t="s">
        <v>294</v>
      </c>
      <c r="E356" s="320">
        <v>4</v>
      </c>
      <c r="F356" s="301"/>
      <c r="G356" s="15"/>
      <c r="H356" s="94"/>
      <c r="I356" s="224"/>
      <c r="J356" s="15"/>
      <c r="K356" s="166"/>
      <c r="L356" s="117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18"/>
      <c r="Y356" s="349">
        <f t="shared" si="80"/>
        <v>0</v>
      </c>
      <c r="Z356" s="155"/>
      <c r="AA356" s="349"/>
      <c r="AB356" s="155">
        <f t="shared" si="81"/>
        <v>0</v>
      </c>
      <c r="AC356" s="263">
        <f t="shared" si="75"/>
        <v>4</v>
      </c>
      <c r="AD356" s="311"/>
    </row>
    <row r="357" spans="1:30" s="227" customFormat="1">
      <c r="A357" s="226"/>
      <c r="B357" s="81" t="s">
        <v>134</v>
      </c>
      <c r="C357" s="302" t="s">
        <v>135</v>
      </c>
      <c r="D357" s="323" t="s">
        <v>294</v>
      </c>
      <c r="E357" s="320">
        <v>4</v>
      </c>
      <c r="F357" s="301"/>
      <c r="G357" s="15"/>
      <c r="H357" s="94"/>
      <c r="I357" s="224"/>
      <c r="J357" s="15"/>
      <c r="K357" s="166"/>
      <c r="L357" s="117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18"/>
      <c r="Y357" s="349">
        <f t="shared" si="80"/>
        <v>0</v>
      </c>
      <c r="Z357" s="155"/>
      <c r="AA357" s="349"/>
      <c r="AB357" s="155">
        <f t="shared" si="81"/>
        <v>0</v>
      </c>
      <c r="AC357" s="263">
        <f t="shared" si="75"/>
        <v>4</v>
      </c>
      <c r="AD357" s="311"/>
    </row>
    <row r="358" spans="1:30" s="227" customFormat="1">
      <c r="A358" s="226"/>
      <c r="B358" s="81" t="s">
        <v>175</v>
      </c>
      <c r="C358" s="302" t="s">
        <v>176</v>
      </c>
      <c r="D358" s="323" t="s">
        <v>294</v>
      </c>
      <c r="E358" s="320">
        <v>4</v>
      </c>
      <c r="F358" s="301"/>
      <c r="G358" s="15"/>
      <c r="H358" s="94"/>
      <c r="I358" s="224"/>
      <c r="J358" s="15"/>
      <c r="K358" s="166"/>
      <c r="L358" s="117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18"/>
      <c r="Y358" s="349">
        <f t="shared" si="80"/>
        <v>0</v>
      </c>
      <c r="Z358" s="155"/>
      <c r="AA358" s="349"/>
      <c r="AB358" s="155">
        <f t="shared" si="81"/>
        <v>0</v>
      </c>
      <c r="AC358" s="263">
        <f t="shared" si="75"/>
        <v>4</v>
      </c>
      <c r="AD358" s="311"/>
    </row>
    <row r="359" spans="1:30" s="227" customFormat="1">
      <c r="A359" s="226"/>
      <c r="B359" s="81" t="s">
        <v>166</v>
      </c>
      <c r="C359" s="302" t="s">
        <v>167</v>
      </c>
      <c r="D359" s="323" t="s">
        <v>294</v>
      </c>
      <c r="E359" s="320">
        <v>4</v>
      </c>
      <c r="F359" s="301"/>
      <c r="G359" s="15"/>
      <c r="H359" s="94"/>
      <c r="I359" s="224"/>
      <c r="J359" s="15"/>
      <c r="K359" s="166"/>
      <c r="L359" s="117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18"/>
      <c r="Y359" s="349">
        <f t="shared" si="80"/>
        <v>0</v>
      </c>
      <c r="Z359" s="155"/>
      <c r="AA359" s="349"/>
      <c r="AB359" s="155">
        <f t="shared" si="81"/>
        <v>0</v>
      </c>
      <c r="AC359" s="263">
        <f t="shared" si="75"/>
        <v>4</v>
      </c>
      <c r="AD359" s="311"/>
    </row>
    <row r="360" spans="1:30" s="227" customFormat="1" ht="30">
      <c r="A360" s="226"/>
      <c r="B360" s="81" t="s">
        <v>1014</v>
      </c>
      <c r="C360" s="302" t="s">
        <v>177</v>
      </c>
      <c r="D360" s="323" t="s">
        <v>294</v>
      </c>
      <c r="E360" s="320">
        <v>4</v>
      </c>
      <c r="F360" s="301"/>
      <c r="G360" s="15"/>
      <c r="H360" s="94"/>
      <c r="I360" s="224"/>
      <c r="J360" s="15"/>
      <c r="K360" s="166"/>
      <c r="L360" s="117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18"/>
      <c r="Y360" s="349">
        <f t="shared" si="80"/>
        <v>0</v>
      </c>
      <c r="Z360" s="155"/>
      <c r="AA360" s="349"/>
      <c r="AB360" s="155">
        <f t="shared" si="81"/>
        <v>0</v>
      </c>
      <c r="AC360" s="263">
        <f t="shared" si="75"/>
        <v>4</v>
      </c>
      <c r="AD360" s="311"/>
    </row>
    <row r="361" spans="1:30" s="227" customFormat="1">
      <c r="A361" s="226"/>
      <c r="B361" s="81" t="s">
        <v>168</v>
      </c>
      <c r="C361" s="302" t="s">
        <v>169</v>
      </c>
      <c r="D361" s="323" t="s">
        <v>294</v>
      </c>
      <c r="E361" s="320">
        <v>4</v>
      </c>
      <c r="F361" s="301"/>
      <c r="G361" s="15"/>
      <c r="H361" s="94"/>
      <c r="I361" s="224"/>
      <c r="J361" s="15"/>
      <c r="K361" s="166"/>
      <c r="L361" s="117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18"/>
      <c r="Y361" s="349">
        <f t="shared" si="80"/>
        <v>0</v>
      </c>
      <c r="Z361" s="155"/>
      <c r="AA361" s="349"/>
      <c r="AB361" s="155">
        <f t="shared" si="81"/>
        <v>0</v>
      </c>
      <c r="AC361" s="263">
        <f t="shared" si="75"/>
        <v>4</v>
      </c>
      <c r="AD361" s="311"/>
    </row>
    <row r="362" spans="1:30" s="227" customFormat="1">
      <c r="A362" s="226"/>
      <c r="B362" s="81" t="s">
        <v>1015</v>
      </c>
      <c r="C362" s="302" t="s">
        <v>1016</v>
      </c>
      <c r="D362" s="323" t="s">
        <v>294</v>
      </c>
      <c r="E362" s="320">
        <v>1</v>
      </c>
      <c r="F362" s="301"/>
      <c r="G362" s="15"/>
      <c r="H362" s="94"/>
      <c r="I362" s="224"/>
      <c r="J362" s="15"/>
      <c r="K362" s="166"/>
      <c r="L362" s="117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18"/>
      <c r="Y362" s="349">
        <f t="shared" si="80"/>
        <v>0</v>
      </c>
      <c r="Z362" s="155"/>
      <c r="AA362" s="349"/>
      <c r="AB362" s="155">
        <f t="shared" si="81"/>
        <v>0</v>
      </c>
      <c r="AC362" s="263">
        <f t="shared" si="75"/>
        <v>1</v>
      </c>
      <c r="AD362" s="311"/>
    </row>
    <row r="363" spans="1:30" s="227" customFormat="1">
      <c r="A363" s="226"/>
      <c r="B363" s="81" t="s">
        <v>152</v>
      </c>
      <c r="C363" s="302" t="s">
        <v>1002</v>
      </c>
      <c r="D363" s="323" t="s">
        <v>294</v>
      </c>
      <c r="E363" s="320">
        <v>4</v>
      </c>
      <c r="F363" s="301"/>
      <c r="G363" s="15"/>
      <c r="H363" s="94"/>
      <c r="I363" s="224"/>
      <c r="J363" s="15"/>
      <c r="K363" s="166"/>
      <c r="L363" s="117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18"/>
      <c r="Y363" s="349">
        <f t="shared" si="80"/>
        <v>0</v>
      </c>
      <c r="Z363" s="155"/>
      <c r="AA363" s="349"/>
      <c r="AB363" s="155">
        <f t="shared" si="81"/>
        <v>0</v>
      </c>
      <c r="AC363" s="263">
        <f t="shared" si="75"/>
        <v>4</v>
      </c>
      <c r="AD363" s="311"/>
    </row>
    <row r="364" spans="1:30" s="227" customFormat="1">
      <c r="A364" s="226"/>
      <c r="B364" s="81" t="s">
        <v>152</v>
      </c>
      <c r="C364" s="302" t="s">
        <v>1002</v>
      </c>
      <c r="D364" s="323" t="s">
        <v>294</v>
      </c>
      <c r="E364" s="320">
        <v>4</v>
      </c>
      <c r="F364" s="301"/>
      <c r="G364" s="15"/>
      <c r="H364" s="94"/>
      <c r="I364" s="224"/>
      <c r="J364" s="15"/>
      <c r="K364" s="166"/>
      <c r="L364" s="117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18"/>
      <c r="Y364" s="349">
        <f t="shared" si="80"/>
        <v>0</v>
      </c>
      <c r="Z364" s="155"/>
      <c r="AA364" s="349"/>
      <c r="AB364" s="155">
        <f t="shared" si="81"/>
        <v>0</v>
      </c>
      <c r="AC364" s="263">
        <f t="shared" si="75"/>
        <v>4</v>
      </c>
      <c r="AD364" s="311"/>
    </row>
    <row r="365" spans="1:30" s="227" customFormat="1">
      <c r="A365" s="226"/>
      <c r="B365" s="81" t="s">
        <v>152</v>
      </c>
      <c r="C365" s="302" t="s">
        <v>1002</v>
      </c>
      <c r="D365" s="323" t="s">
        <v>294</v>
      </c>
      <c r="E365" s="320">
        <v>4</v>
      </c>
      <c r="F365" s="301"/>
      <c r="G365" s="15"/>
      <c r="H365" s="94"/>
      <c r="I365" s="224"/>
      <c r="J365" s="15"/>
      <c r="K365" s="166"/>
      <c r="L365" s="117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18"/>
      <c r="Y365" s="349">
        <f t="shared" si="80"/>
        <v>0</v>
      </c>
      <c r="Z365" s="155"/>
      <c r="AA365" s="349"/>
      <c r="AB365" s="155">
        <f t="shared" si="81"/>
        <v>0</v>
      </c>
      <c r="AC365" s="263">
        <f t="shared" si="75"/>
        <v>4</v>
      </c>
      <c r="AD365" s="311"/>
    </row>
    <row r="366" spans="1:30" s="227" customFormat="1" ht="30">
      <c r="A366" s="226"/>
      <c r="B366" s="81" t="s">
        <v>1017</v>
      </c>
      <c r="C366" s="302" t="s">
        <v>1018</v>
      </c>
      <c r="D366" s="323" t="s">
        <v>291</v>
      </c>
      <c r="E366" s="320">
        <v>10</v>
      </c>
      <c r="F366" s="301"/>
      <c r="G366" s="15"/>
      <c r="H366" s="94"/>
      <c r="I366" s="224"/>
      <c r="J366" s="15"/>
      <c r="K366" s="166"/>
      <c r="L366" s="117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18"/>
      <c r="Y366" s="349">
        <f t="shared" si="80"/>
        <v>0</v>
      </c>
      <c r="Z366" s="155"/>
      <c r="AA366" s="349"/>
      <c r="AB366" s="155">
        <f t="shared" si="81"/>
        <v>0</v>
      </c>
      <c r="AC366" s="263">
        <f t="shared" si="75"/>
        <v>10</v>
      </c>
      <c r="AD366" s="311"/>
    </row>
    <row r="367" spans="1:30" s="227" customFormat="1">
      <c r="A367" s="226"/>
      <c r="B367" s="81" t="s">
        <v>1019</v>
      </c>
      <c r="C367" s="302" t="s">
        <v>1020</v>
      </c>
      <c r="D367" s="323" t="s">
        <v>294</v>
      </c>
      <c r="E367" s="320">
        <v>6</v>
      </c>
      <c r="F367" s="301"/>
      <c r="G367" s="15"/>
      <c r="H367" s="94"/>
      <c r="I367" s="224"/>
      <c r="J367" s="15"/>
      <c r="K367" s="166"/>
      <c r="L367" s="117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18"/>
      <c r="Y367" s="349">
        <f t="shared" si="80"/>
        <v>0</v>
      </c>
      <c r="Z367" s="155"/>
      <c r="AA367" s="349"/>
      <c r="AB367" s="155">
        <f t="shared" si="81"/>
        <v>0</v>
      </c>
      <c r="AC367" s="263">
        <f t="shared" si="75"/>
        <v>6</v>
      </c>
      <c r="AD367" s="311"/>
    </row>
    <row r="368" spans="1:30" s="227" customFormat="1">
      <c r="A368" s="226"/>
      <c r="B368" s="81" t="s">
        <v>178</v>
      </c>
      <c r="C368" s="302" t="s">
        <v>179</v>
      </c>
      <c r="D368" s="323" t="s">
        <v>294</v>
      </c>
      <c r="E368" s="320">
        <v>8</v>
      </c>
      <c r="F368" s="301"/>
      <c r="G368" s="15"/>
      <c r="H368" s="94"/>
      <c r="I368" s="224"/>
      <c r="J368" s="15"/>
      <c r="K368" s="166"/>
      <c r="L368" s="117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18"/>
      <c r="Y368" s="349">
        <f t="shared" si="80"/>
        <v>0</v>
      </c>
      <c r="Z368" s="155"/>
      <c r="AA368" s="349"/>
      <c r="AB368" s="155">
        <f t="shared" si="81"/>
        <v>0</v>
      </c>
      <c r="AC368" s="263">
        <f t="shared" si="75"/>
        <v>8</v>
      </c>
      <c r="AD368" s="311"/>
    </row>
    <row r="369" spans="1:30" s="227" customFormat="1">
      <c r="A369" s="226"/>
      <c r="B369" s="81" t="s">
        <v>158</v>
      </c>
      <c r="C369" s="302" t="s">
        <v>159</v>
      </c>
      <c r="D369" s="323" t="s">
        <v>291</v>
      </c>
      <c r="E369" s="320">
        <v>50</v>
      </c>
      <c r="F369" s="301"/>
      <c r="G369" s="15"/>
      <c r="H369" s="94"/>
      <c r="I369" s="224"/>
      <c r="J369" s="15"/>
      <c r="K369" s="166"/>
      <c r="L369" s="117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18"/>
      <c r="Y369" s="349">
        <f t="shared" si="80"/>
        <v>0</v>
      </c>
      <c r="Z369" s="155"/>
      <c r="AA369" s="349"/>
      <c r="AB369" s="155">
        <f t="shared" si="81"/>
        <v>0</v>
      </c>
      <c r="AC369" s="263">
        <f t="shared" si="75"/>
        <v>50</v>
      </c>
      <c r="AD369" s="311"/>
    </row>
    <row r="370" spans="1:30" s="227" customFormat="1">
      <c r="A370" s="226"/>
      <c r="B370" s="81" t="s">
        <v>158</v>
      </c>
      <c r="C370" s="302" t="s">
        <v>159</v>
      </c>
      <c r="D370" s="323" t="s">
        <v>291</v>
      </c>
      <c r="E370" s="320">
        <v>25</v>
      </c>
      <c r="F370" s="301"/>
      <c r="G370" s="15"/>
      <c r="H370" s="94"/>
      <c r="I370" s="224"/>
      <c r="J370" s="15"/>
      <c r="K370" s="166"/>
      <c r="L370" s="117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18"/>
      <c r="Y370" s="349">
        <f t="shared" si="80"/>
        <v>0</v>
      </c>
      <c r="Z370" s="155"/>
      <c r="AA370" s="349"/>
      <c r="AB370" s="155">
        <f t="shared" si="81"/>
        <v>0</v>
      </c>
      <c r="AC370" s="263">
        <f t="shared" si="75"/>
        <v>25</v>
      </c>
      <c r="AD370" s="311"/>
    </row>
    <row r="371" spans="1:30" s="227" customFormat="1" ht="45">
      <c r="A371" s="226"/>
      <c r="B371" s="81" t="s">
        <v>1021</v>
      </c>
      <c r="C371" s="302" t="s">
        <v>1022</v>
      </c>
      <c r="D371" s="323" t="s">
        <v>291</v>
      </c>
      <c r="E371" s="320">
        <v>125</v>
      </c>
      <c r="F371" s="301"/>
      <c r="G371" s="15"/>
      <c r="H371" s="94"/>
      <c r="I371" s="224"/>
      <c r="J371" s="15"/>
      <c r="K371" s="166"/>
      <c r="L371" s="117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18"/>
      <c r="Y371" s="349">
        <f t="shared" si="80"/>
        <v>0</v>
      </c>
      <c r="Z371" s="155"/>
      <c r="AA371" s="349"/>
      <c r="AB371" s="155">
        <f t="shared" si="81"/>
        <v>0</v>
      </c>
      <c r="AC371" s="263">
        <f t="shared" si="75"/>
        <v>125</v>
      </c>
      <c r="AD371" s="311"/>
    </row>
    <row r="372" spans="1:30" s="227" customFormat="1" ht="45">
      <c r="A372" s="226"/>
      <c r="B372" s="81" t="s">
        <v>1023</v>
      </c>
      <c r="C372" s="302" t="s">
        <v>1024</v>
      </c>
      <c r="D372" s="323" t="s">
        <v>291</v>
      </c>
      <c r="E372" s="320">
        <v>100</v>
      </c>
      <c r="F372" s="301"/>
      <c r="G372" s="15"/>
      <c r="H372" s="94"/>
      <c r="I372" s="224"/>
      <c r="J372" s="15"/>
      <c r="K372" s="166"/>
      <c r="L372" s="117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18"/>
      <c r="Y372" s="349">
        <f t="shared" si="80"/>
        <v>0</v>
      </c>
      <c r="Z372" s="155"/>
      <c r="AA372" s="349"/>
      <c r="AB372" s="155">
        <f t="shared" si="81"/>
        <v>0</v>
      </c>
      <c r="AC372" s="263">
        <f t="shared" si="75"/>
        <v>100</v>
      </c>
      <c r="AD372" s="311"/>
    </row>
    <row r="373" spans="1:30" s="227" customFormat="1" ht="45">
      <c r="A373" s="226"/>
      <c r="B373" s="81" t="s">
        <v>142</v>
      </c>
      <c r="C373" s="302" t="s">
        <v>143</v>
      </c>
      <c r="D373" s="323" t="s">
        <v>291</v>
      </c>
      <c r="E373" s="320">
        <v>70</v>
      </c>
      <c r="F373" s="301"/>
      <c r="G373" s="15"/>
      <c r="H373" s="94"/>
      <c r="I373" s="224"/>
      <c r="J373" s="15"/>
      <c r="K373" s="166"/>
      <c r="L373" s="117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18"/>
      <c r="Y373" s="349">
        <f t="shared" si="80"/>
        <v>0</v>
      </c>
      <c r="Z373" s="155"/>
      <c r="AA373" s="349"/>
      <c r="AB373" s="155">
        <f t="shared" si="81"/>
        <v>0</v>
      </c>
      <c r="AC373" s="263">
        <f t="shared" si="75"/>
        <v>70</v>
      </c>
      <c r="AD373" s="311"/>
    </row>
    <row r="374" spans="1:30" s="227" customFormat="1" ht="45">
      <c r="A374" s="226"/>
      <c r="B374" s="81" t="s">
        <v>142</v>
      </c>
      <c r="C374" s="302" t="s">
        <v>143</v>
      </c>
      <c r="D374" s="323" t="s">
        <v>291</v>
      </c>
      <c r="E374" s="320">
        <v>200</v>
      </c>
      <c r="F374" s="301"/>
      <c r="G374" s="15"/>
      <c r="H374" s="94"/>
      <c r="I374" s="224"/>
      <c r="J374" s="15"/>
      <c r="K374" s="166"/>
      <c r="L374" s="117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18"/>
      <c r="Y374" s="349">
        <f t="shared" si="80"/>
        <v>0</v>
      </c>
      <c r="Z374" s="155"/>
      <c r="AA374" s="349"/>
      <c r="AB374" s="155">
        <f t="shared" si="81"/>
        <v>0</v>
      </c>
      <c r="AC374" s="263">
        <f t="shared" si="75"/>
        <v>200</v>
      </c>
      <c r="AD374" s="311"/>
    </row>
    <row r="375" spans="1:30" s="227" customFormat="1" ht="45">
      <c r="A375" s="226"/>
      <c r="B375" s="81" t="s">
        <v>142</v>
      </c>
      <c r="C375" s="302" t="s">
        <v>143</v>
      </c>
      <c r="D375" s="323" t="s">
        <v>291</v>
      </c>
      <c r="E375" s="320">
        <v>350</v>
      </c>
      <c r="F375" s="301"/>
      <c r="G375" s="15"/>
      <c r="H375" s="94"/>
      <c r="I375" s="224"/>
      <c r="J375" s="15"/>
      <c r="K375" s="166"/>
      <c r="L375" s="117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18"/>
      <c r="Y375" s="349">
        <f t="shared" si="80"/>
        <v>0</v>
      </c>
      <c r="Z375" s="155"/>
      <c r="AA375" s="349"/>
      <c r="AB375" s="155">
        <f t="shared" si="81"/>
        <v>0</v>
      </c>
      <c r="AC375" s="263">
        <f t="shared" si="75"/>
        <v>350</v>
      </c>
      <c r="AD375" s="311"/>
    </row>
    <row r="376" spans="1:30" s="227" customFormat="1" ht="45">
      <c r="A376" s="226"/>
      <c r="B376" s="81" t="s">
        <v>144</v>
      </c>
      <c r="C376" s="302" t="s">
        <v>145</v>
      </c>
      <c r="D376" s="323" t="s">
        <v>291</v>
      </c>
      <c r="E376" s="320">
        <v>950</v>
      </c>
      <c r="F376" s="301"/>
      <c r="G376" s="15"/>
      <c r="H376" s="94"/>
      <c r="I376" s="224"/>
      <c r="J376" s="15"/>
      <c r="K376" s="166"/>
      <c r="L376" s="117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18"/>
      <c r="Y376" s="349">
        <f t="shared" si="80"/>
        <v>0</v>
      </c>
      <c r="Z376" s="155"/>
      <c r="AA376" s="349"/>
      <c r="AB376" s="155">
        <f t="shared" si="81"/>
        <v>0</v>
      </c>
      <c r="AC376" s="263">
        <f t="shared" ref="AC376:AC379" si="82">E376-Y376</f>
        <v>950</v>
      </c>
      <c r="AD376" s="311"/>
    </row>
    <row r="377" spans="1:30" s="227" customFormat="1" ht="45">
      <c r="A377" s="226"/>
      <c r="B377" s="81" t="s">
        <v>180</v>
      </c>
      <c r="C377" s="302" t="s">
        <v>181</v>
      </c>
      <c r="D377" s="323" t="s">
        <v>291</v>
      </c>
      <c r="E377" s="320">
        <v>120</v>
      </c>
      <c r="F377" s="301"/>
      <c r="G377" s="15"/>
      <c r="H377" s="94"/>
      <c r="I377" s="224"/>
      <c r="J377" s="15"/>
      <c r="K377" s="166"/>
      <c r="L377" s="117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18"/>
      <c r="Y377" s="349">
        <f t="shared" si="80"/>
        <v>0</v>
      </c>
      <c r="Z377" s="155"/>
      <c r="AA377" s="349"/>
      <c r="AB377" s="155">
        <f t="shared" si="81"/>
        <v>0</v>
      </c>
      <c r="AC377" s="263">
        <f t="shared" si="82"/>
        <v>120</v>
      </c>
      <c r="AD377" s="311"/>
    </row>
    <row r="378" spans="1:30" s="227" customFormat="1" ht="45">
      <c r="A378" s="226"/>
      <c r="B378" s="81" t="s">
        <v>180</v>
      </c>
      <c r="C378" s="302" t="s">
        <v>181</v>
      </c>
      <c r="D378" s="323" t="s">
        <v>291</v>
      </c>
      <c r="E378" s="320">
        <v>600</v>
      </c>
      <c r="F378" s="301"/>
      <c r="G378" s="15"/>
      <c r="H378" s="94"/>
      <c r="I378" s="224"/>
      <c r="J378" s="15"/>
      <c r="K378" s="166"/>
      <c r="L378" s="117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18"/>
      <c r="Y378" s="349">
        <f t="shared" si="80"/>
        <v>0</v>
      </c>
      <c r="Z378" s="155"/>
      <c r="AA378" s="349"/>
      <c r="AB378" s="155">
        <f t="shared" si="81"/>
        <v>0</v>
      </c>
      <c r="AC378" s="263">
        <f t="shared" si="82"/>
        <v>600</v>
      </c>
      <c r="AD378" s="311"/>
    </row>
    <row r="379" spans="1:30" s="227" customFormat="1" ht="30">
      <c r="A379" s="226"/>
      <c r="B379" s="81" t="s">
        <v>182</v>
      </c>
      <c r="C379" s="302" t="s">
        <v>183</v>
      </c>
      <c r="D379" s="323" t="s">
        <v>291</v>
      </c>
      <c r="E379" s="320">
        <v>450</v>
      </c>
      <c r="F379" s="301"/>
      <c r="G379" s="15"/>
      <c r="H379" s="94"/>
      <c r="I379" s="224"/>
      <c r="J379" s="15"/>
      <c r="K379" s="166"/>
      <c r="L379" s="117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18"/>
      <c r="Y379" s="349">
        <f t="shared" si="80"/>
        <v>0</v>
      </c>
      <c r="Z379" s="155"/>
      <c r="AA379" s="349"/>
      <c r="AB379" s="155">
        <f t="shared" si="81"/>
        <v>0</v>
      </c>
      <c r="AC379" s="263">
        <f t="shared" si="82"/>
        <v>450</v>
      </c>
      <c r="AD379" s="311"/>
    </row>
    <row r="380" spans="1:30" s="65" customFormat="1">
      <c r="A380" s="23"/>
      <c r="B380" s="82"/>
      <c r="C380" s="83" t="s">
        <v>184</v>
      </c>
      <c r="D380" s="84"/>
      <c r="E380" s="120"/>
      <c r="F380" s="304" t="s">
        <v>184</v>
      </c>
      <c r="G380" s="24"/>
      <c r="H380" s="93"/>
      <c r="I380" s="165"/>
      <c r="J380" s="24"/>
      <c r="K380" s="165"/>
      <c r="L380" s="110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111"/>
      <c r="Y380" s="351"/>
      <c r="Z380" s="165"/>
      <c r="AA380" s="351"/>
      <c r="AB380" s="165"/>
      <c r="AC380" s="165"/>
      <c r="AD380" s="309"/>
    </row>
    <row r="381" spans="1:30" ht="30">
      <c r="A381" s="11"/>
      <c r="B381" s="81" t="s">
        <v>155</v>
      </c>
      <c r="C381" s="302" t="s">
        <v>156</v>
      </c>
      <c r="D381" s="323" t="s">
        <v>294</v>
      </c>
      <c r="E381" s="320">
        <v>1</v>
      </c>
      <c r="F381" s="274" t="s">
        <v>156</v>
      </c>
      <c r="G381" s="5" t="s">
        <v>294</v>
      </c>
      <c r="H381" s="89">
        <v>1</v>
      </c>
      <c r="I381" s="170" t="s">
        <v>611</v>
      </c>
      <c r="J381" s="25" t="s">
        <v>294</v>
      </c>
      <c r="K381" s="155">
        <v>1</v>
      </c>
      <c r="L381" s="104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105"/>
      <c r="Y381" s="348">
        <f t="shared" si="76"/>
        <v>0</v>
      </c>
      <c r="Z381" s="162"/>
      <c r="AA381" s="348"/>
      <c r="AB381" s="162">
        <f t="shared" si="77"/>
        <v>1</v>
      </c>
      <c r="AC381" s="263">
        <f t="shared" ref="AC381:AC400" si="83">E381-Y381</f>
        <v>1</v>
      </c>
      <c r="AD381" s="48"/>
    </row>
    <row r="382" spans="1:30" ht="30">
      <c r="A382" s="11"/>
      <c r="B382" s="81" t="s">
        <v>155</v>
      </c>
      <c r="C382" s="302" t="s">
        <v>156</v>
      </c>
      <c r="D382" s="323" t="s">
        <v>294</v>
      </c>
      <c r="E382" s="320">
        <v>3</v>
      </c>
      <c r="F382" s="274" t="s">
        <v>156</v>
      </c>
      <c r="G382" s="5" t="s">
        <v>294</v>
      </c>
      <c r="H382" s="89">
        <v>1</v>
      </c>
      <c r="I382" s="170" t="s">
        <v>612</v>
      </c>
      <c r="J382" s="25" t="s">
        <v>294</v>
      </c>
      <c r="K382" s="155">
        <v>1</v>
      </c>
      <c r="L382" s="104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105"/>
      <c r="Y382" s="348">
        <f t="shared" si="76"/>
        <v>0</v>
      </c>
      <c r="Z382" s="162"/>
      <c r="AA382" s="348"/>
      <c r="AB382" s="162">
        <f t="shared" si="77"/>
        <v>1</v>
      </c>
      <c r="AC382" s="263">
        <f t="shared" si="83"/>
        <v>3</v>
      </c>
      <c r="AD382" s="48"/>
    </row>
    <row r="383" spans="1:30" ht="30">
      <c r="A383" s="11"/>
      <c r="B383" s="81" t="s">
        <v>155</v>
      </c>
      <c r="C383" s="302" t="s">
        <v>156</v>
      </c>
      <c r="D383" s="323" t="s">
        <v>294</v>
      </c>
      <c r="E383" s="320">
        <v>2</v>
      </c>
      <c r="F383" s="274" t="s">
        <v>156</v>
      </c>
      <c r="G383" s="5" t="s">
        <v>294</v>
      </c>
      <c r="H383" s="89">
        <v>2</v>
      </c>
      <c r="I383" s="170" t="s">
        <v>615</v>
      </c>
      <c r="J383" s="25" t="s">
        <v>294</v>
      </c>
      <c r="K383" s="155">
        <v>2</v>
      </c>
      <c r="L383" s="104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105"/>
      <c r="Y383" s="348">
        <f t="shared" si="76"/>
        <v>0</v>
      </c>
      <c r="Z383" s="162"/>
      <c r="AA383" s="348"/>
      <c r="AB383" s="162">
        <f t="shared" si="77"/>
        <v>2</v>
      </c>
      <c r="AC383" s="263">
        <f t="shared" si="83"/>
        <v>2</v>
      </c>
      <c r="AD383" s="48"/>
    </row>
    <row r="384" spans="1:30">
      <c r="A384" s="11"/>
      <c r="B384" s="81"/>
      <c r="C384" s="302"/>
      <c r="D384" s="323"/>
      <c r="E384" s="320"/>
      <c r="F384" s="275" t="s">
        <v>795</v>
      </c>
      <c r="G384" s="25"/>
      <c r="H384" s="91">
        <v>9</v>
      </c>
      <c r="I384" s="170" t="s">
        <v>602</v>
      </c>
      <c r="J384" s="25" t="s">
        <v>294</v>
      </c>
      <c r="K384" s="155">
        <v>9</v>
      </c>
      <c r="L384" s="106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107"/>
      <c r="Y384" s="349">
        <f t="shared" si="76"/>
        <v>0</v>
      </c>
      <c r="Z384" s="155"/>
      <c r="AA384" s="349"/>
      <c r="AB384" s="155">
        <f t="shared" si="77"/>
        <v>9</v>
      </c>
      <c r="AC384" s="263">
        <f t="shared" si="83"/>
        <v>0</v>
      </c>
      <c r="AD384" s="48"/>
    </row>
    <row r="385" spans="1:30" ht="30">
      <c r="A385" s="11"/>
      <c r="B385" s="81"/>
      <c r="C385" s="302"/>
      <c r="D385" s="323"/>
      <c r="E385" s="320"/>
      <c r="F385" s="275" t="s">
        <v>614</v>
      </c>
      <c r="G385" s="25" t="s">
        <v>294</v>
      </c>
      <c r="H385" s="91">
        <v>1</v>
      </c>
      <c r="I385" s="170" t="s">
        <v>847</v>
      </c>
      <c r="J385" s="25" t="s">
        <v>294</v>
      </c>
      <c r="K385" s="155">
        <v>1</v>
      </c>
      <c r="L385" s="106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107"/>
      <c r="Y385" s="349">
        <f t="shared" si="76"/>
        <v>0</v>
      </c>
      <c r="Z385" s="155"/>
      <c r="AA385" s="349"/>
      <c r="AB385" s="155">
        <f t="shared" si="77"/>
        <v>1</v>
      </c>
      <c r="AC385" s="263">
        <f t="shared" si="83"/>
        <v>0</v>
      </c>
      <c r="AD385" s="48"/>
    </row>
    <row r="386" spans="1:30" ht="30">
      <c r="A386" s="11"/>
      <c r="B386" s="81" t="s">
        <v>155</v>
      </c>
      <c r="C386" s="302" t="s">
        <v>156</v>
      </c>
      <c r="D386" s="323" t="s">
        <v>294</v>
      </c>
      <c r="E386" s="320">
        <v>3</v>
      </c>
      <c r="F386" s="275" t="s">
        <v>156</v>
      </c>
      <c r="G386" s="25" t="s">
        <v>294</v>
      </c>
      <c r="H386" s="91">
        <v>1</v>
      </c>
      <c r="I386" s="170" t="s">
        <v>607</v>
      </c>
      <c r="J386" s="25" t="s">
        <v>294</v>
      </c>
      <c r="K386" s="155">
        <v>1</v>
      </c>
      <c r="L386" s="106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107"/>
      <c r="Y386" s="349">
        <f t="shared" ref="Y386:Y390" si="84">SUM(L386:X386)</f>
        <v>0</v>
      </c>
      <c r="Z386" s="155"/>
      <c r="AA386" s="349"/>
      <c r="AB386" s="155">
        <f t="shared" ref="AB386:AB390" si="85">H386-Y386</f>
        <v>1</v>
      </c>
      <c r="AC386" s="263">
        <f t="shared" si="83"/>
        <v>3</v>
      </c>
      <c r="AD386" s="48"/>
    </row>
    <row r="387" spans="1:30" ht="45">
      <c r="A387" s="11"/>
      <c r="B387" s="81" t="s">
        <v>155</v>
      </c>
      <c r="C387" s="302" t="s">
        <v>156</v>
      </c>
      <c r="D387" s="323" t="s">
        <v>294</v>
      </c>
      <c r="E387" s="320">
        <v>3</v>
      </c>
      <c r="F387" s="275" t="s">
        <v>156</v>
      </c>
      <c r="G387" s="25" t="s">
        <v>294</v>
      </c>
      <c r="H387" s="91">
        <v>1</v>
      </c>
      <c r="I387" s="170" t="s">
        <v>609</v>
      </c>
      <c r="J387" s="25" t="s">
        <v>294</v>
      </c>
      <c r="K387" s="155">
        <v>1</v>
      </c>
      <c r="L387" s="106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107"/>
      <c r="Y387" s="349">
        <f t="shared" si="84"/>
        <v>0</v>
      </c>
      <c r="Z387" s="155"/>
      <c r="AA387" s="349"/>
      <c r="AB387" s="155">
        <f t="shared" si="85"/>
        <v>1</v>
      </c>
      <c r="AC387" s="263">
        <f t="shared" si="83"/>
        <v>3</v>
      </c>
      <c r="AD387" s="48"/>
    </row>
    <row r="388" spans="1:30" ht="30">
      <c r="A388" s="11"/>
      <c r="B388" s="81" t="s">
        <v>185</v>
      </c>
      <c r="C388" s="302" t="s">
        <v>186</v>
      </c>
      <c r="D388" s="323" t="s">
        <v>294</v>
      </c>
      <c r="E388" s="320">
        <v>1</v>
      </c>
      <c r="F388" s="275" t="s">
        <v>186</v>
      </c>
      <c r="G388" s="25" t="s">
        <v>570</v>
      </c>
      <c r="H388" s="91">
        <v>1</v>
      </c>
      <c r="I388" s="170" t="s">
        <v>794</v>
      </c>
      <c r="J388" s="25" t="s">
        <v>570</v>
      </c>
      <c r="K388" s="155">
        <v>1</v>
      </c>
      <c r="L388" s="106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107"/>
      <c r="Y388" s="349">
        <f t="shared" si="84"/>
        <v>0</v>
      </c>
      <c r="Z388" s="155"/>
      <c r="AA388" s="349"/>
      <c r="AB388" s="155">
        <f t="shared" si="85"/>
        <v>1</v>
      </c>
      <c r="AC388" s="263">
        <f t="shared" si="83"/>
        <v>1</v>
      </c>
      <c r="AD388" s="48"/>
    </row>
    <row r="389" spans="1:30" ht="45">
      <c r="A389" s="11"/>
      <c r="B389" s="81" t="s">
        <v>187</v>
      </c>
      <c r="C389" s="302" t="s">
        <v>188</v>
      </c>
      <c r="D389" s="323" t="s">
        <v>294</v>
      </c>
      <c r="E389" s="320">
        <v>1</v>
      </c>
      <c r="F389" s="275" t="s">
        <v>188</v>
      </c>
      <c r="G389" s="25" t="s">
        <v>294</v>
      </c>
      <c r="H389" s="91">
        <v>1</v>
      </c>
      <c r="I389" s="170" t="s">
        <v>608</v>
      </c>
      <c r="J389" s="25" t="s">
        <v>294</v>
      </c>
      <c r="K389" s="155">
        <v>1</v>
      </c>
      <c r="L389" s="106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107"/>
      <c r="Y389" s="349">
        <f t="shared" si="84"/>
        <v>0</v>
      </c>
      <c r="Z389" s="155"/>
      <c r="AA389" s="349"/>
      <c r="AB389" s="155">
        <f t="shared" si="85"/>
        <v>1</v>
      </c>
      <c r="AC389" s="263">
        <f t="shared" si="83"/>
        <v>1</v>
      </c>
      <c r="AD389" s="48"/>
    </row>
    <row r="390" spans="1:30">
      <c r="A390" s="11"/>
      <c r="B390" s="81"/>
      <c r="C390" s="302"/>
      <c r="D390" s="323" t="s">
        <v>294</v>
      </c>
      <c r="E390" s="320">
        <v>2</v>
      </c>
      <c r="F390" s="275"/>
      <c r="G390" s="25"/>
      <c r="H390" s="91"/>
      <c r="I390" s="170" t="s">
        <v>848</v>
      </c>
      <c r="J390" s="25" t="s">
        <v>294</v>
      </c>
      <c r="K390" s="155">
        <v>2</v>
      </c>
      <c r="L390" s="106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107"/>
      <c r="Y390" s="349">
        <f t="shared" si="84"/>
        <v>0</v>
      </c>
      <c r="Z390" s="155"/>
      <c r="AA390" s="349"/>
      <c r="AB390" s="155">
        <f t="shared" si="85"/>
        <v>0</v>
      </c>
      <c r="AC390" s="263">
        <f t="shared" si="83"/>
        <v>2</v>
      </c>
      <c r="AD390" s="48"/>
    </row>
    <row r="391" spans="1:30" ht="30">
      <c r="A391" s="11"/>
      <c r="B391" s="81" t="s">
        <v>185</v>
      </c>
      <c r="C391" s="302" t="s">
        <v>186</v>
      </c>
      <c r="D391" s="323" t="s">
        <v>294</v>
      </c>
      <c r="E391" s="320">
        <v>2</v>
      </c>
      <c r="F391" s="275"/>
      <c r="G391" s="25"/>
      <c r="H391" s="91"/>
      <c r="I391" s="170"/>
      <c r="J391" s="25"/>
      <c r="K391" s="155"/>
      <c r="L391" s="106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107"/>
      <c r="Y391" s="349">
        <f t="shared" ref="Y391:Y400" si="86">SUM(L391:X391)</f>
        <v>0</v>
      </c>
      <c r="Z391" s="155"/>
      <c r="AA391" s="349"/>
      <c r="AB391" s="155">
        <f t="shared" ref="AB391:AB400" si="87">H391-Y391</f>
        <v>0</v>
      </c>
      <c r="AC391" s="263">
        <f t="shared" si="83"/>
        <v>2</v>
      </c>
      <c r="AD391" s="48"/>
    </row>
    <row r="392" spans="1:30" ht="30">
      <c r="A392" s="11"/>
      <c r="B392" s="81" t="s">
        <v>155</v>
      </c>
      <c r="C392" s="302" t="s">
        <v>156</v>
      </c>
      <c r="D392" s="323" t="s">
        <v>294</v>
      </c>
      <c r="E392" s="320">
        <v>1</v>
      </c>
      <c r="F392" s="275"/>
      <c r="G392" s="25"/>
      <c r="H392" s="91"/>
      <c r="I392" s="170"/>
      <c r="J392" s="25"/>
      <c r="K392" s="155"/>
      <c r="L392" s="106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107"/>
      <c r="Y392" s="349">
        <f t="shared" si="86"/>
        <v>0</v>
      </c>
      <c r="Z392" s="155"/>
      <c r="AA392" s="349"/>
      <c r="AB392" s="155">
        <f t="shared" si="87"/>
        <v>0</v>
      </c>
      <c r="AC392" s="263">
        <f t="shared" si="83"/>
        <v>1</v>
      </c>
      <c r="AD392" s="48"/>
    </row>
    <row r="393" spans="1:30">
      <c r="A393" s="11"/>
      <c r="B393" s="81"/>
      <c r="C393" s="302"/>
      <c r="D393" s="323"/>
      <c r="E393" s="320"/>
      <c r="F393" s="275" t="s">
        <v>849</v>
      </c>
      <c r="G393" s="25"/>
      <c r="H393" s="91"/>
      <c r="I393" s="170" t="s">
        <v>610</v>
      </c>
      <c r="J393" s="25" t="s">
        <v>294</v>
      </c>
      <c r="K393" s="155">
        <v>1</v>
      </c>
      <c r="L393" s="106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107"/>
      <c r="Y393" s="349">
        <f t="shared" si="86"/>
        <v>0</v>
      </c>
      <c r="Z393" s="155"/>
      <c r="AA393" s="349"/>
      <c r="AB393" s="155">
        <f t="shared" si="87"/>
        <v>0</v>
      </c>
      <c r="AC393" s="263">
        <f t="shared" si="83"/>
        <v>0</v>
      </c>
      <c r="AD393" s="48"/>
    </row>
    <row r="394" spans="1:30" ht="30">
      <c r="A394" s="11"/>
      <c r="B394" s="81"/>
      <c r="C394" s="302"/>
      <c r="D394" s="323"/>
      <c r="E394" s="320"/>
      <c r="F394" s="275" t="s">
        <v>801</v>
      </c>
      <c r="G394" s="25" t="s">
        <v>600</v>
      </c>
      <c r="H394" s="91">
        <v>575</v>
      </c>
      <c r="I394" s="170" t="s">
        <v>802</v>
      </c>
      <c r="J394" s="25" t="s">
        <v>600</v>
      </c>
      <c r="K394" s="155">
        <v>575</v>
      </c>
      <c r="L394" s="106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107"/>
      <c r="Y394" s="349">
        <f t="shared" si="86"/>
        <v>0</v>
      </c>
      <c r="Z394" s="155"/>
      <c r="AA394" s="349"/>
      <c r="AB394" s="155">
        <f t="shared" si="87"/>
        <v>575</v>
      </c>
      <c r="AC394" s="263">
        <f t="shared" si="83"/>
        <v>0</v>
      </c>
      <c r="AD394" s="48"/>
    </row>
    <row r="395" spans="1:30" s="227" customFormat="1" ht="30">
      <c r="A395" s="226"/>
      <c r="B395" s="81" t="s">
        <v>189</v>
      </c>
      <c r="C395" s="302" t="s">
        <v>190</v>
      </c>
      <c r="D395" s="323" t="s">
        <v>291</v>
      </c>
      <c r="E395" s="320">
        <v>6</v>
      </c>
      <c r="F395" s="273"/>
      <c r="G395" s="15"/>
      <c r="H395" s="94"/>
      <c r="I395" s="224"/>
      <c r="J395" s="15"/>
      <c r="K395" s="166"/>
      <c r="L395" s="117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18"/>
      <c r="Y395" s="349">
        <f t="shared" si="86"/>
        <v>0</v>
      </c>
      <c r="Z395" s="155"/>
      <c r="AA395" s="349"/>
      <c r="AB395" s="155">
        <f t="shared" si="87"/>
        <v>0</v>
      </c>
      <c r="AC395" s="263">
        <f t="shared" si="83"/>
        <v>6</v>
      </c>
      <c r="AD395" s="311"/>
    </row>
    <row r="396" spans="1:30" s="227" customFormat="1" ht="30">
      <c r="A396" s="226"/>
      <c r="B396" s="81" t="s">
        <v>191</v>
      </c>
      <c r="C396" s="302" t="s">
        <v>192</v>
      </c>
      <c r="D396" s="323" t="s">
        <v>291</v>
      </c>
      <c r="E396" s="320">
        <v>6</v>
      </c>
      <c r="F396" s="273"/>
      <c r="G396" s="15"/>
      <c r="H396" s="94"/>
      <c r="I396" s="224"/>
      <c r="J396" s="15"/>
      <c r="K396" s="166"/>
      <c r="L396" s="117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18"/>
      <c r="Y396" s="349">
        <f t="shared" si="86"/>
        <v>0</v>
      </c>
      <c r="Z396" s="155"/>
      <c r="AA396" s="349"/>
      <c r="AB396" s="155">
        <f t="shared" si="87"/>
        <v>0</v>
      </c>
      <c r="AC396" s="263">
        <f t="shared" si="83"/>
        <v>6</v>
      </c>
      <c r="AD396" s="311"/>
    </row>
    <row r="397" spans="1:30" s="227" customFormat="1">
      <c r="A397" s="226"/>
      <c r="B397" s="81" t="s">
        <v>158</v>
      </c>
      <c r="C397" s="302" t="s">
        <v>159</v>
      </c>
      <c r="D397" s="323" t="s">
        <v>291</v>
      </c>
      <c r="E397" s="320">
        <v>50</v>
      </c>
      <c r="F397" s="273"/>
      <c r="G397" s="15"/>
      <c r="H397" s="94"/>
      <c r="I397" s="224"/>
      <c r="J397" s="15"/>
      <c r="K397" s="166"/>
      <c r="L397" s="117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18"/>
      <c r="Y397" s="349">
        <f t="shared" si="86"/>
        <v>0</v>
      </c>
      <c r="Z397" s="155"/>
      <c r="AA397" s="349"/>
      <c r="AB397" s="155">
        <f t="shared" si="87"/>
        <v>0</v>
      </c>
      <c r="AC397" s="263">
        <f t="shared" si="83"/>
        <v>50</v>
      </c>
      <c r="AD397" s="311"/>
    </row>
    <row r="398" spans="1:30" s="227" customFormat="1" ht="30">
      <c r="A398" s="226"/>
      <c r="B398" s="81" t="s">
        <v>160</v>
      </c>
      <c r="C398" s="302" t="s">
        <v>1004</v>
      </c>
      <c r="D398" s="323" t="s">
        <v>291</v>
      </c>
      <c r="E398" s="320">
        <v>410</v>
      </c>
      <c r="F398" s="273"/>
      <c r="G398" s="15"/>
      <c r="H398" s="94"/>
      <c r="I398" s="224"/>
      <c r="J398" s="15"/>
      <c r="K398" s="166"/>
      <c r="L398" s="117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18"/>
      <c r="Y398" s="349">
        <f t="shared" si="86"/>
        <v>0</v>
      </c>
      <c r="Z398" s="155"/>
      <c r="AA398" s="349"/>
      <c r="AB398" s="155">
        <f t="shared" si="87"/>
        <v>0</v>
      </c>
      <c r="AC398" s="263">
        <f t="shared" si="83"/>
        <v>410</v>
      </c>
      <c r="AD398" s="311"/>
    </row>
    <row r="399" spans="1:30" s="227" customFormat="1">
      <c r="A399" s="226"/>
      <c r="B399" s="81" t="s">
        <v>1005</v>
      </c>
      <c r="C399" s="302" t="s">
        <v>161</v>
      </c>
      <c r="D399" s="323" t="s">
        <v>291</v>
      </c>
      <c r="E399" s="320">
        <v>410</v>
      </c>
      <c r="F399" s="273"/>
      <c r="G399" s="15"/>
      <c r="H399" s="94"/>
      <c r="I399" s="224"/>
      <c r="J399" s="15"/>
      <c r="K399" s="166"/>
      <c r="L399" s="117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18"/>
      <c r="Y399" s="349">
        <f t="shared" si="86"/>
        <v>0</v>
      </c>
      <c r="Z399" s="155"/>
      <c r="AA399" s="349"/>
      <c r="AB399" s="155">
        <f t="shared" si="87"/>
        <v>0</v>
      </c>
      <c r="AC399" s="263">
        <f t="shared" si="83"/>
        <v>410</v>
      </c>
      <c r="AD399" s="311"/>
    </row>
    <row r="400" spans="1:30" s="227" customFormat="1" ht="45">
      <c r="A400" s="226"/>
      <c r="B400" s="81" t="s">
        <v>1025</v>
      </c>
      <c r="C400" s="302" t="s">
        <v>1026</v>
      </c>
      <c r="D400" s="323" t="s">
        <v>291</v>
      </c>
      <c r="E400" s="320">
        <v>500</v>
      </c>
      <c r="F400" s="273"/>
      <c r="G400" s="15"/>
      <c r="H400" s="94"/>
      <c r="I400" s="224"/>
      <c r="J400" s="15"/>
      <c r="K400" s="166"/>
      <c r="L400" s="117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18"/>
      <c r="Y400" s="349">
        <f t="shared" si="86"/>
        <v>0</v>
      </c>
      <c r="Z400" s="155"/>
      <c r="AA400" s="349"/>
      <c r="AB400" s="155">
        <f t="shared" si="87"/>
        <v>0</v>
      </c>
      <c r="AC400" s="263">
        <f t="shared" si="83"/>
        <v>500</v>
      </c>
      <c r="AD400" s="311"/>
    </row>
    <row r="401" spans="1:30" s="225" customFormat="1">
      <c r="A401" s="149"/>
      <c r="B401" s="337"/>
      <c r="C401" s="338"/>
      <c r="D401" s="173"/>
      <c r="E401" s="177"/>
      <c r="F401" s="275" t="s">
        <v>1063</v>
      </c>
      <c r="G401" s="25"/>
      <c r="H401" s="91"/>
      <c r="I401" s="170"/>
      <c r="J401" s="25"/>
      <c r="K401" s="155"/>
      <c r="L401" s="106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107"/>
      <c r="Y401" s="349"/>
      <c r="Z401" s="155"/>
      <c r="AA401" s="349"/>
      <c r="AB401" s="155"/>
      <c r="AC401" s="339"/>
      <c r="AD401" s="73"/>
    </row>
    <row r="402" spans="1:30" s="65" customFormat="1">
      <c r="A402" s="23"/>
      <c r="B402" s="82"/>
      <c r="C402" s="83" t="s">
        <v>193</v>
      </c>
      <c r="D402" s="84"/>
      <c r="E402" s="120"/>
      <c r="F402" s="304" t="s">
        <v>193</v>
      </c>
      <c r="G402" s="24"/>
      <c r="H402" s="93"/>
      <c r="I402" s="165"/>
      <c r="J402" s="24"/>
      <c r="K402" s="165"/>
      <c r="L402" s="110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111"/>
      <c r="Y402" s="351"/>
      <c r="Z402" s="165"/>
      <c r="AA402" s="351"/>
      <c r="AB402" s="165"/>
      <c r="AC402" s="165"/>
      <c r="AD402" s="309"/>
    </row>
    <row r="403" spans="1:30" ht="45">
      <c r="A403" s="11"/>
      <c r="B403" s="81" t="s">
        <v>194</v>
      </c>
      <c r="C403" s="302" t="s">
        <v>195</v>
      </c>
      <c r="D403" s="323" t="s">
        <v>291</v>
      </c>
      <c r="E403" s="320">
        <v>266</v>
      </c>
      <c r="F403" s="274" t="s">
        <v>195</v>
      </c>
      <c r="G403" s="5" t="s">
        <v>600</v>
      </c>
      <c r="H403" s="89">
        <v>266</v>
      </c>
      <c r="I403" s="162"/>
      <c r="J403" s="5" t="s">
        <v>600</v>
      </c>
      <c r="K403" s="162"/>
      <c r="L403" s="104"/>
      <c r="M403" s="5"/>
      <c r="N403" s="5"/>
      <c r="O403" s="5"/>
      <c r="P403" s="5"/>
      <c r="Q403" s="5"/>
      <c r="R403" s="5"/>
      <c r="S403" s="5">
        <v>48</v>
      </c>
      <c r="T403" s="5"/>
      <c r="U403" s="5"/>
      <c r="V403" s="5"/>
      <c r="W403" s="5"/>
      <c r="X403" s="105"/>
      <c r="Y403" s="348">
        <f t="shared" si="76"/>
        <v>48</v>
      </c>
      <c r="Z403" s="162"/>
      <c r="AA403" s="348"/>
      <c r="AB403" s="162">
        <f t="shared" si="77"/>
        <v>218</v>
      </c>
      <c r="AC403" s="263">
        <f t="shared" ref="AC403:AC406" si="88">E403-Y403</f>
        <v>218</v>
      </c>
      <c r="AD403" s="48"/>
    </row>
    <row r="404" spans="1:30" ht="45">
      <c r="A404" s="11"/>
      <c r="B404" s="81" t="s">
        <v>196</v>
      </c>
      <c r="C404" s="302" t="s">
        <v>197</v>
      </c>
      <c r="D404" s="323" t="s">
        <v>291</v>
      </c>
      <c r="E404" s="320">
        <v>174</v>
      </c>
      <c r="F404" s="274" t="s">
        <v>197</v>
      </c>
      <c r="G404" s="5" t="s">
        <v>600</v>
      </c>
      <c r="H404" s="89">
        <v>174</v>
      </c>
      <c r="I404" s="162"/>
      <c r="J404" s="5" t="s">
        <v>600</v>
      </c>
      <c r="K404" s="162"/>
      <c r="L404" s="104"/>
      <c r="M404" s="5"/>
      <c r="N404" s="5"/>
      <c r="O404" s="5"/>
      <c r="P404" s="5"/>
      <c r="Q404" s="5"/>
      <c r="R404" s="5"/>
      <c r="S404" s="5">
        <v>48</v>
      </c>
      <c r="T404" s="5"/>
      <c r="U404" s="5"/>
      <c r="V404" s="5"/>
      <c r="W404" s="5"/>
      <c r="X404" s="105"/>
      <c r="Y404" s="348">
        <f t="shared" si="76"/>
        <v>48</v>
      </c>
      <c r="Z404" s="162"/>
      <c r="AA404" s="348"/>
      <c r="AB404" s="162">
        <f t="shared" si="77"/>
        <v>126</v>
      </c>
      <c r="AC404" s="263">
        <f t="shared" si="88"/>
        <v>126</v>
      </c>
      <c r="AD404" s="48"/>
    </row>
    <row r="405" spans="1:30" ht="45">
      <c r="A405" s="11"/>
      <c r="B405" s="81" t="s">
        <v>198</v>
      </c>
      <c r="C405" s="302" t="s">
        <v>199</v>
      </c>
      <c r="D405" s="323" t="s">
        <v>291</v>
      </c>
      <c r="E405" s="320">
        <v>46</v>
      </c>
      <c r="F405" s="274" t="s">
        <v>199</v>
      </c>
      <c r="G405" s="5" t="s">
        <v>600</v>
      </c>
      <c r="H405" s="89">
        <v>46</v>
      </c>
      <c r="I405" s="170" t="s">
        <v>616</v>
      </c>
      <c r="J405" s="25" t="s">
        <v>600</v>
      </c>
      <c r="K405" s="155">
        <v>46</v>
      </c>
      <c r="L405" s="104"/>
      <c r="M405" s="5"/>
      <c r="N405" s="5"/>
      <c r="O405" s="5"/>
      <c r="P405" s="5"/>
      <c r="Q405" s="5"/>
      <c r="R405" s="5"/>
      <c r="S405" s="5"/>
      <c r="T405" s="5">
        <v>48</v>
      </c>
      <c r="U405" s="5"/>
      <c r="V405" s="5"/>
      <c r="W405" s="5"/>
      <c r="X405" s="105"/>
      <c r="Y405" s="348">
        <f t="shared" si="76"/>
        <v>48</v>
      </c>
      <c r="Z405" s="162"/>
      <c r="AA405" s="348"/>
      <c r="AB405" s="162">
        <f t="shared" si="77"/>
        <v>-2</v>
      </c>
      <c r="AC405" s="263">
        <f t="shared" si="88"/>
        <v>-2</v>
      </c>
      <c r="AD405" s="48"/>
    </row>
    <row r="406" spans="1:30" ht="45">
      <c r="A406" s="11"/>
      <c r="B406" s="81" t="s">
        <v>200</v>
      </c>
      <c r="C406" s="302" t="s">
        <v>201</v>
      </c>
      <c r="D406" s="323" t="s">
        <v>296</v>
      </c>
      <c r="E406" s="320">
        <v>4</v>
      </c>
      <c r="F406" s="274" t="s">
        <v>201</v>
      </c>
      <c r="G406" s="5" t="s">
        <v>296</v>
      </c>
      <c r="H406" s="89">
        <v>4</v>
      </c>
      <c r="I406" s="170" t="s">
        <v>617</v>
      </c>
      <c r="J406" s="25" t="s">
        <v>294</v>
      </c>
      <c r="K406" s="155">
        <v>4</v>
      </c>
      <c r="L406" s="104"/>
      <c r="M406" s="5"/>
      <c r="N406" s="5"/>
      <c r="O406" s="5"/>
      <c r="P406" s="5"/>
      <c r="Q406" s="5"/>
      <c r="R406" s="5"/>
      <c r="S406" s="5"/>
      <c r="T406" s="5">
        <v>6</v>
      </c>
      <c r="U406" s="5"/>
      <c r="V406" s="5"/>
      <c r="W406" s="5"/>
      <c r="X406" s="105"/>
      <c r="Y406" s="348">
        <f t="shared" si="76"/>
        <v>6</v>
      </c>
      <c r="Z406" s="162"/>
      <c r="AA406" s="348"/>
      <c r="AB406" s="162">
        <f t="shared" si="77"/>
        <v>-2</v>
      </c>
      <c r="AC406" s="263">
        <f t="shared" si="88"/>
        <v>-2</v>
      </c>
      <c r="AD406" s="48"/>
    </row>
    <row r="407" spans="1:30" s="65" customFormat="1">
      <c r="A407" s="23"/>
      <c r="B407" s="82"/>
      <c r="C407" s="83" t="s">
        <v>202</v>
      </c>
      <c r="D407" s="84"/>
      <c r="E407" s="120"/>
      <c r="F407" s="304" t="s">
        <v>202</v>
      </c>
      <c r="G407" s="24"/>
      <c r="H407" s="93"/>
      <c r="I407" s="165"/>
      <c r="J407" s="24"/>
      <c r="K407" s="165"/>
      <c r="L407" s="110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111"/>
      <c r="Y407" s="351"/>
      <c r="Z407" s="165"/>
      <c r="AA407" s="351"/>
      <c r="AB407" s="165"/>
      <c r="AC407" s="165"/>
      <c r="AD407" s="309"/>
    </row>
    <row r="408" spans="1:30">
      <c r="A408" s="11"/>
      <c r="B408" s="302" t="s">
        <v>203</v>
      </c>
      <c r="C408" s="302" t="s">
        <v>1027</v>
      </c>
      <c r="D408" s="323" t="s">
        <v>294</v>
      </c>
      <c r="E408" s="320">
        <v>2</v>
      </c>
      <c r="F408" s="270" t="s">
        <v>204</v>
      </c>
      <c r="G408" s="5" t="s">
        <v>294</v>
      </c>
      <c r="H408" s="89">
        <v>3</v>
      </c>
      <c r="I408" s="170" t="s">
        <v>850</v>
      </c>
      <c r="J408" s="25" t="s">
        <v>294</v>
      </c>
      <c r="K408" s="155">
        <v>1</v>
      </c>
      <c r="L408" s="104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105"/>
      <c r="Y408" s="348">
        <f t="shared" si="76"/>
        <v>0</v>
      </c>
      <c r="Z408" s="162"/>
      <c r="AA408" s="348"/>
      <c r="AB408" s="162">
        <f t="shared" si="77"/>
        <v>3</v>
      </c>
      <c r="AC408" s="263">
        <f t="shared" ref="AC408:AC423" si="89">E408-Y408</f>
        <v>2</v>
      </c>
      <c r="AD408" s="48"/>
    </row>
    <row r="409" spans="1:30">
      <c r="A409" s="11"/>
      <c r="B409" s="302"/>
      <c r="C409" s="302"/>
      <c r="D409" s="323"/>
      <c r="E409" s="320"/>
      <c r="F409" s="270"/>
      <c r="G409" s="5"/>
      <c r="H409" s="89"/>
      <c r="I409" s="170" t="s">
        <v>851</v>
      </c>
      <c r="J409" s="25" t="s">
        <v>294</v>
      </c>
      <c r="K409" s="155">
        <v>1</v>
      </c>
      <c r="L409" s="104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105"/>
      <c r="Y409" s="348">
        <f t="shared" si="76"/>
        <v>0</v>
      </c>
      <c r="Z409" s="162"/>
      <c r="AA409" s="348"/>
      <c r="AB409" s="162">
        <f t="shared" si="77"/>
        <v>0</v>
      </c>
      <c r="AC409" s="263">
        <f t="shared" si="89"/>
        <v>0</v>
      </c>
      <c r="AD409" s="48"/>
    </row>
    <row r="410" spans="1:30">
      <c r="A410" s="11"/>
      <c r="B410" s="302"/>
      <c r="C410" s="302"/>
      <c r="D410" s="323"/>
      <c r="E410" s="320"/>
      <c r="F410" s="272"/>
      <c r="G410" s="25"/>
      <c r="H410" s="91"/>
      <c r="I410" s="170" t="s">
        <v>852</v>
      </c>
      <c r="J410" s="25" t="s">
        <v>294</v>
      </c>
      <c r="K410" s="155">
        <v>1</v>
      </c>
      <c r="L410" s="104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105"/>
      <c r="Y410" s="348">
        <f t="shared" ref="Y410:Y415" si="90">SUM(L410:X410)</f>
        <v>0</v>
      </c>
      <c r="Z410" s="162"/>
      <c r="AA410" s="348"/>
      <c r="AB410" s="162">
        <f t="shared" ref="AB410:AB415" si="91">H410-Y410</f>
        <v>0</v>
      </c>
      <c r="AC410" s="263">
        <f t="shared" si="89"/>
        <v>0</v>
      </c>
      <c r="AD410" s="48"/>
    </row>
    <row r="411" spans="1:30" ht="30">
      <c r="A411" s="11"/>
      <c r="B411" s="302"/>
      <c r="C411" s="302"/>
      <c r="D411" s="323"/>
      <c r="E411" s="320"/>
      <c r="F411" s="272" t="s">
        <v>618</v>
      </c>
      <c r="G411" s="25" t="s">
        <v>294</v>
      </c>
      <c r="H411" s="91">
        <v>5</v>
      </c>
      <c r="I411" s="170" t="s">
        <v>623</v>
      </c>
      <c r="J411" s="25" t="s">
        <v>294</v>
      </c>
      <c r="K411" s="155">
        <v>3</v>
      </c>
      <c r="L411" s="104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105"/>
      <c r="Y411" s="348">
        <f t="shared" si="90"/>
        <v>0</v>
      </c>
      <c r="Z411" s="162"/>
      <c r="AA411" s="348"/>
      <c r="AB411" s="162">
        <f t="shared" si="91"/>
        <v>5</v>
      </c>
      <c r="AC411" s="263">
        <f t="shared" si="89"/>
        <v>0</v>
      </c>
      <c r="AD411" s="48"/>
    </row>
    <row r="412" spans="1:30" ht="45">
      <c r="A412" s="11"/>
      <c r="B412" s="302"/>
      <c r="C412" s="302"/>
      <c r="D412" s="323"/>
      <c r="E412" s="320"/>
      <c r="F412" s="272"/>
      <c r="G412" s="25"/>
      <c r="H412" s="91"/>
      <c r="I412" s="170" t="s">
        <v>853</v>
      </c>
      <c r="J412" s="25" t="s">
        <v>294</v>
      </c>
      <c r="K412" s="155">
        <v>2</v>
      </c>
      <c r="L412" s="104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105"/>
      <c r="Y412" s="348">
        <f t="shared" si="90"/>
        <v>0</v>
      </c>
      <c r="Z412" s="162"/>
      <c r="AA412" s="348"/>
      <c r="AB412" s="162">
        <f t="shared" si="91"/>
        <v>0</v>
      </c>
      <c r="AC412" s="263">
        <f t="shared" si="89"/>
        <v>0</v>
      </c>
      <c r="AD412" s="48"/>
    </row>
    <row r="413" spans="1:30" ht="30">
      <c r="A413" s="11"/>
      <c r="B413" s="302"/>
      <c r="C413" s="302"/>
      <c r="D413" s="323"/>
      <c r="E413" s="320"/>
      <c r="F413" s="272" t="s">
        <v>619</v>
      </c>
      <c r="G413" s="25" t="s">
        <v>294</v>
      </c>
      <c r="H413" s="91">
        <v>3</v>
      </c>
      <c r="I413" s="170" t="s">
        <v>624</v>
      </c>
      <c r="J413" s="25" t="s">
        <v>294</v>
      </c>
      <c r="K413" s="155">
        <v>3</v>
      </c>
      <c r="L413" s="104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105"/>
      <c r="Y413" s="348">
        <f t="shared" si="90"/>
        <v>0</v>
      </c>
      <c r="Z413" s="162"/>
      <c r="AA413" s="348"/>
      <c r="AB413" s="162">
        <f t="shared" si="91"/>
        <v>3</v>
      </c>
      <c r="AC413" s="263">
        <f t="shared" si="89"/>
        <v>0</v>
      </c>
      <c r="AD413" s="48"/>
    </row>
    <row r="414" spans="1:30">
      <c r="A414" s="11"/>
      <c r="B414" s="302"/>
      <c r="C414" s="302"/>
      <c r="D414" s="323"/>
      <c r="E414" s="320"/>
      <c r="F414" s="272" t="s">
        <v>620</v>
      </c>
      <c r="G414" s="25" t="s">
        <v>294</v>
      </c>
      <c r="H414" s="91">
        <v>1</v>
      </c>
      <c r="I414" s="170" t="s">
        <v>854</v>
      </c>
      <c r="J414" s="25" t="s">
        <v>294</v>
      </c>
      <c r="K414" s="155">
        <v>1</v>
      </c>
      <c r="L414" s="104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105"/>
      <c r="Y414" s="348">
        <f t="shared" si="90"/>
        <v>0</v>
      </c>
      <c r="Z414" s="162"/>
      <c r="AA414" s="348"/>
      <c r="AB414" s="162">
        <f t="shared" si="91"/>
        <v>1</v>
      </c>
      <c r="AC414" s="263">
        <f t="shared" si="89"/>
        <v>0</v>
      </c>
      <c r="AD414" s="48"/>
    </row>
    <row r="415" spans="1:30" ht="30">
      <c r="A415" s="11"/>
      <c r="B415" s="302"/>
      <c r="C415" s="302"/>
      <c r="D415" s="323"/>
      <c r="E415" s="320"/>
      <c r="F415" s="272" t="s">
        <v>621</v>
      </c>
      <c r="G415" s="25" t="s">
        <v>294</v>
      </c>
      <c r="H415" s="91">
        <v>1</v>
      </c>
      <c r="I415" s="170" t="s">
        <v>625</v>
      </c>
      <c r="J415" s="25" t="s">
        <v>294</v>
      </c>
      <c r="K415" s="155">
        <v>1</v>
      </c>
      <c r="L415" s="104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105"/>
      <c r="Y415" s="348">
        <f t="shared" si="90"/>
        <v>0</v>
      </c>
      <c r="Z415" s="162"/>
      <c r="AA415" s="348"/>
      <c r="AB415" s="162">
        <f t="shared" si="91"/>
        <v>1</v>
      </c>
      <c r="AC415" s="263">
        <f t="shared" si="89"/>
        <v>0</v>
      </c>
      <c r="AD415" s="48"/>
    </row>
    <row r="416" spans="1:30">
      <c r="A416" s="11"/>
      <c r="B416" s="302"/>
      <c r="C416" s="302"/>
      <c r="D416" s="323"/>
      <c r="E416" s="320"/>
      <c r="F416" s="270" t="s">
        <v>622</v>
      </c>
      <c r="G416" s="5" t="s">
        <v>294</v>
      </c>
      <c r="H416" s="89">
        <v>1</v>
      </c>
      <c r="I416" s="170" t="s">
        <v>626</v>
      </c>
      <c r="J416" s="25" t="s">
        <v>294</v>
      </c>
      <c r="K416" s="155">
        <v>1</v>
      </c>
      <c r="L416" s="104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105"/>
      <c r="Y416" s="348">
        <f t="shared" si="76"/>
        <v>0</v>
      </c>
      <c r="Z416" s="162"/>
      <c r="AA416" s="348"/>
      <c r="AB416" s="162">
        <f t="shared" si="77"/>
        <v>1</v>
      </c>
      <c r="AC416" s="263">
        <f t="shared" si="89"/>
        <v>0</v>
      </c>
      <c r="AD416" s="48"/>
    </row>
    <row r="417" spans="1:30" ht="45">
      <c r="A417" s="11"/>
      <c r="B417" s="302" t="s">
        <v>205</v>
      </c>
      <c r="C417" s="302" t="s">
        <v>1028</v>
      </c>
      <c r="D417" s="323" t="s">
        <v>291</v>
      </c>
      <c r="E417" s="320">
        <f>32+6</f>
        <v>38</v>
      </c>
      <c r="F417" s="270" t="s">
        <v>206</v>
      </c>
      <c r="G417" s="5" t="s">
        <v>600</v>
      </c>
      <c r="H417" s="89">
        <v>38</v>
      </c>
      <c r="I417" s="170" t="s">
        <v>855</v>
      </c>
      <c r="J417" s="25" t="s">
        <v>600</v>
      </c>
      <c r="K417" s="155">
        <v>38</v>
      </c>
      <c r="L417" s="104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105"/>
      <c r="Y417" s="348">
        <f t="shared" si="76"/>
        <v>0</v>
      </c>
      <c r="Z417" s="162"/>
      <c r="AA417" s="348"/>
      <c r="AB417" s="162">
        <f t="shared" si="77"/>
        <v>38</v>
      </c>
      <c r="AC417" s="263">
        <f t="shared" si="89"/>
        <v>38</v>
      </c>
      <c r="AD417" s="48"/>
    </row>
    <row r="418" spans="1:30" ht="45">
      <c r="A418" s="11"/>
      <c r="B418" s="302" t="s">
        <v>207</v>
      </c>
      <c r="C418" s="302" t="s">
        <v>208</v>
      </c>
      <c r="D418" s="323" t="s">
        <v>291</v>
      </c>
      <c r="E418" s="320">
        <v>15</v>
      </c>
      <c r="F418" s="270" t="s">
        <v>208</v>
      </c>
      <c r="G418" s="5" t="s">
        <v>600</v>
      </c>
      <c r="H418" s="89">
        <v>15</v>
      </c>
      <c r="I418" s="170" t="s">
        <v>856</v>
      </c>
      <c r="J418" s="25" t="s">
        <v>600</v>
      </c>
      <c r="K418" s="155">
        <v>15</v>
      </c>
      <c r="L418" s="104"/>
      <c r="M418" s="5"/>
      <c r="N418" s="26"/>
      <c r="O418" s="5"/>
      <c r="P418" s="5"/>
      <c r="Q418" s="5"/>
      <c r="R418" s="5"/>
      <c r="S418" s="5"/>
      <c r="T418" s="5"/>
      <c r="U418" s="5"/>
      <c r="V418" s="5"/>
      <c r="W418" s="5"/>
      <c r="X418" s="105"/>
      <c r="Y418" s="348">
        <f t="shared" si="76"/>
        <v>0</v>
      </c>
      <c r="Z418" s="162"/>
      <c r="AA418" s="348"/>
      <c r="AB418" s="162">
        <f t="shared" si="77"/>
        <v>15</v>
      </c>
      <c r="AC418" s="263">
        <f t="shared" si="89"/>
        <v>15</v>
      </c>
      <c r="AD418" s="48"/>
    </row>
    <row r="419" spans="1:30" ht="45">
      <c r="A419" s="11"/>
      <c r="B419" s="302" t="s">
        <v>182</v>
      </c>
      <c r="C419" s="302" t="s">
        <v>183</v>
      </c>
      <c r="D419" s="323" t="s">
        <v>291</v>
      </c>
      <c r="E419" s="320">
        <v>6</v>
      </c>
      <c r="F419" s="270" t="s">
        <v>183</v>
      </c>
      <c r="G419" s="5" t="s">
        <v>600</v>
      </c>
      <c r="H419" s="89">
        <v>6</v>
      </c>
      <c r="I419" s="170" t="s">
        <v>857</v>
      </c>
      <c r="J419" s="25" t="s">
        <v>600</v>
      </c>
      <c r="K419" s="155">
        <v>6</v>
      </c>
      <c r="L419" s="104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105"/>
      <c r="Y419" s="348">
        <f t="shared" si="76"/>
        <v>0</v>
      </c>
      <c r="Z419" s="162"/>
      <c r="AA419" s="348"/>
      <c r="AB419" s="162">
        <f t="shared" si="77"/>
        <v>6</v>
      </c>
      <c r="AC419" s="263">
        <f t="shared" si="89"/>
        <v>6</v>
      </c>
      <c r="AD419" s="48"/>
    </row>
    <row r="420" spans="1:30">
      <c r="A420" s="11"/>
      <c r="B420" s="302" t="s">
        <v>158</v>
      </c>
      <c r="C420" s="302" t="s">
        <v>159</v>
      </c>
      <c r="D420" s="323" t="s">
        <v>291</v>
      </c>
      <c r="E420" s="320">
        <v>38</v>
      </c>
      <c r="F420" s="270" t="s">
        <v>159</v>
      </c>
      <c r="G420" s="5" t="s">
        <v>600</v>
      </c>
      <c r="H420" s="89">
        <v>38</v>
      </c>
      <c r="I420" s="170" t="s">
        <v>858</v>
      </c>
      <c r="J420" s="25" t="s">
        <v>600</v>
      </c>
      <c r="K420" s="155">
        <v>38</v>
      </c>
      <c r="L420" s="104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105"/>
      <c r="Y420" s="348">
        <f t="shared" si="76"/>
        <v>0</v>
      </c>
      <c r="Z420" s="162"/>
      <c r="AA420" s="348"/>
      <c r="AB420" s="162">
        <f t="shared" si="77"/>
        <v>38</v>
      </c>
      <c r="AC420" s="263">
        <f t="shared" si="89"/>
        <v>38</v>
      </c>
      <c r="AD420" s="48"/>
    </row>
    <row r="421" spans="1:30">
      <c r="A421" s="11"/>
      <c r="B421" s="302" t="s">
        <v>158</v>
      </c>
      <c r="C421" s="302" t="s">
        <v>159</v>
      </c>
      <c r="D421" s="323" t="s">
        <v>291</v>
      </c>
      <c r="E421" s="320">
        <v>21</v>
      </c>
      <c r="F421" s="270" t="s">
        <v>159</v>
      </c>
      <c r="G421" s="5" t="s">
        <v>600</v>
      </c>
      <c r="H421" s="89">
        <v>21</v>
      </c>
      <c r="I421" s="170" t="s">
        <v>808</v>
      </c>
      <c r="J421" s="25" t="s">
        <v>600</v>
      </c>
      <c r="K421" s="155">
        <v>14</v>
      </c>
      <c r="L421" s="104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105"/>
      <c r="Y421" s="348">
        <f t="shared" si="76"/>
        <v>0</v>
      </c>
      <c r="Z421" s="162"/>
      <c r="AA421" s="348"/>
      <c r="AB421" s="162">
        <f t="shared" si="77"/>
        <v>21</v>
      </c>
      <c r="AC421" s="263">
        <f t="shared" si="89"/>
        <v>21</v>
      </c>
      <c r="AD421" s="48"/>
    </row>
    <row r="422" spans="1:30" ht="30">
      <c r="A422" s="11"/>
      <c r="B422" s="302" t="s">
        <v>209</v>
      </c>
      <c r="C422" s="302" t="s">
        <v>210</v>
      </c>
      <c r="D422" s="323" t="s">
        <v>291</v>
      </c>
      <c r="E422" s="320">
        <v>35</v>
      </c>
      <c r="F422" s="270" t="s">
        <v>210</v>
      </c>
      <c r="G422" s="5" t="s">
        <v>600</v>
      </c>
      <c r="H422" s="89">
        <v>35</v>
      </c>
      <c r="I422" s="170" t="s">
        <v>627</v>
      </c>
      <c r="J422" s="25" t="s">
        <v>600</v>
      </c>
      <c r="K422" s="155">
        <v>35</v>
      </c>
      <c r="L422" s="104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105"/>
      <c r="Y422" s="348">
        <f t="shared" si="76"/>
        <v>0</v>
      </c>
      <c r="Z422" s="162"/>
      <c r="AA422" s="348"/>
      <c r="AB422" s="162">
        <f t="shared" si="77"/>
        <v>35</v>
      </c>
      <c r="AC422" s="263">
        <f t="shared" si="89"/>
        <v>35</v>
      </c>
      <c r="AD422" s="48"/>
    </row>
    <row r="423" spans="1:30" ht="30">
      <c r="A423" s="11"/>
      <c r="B423" s="302" t="s">
        <v>211</v>
      </c>
      <c r="C423" s="302" t="s">
        <v>212</v>
      </c>
      <c r="D423" s="323" t="s">
        <v>294</v>
      </c>
      <c r="E423" s="320">
        <v>2</v>
      </c>
      <c r="F423" s="270" t="s">
        <v>212</v>
      </c>
      <c r="G423" s="5" t="s">
        <v>600</v>
      </c>
      <c r="H423" s="89">
        <v>3</v>
      </c>
      <c r="I423" s="170" t="s">
        <v>859</v>
      </c>
      <c r="J423" s="25" t="s">
        <v>600</v>
      </c>
      <c r="K423" s="155">
        <v>3</v>
      </c>
      <c r="L423" s="104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105"/>
      <c r="Y423" s="348">
        <f t="shared" si="76"/>
        <v>0</v>
      </c>
      <c r="Z423" s="162"/>
      <c r="AA423" s="348"/>
      <c r="AB423" s="162">
        <f t="shared" si="77"/>
        <v>3</v>
      </c>
      <c r="AC423" s="263">
        <f t="shared" si="89"/>
        <v>2</v>
      </c>
      <c r="AD423" s="48"/>
    </row>
    <row r="424" spans="1:30" s="225" customFormat="1">
      <c r="A424" s="149"/>
      <c r="B424" s="337"/>
      <c r="C424" s="338"/>
      <c r="D424" s="173"/>
      <c r="E424" s="177"/>
      <c r="F424" s="275" t="s">
        <v>1063</v>
      </c>
      <c r="G424" s="25"/>
      <c r="H424" s="91"/>
      <c r="I424" s="170"/>
      <c r="J424" s="25"/>
      <c r="K424" s="155"/>
      <c r="L424" s="106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107"/>
      <c r="Y424" s="349"/>
      <c r="Z424" s="155"/>
      <c r="AA424" s="349"/>
      <c r="AB424" s="155"/>
      <c r="AC424" s="339"/>
      <c r="AD424" s="73"/>
    </row>
    <row r="425" spans="1:30" s="65" customFormat="1">
      <c r="A425" s="23"/>
      <c r="B425" s="82"/>
      <c r="C425" s="83" t="s">
        <v>213</v>
      </c>
      <c r="D425" s="84"/>
      <c r="E425" s="120"/>
      <c r="F425" s="304" t="s">
        <v>213</v>
      </c>
      <c r="G425" s="24"/>
      <c r="H425" s="93"/>
      <c r="I425" s="165"/>
      <c r="J425" s="24"/>
      <c r="K425" s="165"/>
      <c r="L425" s="110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111"/>
      <c r="Y425" s="351"/>
      <c r="Z425" s="165"/>
      <c r="AA425" s="351"/>
      <c r="AB425" s="165"/>
      <c r="AC425" s="165"/>
      <c r="AD425" s="309"/>
    </row>
    <row r="426" spans="1:30" ht="45">
      <c r="A426" s="11"/>
      <c r="B426" s="81" t="s">
        <v>214</v>
      </c>
      <c r="C426" s="302" t="s">
        <v>215</v>
      </c>
      <c r="D426" s="323" t="s">
        <v>294</v>
      </c>
      <c r="E426" s="320">
        <v>2</v>
      </c>
      <c r="F426" s="274" t="s">
        <v>215</v>
      </c>
      <c r="G426" s="5" t="s">
        <v>294</v>
      </c>
      <c r="H426" s="89">
        <v>2</v>
      </c>
      <c r="I426" s="170" t="s">
        <v>860</v>
      </c>
      <c r="J426" s="25" t="s">
        <v>294</v>
      </c>
      <c r="K426" s="155">
        <v>1</v>
      </c>
      <c r="L426" s="104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105"/>
      <c r="Y426" s="348">
        <f t="shared" si="76"/>
        <v>0</v>
      </c>
      <c r="Z426" s="162"/>
      <c r="AA426" s="348"/>
      <c r="AB426" s="162">
        <f t="shared" si="77"/>
        <v>2</v>
      </c>
      <c r="AC426" s="263">
        <f t="shared" ref="AC426:AC479" si="92">E426-Y426</f>
        <v>2</v>
      </c>
      <c r="AD426" s="48"/>
    </row>
    <row r="427" spans="1:30" s="225" customFormat="1">
      <c r="A427" s="149"/>
      <c r="B427" s="81"/>
      <c r="C427" s="302"/>
      <c r="D427" s="323"/>
      <c r="E427" s="320"/>
      <c r="F427" s="275"/>
      <c r="G427" s="25"/>
      <c r="H427" s="91"/>
      <c r="I427" s="170" t="s">
        <v>861</v>
      </c>
      <c r="J427" s="25" t="s">
        <v>294</v>
      </c>
      <c r="K427" s="155">
        <v>1</v>
      </c>
      <c r="L427" s="106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107"/>
      <c r="Y427" s="348">
        <f t="shared" ref="Y427:Y435" si="93">SUM(L427:X427)</f>
        <v>0</v>
      </c>
      <c r="Z427" s="162"/>
      <c r="AA427" s="348"/>
      <c r="AB427" s="162">
        <f t="shared" ref="AB427:AB435" si="94">H427-Y427</f>
        <v>0</v>
      </c>
      <c r="AC427" s="263">
        <f t="shared" si="92"/>
        <v>0</v>
      </c>
      <c r="AD427" s="73"/>
    </row>
    <row r="428" spans="1:30" s="227" customFormat="1" ht="30">
      <c r="A428" s="226"/>
      <c r="B428" s="81" t="s">
        <v>1029</v>
      </c>
      <c r="C428" s="302" t="s">
        <v>1030</v>
      </c>
      <c r="D428" s="323" t="s">
        <v>294</v>
      </c>
      <c r="E428" s="320">
        <v>60</v>
      </c>
      <c r="F428" s="273"/>
      <c r="G428" s="15"/>
      <c r="H428" s="94"/>
      <c r="I428" s="224"/>
      <c r="J428" s="15"/>
      <c r="K428" s="166"/>
      <c r="L428" s="117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18"/>
      <c r="Y428" s="348">
        <f t="shared" si="93"/>
        <v>0</v>
      </c>
      <c r="Z428" s="162"/>
      <c r="AA428" s="348"/>
      <c r="AB428" s="162">
        <f t="shared" si="94"/>
        <v>0</v>
      </c>
      <c r="AC428" s="263">
        <f t="shared" si="92"/>
        <v>60</v>
      </c>
      <c r="AD428" s="311"/>
    </row>
    <row r="429" spans="1:30" s="225" customFormat="1" ht="30">
      <c r="A429" s="149"/>
      <c r="B429" s="81"/>
      <c r="C429" s="302"/>
      <c r="D429" s="323"/>
      <c r="E429" s="320"/>
      <c r="F429" s="275" t="s">
        <v>628</v>
      </c>
      <c r="G429" s="25" t="s">
        <v>570</v>
      </c>
      <c r="H429" s="91">
        <v>2</v>
      </c>
      <c r="I429" s="170" t="s">
        <v>862</v>
      </c>
      <c r="J429" s="25" t="s">
        <v>570</v>
      </c>
      <c r="K429" s="155">
        <v>2</v>
      </c>
      <c r="L429" s="106"/>
      <c r="M429" s="25"/>
      <c r="N429" s="25"/>
      <c r="O429" s="25"/>
      <c r="P429" s="25"/>
      <c r="Q429" s="25"/>
      <c r="R429" s="25"/>
      <c r="S429" s="25"/>
      <c r="T429" s="25"/>
      <c r="U429" s="25">
        <v>2</v>
      </c>
      <c r="V429" s="25"/>
      <c r="W429" s="25"/>
      <c r="X429" s="107"/>
      <c r="Y429" s="348">
        <f t="shared" si="93"/>
        <v>2</v>
      </c>
      <c r="Z429" s="162"/>
      <c r="AA429" s="348"/>
      <c r="AB429" s="162">
        <f t="shared" si="94"/>
        <v>0</v>
      </c>
      <c r="AC429" s="263">
        <f t="shared" si="92"/>
        <v>-2</v>
      </c>
      <c r="AD429" s="73"/>
    </row>
    <row r="430" spans="1:30">
      <c r="A430" s="11"/>
      <c r="B430" s="302" t="s">
        <v>216</v>
      </c>
      <c r="C430" s="302" t="s">
        <v>863</v>
      </c>
      <c r="D430" s="323" t="s">
        <v>294</v>
      </c>
      <c r="E430" s="320">
        <v>4</v>
      </c>
      <c r="F430" s="274" t="s">
        <v>863</v>
      </c>
      <c r="G430" s="5" t="s">
        <v>294</v>
      </c>
      <c r="H430" s="91">
        <v>64</v>
      </c>
      <c r="I430" s="170"/>
      <c r="J430" s="25"/>
      <c r="K430" s="155"/>
      <c r="L430" s="104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105"/>
      <c r="Y430" s="348">
        <f t="shared" si="93"/>
        <v>0</v>
      </c>
      <c r="Z430" s="162"/>
      <c r="AA430" s="348"/>
      <c r="AB430" s="162">
        <f t="shared" si="94"/>
        <v>64</v>
      </c>
      <c r="AC430" s="263">
        <f t="shared" si="92"/>
        <v>4</v>
      </c>
      <c r="AD430" s="48"/>
    </row>
    <row r="431" spans="1:30" s="18" customFormat="1">
      <c r="A431" s="32"/>
      <c r="B431" s="302"/>
      <c r="C431" s="302"/>
      <c r="D431" s="323"/>
      <c r="E431" s="320"/>
      <c r="F431" s="272" t="s">
        <v>416</v>
      </c>
      <c r="G431" s="173" t="s">
        <v>294</v>
      </c>
      <c r="H431" s="174">
        <v>64</v>
      </c>
      <c r="I431" s="179" t="s">
        <v>632</v>
      </c>
      <c r="J431" s="173" t="s">
        <v>294</v>
      </c>
      <c r="K431" s="175">
        <v>64</v>
      </c>
      <c r="L431" s="121"/>
      <c r="M431" s="26"/>
      <c r="N431" s="26"/>
      <c r="O431" s="26">
        <f>18+11</f>
        <v>29</v>
      </c>
      <c r="P431" s="26">
        <v>14</v>
      </c>
      <c r="Q431" s="26">
        <v>21</v>
      </c>
      <c r="R431" s="26"/>
      <c r="S431" s="26"/>
      <c r="T431" s="26"/>
      <c r="U431" s="26"/>
      <c r="V431" s="26"/>
      <c r="W431" s="26"/>
      <c r="X431" s="122"/>
      <c r="Y431" s="348">
        <f t="shared" si="93"/>
        <v>64</v>
      </c>
      <c r="Z431" s="162"/>
      <c r="AA431" s="348"/>
      <c r="AB431" s="162">
        <f t="shared" si="94"/>
        <v>0</v>
      </c>
      <c r="AC431" s="263">
        <f t="shared" si="92"/>
        <v>-64</v>
      </c>
      <c r="AD431" s="316" t="s">
        <v>417</v>
      </c>
    </row>
    <row r="432" spans="1:30" s="18" customFormat="1">
      <c r="A432" s="32"/>
      <c r="B432" s="302"/>
      <c r="C432" s="302"/>
      <c r="D432" s="323"/>
      <c r="E432" s="320"/>
      <c r="F432" s="272" t="s">
        <v>629</v>
      </c>
      <c r="G432" s="173" t="s">
        <v>294</v>
      </c>
      <c r="H432" s="174">
        <v>64</v>
      </c>
      <c r="I432" s="179" t="s">
        <v>631</v>
      </c>
      <c r="J432" s="173" t="s">
        <v>294</v>
      </c>
      <c r="K432" s="175">
        <v>64</v>
      </c>
      <c r="L432" s="121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122"/>
      <c r="Y432" s="348">
        <f t="shared" si="93"/>
        <v>0</v>
      </c>
      <c r="Z432" s="162"/>
      <c r="AA432" s="348"/>
      <c r="AB432" s="162">
        <f t="shared" si="94"/>
        <v>64</v>
      </c>
      <c r="AC432" s="263">
        <f t="shared" si="92"/>
        <v>0</v>
      </c>
      <c r="AD432" s="316"/>
    </row>
    <row r="433" spans="1:30">
      <c r="A433" s="11"/>
      <c r="B433" s="81"/>
      <c r="C433" s="302"/>
      <c r="D433" s="323"/>
      <c r="E433" s="320"/>
      <c r="F433" s="275" t="s">
        <v>630</v>
      </c>
      <c r="G433" s="25" t="s">
        <v>294</v>
      </c>
      <c r="H433" s="91">
        <v>64</v>
      </c>
      <c r="I433" s="170" t="s">
        <v>854</v>
      </c>
      <c r="J433" s="25" t="s">
        <v>294</v>
      </c>
      <c r="K433" s="155">
        <v>64</v>
      </c>
      <c r="L433" s="104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105"/>
      <c r="Y433" s="348">
        <f t="shared" si="93"/>
        <v>0</v>
      </c>
      <c r="Z433" s="162"/>
      <c r="AA433" s="348"/>
      <c r="AB433" s="162">
        <f t="shared" si="94"/>
        <v>64</v>
      </c>
      <c r="AC433" s="263">
        <f t="shared" si="92"/>
        <v>0</v>
      </c>
      <c r="AD433" s="48"/>
    </row>
    <row r="434" spans="1:30" s="225" customFormat="1">
      <c r="A434" s="149"/>
      <c r="B434" s="337"/>
      <c r="C434" s="338"/>
      <c r="D434" s="173"/>
      <c r="E434" s="177"/>
      <c r="F434" s="275" t="s">
        <v>1064</v>
      </c>
      <c r="G434" s="25" t="s">
        <v>289</v>
      </c>
      <c r="H434" s="174">
        <v>15</v>
      </c>
      <c r="I434" s="179" t="s">
        <v>1107</v>
      </c>
      <c r="J434" s="173" t="s">
        <v>289</v>
      </c>
      <c r="K434" s="175">
        <v>15</v>
      </c>
      <c r="L434" s="106"/>
      <c r="M434" s="25"/>
      <c r="N434" s="25"/>
      <c r="O434" s="25"/>
      <c r="P434" s="25"/>
      <c r="Q434" s="25"/>
      <c r="R434" s="25"/>
      <c r="S434" s="25"/>
      <c r="T434" s="25"/>
      <c r="U434" s="25">
        <v>14</v>
      </c>
      <c r="V434" s="25"/>
      <c r="W434" s="25"/>
      <c r="X434" s="107"/>
      <c r="Y434" s="349"/>
      <c r="Z434" s="155"/>
      <c r="AA434" s="349"/>
      <c r="AB434" s="155"/>
      <c r="AC434" s="339"/>
      <c r="AD434" s="73"/>
    </row>
    <row r="435" spans="1:30" ht="45">
      <c r="A435" s="11"/>
      <c r="B435" s="81" t="s">
        <v>182</v>
      </c>
      <c r="C435" s="302" t="s">
        <v>183</v>
      </c>
      <c r="D435" s="323" t="s">
        <v>291</v>
      </c>
      <c r="E435" s="320">
        <v>28</v>
      </c>
      <c r="F435" s="275" t="s">
        <v>183</v>
      </c>
      <c r="G435" s="25" t="s">
        <v>600</v>
      </c>
      <c r="H435" s="91">
        <v>704</v>
      </c>
      <c r="I435" s="170" t="s">
        <v>844</v>
      </c>
      <c r="J435" s="25" t="s">
        <v>600</v>
      </c>
      <c r="K435" s="155">
        <v>704</v>
      </c>
      <c r="L435" s="104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105"/>
      <c r="Y435" s="348">
        <f t="shared" si="93"/>
        <v>0</v>
      </c>
      <c r="Z435" s="162"/>
      <c r="AA435" s="348"/>
      <c r="AB435" s="162">
        <f t="shared" si="94"/>
        <v>704</v>
      </c>
      <c r="AC435" s="263">
        <f t="shared" si="92"/>
        <v>28</v>
      </c>
      <c r="AD435" s="48"/>
    </row>
    <row r="436" spans="1:30" ht="30">
      <c r="A436" s="11"/>
      <c r="B436" s="81" t="s">
        <v>217</v>
      </c>
      <c r="C436" s="302" t="s">
        <v>1031</v>
      </c>
      <c r="D436" s="323" t="s">
        <v>291</v>
      </c>
      <c r="E436" s="320">
        <v>620</v>
      </c>
      <c r="F436" s="270" t="s">
        <v>864</v>
      </c>
      <c r="G436" s="5" t="s">
        <v>600</v>
      </c>
      <c r="H436" s="89">
        <v>620</v>
      </c>
      <c r="I436" s="179" t="s">
        <v>865</v>
      </c>
      <c r="J436" s="25" t="s">
        <v>600</v>
      </c>
      <c r="K436" s="155">
        <v>620</v>
      </c>
      <c r="L436" s="104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105"/>
      <c r="Y436" s="348">
        <f t="shared" si="76"/>
        <v>0</v>
      </c>
      <c r="Z436" s="162"/>
      <c r="AA436" s="348"/>
      <c r="AB436" s="162">
        <f t="shared" si="77"/>
        <v>620</v>
      </c>
      <c r="AC436" s="263">
        <f t="shared" si="92"/>
        <v>620</v>
      </c>
      <c r="AD436" s="48"/>
    </row>
    <row r="437" spans="1:30" ht="30">
      <c r="A437" s="11"/>
      <c r="B437" s="81" t="s">
        <v>1032</v>
      </c>
      <c r="C437" s="302" t="s">
        <v>1033</v>
      </c>
      <c r="D437" s="323" t="s">
        <v>291</v>
      </c>
      <c r="E437" s="320">
        <v>10</v>
      </c>
      <c r="F437" s="270"/>
      <c r="G437" s="5"/>
      <c r="H437" s="89"/>
      <c r="I437" s="179"/>
      <c r="J437" s="25"/>
      <c r="K437" s="155"/>
      <c r="L437" s="104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105"/>
      <c r="Y437" s="348"/>
      <c r="Z437" s="162"/>
      <c r="AA437" s="348"/>
      <c r="AB437" s="162"/>
      <c r="AC437" s="263">
        <f t="shared" si="92"/>
        <v>10</v>
      </c>
      <c r="AD437" s="48"/>
    </row>
    <row r="438" spans="1:30" ht="45">
      <c r="A438" s="11"/>
      <c r="B438" s="81" t="s">
        <v>218</v>
      </c>
      <c r="C438" s="302" t="s">
        <v>219</v>
      </c>
      <c r="D438" s="323" t="s">
        <v>291</v>
      </c>
      <c r="E438" s="320">
        <v>75</v>
      </c>
      <c r="F438" s="270" t="s">
        <v>219</v>
      </c>
      <c r="G438" s="5" t="s">
        <v>600</v>
      </c>
      <c r="H438" s="89">
        <v>75</v>
      </c>
      <c r="I438" s="179" t="s">
        <v>866</v>
      </c>
      <c r="J438" s="25" t="s">
        <v>600</v>
      </c>
      <c r="K438" s="155">
        <v>75</v>
      </c>
      <c r="L438" s="104"/>
      <c r="M438" s="5"/>
      <c r="N438" s="5"/>
      <c r="O438" s="5">
        <v>28</v>
      </c>
      <c r="P438" s="5">
        <v>15</v>
      </c>
      <c r="Q438" s="5"/>
      <c r="R438" s="5"/>
      <c r="S438" s="5"/>
      <c r="T438" s="5"/>
      <c r="U438" s="5"/>
      <c r="V438" s="5"/>
      <c r="W438" s="5"/>
      <c r="X438" s="105"/>
      <c r="Y438" s="348">
        <f t="shared" si="76"/>
        <v>43</v>
      </c>
      <c r="Z438" s="162"/>
      <c r="AA438" s="348"/>
      <c r="AB438" s="162">
        <f t="shared" si="77"/>
        <v>32</v>
      </c>
      <c r="AC438" s="263">
        <f t="shared" si="92"/>
        <v>32</v>
      </c>
      <c r="AD438" s="48"/>
    </row>
    <row r="439" spans="1:30" ht="45">
      <c r="A439" s="11"/>
      <c r="B439" s="81" t="s">
        <v>220</v>
      </c>
      <c r="C439" s="302" t="s">
        <v>221</v>
      </c>
      <c r="D439" s="323" t="s">
        <v>291</v>
      </c>
      <c r="E439" s="320">
        <v>540</v>
      </c>
      <c r="F439" s="270" t="s">
        <v>221</v>
      </c>
      <c r="G439" s="5" t="s">
        <v>600</v>
      </c>
      <c r="H439" s="89">
        <v>490</v>
      </c>
      <c r="I439" s="179" t="s">
        <v>867</v>
      </c>
      <c r="J439" s="25" t="s">
        <v>600</v>
      </c>
      <c r="K439" s="155">
        <v>490</v>
      </c>
      <c r="L439" s="104"/>
      <c r="M439" s="5">
        <v>250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105"/>
      <c r="Y439" s="348">
        <f t="shared" si="76"/>
        <v>250</v>
      </c>
      <c r="Z439" s="162"/>
      <c r="AA439" s="348"/>
      <c r="AB439" s="162">
        <f t="shared" si="77"/>
        <v>240</v>
      </c>
      <c r="AC439" s="263">
        <f t="shared" si="92"/>
        <v>290</v>
      </c>
      <c r="AD439" s="48"/>
    </row>
    <row r="440" spans="1:30" ht="30">
      <c r="A440" s="11"/>
      <c r="B440" s="81" t="s">
        <v>182</v>
      </c>
      <c r="C440" s="302" t="s">
        <v>183</v>
      </c>
      <c r="D440" s="323" t="s">
        <v>291</v>
      </c>
      <c r="E440" s="320">
        <f>615+295</f>
        <v>910</v>
      </c>
      <c r="F440" s="270"/>
      <c r="G440" s="5"/>
      <c r="H440" s="89"/>
      <c r="I440" s="179"/>
      <c r="J440" s="25"/>
      <c r="K440" s="155"/>
      <c r="L440" s="104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105"/>
      <c r="Y440" s="348"/>
      <c r="Z440" s="162"/>
      <c r="AA440" s="348"/>
      <c r="AB440" s="162"/>
      <c r="AC440" s="263">
        <f t="shared" si="92"/>
        <v>910</v>
      </c>
      <c r="AD440" s="48"/>
    </row>
    <row r="441" spans="1:30" ht="45">
      <c r="A441" s="11"/>
      <c r="B441" s="81" t="s">
        <v>207</v>
      </c>
      <c r="C441" s="302" t="s">
        <v>208</v>
      </c>
      <c r="D441" s="323" t="s">
        <v>291</v>
      </c>
      <c r="E441" s="320">
        <v>215</v>
      </c>
      <c r="F441" s="270" t="s">
        <v>208</v>
      </c>
      <c r="G441" s="5" t="s">
        <v>600</v>
      </c>
      <c r="H441" s="89">
        <v>394</v>
      </c>
      <c r="I441" s="179" t="s">
        <v>856</v>
      </c>
      <c r="J441" s="25" t="s">
        <v>600</v>
      </c>
      <c r="K441" s="155">
        <v>394</v>
      </c>
      <c r="L441" s="104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105"/>
      <c r="Y441" s="348">
        <f t="shared" si="76"/>
        <v>0</v>
      </c>
      <c r="Z441" s="162"/>
      <c r="AA441" s="348"/>
      <c r="AB441" s="162">
        <f t="shared" si="77"/>
        <v>394</v>
      </c>
      <c r="AC441" s="263">
        <f t="shared" si="92"/>
        <v>215</v>
      </c>
      <c r="AD441" s="48"/>
    </row>
    <row r="442" spans="1:30" ht="60">
      <c r="A442" s="11"/>
      <c r="B442" s="81" t="s">
        <v>222</v>
      </c>
      <c r="C442" s="302" t="s">
        <v>1034</v>
      </c>
      <c r="D442" s="323" t="s">
        <v>294</v>
      </c>
      <c r="E442" s="320">
        <v>4</v>
      </c>
      <c r="F442" s="270" t="s">
        <v>868</v>
      </c>
      <c r="G442" s="5" t="s">
        <v>294</v>
      </c>
      <c r="H442" s="89">
        <v>4</v>
      </c>
      <c r="I442" s="179" t="s">
        <v>869</v>
      </c>
      <c r="J442" s="25" t="s">
        <v>294</v>
      </c>
      <c r="K442" s="155">
        <v>4</v>
      </c>
      <c r="L442" s="104"/>
      <c r="M442" s="5"/>
      <c r="N442" s="5"/>
      <c r="O442" s="5"/>
      <c r="P442" s="5"/>
      <c r="Q442" s="5"/>
      <c r="R442" s="5"/>
      <c r="S442" s="5">
        <v>75</v>
      </c>
      <c r="T442" s="5"/>
      <c r="U442" s="5"/>
      <c r="V442" s="5"/>
      <c r="W442" s="5"/>
      <c r="X442" s="105"/>
      <c r="Y442" s="348">
        <f t="shared" si="76"/>
        <v>75</v>
      </c>
      <c r="Z442" s="162"/>
      <c r="AA442" s="348"/>
      <c r="AB442" s="162">
        <f t="shared" si="77"/>
        <v>-71</v>
      </c>
      <c r="AC442" s="263">
        <f t="shared" si="92"/>
        <v>-71</v>
      </c>
      <c r="AD442" s="48"/>
    </row>
    <row r="443" spans="1:30" ht="60">
      <c r="A443" s="11"/>
      <c r="B443" s="81" t="s">
        <v>223</v>
      </c>
      <c r="C443" s="302" t="s">
        <v>1035</v>
      </c>
      <c r="D443" s="323" t="s">
        <v>294</v>
      </c>
      <c r="E443" s="320">
        <v>4</v>
      </c>
      <c r="F443" s="270" t="s">
        <v>870</v>
      </c>
      <c r="G443" s="5" t="s">
        <v>294</v>
      </c>
      <c r="H443" s="89">
        <v>4</v>
      </c>
      <c r="I443" s="179" t="s">
        <v>871</v>
      </c>
      <c r="J443" s="25" t="s">
        <v>294</v>
      </c>
      <c r="K443" s="155">
        <v>4</v>
      </c>
      <c r="L443" s="104"/>
      <c r="M443" s="5"/>
      <c r="N443" s="5"/>
      <c r="O443" s="5">
        <f>270+51</f>
        <v>321</v>
      </c>
      <c r="P443" s="5">
        <v>165</v>
      </c>
      <c r="Q443" s="5"/>
      <c r="R443" s="5"/>
      <c r="S443" s="5"/>
      <c r="T443" s="5"/>
      <c r="U443" s="5"/>
      <c r="V443" s="5"/>
      <c r="W443" s="5"/>
      <c r="X443" s="105"/>
      <c r="Y443" s="348">
        <f t="shared" si="76"/>
        <v>486</v>
      </c>
      <c r="Z443" s="162"/>
      <c r="AA443" s="348"/>
      <c r="AB443" s="162">
        <f t="shared" si="77"/>
        <v>-482</v>
      </c>
      <c r="AC443" s="263">
        <f t="shared" si="92"/>
        <v>-482</v>
      </c>
      <c r="AD443" s="48"/>
    </row>
    <row r="444" spans="1:30" ht="30">
      <c r="A444" s="11"/>
      <c r="B444" s="81" t="s">
        <v>224</v>
      </c>
      <c r="C444" s="302" t="s">
        <v>225</v>
      </c>
      <c r="D444" s="323" t="s">
        <v>291</v>
      </c>
      <c r="E444" s="320">
        <v>8</v>
      </c>
      <c r="F444" s="270" t="s">
        <v>225</v>
      </c>
      <c r="G444" s="5" t="s">
        <v>600</v>
      </c>
      <c r="H444" s="89">
        <v>15</v>
      </c>
      <c r="I444" s="179" t="s">
        <v>627</v>
      </c>
      <c r="J444" s="25" t="s">
        <v>600</v>
      </c>
      <c r="K444" s="155">
        <v>15</v>
      </c>
      <c r="L444" s="104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105"/>
      <c r="Y444" s="348">
        <f t="shared" si="76"/>
        <v>0</v>
      </c>
      <c r="Z444" s="162"/>
      <c r="AA444" s="348"/>
      <c r="AB444" s="162">
        <f t="shared" si="77"/>
        <v>15</v>
      </c>
      <c r="AC444" s="263">
        <f t="shared" si="92"/>
        <v>8</v>
      </c>
      <c r="AD444" s="48"/>
    </row>
    <row r="445" spans="1:30" s="225" customFormat="1" ht="30">
      <c r="A445" s="149"/>
      <c r="B445" s="81"/>
      <c r="C445" s="302"/>
      <c r="D445" s="323"/>
      <c r="E445" s="320"/>
      <c r="F445" s="272" t="s">
        <v>872</v>
      </c>
      <c r="G445" s="25" t="s">
        <v>600</v>
      </c>
      <c r="H445" s="91">
        <v>12</v>
      </c>
      <c r="I445" s="179" t="s">
        <v>873</v>
      </c>
      <c r="J445" s="25" t="s">
        <v>600</v>
      </c>
      <c r="K445" s="155">
        <v>12</v>
      </c>
      <c r="L445" s="106"/>
      <c r="M445" s="25"/>
      <c r="N445" s="25"/>
      <c r="O445" s="25"/>
      <c r="P445" s="25"/>
      <c r="Q445" s="25"/>
      <c r="R445" s="25"/>
      <c r="S445" s="25"/>
      <c r="T445" s="25">
        <v>12</v>
      </c>
      <c r="U445" s="25"/>
      <c r="V445" s="25"/>
      <c r="W445" s="25"/>
      <c r="X445" s="107"/>
      <c r="Y445" s="349">
        <f t="shared" si="76"/>
        <v>12</v>
      </c>
      <c r="Z445" s="155"/>
      <c r="AA445" s="349"/>
      <c r="AB445" s="155">
        <f t="shared" si="77"/>
        <v>0</v>
      </c>
      <c r="AC445" s="263">
        <f t="shared" si="92"/>
        <v>-12</v>
      </c>
      <c r="AD445" s="73"/>
    </row>
    <row r="446" spans="1:30" s="225" customFormat="1">
      <c r="A446" s="149"/>
      <c r="B446" s="81"/>
      <c r="C446" s="302"/>
      <c r="D446" s="323"/>
      <c r="E446" s="320"/>
      <c r="F446" s="272" t="s">
        <v>874</v>
      </c>
      <c r="G446" s="25" t="s">
        <v>600</v>
      </c>
      <c r="H446" s="91">
        <v>18</v>
      </c>
      <c r="I446" s="179" t="s">
        <v>859</v>
      </c>
      <c r="J446" s="25" t="s">
        <v>600</v>
      </c>
      <c r="K446" s="155">
        <v>18</v>
      </c>
      <c r="L446" s="106"/>
      <c r="M446" s="25"/>
      <c r="N446" s="25"/>
      <c r="O446" s="25">
        <f>273</f>
        <v>273</v>
      </c>
      <c r="P446" s="25">
        <v>213</v>
      </c>
      <c r="Q446" s="25"/>
      <c r="R446" s="25"/>
      <c r="S446" s="25"/>
      <c r="T446" s="25">
        <v>18</v>
      </c>
      <c r="U446" s="25"/>
      <c r="V446" s="25"/>
      <c r="W446" s="25"/>
      <c r="X446" s="107"/>
      <c r="Y446" s="349">
        <f t="shared" si="76"/>
        <v>504</v>
      </c>
      <c r="Z446" s="155"/>
      <c r="AA446" s="349"/>
      <c r="AB446" s="155">
        <f t="shared" si="77"/>
        <v>-486</v>
      </c>
      <c r="AC446" s="263">
        <f t="shared" si="92"/>
        <v>-504</v>
      </c>
      <c r="AD446" s="73"/>
    </row>
    <row r="447" spans="1:30" s="225" customFormat="1" ht="30">
      <c r="A447" s="149"/>
      <c r="B447" s="81"/>
      <c r="C447" s="302"/>
      <c r="D447" s="323"/>
      <c r="E447" s="320"/>
      <c r="F447" s="272" t="s">
        <v>875</v>
      </c>
      <c r="G447" s="25" t="s">
        <v>600</v>
      </c>
      <c r="H447" s="91">
        <v>3</v>
      </c>
      <c r="I447" s="179" t="s">
        <v>859</v>
      </c>
      <c r="J447" s="25" t="s">
        <v>600</v>
      </c>
      <c r="K447" s="155">
        <v>3</v>
      </c>
      <c r="L447" s="106"/>
      <c r="M447" s="25"/>
      <c r="N447" s="25"/>
      <c r="O447" s="25"/>
      <c r="P447" s="25"/>
      <c r="Q447" s="25"/>
      <c r="R447" s="25"/>
      <c r="S447" s="25"/>
      <c r="T447" s="25">
        <v>3</v>
      </c>
      <c r="U447" s="25"/>
      <c r="V447" s="25"/>
      <c r="W447" s="25"/>
      <c r="X447" s="107"/>
      <c r="Y447" s="349">
        <f t="shared" si="76"/>
        <v>3</v>
      </c>
      <c r="Z447" s="155"/>
      <c r="AA447" s="349"/>
      <c r="AB447" s="155">
        <f t="shared" si="77"/>
        <v>0</v>
      </c>
      <c r="AC447" s="263">
        <f t="shared" si="92"/>
        <v>-3</v>
      </c>
      <c r="AD447" s="73"/>
    </row>
    <row r="448" spans="1:30" s="225" customFormat="1" ht="30">
      <c r="A448" s="149"/>
      <c r="B448" s="81"/>
      <c r="C448" s="302"/>
      <c r="D448" s="323"/>
      <c r="E448" s="320"/>
      <c r="F448" s="272" t="s">
        <v>876</v>
      </c>
      <c r="G448" s="25" t="s">
        <v>600</v>
      </c>
      <c r="H448" s="91">
        <v>38</v>
      </c>
      <c r="I448" s="179" t="s">
        <v>846</v>
      </c>
      <c r="J448" s="25" t="s">
        <v>600</v>
      </c>
      <c r="K448" s="155">
        <v>38</v>
      </c>
      <c r="L448" s="106"/>
      <c r="M448" s="25"/>
      <c r="N448" s="25"/>
      <c r="O448" s="25"/>
      <c r="P448" s="25"/>
      <c r="Q448" s="25"/>
      <c r="R448" s="25"/>
      <c r="S448" s="25"/>
      <c r="T448" s="25">
        <v>38</v>
      </c>
      <c r="U448" s="25"/>
      <c r="V448" s="25"/>
      <c r="W448" s="25"/>
      <c r="X448" s="107"/>
      <c r="Y448" s="349">
        <f t="shared" ref="Y448:Y515" si="95">SUM(L448:X448)</f>
        <v>38</v>
      </c>
      <c r="Z448" s="155"/>
      <c r="AA448" s="349"/>
      <c r="AB448" s="155">
        <f t="shared" ref="AB448:AB515" si="96">H448-Y448</f>
        <v>0</v>
      </c>
      <c r="AC448" s="263">
        <f t="shared" si="92"/>
        <v>-38</v>
      </c>
      <c r="AD448" s="73"/>
    </row>
    <row r="449" spans="1:30" s="225" customFormat="1">
      <c r="A449" s="149"/>
      <c r="B449" s="81"/>
      <c r="C449" s="302"/>
      <c r="D449" s="323"/>
      <c r="E449" s="320"/>
      <c r="F449" s="272" t="s">
        <v>454</v>
      </c>
      <c r="G449" s="25" t="s">
        <v>294</v>
      </c>
      <c r="H449" s="91">
        <v>1</v>
      </c>
      <c r="I449" s="179" t="s">
        <v>877</v>
      </c>
      <c r="J449" s="25" t="s">
        <v>294</v>
      </c>
      <c r="K449" s="155">
        <v>1</v>
      </c>
      <c r="L449" s="106"/>
      <c r="M449" s="25"/>
      <c r="N449" s="25"/>
      <c r="O449" s="25"/>
      <c r="P449" s="25"/>
      <c r="Q449" s="25"/>
      <c r="R449" s="25"/>
      <c r="S449" s="25"/>
      <c r="T449" s="25">
        <v>1</v>
      </c>
      <c r="U449" s="25"/>
      <c r="V449" s="25"/>
      <c r="W449" s="25"/>
      <c r="X449" s="107"/>
      <c r="Y449" s="349">
        <f t="shared" si="95"/>
        <v>1</v>
      </c>
      <c r="Z449" s="155"/>
      <c r="AA449" s="349"/>
      <c r="AB449" s="155">
        <f t="shared" si="96"/>
        <v>0</v>
      </c>
      <c r="AC449" s="263">
        <f t="shared" si="92"/>
        <v>-1</v>
      </c>
      <c r="AD449" s="73"/>
    </row>
    <row r="450" spans="1:30" s="225" customFormat="1">
      <c r="A450" s="149"/>
      <c r="B450" s="81"/>
      <c r="C450" s="302"/>
      <c r="D450" s="323"/>
      <c r="E450" s="320"/>
      <c r="F450" s="272"/>
      <c r="G450" s="25"/>
      <c r="H450" s="91"/>
      <c r="I450" s="179" t="s">
        <v>1086</v>
      </c>
      <c r="J450" s="25" t="s">
        <v>294</v>
      </c>
      <c r="K450" s="155">
        <v>1</v>
      </c>
      <c r="L450" s="106"/>
      <c r="M450" s="25"/>
      <c r="N450" s="25"/>
      <c r="O450" s="25"/>
      <c r="P450" s="25"/>
      <c r="Q450" s="25"/>
      <c r="R450" s="25"/>
      <c r="S450" s="25"/>
      <c r="T450" s="25">
        <v>1</v>
      </c>
      <c r="U450" s="25"/>
      <c r="V450" s="25"/>
      <c r="W450" s="25"/>
      <c r="X450" s="107"/>
      <c r="Y450" s="349">
        <f t="shared" si="95"/>
        <v>1</v>
      </c>
      <c r="Z450" s="155"/>
      <c r="AA450" s="349"/>
      <c r="AB450" s="155">
        <f t="shared" si="96"/>
        <v>-1</v>
      </c>
      <c r="AC450" s="263">
        <f t="shared" si="92"/>
        <v>-1</v>
      </c>
      <c r="AD450" s="73"/>
    </row>
    <row r="451" spans="1:30" s="225" customFormat="1">
      <c r="A451" s="149"/>
      <c r="B451" s="81"/>
      <c r="C451" s="302"/>
      <c r="D451" s="323"/>
      <c r="E451" s="320"/>
      <c r="F451" s="272"/>
      <c r="G451" s="25"/>
      <c r="H451" s="91"/>
      <c r="I451" s="179" t="s">
        <v>878</v>
      </c>
      <c r="J451" s="25" t="s">
        <v>294</v>
      </c>
      <c r="K451" s="155">
        <v>1</v>
      </c>
      <c r="L451" s="106"/>
      <c r="M451" s="25"/>
      <c r="N451" s="25"/>
      <c r="O451" s="25"/>
      <c r="P451" s="25"/>
      <c r="Q451" s="25"/>
      <c r="R451" s="25"/>
      <c r="S451" s="25"/>
      <c r="T451" s="25">
        <v>1</v>
      </c>
      <c r="U451" s="25"/>
      <c r="V451" s="25"/>
      <c r="W451" s="25"/>
      <c r="X451" s="107"/>
      <c r="Y451" s="349">
        <f t="shared" si="95"/>
        <v>1</v>
      </c>
      <c r="Z451" s="155"/>
      <c r="AA451" s="349"/>
      <c r="AB451" s="155">
        <f t="shared" si="96"/>
        <v>-1</v>
      </c>
      <c r="AC451" s="263">
        <f t="shared" si="92"/>
        <v>-1</v>
      </c>
      <c r="AD451" s="73"/>
    </row>
    <row r="452" spans="1:30" s="225" customFormat="1">
      <c r="A452" s="149"/>
      <c r="B452" s="81"/>
      <c r="C452" s="302"/>
      <c r="D452" s="323"/>
      <c r="E452" s="320"/>
      <c r="F452" s="272"/>
      <c r="G452" s="25"/>
      <c r="H452" s="91"/>
      <c r="I452" s="179" t="s">
        <v>806</v>
      </c>
      <c r="J452" s="25" t="s">
        <v>294</v>
      </c>
      <c r="K452" s="155">
        <v>3</v>
      </c>
      <c r="L452" s="106"/>
      <c r="M452" s="25"/>
      <c r="N452" s="25"/>
      <c r="O452" s="25"/>
      <c r="P452" s="25"/>
      <c r="Q452" s="25"/>
      <c r="R452" s="25"/>
      <c r="S452" s="25"/>
      <c r="T452" s="25">
        <v>3</v>
      </c>
      <c r="U452" s="25"/>
      <c r="V452" s="25"/>
      <c r="W452" s="25"/>
      <c r="X452" s="107"/>
      <c r="Y452" s="349">
        <f t="shared" si="95"/>
        <v>3</v>
      </c>
      <c r="Z452" s="155"/>
      <c r="AA452" s="349"/>
      <c r="AB452" s="155">
        <f t="shared" si="96"/>
        <v>-3</v>
      </c>
      <c r="AC452" s="263">
        <f t="shared" si="92"/>
        <v>-3</v>
      </c>
      <c r="AD452" s="73"/>
    </row>
    <row r="453" spans="1:30" s="225" customFormat="1" ht="30">
      <c r="A453" s="149"/>
      <c r="B453" s="81"/>
      <c r="C453" s="302"/>
      <c r="D453" s="323"/>
      <c r="E453" s="320"/>
      <c r="F453" s="272"/>
      <c r="G453" s="25"/>
      <c r="H453" s="91"/>
      <c r="I453" s="179" t="s">
        <v>807</v>
      </c>
      <c r="J453" s="25" t="s">
        <v>294</v>
      </c>
      <c r="K453" s="155">
        <v>1</v>
      </c>
      <c r="L453" s="106"/>
      <c r="M453" s="25">
        <f>65*3</f>
        <v>195</v>
      </c>
      <c r="N453" s="25"/>
      <c r="O453" s="25">
        <v>543</v>
      </c>
      <c r="P453" s="25">
        <v>347</v>
      </c>
      <c r="Q453" s="25"/>
      <c r="R453" s="25"/>
      <c r="S453" s="25"/>
      <c r="T453" s="25">
        <v>1</v>
      </c>
      <c r="U453" s="25"/>
      <c r="V453" s="25"/>
      <c r="W453" s="25"/>
      <c r="X453" s="107"/>
      <c r="Y453" s="349">
        <f t="shared" si="95"/>
        <v>1086</v>
      </c>
      <c r="Z453" s="155"/>
      <c r="AA453" s="349"/>
      <c r="AB453" s="155">
        <f t="shared" si="96"/>
        <v>-1086</v>
      </c>
      <c r="AC453" s="263">
        <f t="shared" si="92"/>
        <v>-1086</v>
      </c>
      <c r="AD453" s="73"/>
    </row>
    <row r="454" spans="1:30" s="225" customFormat="1">
      <c r="A454" s="149"/>
      <c r="B454" s="81"/>
      <c r="C454" s="302"/>
      <c r="D454" s="323"/>
      <c r="E454" s="320"/>
      <c r="F454" s="272" t="s">
        <v>879</v>
      </c>
      <c r="G454" s="25" t="s">
        <v>294</v>
      </c>
      <c r="H454" s="91">
        <v>21</v>
      </c>
      <c r="I454" s="179" t="s">
        <v>880</v>
      </c>
      <c r="J454" s="25" t="s">
        <v>881</v>
      </c>
      <c r="K454" s="155">
        <v>1</v>
      </c>
      <c r="L454" s="106"/>
      <c r="M454" s="25"/>
      <c r="N454" s="25"/>
      <c r="O454" s="25"/>
      <c r="P454" s="25"/>
      <c r="Q454" s="25"/>
      <c r="R454" s="25"/>
      <c r="S454" s="25"/>
      <c r="T454" s="25">
        <v>1</v>
      </c>
      <c r="U454" s="25"/>
      <c r="V454" s="25"/>
      <c r="W454" s="25"/>
      <c r="X454" s="107"/>
      <c r="Y454" s="349">
        <f t="shared" si="95"/>
        <v>1</v>
      </c>
      <c r="Z454" s="155"/>
      <c r="AA454" s="349"/>
      <c r="AB454" s="155">
        <f t="shared" si="96"/>
        <v>20</v>
      </c>
      <c r="AC454" s="263">
        <f t="shared" si="92"/>
        <v>-1</v>
      </c>
      <c r="AD454" s="73"/>
    </row>
    <row r="455" spans="1:30" s="225" customFormat="1">
      <c r="A455" s="149"/>
      <c r="B455" s="81"/>
      <c r="C455" s="302"/>
      <c r="D455" s="323"/>
      <c r="E455" s="320"/>
      <c r="F455" s="272" t="s">
        <v>882</v>
      </c>
      <c r="G455" s="25" t="s">
        <v>294</v>
      </c>
      <c r="H455" s="91">
        <v>21</v>
      </c>
      <c r="I455" s="179" t="s">
        <v>883</v>
      </c>
      <c r="J455" s="25" t="s">
        <v>289</v>
      </c>
      <c r="K455" s="155">
        <v>0.1</v>
      </c>
      <c r="L455" s="106"/>
      <c r="M455" s="25"/>
      <c r="N455" s="25"/>
      <c r="O455" s="25"/>
      <c r="P455" s="25"/>
      <c r="Q455" s="25"/>
      <c r="R455" s="25"/>
      <c r="S455" s="25"/>
      <c r="T455" s="25">
        <v>0.1</v>
      </c>
      <c r="U455" s="25"/>
      <c r="V455" s="25"/>
      <c r="W455" s="25"/>
      <c r="X455" s="107"/>
      <c r="Y455" s="349">
        <f t="shared" si="95"/>
        <v>0.1</v>
      </c>
      <c r="Z455" s="155"/>
      <c r="AA455" s="349"/>
      <c r="AB455" s="155">
        <f t="shared" si="96"/>
        <v>20.9</v>
      </c>
      <c r="AC455" s="263">
        <f t="shared" si="92"/>
        <v>-0.1</v>
      </c>
      <c r="AD455" s="73"/>
    </row>
    <row r="456" spans="1:30">
      <c r="A456" s="11"/>
      <c r="B456" s="81" t="s">
        <v>158</v>
      </c>
      <c r="C456" s="302" t="s">
        <v>159</v>
      </c>
      <c r="D456" s="323" t="s">
        <v>291</v>
      </c>
      <c r="E456" s="320">
        <v>1500</v>
      </c>
      <c r="F456" s="270" t="s">
        <v>159</v>
      </c>
      <c r="G456" s="5" t="s">
        <v>600</v>
      </c>
      <c r="H456" s="89">
        <v>905</v>
      </c>
      <c r="I456" s="179" t="s">
        <v>884</v>
      </c>
      <c r="J456" s="25" t="s">
        <v>600</v>
      </c>
      <c r="K456" s="155">
        <v>905</v>
      </c>
      <c r="L456" s="104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105"/>
      <c r="Y456" s="348">
        <f t="shared" si="95"/>
        <v>0</v>
      </c>
      <c r="Z456" s="162"/>
      <c r="AA456" s="348"/>
      <c r="AB456" s="162">
        <f t="shared" si="96"/>
        <v>905</v>
      </c>
      <c r="AC456" s="263">
        <f t="shared" si="92"/>
        <v>1500</v>
      </c>
      <c r="AD456" s="48"/>
    </row>
    <row r="457" spans="1:30" ht="30">
      <c r="A457" s="11"/>
      <c r="B457" s="81" t="s">
        <v>1036</v>
      </c>
      <c r="C457" s="302" t="s">
        <v>1037</v>
      </c>
      <c r="D457" s="323" t="s">
        <v>291</v>
      </c>
      <c r="E457" s="320">
        <v>250</v>
      </c>
      <c r="F457" s="270" t="s">
        <v>845</v>
      </c>
      <c r="G457" s="5" t="s">
        <v>600</v>
      </c>
      <c r="H457" s="89">
        <v>66</v>
      </c>
      <c r="I457" s="179" t="s">
        <v>846</v>
      </c>
      <c r="J457" s="25" t="s">
        <v>600</v>
      </c>
      <c r="K457" s="155">
        <v>66</v>
      </c>
      <c r="L457" s="104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105"/>
      <c r="Y457" s="348">
        <f t="shared" si="95"/>
        <v>0</v>
      </c>
      <c r="Z457" s="162"/>
      <c r="AA457" s="348"/>
      <c r="AB457" s="162">
        <f t="shared" si="96"/>
        <v>66</v>
      </c>
      <c r="AC457" s="263">
        <f t="shared" si="92"/>
        <v>250</v>
      </c>
      <c r="AD457" s="48"/>
    </row>
    <row r="458" spans="1:30" ht="30">
      <c r="A458" s="11"/>
      <c r="B458" s="81" t="s">
        <v>189</v>
      </c>
      <c r="C458" s="302" t="s">
        <v>190</v>
      </c>
      <c r="D458" s="323" t="s">
        <v>291</v>
      </c>
      <c r="E458" s="320">
        <v>3</v>
      </c>
      <c r="F458" s="270" t="s">
        <v>190</v>
      </c>
      <c r="G458" s="5" t="s">
        <v>600</v>
      </c>
      <c r="H458" s="89">
        <v>200</v>
      </c>
      <c r="I458" s="179" t="s">
        <v>885</v>
      </c>
      <c r="J458" s="25" t="s">
        <v>600</v>
      </c>
      <c r="K458" s="155">
        <v>200</v>
      </c>
      <c r="L458" s="104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105"/>
      <c r="Y458" s="348">
        <f t="shared" si="95"/>
        <v>0</v>
      </c>
      <c r="Z458" s="162"/>
      <c r="AA458" s="348"/>
      <c r="AB458" s="162">
        <f t="shared" si="96"/>
        <v>200</v>
      </c>
      <c r="AC458" s="263">
        <f t="shared" si="92"/>
        <v>3</v>
      </c>
      <c r="AD458" s="48"/>
    </row>
    <row r="459" spans="1:30" ht="30">
      <c r="A459" s="11"/>
      <c r="B459" s="81" t="s">
        <v>191</v>
      </c>
      <c r="C459" s="302" t="s">
        <v>192</v>
      </c>
      <c r="D459" s="323" t="s">
        <v>291</v>
      </c>
      <c r="E459" s="320">
        <v>3</v>
      </c>
      <c r="F459" s="270" t="s">
        <v>192</v>
      </c>
      <c r="G459" s="5" t="s">
        <v>600</v>
      </c>
      <c r="H459" s="89">
        <v>200</v>
      </c>
      <c r="I459" s="179" t="s">
        <v>886</v>
      </c>
      <c r="J459" s="25" t="s">
        <v>600</v>
      </c>
      <c r="K459" s="155">
        <v>200</v>
      </c>
      <c r="L459" s="104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105"/>
      <c r="Y459" s="348">
        <f t="shared" si="95"/>
        <v>0</v>
      </c>
      <c r="Z459" s="162"/>
      <c r="AA459" s="348"/>
      <c r="AB459" s="162">
        <f t="shared" si="96"/>
        <v>200</v>
      </c>
      <c r="AC459" s="263">
        <f t="shared" si="92"/>
        <v>3</v>
      </c>
      <c r="AD459" s="48"/>
    </row>
    <row r="460" spans="1:30">
      <c r="A460" s="11"/>
      <c r="B460" s="81" t="s">
        <v>1038</v>
      </c>
      <c r="C460" s="302" t="s">
        <v>1039</v>
      </c>
      <c r="D460" s="323" t="s">
        <v>294</v>
      </c>
      <c r="E460" s="320">
        <v>2</v>
      </c>
      <c r="F460" s="270"/>
      <c r="G460" s="5"/>
      <c r="H460" s="89"/>
      <c r="I460" s="179"/>
      <c r="J460" s="25"/>
      <c r="K460" s="155"/>
      <c r="L460" s="104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105"/>
      <c r="Y460" s="348">
        <f t="shared" ref="Y460:Y479" si="97">SUM(L460:X460)</f>
        <v>0</v>
      </c>
      <c r="Z460" s="162"/>
      <c r="AA460" s="348"/>
      <c r="AB460" s="162">
        <f t="shared" ref="AB460:AB479" si="98">H460-Y460</f>
        <v>0</v>
      </c>
      <c r="AC460" s="263">
        <f t="shared" si="92"/>
        <v>2</v>
      </c>
      <c r="AD460" s="48"/>
    </row>
    <row r="461" spans="1:30" ht="30">
      <c r="A461" s="11"/>
      <c r="B461" s="81" t="s">
        <v>1040</v>
      </c>
      <c r="C461" s="302" t="s">
        <v>1041</v>
      </c>
      <c r="D461" s="323" t="s">
        <v>291</v>
      </c>
      <c r="E461" s="320">
        <v>10</v>
      </c>
      <c r="F461" s="270"/>
      <c r="G461" s="5"/>
      <c r="H461" s="89"/>
      <c r="I461" s="179"/>
      <c r="J461" s="25"/>
      <c r="K461" s="155"/>
      <c r="L461" s="104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105"/>
      <c r="Y461" s="348">
        <f t="shared" si="97"/>
        <v>0</v>
      </c>
      <c r="Z461" s="162"/>
      <c r="AA461" s="348"/>
      <c r="AB461" s="162">
        <f t="shared" si="98"/>
        <v>0</v>
      </c>
      <c r="AC461" s="263">
        <f t="shared" si="92"/>
        <v>10</v>
      </c>
      <c r="AD461" s="48"/>
    </row>
    <row r="462" spans="1:30" ht="60">
      <c r="A462" s="11"/>
      <c r="B462" s="81" t="s">
        <v>1042</v>
      </c>
      <c r="C462" s="302" t="s">
        <v>1043</v>
      </c>
      <c r="D462" s="323" t="s">
        <v>294</v>
      </c>
      <c r="E462" s="320">
        <v>4</v>
      </c>
      <c r="F462" s="270"/>
      <c r="G462" s="5"/>
      <c r="H462" s="89"/>
      <c r="I462" s="179"/>
      <c r="J462" s="25"/>
      <c r="K462" s="155"/>
      <c r="L462" s="104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105"/>
      <c r="Y462" s="348">
        <f t="shared" si="97"/>
        <v>0</v>
      </c>
      <c r="Z462" s="162"/>
      <c r="AA462" s="348"/>
      <c r="AB462" s="162">
        <f t="shared" si="98"/>
        <v>0</v>
      </c>
      <c r="AC462" s="263">
        <f t="shared" si="92"/>
        <v>4</v>
      </c>
      <c r="AD462" s="48"/>
    </row>
    <row r="463" spans="1:30" ht="60">
      <c r="A463" s="11"/>
      <c r="B463" s="81" t="s">
        <v>222</v>
      </c>
      <c r="C463" s="302" t="s">
        <v>1034</v>
      </c>
      <c r="D463" s="323" t="s">
        <v>294</v>
      </c>
      <c r="E463" s="320">
        <v>7</v>
      </c>
      <c r="F463" s="270"/>
      <c r="G463" s="5"/>
      <c r="H463" s="89"/>
      <c r="I463" s="179"/>
      <c r="J463" s="25"/>
      <c r="K463" s="155"/>
      <c r="L463" s="104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105"/>
      <c r="Y463" s="348">
        <f t="shared" si="97"/>
        <v>0</v>
      </c>
      <c r="Z463" s="162"/>
      <c r="AA463" s="348"/>
      <c r="AB463" s="162">
        <f t="shared" si="98"/>
        <v>0</v>
      </c>
      <c r="AC463" s="263">
        <f t="shared" si="92"/>
        <v>7</v>
      </c>
      <c r="AD463" s="48"/>
    </row>
    <row r="464" spans="1:30" ht="60">
      <c r="A464" s="11"/>
      <c r="B464" s="81" t="s">
        <v>223</v>
      </c>
      <c r="C464" s="302" t="s">
        <v>1035</v>
      </c>
      <c r="D464" s="323" t="s">
        <v>294</v>
      </c>
      <c r="E464" s="320">
        <v>4</v>
      </c>
      <c r="F464" s="270"/>
      <c r="G464" s="5"/>
      <c r="H464" s="89"/>
      <c r="I464" s="179"/>
      <c r="J464" s="25"/>
      <c r="K464" s="155"/>
      <c r="L464" s="104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105"/>
      <c r="Y464" s="348">
        <f t="shared" si="97"/>
        <v>0</v>
      </c>
      <c r="Z464" s="162"/>
      <c r="AA464" s="348"/>
      <c r="AB464" s="162">
        <f t="shared" si="98"/>
        <v>0</v>
      </c>
      <c r="AC464" s="263">
        <f t="shared" si="92"/>
        <v>4</v>
      </c>
      <c r="AD464" s="48"/>
    </row>
    <row r="465" spans="1:30" s="225" customFormat="1" ht="30">
      <c r="A465" s="149"/>
      <c r="B465" s="81"/>
      <c r="C465" s="302"/>
      <c r="D465" s="323"/>
      <c r="E465" s="320"/>
      <c r="F465" s="272" t="s">
        <v>783</v>
      </c>
      <c r="G465" s="25" t="s">
        <v>294</v>
      </c>
      <c r="H465" s="91">
        <v>400</v>
      </c>
      <c r="I465" s="179" t="s">
        <v>887</v>
      </c>
      <c r="J465" s="25" t="s">
        <v>294</v>
      </c>
      <c r="K465" s="155">
        <v>400</v>
      </c>
      <c r="L465" s="106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107"/>
      <c r="Y465" s="348">
        <f t="shared" si="97"/>
        <v>0</v>
      </c>
      <c r="Z465" s="162"/>
      <c r="AA465" s="348"/>
      <c r="AB465" s="162">
        <f t="shared" si="98"/>
        <v>400</v>
      </c>
      <c r="AC465" s="263">
        <f t="shared" si="92"/>
        <v>0</v>
      </c>
      <c r="AD465" s="73"/>
    </row>
    <row r="466" spans="1:30" ht="30">
      <c r="A466" s="11"/>
      <c r="B466" s="81" t="s">
        <v>226</v>
      </c>
      <c r="C466" s="302" t="s">
        <v>227</v>
      </c>
      <c r="D466" s="323" t="s">
        <v>298</v>
      </c>
      <c r="E466" s="320">
        <v>1</v>
      </c>
      <c r="F466" s="270" t="s">
        <v>227</v>
      </c>
      <c r="G466" s="5" t="s">
        <v>298</v>
      </c>
      <c r="H466" s="89">
        <v>1</v>
      </c>
      <c r="I466" s="162"/>
      <c r="J466" s="25" t="s">
        <v>298</v>
      </c>
      <c r="K466" s="155"/>
      <c r="L466" s="104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105"/>
      <c r="Y466" s="348">
        <f t="shared" si="97"/>
        <v>0</v>
      </c>
      <c r="Z466" s="162"/>
      <c r="AA466" s="348"/>
      <c r="AB466" s="162">
        <f t="shared" si="98"/>
        <v>1</v>
      </c>
      <c r="AC466" s="263">
        <f t="shared" si="92"/>
        <v>1</v>
      </c>
      <c r="AD466" s="48"/>
    </row>
    <row r="467" spans="1:30" ht="45">
      <c r="A467" s="11"/>
      <c r="B467" s="81" t="s">
        <v>228</v>
      </c>
      <c r="C467" s="302" t="s">
        <v>229</v>
      </c>
      <c r="D467" s="323" t="s">
        <v>294</v>
      </c>
      <c r="E467" s="320">
        <v>1</v>
      </c>
      <c r="F467" s="270" t="s">
        <v>229</v>
      </c>
      <c r="G467" s="5" t="s">
        <v>294</v>
      </c>
      <c r="H467" s="89">
        <v>1</v>
      </c>
      <c r="I467" s="162"/>
      <c r="J467" s="25" t="s">
        <v>294</v>
      </c>
      <c r="K467" s="155"/>
      <c r="L467" s="104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105"/>
      <c r="Y467" s="348">
        <f t="shared" si="97"/>
        <v>0</v>
      </c>
      <c r="Z467" s="162"/>
      <c r="AA467" s="348"/>
      <c r="AB467" s="162">
        <f t="shared" si="98"/>
        <v>1</v>
      </c>
      <c r="AC467" s="263">
        <f t="shared" si="92"/>
        <v>1</v>
      </c>
      <c r="AD467" s="48"/>
    </row>
    <row r="468" spans="1:30" ht="30">
      <c r="A468" s="11"/>
      <c r="B468" s="81" t="s">
        <v>230</v>
      </c>
      <c r="C468" s="302" t="s">
        <v>231</v>
      </c>
      <c r="D468" s="323" t="s">
        <v>298</v>
      </c>
      <c r="E468" s="320">
        <v>1</v>
      </c>
      <c r="F468" s="270" t="s">
        <v>231</v>
      </c>
      <c r="G468" s="5" t="s">
        <v>298</v>
      </c>
      <c r="H468" s="89">
        <v>1</v>
      </c>
      <c r="I468" s="162"/>
      <c r="J468" s="25" t="s">
        <v>298</v>
      </c>
      <c r="K468" s="155"/>
      <c r="L468" s="104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105"/>
      <c r="Y468" s="348">
        <f t="shared" si="97"/>
        <v>0</v>
      </c>
      <c r="Z468" s="162"/>
      <c r="AA468" s="348"/>
      <c r="AB468" s="162">
        <f t="shared" si="98"/>
        <v>1</v>
      </c>
      <c r="AC468" s="263">
        <f t="shared" si="92"/>
        <v>1</v>
      </c>
      <c r="AD468" s="48"/>
    </row>
    <row r="469" spans="1:30" ht="60">
      <c r="A469" s="11"/>
      <c r="B469" s="81" t="s">
        <v>232</v>
      </c>
      <c r="C469" s="302" t="s">
        <v>233</v>
      </c>
      <c r="D469" s="323" t="s">
        <v>294</v>
      </c>
      <c r="E469" s="320">
        <v>1</v>
      </c>
      <c r="F469" s="270" t="s">
        <v>233</v>
      </c>
      <c r="G469" s="5" t="s">
        <v>294</v>
      </c>
      <c r="H469" s="89">
        <v>1</v>
      </c>
      <c r="I469" s="162"/>
      <c r="J469" s="25" t="s">
        <v>294</v>
      </c>
      <c r="K469" s="155"/>
      <c r="L469" s="104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105"/>
      <c r="Y469" s="348">
        <f t="shared" si="97"/>
        <v>0</v>
      </c>
      <c r="Z469" s="162"/>
      <c r="AA469" s="348"/>
      <c r="AB469" s="162">
        <f t="shared" si="98"/>
        <v>1</v>
      </c>
      <c r="AC469" s="263">
        <f t="shared" si="92"/>
        <v>1</v>
      </c>
      <c r="AD469" s="48"/>
    </row>
    <row r="470" spans="1:30" ht="45">
      <c r="A470" s="11"/>
      <c r="B470" s="81" t="s">
        <v>234</v>
      </c>
      <c r="C470" s="302" t="s">
        <v>235</v>
      </c>
      <c r="D470" s="323" t="s">
        <v>294</v>
      </c>
      <c r="E470" s="320">
        <v>1</v>
      </c>
      <c r="F470" s="270" t="s">
        <v>235</v>
      </c>
      <c r="G470" s="5" t="s">
        <v>294</v>
      </c>
      <c r="H470" s="89">
        <v>1</v>
      </c>
      <c r="I470" s="162"/>
      <c r="J470" s="25" t="s">
        <v>294</v>
      </c>
      <c r="K470" s="155"/>
      <c r="L470" s="104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105"/>
      <c r="Y470" s="348">
        <f t="shared" si="97"/>
        <v>0</v>
      </c>
      <c r="Z470" s="162"/>
      <c r="AA470" s="348"/>
      <c r="AB470" s="162">
        <f t="shared" si="98"/>
        <v>1</v>
      </c>
      <c r="AC470" s="263">
        <f t="shared" si="92"/>
        <v>1</v>
      </c>
      <c r="AD470" s="48"/>
    </row>
    <row r="471" spans="1:30" ht="45">
      <c r="A471" s="11"/>
      <c r="B471" s="81" t="s">
        <v>236</v>
      </c>
      <c r="C471" s="302" t="s">
        <v>237</v>
      </c>
      <c r="D471" s="323" t="s">
        <v>294</v>
      </c>
      <c r="E471" s="320">
        <v>1</v>
      </c>
      <c r="F471" s="270" t="s">
        <v>237</v>
      </c>
      <c r="G471" s="5" t="s">
        <v>294</v>
      </c>
      <c r="H471" s="89">
        <v>1</v>
      </c>
      <c r="I471" s="162"/>
      <c r="J471" s="25" t="s">
        <v>294</v>
      </c>
      <c r="K471" s="155"/>
      <c r="L471" s="104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105"/>
      <c r="Y471" s="348">
        <f t="shared" si="97"/>
        <v>0</v>
      </c>
      <c r="Z471" s="162"/>
      <c r="AA471" s="348"/>
      <c r="AB471" s="162">
        <f t="shared" si="98"/>
        <v>1</v>
      </c>
      <c r="AC471" s="263">
        <f t="shared" si="92"/>
        <v>1</v>
      </c>
      <c r="AD471" s="48"/>
    </row>
    <row r="472" spans="1:30" ht="60">
      <c r="A472" s="11"/>
      <c r="B472" s="81" t="s">
        <v>238</v>
      </c>
      <c r="C472" s="302" t="s">
        <v>239</v>
      </c>
      <c r="D472" s="323" t="s">
        <v>294</v>
      </c>
      <c r="E472" s="320">
        <v>1</v>
      </c>
      <c r="F472" s="270" t="s">
        <v>239</v>
      </c>
      <c r="G472" s="5" t="s">
        <v>294</v>
      </c>
      <c r="H472" s="89">
        <v>1</v>
      </c>
      <c r="I472" s="162"/>
      <c r="J472" s="25" t="s">
        <v>294</v>
      </c>
      <c r="K472" s="155"/>
      <c r="L472" s="104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105"/>
      <c r="Y472" s="348">
        <f t="shared" si="97"/>
        <v>0</v>
      </c>
      <c r="Z472" s="162"/>
      <c r="AA472" s="348"/>
      <c r="AB472" s="162">
        <f t="shared" si="98"/>
        <v>1</v>
      </c>
      <c r="AC472" s="263">
        <f t="shared" si="92"/>
        <v>1</v>
      </c>
      <c r="AD472" s="48"/>
    </row>
    <row r="473" spans="1:30" ht="60">
      <c r="A473" s="11"/>
      <c r="B473" s="81" t="s">
        <v>240</v>
      </c>
      <c r="C473" s="302" t="s">
        <v>241</v>
      </c>
      <c r="D473" s="323" t="s">
        <v>294</v>
      </c>
      <c r="E473" s="320">
        <v>1</v>
      </c>
      <c r="F473" s="270" t="s">
        <v>241</v>
      </c>
      <c r="G473" s="5" t="s">
        <v>294</v>
      </c>
      <c r="H473" s="89">
        <v>1</v>
      </c>
      <c r="I473" s="162"/>
      <c r="J473" s="25" t="s">
        <v>294</v>
      </c>
      <c r="K473" s="155"/>
      <c r="L473" s="104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105"/>
      <c r="Y473" s="348">
        <f t="shared" si="97"/>
        <v>0</v>
      </c>
      <c r="Z473" s="162"/>
      <c r="AA473" s="348"/>
      <c r="AB473" s="162">
        <f t="shared" si="98"/>
        <v>1</v>
      </c>
      <c r="AC473" s="263">
        <f t="shared" si="92"/>
        <v>1</v>
      </c>
      <c r="AD473" s="48"/>
    </row>
    <row r="474" spans="1:30" ht="30">
      <c r="A474" s="11"/>
      <c r="B474" s="81" t="s">
        <v>242</v>
      </c>
      <c r="C474" s="302" t="s">
        <v>243</v>
      </c>
      <c r="D474" s="323" t="s">
        <v>294</v>
      </c>
      <c r="E474" s="320">
        <v>1</v>
      </c>
      <c r="F474" s="270" t="s">
        <v>243</v>
      </c>
      <c r="G474" s="5" t="s">
        <v>294</v>
      </c>
      <c r="H474" s="89">
        <v>1</v>
      </c>
      <c r="I474" s="162"/>
      <c r="J474" s="25" t="s">
        <v>294</v>
      </c>
      <c r="K474" s="155"/>
      <c r="L474" s="104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105"/>
      <c r="Y474" s="348">
        <f t="shared" si="97"/>
        <v>0</v>
      </c>
      <c r="Z474" s="162"/>
      <c r="AA474" s="348"/>
      <c r="AB474" s="162">
        <f t="shared" si="98"/>
        <v>1</v>
      </c>
      <c r="AC474" s="263">
        <f t="shared" si="92"/>
        <v>1</v>
      </c>
      <c r="AD474" s="48"/>
    </row>
    <row r="475" spans="1:30" ht="45">
      <c r="A475" s="11"/>
      <c r="B475" s="81" t="s">
        <v>244</v>
      </c>
      <c r="C475" s="302" t="s">
        <v>245</v>
      </c>
      <c r="D475" s="323" t="s">
        <v>294</v>
      </c>
      <c r="E475" s="320">
        <v>1</v>
      </c>
      <c r="F475" s="270" t="s">
        <v>245</v>
      </c>
      <c r="G475" s="5" t="s">
        <v>294</v>
      </c>
      <c r="H475" s="89">
        <v>1</v>
      </c>
      <c r="I475" s="162"/>
      <c r="J475" s="25" t="s">
        <v>294</v>
      </c>
      <c r="K475" s="155"/>
      <c r="L475" s="104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105"/>
      <c r="Y475" s="348">
        <f t="shared" si="97"/>
        <v>0</v>
      </c>
      <c r="Z475" s="162"/>
      <c r="AA475" s="348"/>
      <c r="AB475" s="162">
        <f t="shared" si="98"/>
        <v>1</v>
      </c>
      <c r="AC475" s="263">
        <f t="shared" si="92"/>
        <v>1</v>
      </c>
      <c r="AD475" s="48"/>
    </row>
    <row r="476" spans="1:30" ht="30">
      <c r="A476" s="11"/>
      <c r="B476" s="81" t="s">
        <v>246</v>
      </c>
      <c r="C476" s="302" t="s">
        <v>247</v>
      </c>
      <c r="D476" s="323" t="s">
        <v>294</v>
      </c>
      <c r="E476" s="320">
        <v>1</v>
      </c>
      <c r="F476" s="270" t="s">
        <v>247</v>
      </c>
      <c r="G476" s="5" t="s">
        <v>294</v>
      </c>
      <c r="H476" s="89">
        <v>1</v>
      </c>
      <c r="I476" s="162"/>
      <c r="J476" s="25" t="s">
        <v>294</v>
      </c>
      <c r="K476" s="155"/>
      <c r="L476" s="104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105"/>
      <c r="Y476" s="348">
        <f t="shared" si="97"/>
        <v>0</v>
      </c>
      <c r="Z476" s="162"/>
      <c r="AA476" s="348"/>
      <c r="AB476" s="162">
        <f t="shared" si="98"/>
        <v>1</v>
      </c>
      <c r="AC476" s="263">
        <f t="shared" si="92"/>
        <v>1</v>
      </c>
      <c r="AD476" s="48"/>
    </row>
    <row r="477" spans="1:30" ht="45">
      <c r="A477" s="11"/>
      <c r="B477" s="81" t="s">
        <v>248</v>
      </c>
      <c r="C477" s="302" t="s">
        <v>249</v>
      </c>
      <c r="D477" s="323" t="s">
        <v>294</v>
      </c>
      <c r="E477" s="320">
        <v>1</v>
      </c>
      <c r="F477" s="270" t="s">
        <v>249</v>
      </c>
      <c r="G477" s="5" t="s">
        <v>294</v>
      </c>
      <c r="H477" s="89">
        <v>1</v>
      </c>
      <c r="I477" s="162"/>
      <c r="J477" s="25" t="s">
        <v>294</v>
      </c>
      <c r="K477" s="155"/>
      <c r="L477" s="104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105"/>
      <c r="Y477" s="348">
        <f t="shared" si="97"/>
        <v>0</v>
      </c>
      <c r="Z477" s="162"/>
      <c r="AA477" s="348"/>
      <c r="AB477" s="162">
        <f t="shared" si="98"/>
        <v>1</v>
      </c>
      <c r="AC477" s="263">
        <f t="shared" si="92"/>
        <v>1</v>
      </c>
      <c r="AD477" s="48"/>
    </row>
    <row r="478" spans="1:30" ht="60">
      <c r="A478" s="11"/>
      <c r="B478" s="81" t="s">
        <v>250</v>
      </c>
      <c r="C478" s="302" t="s">
        <v>251</v>
      </c>
      <c r="D478" s="323" t="s">
        <v>294</v>
      </c>
      <c r="E478" s="320">
        <v>1</v>
      </c>
      <c r="F478" s="270" t="s">
        <v>251</v>
      </c>
      <c r="G478" s="5" t="s">
        <v>294</v>
      </c>
      <c r="H478" s="89">
        <v>1</v>
      </c>
      <c r="I478" s="162"/>
      <c r="J478" s="25" t="s">
        <v>294</v>
      </c>
      <c r="K478" s="155"/>
      <c r="L478" s="104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105"/>
      <c r="Y478" s="348">
        <f t="shared" si="97"/>
        <v>0</v>
      </c>
      <c r="Z478" s="162"/>
      <c r="AA478" s="348"/>
      <c r="AB478" s="162">
        <f t="shared" si="98"/>
        <v>1</v>
      </c>
      <c r="AC478" s="263">
        <f t="shared" si="92"/>
        <v>1</v>
      </c>
      <c r="AD478" s="48"/>
    </row>
    <row r="479" spans="1:30" ht="30">
      <c r="A479" s="11"/>
      <c r="B479" s="81" t="s">
        <v>252</v>
      </c>
      <c r="C479" s="302" t="s">
        <v>253</v>
      </c>
      <c r="D479" s="323" t="s">
        <v>294</v>
      </c>
      <c r="E479" s="320">
        <v>1</v>
      </c>
      <c r="F479" s="270" t="s">
        <v>253</v>
      </c>
      <c r="G479" s="5" t="s">
        <v>294</v>
      </c>
      <c r="H479" s="89">
        <v>1</v>
      </c>
      <c r="I479" s="162"/>
      <c r="J479" s="25" t="s">
        <v>294</v>
      </c>
      <c r="K479" s="155"/>
      <c r="L479" s="104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105"/>
      <c r="Y479" s="348">
        <f t="shared" si="97"/>
        <v>0</v>
      </c>
      <c r="Z479" s="162"/>
      <c r="AA479" s="348"/>
      <c r="AB479" s="162">
        <f t="shared" si="98"/>
        <v>1</v>
      </c>
      <c r="AC479" s="263">
        <f t="shared" si="92"/>
        <v>1</v>
      </c>
      <c r="AD479" s="48"/>
    </row>
    <row r="480" spans="1:30" s="65" customFormat="1">
      <c r="A480" s="23"/>
      <c r="B480" s="82"/>
      <c r="C480" s="83" t="s">
        <v>108</v>
      </c>
      <c r="D480" s="84"/>
      <c r="E480" s="120"/>
      <c r="F480" s="304" t="s">
        <v>108</v>
      </c>
      <c r="G480" s="24"/>
      <c r="H480" s="93"/>
      <c r="I480" s="165"/>
      <c r="J480" s="24"/>
      <c r="K480" s="165"/>
      <c r="L480" s="110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111"/>
      <c r="Y480" s="351"/>
      <c r="Z480" s="165"/>
      <c r="AA480" s="351"/>
      <c r="AB480" s="165"/>
      <c r="AC480" s="165"/>
      <c r="AD480" s="309"/>
    </row>
    <row r="481" spans="1:30" ht="30">
      <c r="A481" s="11"/>
      <c r="B481" s="81" t="s">
        <v>254</v>
      </c>
      <c r="C481" s="302" t="s">
        <v>255</v>
      </c>
      <c r="D481" s="323" t="s">
        <v>294</v>
      </c>
      <c r="E481" s="320">
        <v>10</v>
      </c>
      <c r="F481" s="274" t="s">
        <v>255</v>
      </c>
      <c r="G481" s="5" t="s">
        <v>294</v>
      </c>
      <c r="H481" s="89">
        <v>10</v>
      </c>
      <c r="I481" s="162"/>
      <c r="J481" s="5" t="s">
        <v>294</v>
      </c>
      <c r="K481" s="162"/>
      <c r="L481" s="104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105"/>
      <c r="Y481" s="348">
        <f t="shared" si="95"/>
        <v>0</v>
      </c>
      <c r="Z481" s="162"/>
      <c r="AA481" s="348"/>
      <c r="AB481" s="162">
        <f t="shared" si="96"/>
        <v>10</v>
      </c>
      <c r="AC481" s="263">
        <f t="shared" ref="AC481:AC483" si="99">E481-Y481</f>
        <v>10</v>
      </c>
      <c r="AD481" s="48"/>
    </row>
    <row r="482" spans="1:30" ht="30">
      <c r="A482" s="11"/>
      <c r="B482" s="81" t="s">
        <v>254</v>
      </c>
      <c r="C482" s="302" t="s">
        <v>255</v>
      </c>
      <c r="D482" s="323" t="s">
        <v>294</v>
      </c>
      <c r="E482" s="320">
        <v>20</v>
      </c>
      <c r="F482" s="274" t="s">
        <v>255</v>
      </c>
      <c r="G482" s="5" t="s">
        <v>294</v>
      </c>
      <c r="H482" s="89">
        <v>20</v>
      </c>
      <c r="I482" s="162"/>
      <c r="J482" s="5" t="s">
        <v>294</v>
      </c>
      <c r="K482" s="162"/>
      <c r="L482" s="104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105"/>
      <c r="Y482" s="348">
        <f t="shared" si="95"/>
        <v>0</v>
      </c>
      <c r="Z482" s="162"/>
      <c r="AA482" s="348"/>
      <c r="AB482" s="162">
        <f t="shared" si="96"/>
        <v>20</v>
      </c>
      <c r="AC482" s="263">
        <f t="shared" si="99"/>
        <v>20</v>
      </c>
      <c r="AD482" s="48"/>
    </row>
    <row r="483" spans="1:30" ht="60">
      <c r="A483" s="11"/>
      <c r="B483" s="81" t="s">
        <v>256</v>
      </c>
      <c r="C483" s="302" t="s">
        <v>257</v>
      </c>
      <c r="D483" s="323" t="s">
        <v>291</v>
      </c>
      <c r="E483" s="320">
        <v>70</v>
      </c>
      <c r="F483" s="274" t="s">
        <v>257</v>
      </c>
      <c r="G483" s="5" t="s">
        <v>600</v>
      </c>
      <c r="H483" s="89">
        <v>70</v>
      </c>
      <c r="I483" s="162"/>
      <c r="J483" s="5" t="s">
        <v>600</v>
      </c>
      <c r="K483" s="162"/>
      <c r="L483" s="104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105"/>
      <c r="Y483" s="348">
        <f t="shared" si="95"/>
        <v>0</v>
      </c>
      <c r="Z483" s="162"/>
      <c r="AA483" s="348"/>
      <c r="AB483" s="162">
        <f t="shared" si="96"/>
        <v>70</v>
      </c>
      <c r="AC483" s="263">
        <f t="shared" si="99"/>
        <v>70</v>
      </c>
      <c r="AD483" s="48"/>
    </row>
    <row r="484" spans="1:30" s="65" customFormat="1">
      <c r="A484" s="23"/>
      <c r="B484" s="82"/>
      <c r="C484" s="83" t="s">
        <v>258</v>
      </c>
      <c r="D484" s="84"/>
      <c r="E484" s="120"/>
      <c r="F484" s="304" t="s">
        <v>258</v>
      </c>
      <c r="G484" s="24"/>
      <c r="H484" s="93"/>
      <c r="I484" s="165"/>
      <c r="J484" s="24"/>
      <c r="K484" s="165"/>
      <c r="L484" s="110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111"/>
      <c r="Y484" s="351"/>
      <c r="Z484" s="165"/>
      <c r="AA484" s="351"/>
      <c r="AB484" s="165"/>
      <c r="AC484" s="165"/>
      <c r="AD484" s="309"/>
    </row>
    <row r="485" spans="1:30" ht="30">
      <c r="A485" s="11"/>
      <c r="B485" s="302" t="s">
        <v>259</v>
      </c>
      <c r="C485" s="302" t="s">
        <v>260</v>
      </c>
      <c r="D485" s="323" t="s">
        <v>291</v>
      </c>
      <c r="E485" s="320">
        <v>150</v>
      </c>
      <c r="F485" s="270" t="s">
        <v>260</v>
      </c>
      <c r="G485" s="26" t="s">
        <v>600</v>
      </c>
      <c r="H485" s="96">
        <v>150</v>
      </c>
      <c r="I485" s="168"/>
      <c r="J485" s="26" t="s">
        <v>600</v>
      </c>
      <c r="K485" s="168"/>
      <c r="L485" s="121"/>
      <c r="M485" s="26">
        <v>120</v>
      </c>
      <c r="N485" s="5"/>
      <c r="O485" s="5"/>
      <c r="P485" s="5"/>
      <c r="Q485" s="5">
        <v>30</v>
      </c>
      <c r="R485" s="5"/>
      <c r="S485" s="5"/>
      <c r="T485" s="5"/>
      <c r="U485" s="5"/>
      <c r="V485" s="5"/>
      <c r="W485" s="5"/>
      <c r="X485" s="105"/>
      <c r="Y485" s="348">
        <f t="shared" si="95"/>
        <v>150</v>
      </c>
      <c r="Z485" s="162"/>
      <c r="AA485" s="388">
        <f>Y485</f>
        <v>150</v>
      </c>
      <c r="AB485" s="162">
        <f t="shared" si="96"/>
        <v>0</v>
      </c>
      <c r="AC485" s="263">
        <f t="shared" ref="AC485:AC487" si="100">E485-Y485</f>
        <v>0</v>
      </c>
      <c r="AD485" s="48" t="s">
        <v>413</v>
      </c>
    </row>
    <row r="486" spans="1:30" ht="30">
      <c r="A486" s="11"/>
      <c r="B486" s="81" t="s">
        <v>9</v>
      </c>
      <c r="C486" s="302" t="s">
        <v>4</v>
      </c>
      <c r="D486" s="323" t="s">
        <v>290</v>
      </c>
      <c r="E486" s="320">
        <v>660</v>
      </c>
      <c r="F486" s="274" t="s">
        <v>4</v>
      </c>
      <c r="G486" s="5" t="s">
        <v>1088</v>
      </c>
      <c r="H486" s="89">
        <v>660</v>
      </c>
      <c r="I486" s="162"/>
      <c r="J486" s="5" t="s">
        <v>1088</v>
      </c>
      <c r="K486" s="162"/>
      <c r="L486" s="104"/>
      <c r="M486" s="5">
        <f>M485*4.4</f>
        <v>528</v>
      </c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105"/>
      <c r="Y486" s="348">
        <f t="shared" si="95"/>
        <v>528</v>
      </c>
      <c r="Z486" s="162"/>
      <c r="AA486" s="388">
        <f>Y486</f>
        <v>528</v>
      </c>
      <c r="AB486" s="162">
        <f t="shared" si="96"/>
        <v>132</v>
      </c>
      <c r="AC486" s="263">
        <f t="shared" si="100"/>
        <v>132</v>
      </c>
      <c r="AD486" s="48" t="s">
        <v>413</v>
      </c>
    </row>
    <row r="487" spans="1:30" ht="30">
      <c r="A487" s="11"/>
      <c r="B487" s="81" t="s">
        <v>261</v>
      </c>
      <c r="C487" s="302" t="s">
        <v>262</v>
      </c>
      <c r="D487" s="323" t="s">
        <v>291</v>
      </c>
      <c r="E487" s="320">
        <v>160</v>
      </c>
      <c r="F487" s="274" t="s">
        <v>262</v>
      </c>
      <c r="G487" s="5" t="s">
        <v>600</v>
      </c>
      <c r="H487" s="89">
        <v>160</v>
      </c>
      <c r="I487" s="162"/>
      <c r="J487" s="5" t="s">
        <v>600</v>
      </c>
      <c r="K487" s="162"/>
      <c r="L487" s="104"/>
      <c r="M487" s="5">
        <v>160</v>
      </c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105"/>
      <c r="Y487" s="348">
        <f t="shared" si="95"/>
        <v>160</v>
      </c>
      <c r="Z487" s="162"/>
      <c r="AA487" s="388">
        <f>Y487</f>
        <v>160</v>
      </c>
      <c r="AB487" s="162">
        <f t="shared" si="96"/>
        <v>0</v>
      </c>
      <c r="AC487" s="263">
        <f t="shared" si="100"/>
        <v>0</v>
      </c>
      <c r="AD487" s="48" t="s">
        <v>411</v>
      </c>
    </row>
    <row r="488" spans="1:30" s="65" customFormat="1">
      <c r="A488" s="23"/>
      <c r="B488" s="82"/>
      <c r="C488" s="83" t="s">
        <v>263</v>
      </c>
      <c r="D488" s="84"/>
      <c r="E488" s="120"/>
      <c r="F488" s="304" t="s">
        <v>263</v>
      </c>
      <c r="G488" s="24"/>
      <c r="H488" s="93"/>
      <c r="I488" s="165"/>
      <c r="J488" s="24"/>
      <c r="K488" s="165"/>
      <c r="L488" s="110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111"/>
      <c r="Y488" s="351"/>
      <c r="Z488" s="165"/>
      <c r="AA488" s="351"/>
      <c r="AB488" s="165"/>
      <c r="AC488" s="165"/>
      <c r="AD488" s="309"/>
    </row>
    <row r="489" spans="1:30">
      <c r="A489" s="11"/>
      <c r="B489" s="81" t="s">
        <v>264</v>
      </c>
      <c r="C489" s="302" t="s">
        <v>265</v>
      </c>
      <c r="D489" s="323" t="s">
        <v>291</v>
      </c>
      <c r="E489" s="320">
        <v>2</v>
      </c>
      <c r="F489" s="274" t="s">
        <v>265</v>
      </c>
      <c r="G489" s="5" t="s">
        <v>600</v>
      </c>
      <c r="H489" s="89">
        <v>2</v>
      </c>
      <c r="I489" s="162"/>
      <c r="J489" s="5" t="s">
        <v>600</v>
      </c>
      <c r="K489" s="162"/>
      <c r="L489" s="104"/>
      <c r="M489" s="5"/>
      <c r="N489" s="5">
        <v>2</v>
      </c>
      <c r="O489" s="5"/>
      <c r="P489" s="5"/>
      <c r="Q489" s="5"/>
      <c r="R489" s="5"/>
      <c r="S489" s="5"/>
      <c r="T489" s="5"/>
      <c r="U489" s="5"/>
      <c r="V489" s="5"/>
      <c r="W489" s="5"/>
      <c r="X489" s="105"/>
      <c r="Y489" s="348">
        <f t="shared" si="95"/>
        <v>2</v>
      </c>
      <c r="Z489" s="162"/>
      <c r="AA489" s="348"/>
      <c r="AB489" s="162">
        <f t="shared" si="96"/>
        <v>0</v>
      </c>
      <c r="AC489" s="263">
        <f t="shared" ref="AC489:AC497" si="101">E489-Y489</f>
        <v>0</v>
      </c>
      <c r="AD489" s="48" t="s">
        <v>410</v>
      </c>
    </row>
    <row r="490" spans="1:30" ht="30">
      <c r="A490" s="11"/>
      <c r="B490" s="81" t="s">
        <v>266</v>
      </c>
      <c r="C490" s="302" t="s">
        <v>267</v>
      </c>
      <c r="D490" s="323" t="s">
        <v>294</v>
      </c>
      <c r="E490" s="320">
        <v>4</v>
      </c>
      <c r="F490" s="274" t="s">
        <v>267</v>
      </c>
      <c r="G490" s="5" t="s">
        <v>294</v>
      </c>
      <c r="H490" s="89">
        <v>4</v>
      </c>
      <c r="I490" s="162"/>
      <c r="J490" s="5" t="s">
        <v>294</v>
      </c>
      <c r="K490" s="162"/>
      <c r="L490" s="104"/>
      <c r="M490" s="5"/>
      <c r="N490" s="5">
        <v>4</v>
      </c>
      <c r="O490" s="5"/>
      <c r="P490" s="5"/>
      <c r="Q490" s="5"/>
      <c r="R490" s="5"/>
      <c r="S490" s="5"/>
      <c r="T490" s="5"/>
      <c r="U490" s="5"/>
      <c r="V490" s="5"/>
      <c r="W490" s="5"/>
      <c r="X490" s="105"/>
      <c r="Y490" s="348">
        <f t="shared" si="95"/>
        <v>4</v>
      </c>
      <c r="Z490" s="162"/>
      <c r="AA490" s="348"/>
      <c r="AB490" s="162">
        <f t="shared" si="96"/>
        <v>0</v>
      </c>
      <c r="AC490" s="263">
        <f t="shared" si="101"/>
        <v>0</v>
      </c>
      <c r="AD490" s="48" t="s">
        <v>410</v>
      </c>
    </row>
    <row r="491" spans="1:30" ht="30">
      <c r="A491" s="11"/>
      <c r="B491" s="81" t="s">
        <v>268</v>
      </c>
      <c r="C491" s="302" t="s">
        <v>269</v>
      </c>
      <c r="D491" s="323" t="s">
        <v>291</v>
      </c>
      <c r="E491" s="320">
        <v>150</v>
      </c>
      <c r="F491" s="274" t="s">
        <v>269</v>
      </c>
      <c r="G491" s="5" t="s">
        <v>600</v>
      </c>
      <c r="H491" s="89">
        <v>150</v>
      </c>
      <c r="I491" s="162"/>
      <c r="J491" s="5" t="s">
        <v>600</v>
      </c>
      <c r="K491" s="162"/>
      <c r="L491" s="104"/>
      <c r="M491" s="5"/>
      <c r="N491" s="5">
        <v>150</v>
      </c>
      <c r="O491" s="5"/>
      <c r="P491" s="5"/>
      <c r="Q491" s="5"/>
      <c r="R491" s="5"/>
      <c r="S491" s="5"/>
      <c r="T491" s="5"/>
      <c r="U491" s="5"/>
      <c r="V491" s="5"/>
      <c r="W491" s="5"/>
      <c r="X491" s="105"/>
      <c r="Y491" s="348">
        <f t="shared" si="95"/>
        <v>150</v>
      </c>
      <c r="Z491" s="162"/>
      <c r="AA491" s="348"/>
      <c r="AB491" s="162">
        <f t="shared" si="96"/>
        <v>0</v>
      </c>
      <c r="AC491" s="263">
        <f t="shared" si="101"/>
        <v>0</v>
      </c>
      <c r="AD491" s="48" t="s">
        <v>410</v>
      </c>
    </row>
    <row r="492" spans="1:30" ht="30">
      <c r="A492" s="11"/>
      <c r="B492" s="81" t="s">
        <v>270</v>
      </c>
      <c r="C492" s="302" t="s">
        <v>271</v>
      </c>
      <c r="D492" s="323" t="s">
        <v>299</v>
      </c>
      <c r="E492" s="320">
        <v>1.5</v>
      </c>
      <c r="F492" s="274" t="s">
        <v>271</v>
      </c>
      <c r="G492" s="5" t="s">
        <v>299</v>
      </c>
      <c r="H492" s="89">
        <v>1.5</v>
      </c>
      <c r="I492" s="162"/>
      <c r="J492" s="5" t="s">
        <v>299</v>
      </c>
      <c r="K492" s="162"/>
      <c r="L492" s="104"/>
      <c r="M492" s="5"/>
      <c r="N492" s="5">
        <v>1.5</v>
      </c>
      <c r="O492" s="5"/>
      <c r="P492" s="5"/>
      <c r="Q492" s="5"/>
      <c r="R492" s="5"/>
      <c r="S492" s="5"/>
      <c r="T492" s="5"/>
      <c r="U492" s="5"/>
      <c r="V492" s="5"/>
      <c r="W492" s="5"/>
      <c r="X492" s="105"/>
      <c r="Y492" s="348">
        <f t="shared" si="95"/>
        <v>1.5</v>
      </c>
      <c r="Z492" s="162"/>
      <c r="AA492" s="348"/>
      <c r="AB492" s="162">
        <f t="shared" si="96"/>
        <v>0</v>
      </c>
      <c r="AC492" s="263">
        <f t="shared" si="101"/>
        <v>0</v>
      </c>
      <c r="AD492" s="48" t="s">
        <v>410</v>
      </c>
    </row>
    <row r="493" spans="1:30" ht="45">
      <c r="A493" s="11"/>
      <c r="B493" s="81" t="s">
        <v>272</v>
      </c>
      <c r="C493" s="302" t="s">
        <v>273</v>
      </c>
      <c r="D493" s="323" t="s">
        <v>294</v>
      </c>
      <c r="E493" s="320">
        <v>2</v>
      </c>
      <c r="F493" s="274" t="s">
        <v>273</v>
      </c>
      <c r="G493" s="5" t="s">
        <v>294</v>
      </c>
      <c r="H493" s="89">
        <v>2</v>
      </c>
      <c r="I493" s="162"/>
      <c r="J493" s="5" t="s">
        <v>294</v>
      </c>
      <c r="K493" s="162"/>
      <c r="L493" s="104"/>
      <c r="M493" s="5"/>
      <c r="N493" s="5">
        <v>2</v>
      </c>
      <c r="O493" s="5"/>
      <c r="P493" s="5"/>
      <c r="Q493" s="5"/>
      <c r="R493" s="5"/>
      <c r="S493" s="5"/>
      <c r="T493" s="5"/>
      <c r="U493" s="5"/>
      <c r="V493" s="5"/>
      <c r="W493" s="5"/>
      <c r="X493" s="105"/>
      <c r="Y493" s="348">
        <f t="shared" si="95"/>
        <v>2</v>
      </c>
      <c r="Z493" s="162"/>
      <c r="AA493" s="348"/>
      <c r="AB493" s="162">
        <f t="shared" si="96"/>
        <v>0</v>
      </c>
      <c r="AC493" s="263">
        <f t="shared" si="101"/>
        <v>0</v>
      </c>
      <c r="AD493" s="48" t="s">
        <v>410</v>
      </c>
    </row>
    <row r="494" spans="1:30" ht="60">
      <c r="A494" s="11"/>
      <c r="B494" s="81" t="s">
        <v>274</v>
      </c>
      <c r="C494" s="302" t="s">
        <v>275</v>
      </c>
      <c r="D494" s="323" t="s">
        <v>294</v>
      </c>
      <c r="E494" s="320">
        <v>12</v>
      </c>
      <c r="F494" s="274" t="s">
        <v>275</v>
      </c>
      <c r="G494" s="5" t="s">
        <v>294</v>
      </c>
      <c r="H494" s="89">
        <v>12</v>
      </c>
      <c r="I494" s="162"/>
      <c r="J494" s="5" t="s">
        <v>294</v>
      </c>
      <c r="K494" s="162"/>
      <c r="L494" s="104"/>
      <c r="M494" s="5"/>
      <c r="N494" s="5">
        <v>12</v>
      </c>
      <c r="O494" s="5"/>
      <c r="P494" s="5"/>
      <c r="Q494" s="5"/>
      <c r="R494" s="5"/>
      <c r="S494" s="5"/>
      <c r="T494" s="5"/>
      <c r="U494" s="5"/>
      <c r="V494" s="5"/>
      <c r="W494" s="5"/>
      <c r="X494" s="105"/>
      <c r="Y494" s="348">
        <f t="shared" si="95"/>
        <v>12</v>
      </c>
      <c r="Z494" s="162"/>
      <c r="AA494" s="348"/>
      <c r="AB494" s="162">
        <f t="shared" si="96"/>
        <v>0</v>
      </c>
      <c r="AC494" s="263">
        <f t="shared" si="101"/>
        <v>0</v>
      </c>
      <c r="AD494" s="48" t="s">
        <v>410</v>
      </c>
    </row>
    <row r="495" spans="1:30" ht="30">
      <c r="A495" s="11"/>
      <c r="B495" s="81" t="s">
        <v>276</v>
      </c>
      <c r="C495" s="302" t="s">
        <v>277</v>
      </c>
      <c r="D495" s="323" t="s">
        <v>300</v>
      </c>
      <c r="E495" s="320">
        <v>1</v>
      </c>
      <c r="F495" s="274" t="s">
        <v>277</v>
      </c>
      <c r="G495" s="5" t="s">
        <v>300</v>
      </c>
      <c r="H495" s="89">
        <v>1</v>
      </c>
      <c r="I495" s="162"/>
      <c r="J495" s="5" t="s">
        <v>300</v>
      </c>
      <c r="K495" s="162"/>
      <c r="L495" s="104"/>
      <c r="M495" s="5"/>
      <c r="N495" s="5">
        <v>1</v>
      </c>
      <c r="O495" s="5"/>
      <c r="P495" s="5"/>
      <c r="Q495" s="5"/>
      <c r="R495" s="5"/>
      <c r="S495" s="5"/>
      <c r="T495" s="5"/>
      <c r="U495" s="5"/>
      <c r="V495" s="5"/>
      <c r="W495" s="5"/>
      <c r="X495" s="105"/>
      <c r="Y495" s="348">
        <f t="shared" si="95"/>
        <v>1</v>
      </c>
      <c r="Z495" s="162"/>
      <c r="AA495" s="348"/>
      <c r="AB495" s="162">
        <f t="shared" si="96"/>
        <v>0</v>
      </c>
      <c r="AC495" s="263">
        <f t="shared" si="101"/>
        <v>0</v>
      </c>
      <c r="AD495" s="48" t="s">
        <v>410</v>
      </c>
    </row>
    <row r="496" spans="1:30" ht="30">
      <c r="A496" s="11"/>
      <c r="B496" s="81" t="s">
        <v>278</v>
      </c>
      <c r="C496" s="302" t="s">
        <v>279</v>
      </c>
      <c r="D496" s="323" t="s">
        <v>289</v>
      </c>
      <c r="E496" s="320">
        <v>8</v>
      </c>
      <c r="F496" s="274" t="s">
        <v>279</v>
      </c>
      <c r="G496" s="5" t="s">
        <v>289</v>
      </c>
      <c r="H496" s="89">
        <v>8</v>
      </c>
      <c r="I496" s="162"/>
      <c r="J496" s="5" t="s">
        <v>289</v>
      </c>
      <c r="K496" s="162"/>
      <c r="L496" s="104"/>
      <c r="M496" s="5"/>
      <c r="N496" s="5">
        <v>8</v>
      </c>
      <c r="O496" s="5"/>
      <c r="P496" s="5"/>
      <c r="Q496" s="5"/>
      <c r="R496" s="5"/>
      <c r="S496" s="5"/>
      <c r="T496" s="5"/>
      <c r="U496" s="5"/>
      <c r="V496" s="5"/>
      <c r="W496" s="5"/>
      <c r="X496" s="105"/>
      <c r="Y496" s="348">
        <f t="shared" si="95"/>
        <v>8</v>
      </c>
      <c r="Z496" s="162"/>
      <c r="AA496" s="348"/>
      <c r="AB496" s="162">
        <f t="shared" si="96"/>
        <v>0</v>
      </c>
      <c r="AC496" s="263">
        <f t="shared" si="101"/>
        <v>0</v>
      </c>
      <c r="AD496" s="48" t="s">
        <v>410</v>
      </c>
    </row>
    <row r="497" spans="1:30" ht="30">
      <c r="A497" s="11"/>
      <c r="B497" s="81" t="s">
        <v>266</v>
      </c>
      <c r="C497" s="302" t="s">
        <v>267</v>
      </c>
      <c r="D497" s="323" t="s">
        <v>294</v>
      </c>
      <c r="E497" s="320">
        <v>3</v>
      </c>
      <c r="F497" s="274" t="s">
        <v>267</v>
      </c>
      <c r="G497" s="5" t="s">
        <v>294</v>
      </c>
      <c r="H497" s="89">
        <v>3</v>
      </c>
      <c r="I497" s="162"/>
      <c r="J497" s="5" t="s">
        <v>294</v>
      </c>
      <c r="K497" s="162"/>
      <c r="L497" s="104"/>
      <c r="M497" s="5"/>
      <c r="N497" s="5">
        <v>3</v>
      </c>
      <c r="O497" s="5"/>
      <c r="P497" s="5"/>
      <c r="Q497" s="5"/>
      <c r="R497" s="5"/>
      <c r="S497" s="5"/>
      <c r="T497" s="5"/>
      <c r="U497" s="5"/>
      <c r="V497" s="5"/>
      <c r="W497" s="5"/>
      <c r="X497" s="105"/>
      <c r="Y497" s="348">
        <f t="shared" si="95"/>
        <v>3</v>
      </c>
      <c r="Z497" s="162"/>
      <c r="AA497" s="348"/>
      <c r="AB497" s="162">
        <f t="shared" si="96"/>
        <v>0</v>
      </c>
      <c r="AC497" s="263">
        <f t="shared" si="101"/>
        <v>0</v>
      </c>
      <c r="AD497" s="48" t="s">
        <v>410</v>
      </c>
    </row>
    <row r="498" spans="1:30" s="65" customFormat="1">
      <c r="A498" s="23"/>
      <c r="B498" s="82"/>
      <c r="C498" s="83" t="s">
        <v>280</v>
      </c>
      <c r="D498" s="84"/>
      <c r="E498" s="120"/>
      <c r="F498" s="304" t="s">
        <v>280</v>
      </c>
      <c r="G498" s="24"/>
      <c r="H498" s="93"/>
      <c r="I498" s="165"/>
      <c r="J498" s="24"/>
      <c r="K498" s="165"/>
      <c r="L498" s="110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111"/>
      <c r="Y498" s="351"/>
      <c r="Z498" s="165"/>
      <c r="AA498" s="351"/>
      <c r="AB498" s="165"/>
      <c r="AC498" s="165"/>
      <c r="AD498" s="309"/>
    </row>
    <row r="499" spans="1:30" ht="60">
      <c r="A499" s="11"/>
      <c r="B499" s="81" t="s">
        <v>274</v>
      </c>
      <c r="C499" s="302" t="s">
        <v>275</v>
      </c>
      <c r="D499" s="323" t="s">
        <v>294</v>
      </c>
      <c r="E499" s="320">
        <v>4</v>
      </c>
      <c r="F499" s="274" t="s">
        <v>275</v>
      </c>
      <c r="G499" s="5" t="s">
        <v>294</v>
      </c>
      <c r="H499" s="89">
        <v>4</v>
      </c>
      <c r="I499" s="162"/>
      <c r="J499" s="5" t="s">
        <v>294</v>
      </c>
      <c r="K499" s="162"/>
      <c r="L499" s="104"/>
      <c r="M499" s="5"/>
      <c r="N499" s="5">
        <v>4</v>
      </c>
      <c r="O499" s="5"/>
      <c r="P499" s="5"/>
      <c r="Q499" s="5"/>
      <c r="R499" s="5"/>
      <c r="S499" s="5"/>
      <c r="T499" s="5"/>
      <c r="U499" s="5"/>
      <c r="V499" s="5"/>
      <c r="W499" s="5"/>
      <c r="X499" s="105"/>
      <c r="Y499" s="348">
        <f t="shared" si="95"/>
        <v>4</v>
      </c>
      <c r="Z499" s="162"/>
      <c r="AA499" s="348"/>
      <c r="AB499" s="162">
        <f t="shared" si="96"/>
        <v>0</v>
      </c>
      <c r="AC499" s="263">
        <f t="shared" ref="AC499:AC506" si="102">E499-Y499</f>
        <v>0</v>
      </c>
      <c r="AD499" s="48" t="s">
        <v>410</v>
      </c>
    </row>
    <row r="500" spans="1:30" ht="45">
      <c r="A500" s="11"/>
      <c r="B500" s="81" t="s">
        <v>281</v>
      </c>
      <c r="C500" s="302" t="s">
        <v>282</v>
      </c>
      <c r="D500" s="323" t="s">
        <v>289</v>
      </c>
      <c r="E500" s="320">
        <v>0.21</v>
      </c>
      <c r="F500" s="274" t="s">
        <v>282</v>
      </c>
      <c r="G500" s="5" t="s">
        <v>289</v>
      </c>
      <c r="H500" s="89">
        <v>0.21</v>
      </c>
      <c r="I500" s="162"/>
      <c r="J500" s="5" t="s">
        <v>289</v>
      </c>
      <c r="K500" s="162"/>
      <c r="L500" s="104"/>
      <c r="M500" s="5"/>
      <c r="N500" s="5">
        <v>0.21</v>
      </c>
      <c r="O500" s="5"/>
      <c r="P500" s="5"/>
      <c r="Q500" s="5"/>
      <c r="R500" s="5"/>
      <c r="S500" s="5"/>
      <c r="T500" s="5"/>
      <c r="U500" s="5"/>
      <c r="V500" s="5"/>
      <c r="W500" s="5"/>
      <c r="X500" s="105"/>
      <c r="Y500" s="348">
        <f t="shared" si="95"/>
        <v>0.21</v>
      </c>
      <c r="Z500" s="162"/>
      <c r="AA500" s="348"/>
      <c r="AB500" s="162">
        <f t="shared" si="96"/>
        <v>0</v>
      </c>
      <c r="AC500" s="263">
        <f t="shared" si="102"/>
        <v>0</v>
      </c>
      <c r="AD500" s="48" t="s">
        <v>410</v>
      </c>
    </row>
    <row r="501" spans="1:30" ht="30">
      <c r="A501" s="11"/>
      <c r="B501" s="81" t="s">
        <v>9</v>
      </c>
      <c r="C501" s="302" t="s">
        <v>4</v>
      </c>
      <c r="D501" s="323" t="s">
        <v>290</v>
      </c>
      <c r="E501" s="320">
        <v>0.92400000000000004</v>
      </c>
      <c r="F501" s="274" t="s">
        <v>4</v>
      </c>
      <c r="G501" s="5" t="s">
        <v>1088</v>
      </c>
      <c r="H501" s="89">
        <v>0.92400000000000004</v>
      </c>
      <c r="I501" s="162"/>
      <c r="J501" s="5" t="s">
        <v>1088</v>
      </c>
      <c r="K501" s="162"/>
      <c r="L501" s="104"/>
      <c r="M501" s="5"/>
      <c r="N501" s="5">
        <v>0.92400000000000004</v>
      </c>
      <c r="O501" s="5"/>
      <c r="P501" s="5"/>
      <c r="Q501" s="5"/>
      <c r="R501" s="5"/>
      <c r="S501" s="5"/>
      <c r="T501" s="5"/>
      <c r="U501" s="5"/>
      <c r="V501" s="5"/>
      <c r="W501" s="5"/>
      <c r="X501" s="105"/>
      <c r="Y501" s="348">
        <f t="shared" si="95"/>
        <v>0.92400000000000004</v>
      </c>
      <c r="Z501" s="162"/>
      <c r="AA501" s="348"/>
      <c r="AB501" s="162">
        <f t="shared" si="96"/>
        <v>0</v>
      </c>
      <c r="AC501" s="263">
        <f t="shared" si="102"/>
        <v>0</v>
      </c>
      <c r="AD501" s="48" t="s">
        <v>410</v>
      </c>
    </row>
    <row r="502" spans="1:30" ht="30">
      <c r="A502" s="11"/>
      <c r="B502" s="81" t="s">
        <v>268</v>
      </c>
      <c r="C502" s="302" t="s">
        <v>269</v>
      </c>
      <c r="D502" s="323" t="s">
        <v>291</v>
      </c>
      <c r="E502" s="320">
        <v>27</v>
      </c>
      <c r="F502" s="274" t="s">
        <v>269</v>
      </c>
      <c r="G502" s="5" t="s">
        <v>600</v>
      </c>
      <c r="H502" s="89">
        <v>27</v>
      </c>
      <c r="I502" s="162"/>
      <c r="J502" s="5" t="s">
        <v>600</v>
      </c>
      <c r="K502" s="162"/>
      <c r="L502" s="104"/>
      <c r="M502" s="5"/>
      <c r="N502" s="5">
        <v>27</v>
      </c>
      <c r="O502" s="5"/>
      <c r="P502" s="5"/>
      <c r="Q502" s="5"/>
      <c r="R502" s="5"/>
      <c r="S502" s="5"/>
      <c r="T502" s="5"/>
      <c r="U502" s="5"/>
      <c r="V502" s="5"/>
      <c r="W502" s="5"/>
      <c r="X502" s="105"/>
      <c r="Y502" s="348">
        <f t="shared" si="95"/>
        <v>27</v>
      </c>
      <c r="Z502" s="162"/>
      <c r="AA502" s="348"/>
      <c r="AB502" s="162">
        <f t="shared" si="96"/>
        <v>0</v>
      </c>
      <c r="AC502" s="263">
        <f t="shared" si="102"/>
        <v>0</v>
      </c>
      <c r="AD502" s="48" t="s">
        <v>410</v>
      </c>
    </row>
    <row r="503" spans="1:30" ht="30">
      <c r="A503" s="11"/>
      <c r="B503" s="81" t="s">
        <v>268</v>
      </c>
      <c r="C503" s="302" t="s">
        <v>269</v>
      </c>
      <c r="D503" s="323" t="s">
        <v>291</v>
      </c>
      <c r="E503" s="320">
        <v>111</v>
      </c>
      <c r="F503" s="274" t="s">
        <v>269</v>
      </c>
      <c r="G503" s="5" t="s">
        <v>600</v>
      </c>
      <c r="H503" s="89">
        <v>111</v>
      </c>
      <c r="I503" s="162"/>
      <c r="J503" s="5" t="s">
        <v>600</v>
      </c>
      <c r="K503" s="162"/>
      <c r="L503" s="104"/>
      <c r="M503" s="5"/>
      <c r="N503" s="5">
        <v>111</v>
      </c>
      <c r="O503" s="5"/>
      <c r="P503" s="5"/>
      <c r="Q503" s="5"/>
      <c r="R503" s="5"/>
      <c r="S503" s="5"/>
      <c r="T503" s="5"/>
      <c r="U503" s="5"/>
      <c r="V503" s="5"/>
      <c r="W503" s="5"/>
      <c r="X503" s="105"/>
      <c r="Y503" s="348">
        <f t="shared" si="95"/>
        <v>111</v>
      </c>
      <c r="Z503" s="162"/>
      <c r="AA503" s="348"/>
      <c r="AB503" s="162">
        <f t="shared" si="96"/>
        <v>0</v>
      </c>
      <c r="AC503" s="263">
        <f t="shared" si="102"/>
        <v>0</v>
      </c>
      <c r="AD503" s="48" t="s">
        <v>410</v>
      </c>
    </row>
    <row r="504" spans="1:30" ht="30">
      <c r="A504" s="11"/>
      <c r="B504" s="81" t="s">
        <v>283</v>
      </c>
      <c r="C504" s="302" t="s">
        <v>284</v>
      </c>
      <c r="D504" s="323" t="s">
        <v>299</v>
      </c>
      <c r="E504" s="320">
        <v>1.1200000000000001</v>
      </c>
      <c r="F504" s="274" t="s">
        <v>284</v>
      </c>
      <c r="G504" s="5" t="s">
        <v>299</v>
      </c>
      <c r="H504" s="89">
        <v>1.1200000000000001</v>
      </c>
      <c r="I504" s="162"/>
      <c r="J504" s="5" t="s">
        <v>299</v>
      </c>
      <c r="K504" s="162"/>
      <c r="L504" s="104"/>
      <c r="M504" s="5"/>
      <c r="N504" s="5">
        <v>1.1200000000000001</v>
      </c>
      <c r="O504" s="5"/>
      <c r="P504" s="5"/>
      <c r="Q504" s="5"/>
      <c r="R504" s="5"/>
      <c r="S504" s="5"/>
      <c r="T504" s="5"/>
      <c r="U504" s="5"/>
      <c r="V504" s="5"/>
      <c r="W504" s="5"/>
      <c r="X504" s="105"/>
      <c r="Y504" s="348">
        <f t="shared" si="95"/>
        <v>1.1200000000000001</v>
      </c>
      <c r="Z504" s="162"/>
      <c r="AA504" s="348"/>
      <c r="AB504" s="162">
        <f t="shared" si="96"/>
        <v>0</v>
      </c>
      <c r="AC504" s="263">
        <f t="shared" si="102"/>
        <v>0</v>
      </c>
      <c r="AD504" s="48" t="s">
        <v>410</v>
      </c>
    </row>
    <row r="505" spans="1:30" ht="30">
      <c r="A505" s="11"/>
      <c r="B505" s="81" t="s">
        <v>285</v>
      </c>
      <c r="C505" s="302" t="s">
        <v>286</v>
      </c>
      <c r="D505" s="323" t="s">
        <v>299</v>
      </c>
      <c r="E505" s="320">
        <v>2.35</v>
      </c>
      <c r="F505" s="274" t="s">
        <v>286</v>
      </c>
      <c r="G505" s="5" t="s">
        <v>299</v>
      </c>
      <c r="H505" s="89">
        <v>2.35</v>
      </c>
      <c r="I505" s="162"/>
      <c r="J505" s="5" t="s">
        <v>299</v>
      </c>
      <c r="K505" s="162"/>
      <c r="L505" s="104"/>
      <c r="M505" s="5"/>
      <c r="N505" s="5">
        <v>2.35</v>
      </c>
      <c r="O505" s="5"/>
      <c r="P505" s="5"/>
      <c r="Q505" s="5"/>
      <c r="R505" s="5"/>
      <c r="S505" s="5"/>
      <c r="T505" s="5"/>
      <c r="U505" s="5"/>
      <c r="V505" s="5"/>
      <c r="W505" s="5"/>
      <c r="X505" s="105"/>
      <c r="Y505" s="348">
        <f t="shared" si="95"/>
        <v>2.35</v>
      </c>
      <c r="Z505" s="162"/>
      <c r="AA505" s="348"/>
      <c r="AB505" s="162">
        <f t="shared" si="96"/>
        <v>0</v>
      </c>
      <c r="AC505" s="263">
        <f t="shared" si="102"/>
        <v>0</v>
      </c>
      <c r="AD505" s="48" t="s">
        <v>410</v>
      </c>
    </row>
    <row r="506" spans="1:30" ht="60">
      <c r="A506" s="11"/>
      <c r="B506" s="81" t="s">
        <v>274</v>
      </c>
      <c r="C506" s="302" t="s">
        <v>275</v>
      </c>
      <c r="D506" s="323" t="s">
        <v>294</v>
      </c>
      <c r="E506" s="320">
        <v>1</v>
      </c>
      <c r="F506" s="274" t="s">
        <v>275</v>
      </c>
      <c r="G506" s="5" t="s">
        <v>294</v>
      </c>
      <c r="H506" s="89">
        <v>1</v>
      </c>
      <c r="I506" s="162"/>
      <c r="J506" s="5" t="s">
        <v>294</v>
      </c>
      <c r="K506" s="162"/>
      <c r="L506" s="104"/>
      <c r="M506" s="5"/>
      <c r="N506" s="5">
        <v>1</v>
      </c>
      <c r="O506" s="5"/>
      <c r="P506" s="5"/>
      <c r="Q506" s="5"/>
      <c r="R506" s="5"/>
      <c r="S506" s="5"/>
      <c r="T506" s="5"/>
      <c r="U506" s="5"/>
      <c r="V506" s="5"/>
      <c r="W506" s="5"/>
      <c r="X506" s="105"/>
      <c r="Y506" s="348">
        <f t="shared" si="95"/>
        <v>1</v>
      </c>
      <c r="Z506" s="162"/>
      <c r="AA506" s="348"/>
      <c r="AB506" s="162">
        <f t="shared" si="96"/>
        <v>0</v>
      </c>
      <c r="AC506" s="263">
        <f t="shared" si="102"/>
        <v>0</v>
      </c>
      <c r="AD506" s="48" t="s">
        <v>410</v>
      </c>
    </row>
    <row r="507" spans="1:30" s="65" customFormat="1">
      <c r="A507" s="23"/>
      <c r="B507" s="82"/>
      <c r="C507" s="83" t="s">
        <v>287</v>
      </c>
      <c r="D507" s="84"/>
      <c r="E507" s="120"/>
      <c r="F507" s="304" t="s">
        <v>287</v>
      </c>
      <c r="G507" s="24"/>
      <c r="H507" s="93"/>
      <c r="I507" s="165"/>
      <c r="J507" s="24"/>
      <c r="K507" s="165"/>
      <c r="L507" s="110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111"/>
      <c r="Y507" s="351"/>
      <c r="Z507" s="165"/>
      <c r="AA507" s="351"/>
      <c r="AB507" s="165"/>
      <c r="AC507" s="165"/>
      <c r="AD507" s="309"/>
    </row>
    <row r="508" spans="1:30" ht="60">
      <c r="A508" s="11"/>
      <c r="B508" s="81" t="s">
        <v>14</v>
      </c>
      <c r="C508" s="302" t="s">
        <v>15</v>
      </c>
      <c r="D508" s="323" t="s">
        <v>289</v>
      </c>
      <c r="E508" s="320">
        <v>2625</v>
      </c>
      <c r="F508" s="274" t="s">
        <v>15</v>
      </c>
      <c r="G508" s="5" t="s">
        <v>289</v>
      </c>
      <c r="H508" s="89">
        <v>2625</v>
      </c>
      <c r="I508" s="162"/>
      <c r="J508" s="5" t="s">
        <v>289</v>
      </c>
      <c r="K508" s="162"/>
      <c r="L508" s="104"/>
      <c r="M508" s="5"/>
      <c r="N508" s="5">
        <v>200</v>
      </c>
      <c r="O508" s="5">
        <f>55.08+48.6+98.28-200</f>
        <v>1.960000000000008</v>
      </c>
      <c r="P508" s="5">
        <f>36.11+31.86+54.72</f>
        <v>122.69</v>
      </c>
      <c r="Q508" s="5"/>
      <c r="R508" s="5"/>
      <c r="S508" s="5"/>
      <c r="T508" s="5"/>
      <c r="U508" s="5"/>
      <c r="V508" s="5"/>
      <c r="W508" s="5"/>
      <c r="X508" s="105"/>
      <c r="Y508" s="348">
        <f t="shared" si="95"/>
        <v>324.64999999999998</v>
      </c>
      <c r="Z508" s="162"/>
      <c r="AA508" s="348"/>
      <c r="AB508" s="162">
        <f t="shared" si="96"/>
        <v>2300.35</v>
      </c>
      <c r="AC508" s="263">
        <f t="shared" ref="AC508:AC511" si="103">E508-Y508</f>
        <v>2300.35</v>
      </c>
      <c r="AD508" s="48" t="s">
        <v>414</v>
      </c>
    </row>
    <row r="509" spans="1:30" ht="30">
      <c r="A509" s="11"/>
      <c r="B509" s="81" t="s">
        <v>18</v>
      </c>
      <c r="C509" s="302" t="s">
        <v>19</v>
      </c>
      <c r="D509" s="323" t="s">
        <v>289</v>
      </c>
      <c r="E509" s="320">
        <v>8.75</v>
      </c>
      <c r="F509" s="274" t="s">
        <v>19</v>
      </c>
      <c r="G509" s="5" t="s">
        <v>289</v>
      </c>
      <c r="H509" s="89">
        <v>8.75</v>
      </c>
      <c r="I509" s="170" t="s">
        <v>500</v>
      </c>
      <c r="J509" s="25" t="s">
        <v>289</v>
      </c>
      <c r="K509" s="187">
        <f>H509*1.5*1.1</f>
        <v>14.437500000000002</v>
      </c>
      <c r="L509" s="104"/>
      <c r="M509" s="5"/>
      <c r="N509" s="5"/>
      <c r="O509" s="5">
        <f>18.02</f>
        <v>18.02</v>
      </c>
      <c r="P509" s="5">
        <f>10.3</f>
        <v>10.3</v>
      </c>
      <c r="Q509" s="5"/>
      <c r="R509" s="5"/>
      <c r="S509" s="5"/>
      <c r="T509" s="5"/>
      <c r="U509" s="5"/>
      <c r="V509" s="5"/>
      <c r="W509" s="5"/>
      <c r="X509" s="105"/>
      <c r="Y509" s="348">
        <f t="shared" si="95"/>
        <v>28.32</v>
      </c>
      <c r="Z509" s="162"/>
      <c r="AA509" s="348"/>
      <c r="AB509" s="162">
        <f t="shared" si="96"/>
        <v>-19.57</v>
      </c>
      <c r="AC509" s="263">
        <f t="shared" si="103"/>
        <v>-19.57</v>
      </c>
      <c r="AD509" s="48" t="s">
        <v>414</v>
      </c>
    </row>
    <row r="510" spans="1:30" ht="60">
      <c r="A510" s="11"/>
      <c r="B510" s="81" t="s">
        <v>58</v>
      </c>
      <c r="C510" s="302" t="s">
        <v>59</v>
      </c>
      <c r="D510" s="323" t="s">
        <v>289</v>
      </c>
      <c r="E510" s="320">
        <v>262.5</v>
      </c>
      <c r="F510" s="274" t="s">
        <v>59</v>
      </c>
      <c r="G510" s="5" t="s">
        <v>289</v>
      </c>
      <c r="H510" s="89">
        <v>262.5</v>
      </c>
      <c r="I510" s="170" t="s">
        <v>500</v>
      </c>
      <c r="J510" s="25" t="s">
        <v>289</v>
      </c>
      <c r="K510" s="187">
        <f>H510*1.5*1.1</f>
        <v>433.12500000000006</v>
      </c>
      <c r="L510" s="104"/>
      <c r="M510" s="5"/>
      <c r="N510" s="5">
        <v>23</v>
      </c>
      <c r="O510" s="5">
        <f>107.51-23</f>
        <v>84.51</v>
      </c>
      <c r="P510" s="5">
        <f>65.14</f>
        <v>65.14</v>
      </c>
      <c r="Q510" s="5"/>
      <c r="R510" s="5"/>
      <c r="S510" s="5"/>
      <c r="T510" s="5"/>
      <c r="U510" s="5"/>
      <c r="V510" s="5"/>
      <c r="W510" s="5"/>
      <c r="X510" s="105"/>
      <c r="Y510" s="348">
        <f t="shared" si="95"/>
        <v>172.65</v>
      </c>
      <c r="Z510" s="162"/>
      <c r="AA510" s="348"/>
      <c r="AB510" s="162">
        <f t="shared" si="96"/>
        <v>89.85</v>
      </c>
      <c r="AC510" s="263">
        <f t="shared" si="103"/>
        <v>89.85</v>
      </c>
      <c r="AD510" s="48" t="s">
        <v>414</v>
      </c>
    </row>
    <row r="511" spans="1:30" ht="30">
      <c r="A511" s="11"/>
      <c r="B511" s="81" t="s">
        <v>62</v>
      </c>
      <c r="C511" s="302" t="s">
        <v>63</v>
      </c>
      <c r="D511" s="323" t="s">
        <v>289</v>
      </c>
      <c r="E511" s="320">
        <v>1700</v>
      </c>
      <c r="F511" s="274" t="s">
        <v>63</v>
      </c>
      <c r="G511" s="5" t="s">
        <v>289</v>
      </c>
      <c r="H511" s="89">
        <v>1700</v>
      </c>
      <c r="I511" s="162"/>
      <c r="J511" s="5" t="s">
        <v>289</v>
      </c>
      <c r="K511" s="162"/>
      <c r="L511" s="104"/>
      <c r="M511" s="5"/>
      <c r="N511" s="5">
        <v>177</v>
      </c>
      <c r="O511" s="5"/>
      <c r="P511" s="5">
        <f>18.24</f>
        <v>18.239999999999998</v>
      </c>
      <c r="Q511" s="5"/>
      <c r="R511" s="5"/>
      <c r="S511" s="5"/>
      <c r="T511" s="5"/>
      <c r="U511" s="5"/>
      <c r="V511" s="5"/>
      <c r="W511" s="5"/>
      <c r="X511" s="105"/>
      <c r="Y511" s="348">
        <f t="shared" si="95"/>
        <v>195.24</v>
      </c>
      <c r="Z511" s="162"/>
      <c r="AA511" s="348"/>
      <c r="AB511" s="162">
        <f t="shared" si="96"/>
        <v>1504.76</v>
      </c>
      <c r="AC511" s="263">
        <f t="shared" si="103"/>
        <v>1504.76</v>
      </c>
      <c r="AD511" s="48" t="s">
        <v>414</v>
      </c>
    </row>
    <row r="512" spans="1:30" s="65" customFormat="1">
      <c r="A512" s="23"/>
      <c r="B512" s="82"/>
      <c r="C512" s="83" t="s">
        <v>184</v>
      </c>
      <c r="D512" s="84"/>
      <c r="E512" s="120"/>
      <c r="F512" s="304" t="s">
        <v>184</v>
      </c>
      <c r="G512" s="24"/>
      <c r="H512" s="93"/>
      <c r="I512" s="165"/>
      <c r="J512" s="24"/>
      <c r="K512" s="165"/>
      <c r="L512" s="110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111"/>
      <c r="Y512" s="351"/>
      <c r="Z512" s="165"/>
      <c r="AA512" s="351"/>
      <c r="AB512" s="165"/>
      <c r="AC512" s="165"/>
      <c r="AD512" s="309"/>
    </row>
    <row r="513" spans="1:30" ht="60">
      <c r="A513" s="11"/>
      <c r="B513" s="81" t="s">
        <v>14</v>
      </c>
      <c r="C513" s="302" t="s">
        <v>15</v>
      </c>
      <c r="D513" s="323" t="s">
        <v>289</v>
      </c>
      <c r="E513" s="320">
        <v>75</v>
      </c>
      <c r="F513" s="274" t="s">
        <v>15</v>
      </c>
      <c r="G513" s="5" t="s">
        <v>289</v>
      </c>
      <c r="H513" s="89">
        <v>75</v>
      </c>
      <c r="I513" s="162"/>
      <c r="J513" s="5" t="s">
        <v>289</v>
      </c>
      <c r="K513" s="162"/>
      <c r="L513" s="104"/>
      <c r="M513" s="5">
        <v>58.5</v>
      </c>
      <c r="N513" s="5"/>
      <c r="O513" s="5">
        <f>43.56+49.37+1.36+0.36+0.41-58.5</f>
        <v>36.56</v>
      </c>
      <c r="P513" s="5">
        <f>0.6*0.64*(49+47+14+47)+0.6*0.6*(25+15+15+26+17+29+6)</f>
        <v>108.16800000000001</v>
      </c>
      <c r="Q513" s="5"/>
      <c r="R513" s="5"/>
      <c r="S513" s="5"/>
      <c r="T513" s="5"/>
      <c r="U513" s="5"/>
      <c r="V513" s="5"/>
      <c r="W513" s="5"/>
      <c r="X513" s="105"/>
      <c r="Y513" s="348">
        <f t="shared" si="95"/>
        <v>203.22800000000001</v>
      </c>
      <c r="Z513" s="162"/>
      <c r="AA513" s="348"/>
      <c r="AB513" s="162">
        <f t="shared" si="96"/>
        <v>-128.22800000000001</v>
      </c>
      <c r="AC513" s="263">
        <f t="shared" ref="AC513:AC516" si="104">E513-Y513</f>
        <v>-128.22800000000001</v>
      </c>
      <c r="AD513" s="48" t="s">
        <v>414</v>
      </c>
    </row>
    <row r="514" spans="1:30" ht="30">
      <c r="A514" s="11"/>
      <c r="B514" s="81" t="s">
        <v>18</v>
      </c>
      <c r="C514" s="302" t="s">
        <v>19</v>
      </c>
      <c r="D514" s="323" t="s">
        <v>289</v>
      </c>
      <c r="E514" s="320">
        <v>0.05</v>
      </c>
      <c r="F514" s="274" t="s">
        <v>19</v>
      </c>
      <c r="G514" s="5" t="s">
        <v>289</v>
      </c>
      <c r="H514" s="89">
        <v>0.05</v>
      </c>
      <c r="I514" s="170" t="s">
        <v>500</v>
      </c>
      <c r="J514" s="25" t="s">
        <v>289</v>
      </c>
      <c r="K514" s="187">
        <f>H514*1.5*1.1</f>
        <v>8.2500000000000018E-2</v>
      </c>
      <c r="L514" s="104"/>
      <c r="M514" s="5"/>
      <c r="N514" s="5"/>
      <c r="O514" s="5">
        <f>0.53</f>
        <v>0.53</v>
      </c>
      <c r="P514" s="123"/>
      <c r="Q514" s="5"/>
      <c r="R514" s="5"/>
      <c r="S514" s="5"/>
      <c r="T514" s="5"/>
      <c r="U514" s="5"/>
      <c r="V514" s="5"/>
      <c r="W514" s="5"/>
      <c r="X514" s="105"/>
      <c r="Y514" s="348">
        <f t="shared" si="95"/>
        <v>0.53</v>
      </c>
      <c r="Z514" s="162"/>
      <c r="AA514" s="348"/>
      <c r="AB514" s="162">
        <f t="shared" si="96"/>
        <v>-0.48000000000000004</v>
      </c>
      <c r="AC514" s="263">
        <f t="shared" si="104"/>
        <v>-0.48000000000000004</v>
      </c>
      <c r="AD514" s="48" t="s">
        <v>414</v>
      </c>
    </row>
    <row r="515" spans="1:30" ht="60">
      <c r="A515" s="11"/>
      <c r="B515" s="81" t="s">
        <v>58</v>
      </c>
      <c r="C515" s="302" t="s">
        <v>59</v>
      </c>
      <c r="D515" s="323" t="s">
        <v>289</v>
      </c>
      <c r="E515" s="320">
        <v>2.5</v>
      </c>
      <c r="F515" s="274" t="s">
        <v>59</v>
      </c>
      <c r="G515" s="5" t="s">
        <v>289</v>
      </c>
      <c r="H515" s="89">
        <v>2.5</v>
      </c>
      <c r="I515" s="170" t="s">
        <v>500</v>
      </c>
      <c r="J515" s="25" t="s">
        <v>289</v>
      </c>
      <c r="K515" s="187">
        <f>H515*1.5*1.1</f>
        <v>4.125</v>
      </c>
      <c r="L515" s="104"/>
      <c r="M515" s="5">
        <v>6.43</v>
      </c>
      <c r="N515" s="5"/>
      <c r="O515" s="5"/>
      <c r="P515" s="5">
        <f>(0.4*0.6*(25+15+15+26+17+29+6))*1.1</f>
        <v>35.112000000000002</v>
      </c>
      <c r="Q515" s="5"/>
      <c r="R515" s="5"/>
      <c r="S515" s="5"/>
      <c r="T515" s="5"/>
      <c r="U515" s="5"/>
      <c r="V515" s="5"/>
      <c r="W515" s="5"/>
      <c r="X515" s="105"/>
      <c r="Y515" s="348">
        <f t="shared" si="95"/>
        <v>41.542000000000002</v>
      </c>
      <c r="Z515" s="162"/>
      <c r="AA515" s="348"/>
      <c r="AB515" s="162">
        <f t="shared" si="96"/>
        <v>-39.042000000000002</v>
      </c>
      <c r="AC515" s="263">
        <f t="shared" si="104"/>
        <v>-39.042000000000002</v>
      </c>
      <c r="AD515" s="48" t="s">
        <v>414</v>
      </c>
    </row>
    <row r="516" spans="1:30" ht="30.75" thickBot="1">
      <c r="A516" s="27"/>
      <c r="B516" s="324" t="s">
        <v>62</v>
      </c>
      <c r="C516" s="331" t="s">
        <v>63</v>
      </c>
      <c r="D516" s="332" t="s">
        <v>289</v>
      </c>
      <c r="E516" s="333">
        <v>60</v>
      </c>
      <c r="F516" s="282" t="s">
        <v>63</v>
      </c>
      <c r="G516" s="16" t="s">
        <v>289</v>
      </c>
      <c r="H516" s="97">
        <v>60</v>
      </c>
      <c r="I516" s="169"/>
      <c r="J516" s="16" t="s">
        <v>289</v>
      </c>
      <c r="K516" s="169"/>
      <c r="L516" s="124"/>
      <c r="M516" s="16">
        <f>M513-M515</f>
        <v>52.07</v>
      </c>
      <c r="N516" s="16"/>
      <c r="O516" s="16">
        <f>1.58+0.51+0.58+43.56+49.37-52.07-0.53</f>
        <v>42.999999999999993</v>
      </c>
      <c r="P516" s="5">
        <f>0.6*0.3*(49+47+14+47)+0.2*0.6*(25+15+15+26+17+29+6)</f>
        <v>44.22</v>
      </c>
      <c r="Q516" s="16"/>
      <c r="R516" s="16"/>
      <c r="S516" s="16"/>
      <c r="T516" s="16"/>
      <c r="U516" s="16"/>
      <c r="V516" s="16"/>
      <c r="W516" s="16"/>
      <c r="X516" s="125"/>
      <c r="Y516" s="357">
        <f t="shared" ref="Y516" si="105">SUM(L516:X516)</f>
        <v>139.29</v>
      </c>
      <c r="Z516" s="169"/>
      <c r="AA516" s="357"/>
      <c r="AB516" s="169">
        <f t="shared" ref="AB516" si="106">H516-Y516</f>
        <v>-79.289999999999992</v>
      </c>
      <c r="AC516" s="263">
        <f t="shared" si="104"/>
        <v>-79.289999999999992</v>
      </c>
      <c r="AD516" s="51" t="s">
        <v>414</v>
      </c>
    </row>
    <row r="517" spans="1:30">
      <c r="A517" s="326"/>
      <c r="B517" s="327"/>
      <c r="C517" s="325"/>
      <c r="D517" s="328"/>
      <c r="E517" s="329"/>
      <c r="F517" s="29" t="s">
        <v>386</v>
      </c>
      <c r="G517" s="370"/>
      <c r="H517" s="371"/>
      <c r="I517" s="372"/>
      <c r="J517" s="370"/>
      <c r="K517" s="372"/>
      <c r="L517" s="373"/>
      <c r="M517" s="374"/>
      <c r="N517" s="374"/>
      <c r="O517" s="374"/>
      <c r="P517" s="374"/>
      <c r="Q517" s="374"/>
      <c r="R517" s="374"/>
      <c r="S517" s="374"/>
      <c r="T517" s="374"/>
      <c r="U517" s="374"/>
      <c r="V517" s="374"/>
      <c r="W517" s="374"/>
      <c r="X517" s="375"/>
      <c r="Y517" s="376"/>
      <c r="Z517" s="377"/>
      <c r="AA517" s="376"/>
      <c r="AB517" s="377"/>
      <c r="AC517" s="377"/>
      <c r="AD517" s="378"/>
    </row>
    <row r="518" spans="1:30" ht="30">
      <c r="A518" s="11"/>
      <c r="B518" s="81"/>
      <c r="C518" s="81"/>
      <c r="D518" s="15"/>
      <c r="E518" s="113"/>
      <c r="F518" s="275" t="s">
        <v>396</v>
      </c>
      <c r="G518" s="25" t="s">
        <v>294</v>
      </c>
      <c r="H518" s="98">
        <v>0</v>
      </c>
      <c r="I518" s="154"/>
      <c r="J518" s="25" t="s">
        <v>294</v>
      </c>
      <c r="K518" s="154"/>
      <c r="L518" s="126"/>
      <c r="M518" s="71">
        <v>4</v>
      </c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127"/>
      <c r="Y518" s="244">
        <f>SUM(L518:X518)</f>
        <v>4</v>
      </c>
      <c r="Z518" s="154"/>
      <c r="AA518" s="244"/>
      <c r="AB518" s="155">
        <f t="shared" ref="AB518:AB524" si="107">H518-Y518</f>
        <v>-4</v>
      </c>
      <c r="AC518" s="263">
        <f t="shared" ref="AC518:AC519" si="108">E518-Y518</f>
        <v>-4</v>
      </c>
      <c r="AD518" s="73"/>
    </row>
    <row r="519" spans="1:30" ht="30">
      <c r="A519" s="11"/>
      <c r="B519" s="81"/>
      <c r="C519" s="81"/>
      <c r="D519" s="15"/>
      <c r="E519" s="113"/>
      <c r="F519" s="275" t="s">
        <v>404</v>
      </c>
      <c r="G519" s="25" t="s">
        <v>600</v>
      </c>
      <c r="H519" s="98">
        <v>0</v>
      </c>
      <c r="I519" s="154"/>
      <c r="J519" s="25" t="s">
        <v>600</v>
      </c>
      <c r="K519" s="154"/>
      <c r="L519" s="126"/>
      <c r="M519" s="71"/>
      <c r="N519" s="71">
        <v>200</v>
      </c>
      <c r="O519" s="71"/>
      <c r="P519" s="71"/>
      <c r="Q519" s="71"/>
      <c r="R519" s="71"/>
      <c r="S519" s="71"/>
      <c r="T519" s="71"/>
      <c r="U519" s="71"/>
      <c r="V519" s="71"/>
      <c r="W519" s="71"/>
      <c r="X519" s="127"/>
      <c r="Y519" s="244">
        <f t="shared" ref="Y519:Y524" si="109">SUM(L519:X519)</f>
        <v>200</v>
      </c>
      <c r="Z519" s="154"/>
      <c r="AA519" s="244"/>
      <c r="AB519" s="155">
        <f t="shared" si="107"/>
        <v>-200</v>
      </c>
      <c r="AC519" s="263">
        <f t="shared" si="108"/>
        <v>-200</v>
      </c>
      <c r="AD519" s="73"/>
    </row>
    <row r="520" spans="1:30">
      <c r="A520" s="11"/>
      <c r="B520" s="81"/>
      <c r="C520" s="81"/>
      <c r="D520" s="15"/>
      <c r="E520" s="113"/>
      <c r="F520" s="274"/>
      <c r="G520" s="5"/>
      <c r="H520" s="99">
        <v>0</v>
      </c>
      <c r="I520" s="152"/>
      <c r="J520" s="5"/>
      <c r="K520" s="152"/>
      <c r="L520" s="114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115"/>
      <c r="Y520" s="253"/>
      <c r="Z520" s="152"/>
      <c r="AA520" s="253"/>
      <c r="AB520" s="162"/>
      <c r="AC520" s="162"/>
      <c r="AD520" s="48"/>
    </row>
    <row r="521" spans="1:30">
      <c r="A521" s="11"/>
      <c r="B521" s="81"/>
      <c r="C521" s="81"/>
      <c r="D521" s="15"/>
      <c r="E521" s="113"/>
      <c r="F521" s="274"/>
      <c r="G521" s="5"/>
      <c r="H521" s="99">
        <v>0</v>
      </c>
      <c r="I521" s="152"/>
      <c r="J521" s="5"/>
      <c r="K521" s="152"/>
      <c r="L521" s="114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115"/>
      <c r="Y521" s="253"/>
      <c r="Z521" s="152"/>
      <c r="AA521" s="253"/>
      <c r="AB521" s="162"/>
      <c r="AC521" s="162"/>
      <c r="AD521" s="48"/>
    </row>
    <row r="522" spans="1:30">
      <c r="A522" s="11"/>
      <c r="B522" s="81"/>
      <c r="C522" s="81"/>
      <c r="D522" s="15"/>
      <c r="E522" s="113"/>
      <c r="F522" s="274"/>
      <c r="G522" s="5"/>
      <c r="H522" s="99">
        <v>0</v>
      </c>
      <c r="I522" s="152"/>
      <c r="J522" s="5"/>
      <c r="K522" s="152"/>
      <c r="L522" s="114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115"/>
      <c r="Y522" s="253"/>
      <c r="Z522" s="152"/>
      <c r="AA522" s="253"/>
      <c r="AB522" s="162"/>
      <c r="AC522" s="162"/>
      <c r="AD522" s="48"/>
    </row>
    <row r="523" spans="1:30">
      <c r="A523" s="11"/>
      <c r="B523" s="81"/>
      <c r="C523" s="81"/>
      <c r="D523" s="15"/>
      <c r="E523" s="113"/>
      <c r="F523" s="274"/>
      <c r="G523" s="5"/>
      <c r="H523" s="99">
        <v>0</v>
      </c>
      <c r="I523" s="152"/>
      <c r="J523" s="5"/>
      <c r="K523" s="152"/>
      <c r="L523" s="114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115"/>
      <c r="Y523" s="253">
        <f t="shared" si="109"/>
        <v>0</v>
      </c>
      <c r="Z523" s="152"/>
      <c r="AA523" s="253"/>
      <c r="AB523" s="162">
        <f t="shared" si="107"/>
        <v>0</v>
      </c>
      <c r="AC523" s="162"/>
      <c r="AD523" s="48"/>
    </row>
    <row r="524" spans="1:30" ht="16.5" thickBot="1">
      <c r="A524" s="27"/>
      <c r="B524" s="324"/>
      <c r="C524" s="324"/>
      <c r="D524" s="334"/>
      <c r="E524" s="335"/>
      <c r="F524" s="282"/>
      <c r="G524" s="16"/>
      <c r="H524" s="100">
        <v>0</v>
      </c>
      <c r="I524" s="159"/>
      <c r="J524" s="16"/>
      <c r="K524" s="159"/>
      <c r="L524" s="128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129"/>
      <c r="Y524" s="358">
        <f t="shared" si="109"/>
        <v>0</v>
      </c>
      <c r="Z524" s="159"/>
      <c r="AA524" s="358"/>
      <c r="AB524" s="169">
        <f t="shared" si="107"/>
        <v>0</v>
      </c>
      <c r="AC524" s="169"/>
      <c r="AD524" s="51"/>
    </row>
  </sheetData>
  <autoFilter ref="A5:AD524" xr:uid="{1656BC45-1D9E-4841-AC2E-7E79A8D0AB93}"/>
  <mergeCells count="4">
    <mergeCell ref="AD178:AD184"/>
    <mergeCell ref="A1:AD1"/>
    <mergeCell ref="AD170:AD176"/>
    <mergeCell ref="G3:H3"/>
  </mergeCells>
  <phoneticPr fontId="12" type="noConversion"/>
  <pageMargins left="0" right="0" top="0" bottom="0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A20E-AEE8-42AC-9D0A-03359955147A}">
  <sheetPr codeName="Лист2">
    <tabColor theme="8" tint="0.59999389629810485"/>
  </sheetPr>
  <dimension ref="A1:AE311"/>
  <sheetViews>
    <sheetView topLeftCell="A208" zoomScale="62" zoomScaleNormal="62" workbookViewId="0">
      <selection activeCell="Y154" sqref="X154:Y154"/>
    </sheetView>
  </sheetViews>
  <sheetFormatPr defaultRowHeight="15" outlineLevelCol="1"/>
  <cols>
    <col min="1" max="1" width="5.7109375" style="33" customWidth="1"/>
    <col min="2" max="2" width="19.85546875" style="33" hidden="1" customWidth="1" outlineLevel="1"/>
    <col min="3" max="3" width="54.28515625" style="33" hidden="1" customWidth="1" outlineLevel="1"/>
    <col min="4" max="4" width="7.42578125" style="39" hidden="1" customWidth="1" outlineLevel="1"/>
    <col min="5" max="5" width="11" style="40" hidden="1" customWidth="1" outlineLevel="1"/>
    <col min="6" max="6" width="54.28515625" style="33" customWidth="1" collapsed="1"/>
    <col min="7" max="7" width="7.42578125" style="39" customWidth="1"/>
    <col min="8" max="8" width="11" style="40" bestFit="1" customWidth="1"/>
    <col min="9" max="9" width="42.85546875" style="40" customWidth="1" outlineLevel="1"/>
    <col min="10" max="10" width="7.42578125" style="40" customWidth="1" outlineLevel="1"/>
    <col min="11" max="11" width="11.28515625" style="40" customWidth="1" outlineLevel="1"/>
    <col min="12" max="24" width="10.42578125" style="41" customWidth="1"/>
    <col min="25" max="25" width="14.42578125" style="42" customWidth="1"/>
    <col min="26" max="27" width="11.85546875" style="42" customWidth="1"/>
    <col min="28" max="28" width="57.5703125" style="33" customWidth="1"/>
    <col min="29" max="29" width="9.140625" style="33"/>
    <col min="30" max="30" width="22.7109375" style="33" customWidth="1"/>
    <col min="31" max="31" width="27.85546875" style="33" customWidth="1"/>
    <col min="32" max="16384" width="9.140625" style="33"/>
  </cols>
  <sheetData>
    <row r="1" spans="1:28" ht="19.5">
      <c r="A1" s="396" t="s">
        <v>409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  <c r="Z1" s="396"/>
      <c r="AA1" s="396"/>
      <c r="AB1" s="396"/>
    </row>
    <row r="2" spans="1:28">
      <c r="A2" s="34"/>
      <c r="B2" s="34"/>
      <c r="C2" s="34"/>
      <c r="D2" s="35"/>
      <c r="E2" s="36"/>
      <c r="F2" s="34"/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7"/>
      <c r="Z2" s="37"/>
      <c r="AA2" s="37"/>
      <c r="AB2" s="34"/>
    </row>
    <row r="3" spans="1:28" ht="15.75" thickBot="1">
      <c r="A3" s="38"/>
      <c r="B3" s="74"/>
      <c r="C3" s="75"/>
      <c r="D3" s="76"/>
      <c r="F3" s="75">
        <v>45495</v>
      </c>
      <c r="G3" s="397" t="s">
        <v>1108</v>
      </c>
      <c r="H3" s="397"/>
    </row>
    <row r="4" spans="1:28" ht="57.75" thickBot="1">
      <c r="A4" s="9" t="s">
        <v>0</v>
      </c>
      <c r="B4" s="10" t="s">
        <v>7</v>
      </c>
      <c r="C4" s="10" t="s">
        <v>982</v>
      </c>
      <c r="D4" s="10" t="s">
        <v>2</v>
      </c>
      <c r="E4" s="103" t="s">
        <v>1000</v>
      </c>
      <c r="F4" s="267" t="s">
        <v>983</v>
      </c>
      <c r="G4" s="10" t="s">
        <v>2</v>
      </c>
      <c r="H4" s="86" t="s">
        <v>288</v>
      </c>
      <c r="I4" s="150" t="s">
        <v>501</v>
      </c>
      <c r="J4" s="10" t="s">
        <v>2</v>
      </c>
      <c r="K4" s="150" t="s">
        <v>502</v>
      </c>
      <c r="L4" s="102" t="s">
        <v>385</v>
      </c>
      <c r="M4" s="14" t="s">
        <v>432</v>
      </c>
      <c r="N4" s="14" t="s">
        <v>434</v>
      </c>
      <c r="O4" s="14" t="s">
        <v>433</v>
      </c>
      <c r="P4" s="14" t="s">
        <v>435</v>
      </c>
      <c r="Q4" s="14" t="s">
        <v>436</v>
      </c>
      <c r="R4" s="14" t="s">
        <v>437</v>
      </c>
      <c r="S4" s="14" t="s">
        <v>438</v>
      </c>
      <c r="T4" s="14" t="s">
        <v>439</v>
      </c>
      <c r="U4" s="14" t="s">
        <v>440</v>
      </c>
      <c r="V4" s="14" t="s">
        <v>441</v>
      </c>
      <c r="W4" s="14" t="s">
        <v>442</v>
      </c>
      <c r="X4" s="103" t="s">
        <v>443</v>
      </c>
      <c r="Y4" s="345" t="s">
        <v>633</v>
      </c>
      <c r="Z4" s="150" t="s">
        <v>999</v>
      </c>
      <c r="AA4" s="150" t="s">
        <v>998</v>
      </c>
      <c r="AB4" s="255" t="s">
        <v>461</v>
      </c>
    </row>
    <row r="5" spans="1:28" ht="15.75" thickBot="1">
      <c r="A5" s="12">
        <v>1</v>
      </c>
      <c r="B5" s="13">
        <v>2</v>
      </c>
      <c r="C5" s="13">
        <v>3</v>
      </c>
      <c r="D5" s="13">
        <v>4</v>
      </c>
      <c r="E5" s="283">
        <v>5</v>
      </c>
      <c r="F5" s="268">
        <v>3</v>
      </c>
      <c r="G5" s="13">
        <v>4</v>
      </c>
      <c r="H5" s="197">
        <v>5</v>
      </c>
      <c r="I5" s="196" t="s">
        <v>636</v>
      </c>
      <c r="J5" s="7" t="s">
        <v>637</v>
      </c>
      <c r="K5" s="160" t="s">
        <v>638</v>
      </c>
      <c r="L5" s="6">
        <v>6</v>
      </c>
      <c r="M5" s="7" t="s">
        <v>389</v>
      </c>
      <c r="N5" s="7" t="s">
        <v>390</v>
      </c>
      <c r="O5" s="7" t="s">
        <v>391</v>
      </c>
      <c r="P5" s="7" t="s">
        <v>392</v>
      </c>
      <c r="Q5" s="7" t="s">
        <v>393</v>
      </c>
      <c r="R5" s="7" t="s">
        <v>394</v>
      </c>
      <c r="S5" s="7" t="s">
        <v>395</v>
      </c>
      <c r="T5" s="7" t="s">
        <v>444</v>
      </c>
      <c r="U5" s="7" t="s">
        <v>445</v>
      </c>
      <c r="V5" s="7" t="s">
        <v>446</v>
      </c>
      <c r="W5" s="7" t="s">
        <v>447</v>
      </c>
      <c r="X5" s="8" t="s">
        <v>448</v>
      </c>
      <c r="Y5" s="359">
        <v>7</v>
      </c>
      <c r="Z5" s="336">
        <v>8</v>
      </c>
      <c r="AA5" s="336">
        <v>8</v>
      </c>
      <c r="AB5" s="256">
        <v>9</v>
      </c>
    </row>
    <row r="6" spans="1:28">
      <c r="A6" s="43"/>
      <c r="B6" s="286" t="s">
        <v>301</v>
      </c>
      <c r="C6" s="286" t="s">
        <v>302</v>
      </c>
      <c r="D6" s="287" t="s">
        <v>293</v>
      </c>
      <c r="E6" s="288">
        <v>9000</v>
      </c>
      <c r="F6" s="269" t="s">
        <v>302</v>
      </c>
      <c r="G6" s="44" t="s">
        <v>293</v>
      </c>
      <c r="H6" s="130">
        <v>9000</v>
      </c>
      <c r="I6" s="151"/>
      <c r="J6" s="151"/>
      <c r="K6" s="189"/>
      <c r="L6" s="136">
        <v>9000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37"/>
      <c r="Y6" s="189">
        <f>SUM(L6:X6)</f>
        <v>9000</v>
      </c>
      <c r="Z6" s="151">
        <f>H6-Y6</f>
        <v>0</v>
      </c>
      <c r="AA6" s="262">
        <f>E6-Y6</f>
        <v>0</v>
      </c>
      <c r="AB6" s="257" t="s">
        <v>1048</v>
      </c>
    </row>
    <row r="7" spans="1:28">
      <c r="A7" s="11"/>
      <c r="B7" s="246" t="s">
        <v>303</v>
      </c>
      <c r="C7" s="246" t="s">
        <v>304</v>
      </c>
      <c r="D7" s="241" t="s">
        <v>294</v>
      </c>
      <c r="E7" s="284">
        <v>200</v>
      </c>
      <c r="F7" s="270" t="s">
        <v>304</v>
      </c>
      <c r="G7" s="5" t="s">
        <v>294</v>
      </c>
      <c r="H7" s="99">
        <v>337</v>
      </c>
      <c r="I7" s="152"/>
      <c r="J7" s="152"/>
      <c r="K7" s="190"/>
      <c r="L7" s="114">
        <v>337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115"/>
      <c r="Y7" s="190">
        <f>SUM(L7:X7)</f>
        <v>337</v>
      </c>
      <c r="Z7" s="152">
        <f>H7-Y7</f>
        <v>0</v>
      </c>
      <c r="AA7" s="263">
        <f>E7-Y7</f>
        <v>-137</v>
      </c>
      <c r="AB7" s="48" t="s">
        <v>1048</v>
      </c>
    </row>
    <row r="8" spans="1:28">
      <c r="A8" s="11"/>
      <c r="B8" s="246" t="s">
        <v>305</v>
      </c>
      <c r="C8" s="246" t="s">
        <v>306</v>
      </c>
      <c r="D8" s="241" t="s">
        <v>294</v>
      </c>
      <c r="E8" s="284">
        <v>200</v>
      </c>
      <c r="F8" s="270" t="s">
        <v>306</v>
      </c>
      <c r="G8" s="5" t="s">
        <v>294</v>
      </c>
      <c r="H8" s="99">
        <v>337</v>
      </c>
      <c r="I8" s="152"/>
      <c r="J8" s="152"/>
      <c r="K8" s="190"/>
      <c r="L8" s="114">
        <v>337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115"/>
      <c r="Y8" s="190">
        <f t="shared" ref="Y8:Y216" si="0">SUM(L8:X8)</f>
        <v>337</v>
      </c>
      <c r="Z8" s="152">
        <f>H8-Y8</f>
        <v>0</v>
      </c>
      <c r="AA8" s="263">
        <f>E8-Y8</f>
        <v>-137</v>
      </c>
      <c r="AB8" s="48" t="s">
        <v>1048</v>
      </c>
    </row>
    <row r="9" spans="1:28" s="65" customFormat="1" ht="15.75">
      <c r="A9" s="63"/>
      <c r="B9" s="289"/>
      <c r="C9" s="290" t="s">
        <v>32</v>
      </c>
      <c r="D9" s="291"/>
      <c r="E9" s="292"/>
      <c r="F9" s="271" t="s">
        <v>32</v>
      </c>
      <c r="G9" s="64"/>
      <c r="H9" s="131"/>
      <c r="I9" s="153"/>
      <c r="J9" s="153"/>
      <c r="K9" s="191"/>
      <c r="L9" s="138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139"/>
      <c r="Y9" s="191"/>
      <c r="Z9" s="153"/>
      <c r="AA9" s="153"/>
      <c r="AB9" s="258"/>
    </row>
    <row r="10" spans="1:28">
      <c r="A10" s="11"/>
      <c r="B10" s="246" t="s">
        <v>307</v>
      </c>
      <c r="C10" s="246" t="s">
        <v>308</v>
      </c>
      <c r="D10" s="241" t="s">
        <v>293</v>
      </c>
      <c r="E10" s="284">
        <v>13672</v>
      </c>
      <c r="F10" s="270" t="s">
        <v>308</v>
      </c>
      <c r="G10" s="5" t="s">
        <v>293</v>
      </c>
      <c r="H10" s="198">
        <f>12389+241</f>
        <v>12630</v>
      </c>
      <c r="I10" s="152"/>
      <c r="J10" s="152"/>
      <c r="K10" s="190"/>
      <c r="L10" s="114">
        <v>9550.52</v>
      </c>
      <c r="M10" s="46"/>
      <c r="N10" s="46"/>
      <c r="O10" s="46"/>
      <c r="P10" s="46"/>
      <c r="Q10" s="46"/>
      <c r="R10" s="46"/>
      <c r="S10" s="46">
        <v>188</v>
      </c>
      <c r="T10" s="46">
        <v>1151.5</v>
      </c>
      <c r="U10" s="46">
        <v>1000</v>
      </c>
      <c r="V10" s="46"/>
      <c r="W10" s="46"/>
      <c r="X10" s="140"/>
      <c r="Y10" s="190">
        <f t="shared" si="0"/>
        <v>11890.02</v>
      </c>
      <c r="Z10" s="152">
        <f t="shared" ref="Z10:Z62" si="1">H10-Y10</f>
        <v>739.97999999999956</v>
      </c>
      <c r="AA10" s="263">
        <f t="shared" ref="AA10:AA62" si="2">E10-Y10</f>
        <v>1781.9799999999996</v>
      </c>
      <c r="AB10" s="48"/>
    </row>
    <row r="11" spans="1:28" ht="75">
      <c r="A11" s="11"/>
      <c r="B11" s="246" t="s">
        <v>98</v>
      </c>
      <c r="C11" s="246" t="s">
        <v>99</v>
      </c>
      <c r="D11" s="241" t="s">
        <v>289</v>
      </c>
      <c r="E11" s="284">
        <v>26709.599999999999</v>
      </c>
      <c r="F11" s="270" t="s">
        <v>653</v>
      </c>
      <c r="G11" s="5" t="s">
        <v>289</v>
      </c>
      <c r="H11" s="198">
        <f>12411+176</f>
        <v>12587</v>
      </c>
      <c r="I11" s="152"/>
      <c r="J11" s="152"/>
      <c r="K11" s="190"/>
      <c r="L11" s="414">
        <v>6674</v>
      </c>
      <c r="M11" s="398"/>
      <c r="N11" s="398">
        <v>254</v>
      </c>
      <c r="O11" s="398">
        <v>1220</v>
      </c>
      <c r="P11" s="398">
        <v>633</v>
      </c>
      <c r="Q11" s="398">
        <v>239</v>
      </c>
      <c r="R11" s="398">
        <f>730*0.73</f>
        <v>532.9</v>
      </c>
      <c r="S11" s="398"/>
      <c r="T11" s="398">
        <v>2750</v>
      </c>
      <c r="U11" s="398">
        <v>160.53</v>
      </c>
      <c r="V11" s="398">
        <v>320</v>
      </c>
      <c r="W11" s="46"/>
      <c r="X11" s="140"/>
      <c r="Y11" s="190">
        <f t="shared" si="0"/>
        <v>12783.43</v>
      </c>
      <c r="Z11" s="152">
        <f t="shared" si="1"/>
        <v>-196.43000000000029</v>
      </c>
      <c r="AA11" s="263">
        <f t="shared" si="2"/>
        <v>13926.169999999998</v>
      </c>
      <c r="AB11" s="48" t="s">
        <v>1053</v>
      </c>
    </row>
    <row r="12" spans="1:28" ht="75">
      <c r="A12" s="11"/>
      <c r="B12" s="246"/>
      <c r="C12" s="246"/>
      <c r="D12" s="241"/>
      <c r="E12" s="284"/>
      <c r="F12" s="272" t="s">
        <v>449</v>
      </c>
      <c r="G12" s="25" t="s">
        <v>293</v>
      </c>
      <c r="H12" s="98">
        <v>1992.5</v>
      </c>
      <c r="I12" s="154"/>
      <c r="J12" s="154"/>
      <c r="K12" s="192"/>
      <c r="L12" s="126"/>
      <c r="M12" s="72"/>
      <c r="N12" s="72"/>
      <c r="O12" s="72"/>
      <c r="P12" s="72">
        <f>797*2.5</f>
        <v>1992.5</v>
      </c>
      <c r="Q12" s="72"/>
      <c r="R12" s="72"/>
      <c r="S12" s="72"/>
      <c r="T12" s="72"/>
      <c r="U12" s="72"/>
      <c r="V12" s="72"/>
      <c r="W12" s="72"/>
      <c r="X12" s="141"/>
      <c r="Y12" s="190">
        <f t="shared" si="0"/>
        <v>1992.5</v>
      </c>
      <c r="Z12" s="154">
        <f t="shared" si="1"/>
        <v>0</v>
      </c>
      <c r="AA12" s="263">
        <f t="shared" si="2"/>
        <v>-1992.5</v>
      </c>
      <c r="AB12" s="73" t="s">
        <v>450</v>
      </c>
    </row>
    <row r="13" spans="1:28">
      <c r="A13" s="11"/>
      <c r="B13" s="246"/>
      <c r="C13" s="246"/>
      <c r="D13" s="241"/>
      <c r="E13" s="284"/>
      <c r="F13" s="301" t="s">
        <v>650</v>
      </c>
      <c r="G13" s="15" t="s">
        <v>289</v>
      </c>
      <c r="H13" s="199">
        <f>3724+1261+176</f>
        <v>5161</v>
      </c>
      <c r="I13" s="154"/>
      <c r="J13" s="154"/>
      <c r="K13" s="192"/>
      <c r="L13" s="126"/>
      <c r="M13" s="72"/>
      <c r="N13" s="72"/>
      <c r="O13" s="72"/>
      <c r="P13" s="72">
        <v>5000</v>
      </c>
      <c r="Q13" s="72"/>
      <c r="R13" s="72">
        <v>161</v>
      </c>
      <c r="S13" s="72"/>
      <c r="T13" s="72"/>
      <c r="U13" s="72"/>
      <c r="V13" s="72"/>
      <c r="W13" s="72"/>
      <c r="X13" s="141"/>
      <c r="Y13" s="190">
        <f t="shared" si="0"/>
        <v>5161</v>
      </c>
      <c r="Z13" s="154">
        <f t="shared" ref="Z13" si="3">H13-Y13</f>
        <v>0</v>
      </c>
      <c r="AA13" s="263">
        <f t="shared" si="2"/>
        <v>-5161</v>
      </c>
      <c r="AB13" s="73"/>
    </row>
    <row r="14" spans="1:28" ht="30">
      <c r="A14" s="11"/>
      <c r="B14" s="246"/>
      <c r="C14" s="246"/>
      <c r="D14" s="241"/>
      <c r="E14" s="284"/>
      <c r="F14" s="273" t="s">
        <v>644</v>
      </c>
      <c r="G14" s="15" t="s">
        <v>289</v>
      </c>
      <c r="H14" s="199">
        <v>1261</v>
      </c>
      <c r="I14" s="200"/>
      <c r="J14" s="154"/>
      <c r="K14" s="192"/>
      <c r="L14" s="399">
        <v>1000</v>
      </c>
      <c r="M14" s="400">
        <v>261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127"/>
      <c r="Y14" s="190">
        <f t="shared" si="0"/>
        <v>1261</v>
      </c>
      <c r="Z14" s="154">
        <f>H14-Y14</f>
        <v>0</v>
      </c>
      <c r="AA14" s="263">
        <f t="shared" si="2"/>
        <v>-1261</v>
      </c>
      <c r="AB14" s="73" t="s">
        <v>643</v>
      </c>
    </row>
    <row r="15" spans="1:28" ht="75">
      <c r="A15" s="11"/>
      <c r="B15" s="246"/>
      <c r="C15" s="246"/>
      <c r="D15" s="241"/>
      <c r="E15" s="284"/>
      <c r="F15" s="270" t="s">
        <v>651</v>
      </c>
      <c r="G15" s="5" t="s">
        <v>289</v>
      </c>
      <c r="H15" s="198">
        <v>1261</v>
      </c>
      <c r="I15" s="152"/>
      <c r="J15" s="152"/>
      <c r="K15" s="190"/>
      <c r="L15" s="114"/>
      <c r="M15" s="46">
        <v>1261</v>
      </c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140"/>
      <c r="Y15" s="190">
        <f t="shared" si="0"/>
        <v>1261</v>
      </c>
      <c r="Z15" s="152">
        <f t="shared" ref="Z15:Z16" si="4">H15-Y15</f>
        <v>0</v>
      </c>
      <c r="AA15" s="263">
        <f t="shared" si="2"/>
        <v>-1261</v>
      </c>
      <c r="AB15" s="73" t="s">
        <v>645</v>
      </c>
    </row>
    <row r="16" spans="1:28">
      <c r="A16" s="11"/>
      <c r="B16" s="246"/>
      <c r="C16" s="246"/>
      <c r="D16" s="241"/>
      <c r="E16" s="284"/>
      <c r="F16" s="301" t="s">
        <v>652</v>
      </c>
      <c r="G16" s="15" t="s">
        <v>289</v>
      </c>
      <c r="H16" s="199">
        <v>1261</v>
      </c>
      <c r="I16" s="154"/>
      <c r="J16" s="154"/>
      <c r="K16" s="192">
        <v>2018</v>
      </c>
      <c r="L16" s="126">
        <v>1000</v>
      </c>
      <c r="M16" s="72">
        <v>261</v>
      </c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141"/>
      <c r="Y16" s="190">
        <f t="shared" si="0"/>
        <v>1261</v>
      </c>
      <c r="Z16" s="154">
        <f t="shared" si="4"/>
        <v>0</v>
      </c>
      <c r="AA16" s="263">
        <f t="shared" si="2"/>
        <v>-1261</v>
      </c>
      <c r="AB16" s="73"/>
    </row>
    <row r="17" spans="1:31" ht="30">
      <c r="A17" s="11"/>
      <c r="B17" s="246"/>
      <c r="C17" s="246"/>
      <c r="D17" s="241"/>
      <c r="E17" s="284"/>
      <c r="F17" s="273" t="s">
        <v>642</v>
      </c>
      <c r="G17" s="15" t="s">
        <v>289</v>
      </c>
      <c r="H17" s="199">
        <v>1261</v>
      </c>
      <c r="I17" s="200" t="s">
        <v>500</v>
      </c>
      <c r="J17" s="154" t="s">
        <v>289</v>
      </c>
      <c r="K17" s="192">
        <v>2018</v>
      </c>
      <c r="L17" s="399">
        <f>909*1.1</f>
        <v>999.90000000000009</v>
      </c>
      <c r="M17" s="400">
        <f>203*1.1</f>
        <v>223.3</v>
      </c>
      <c r="N17" s="71"/>
      <c r="O17" s="71"/>
      <c r="P17" s="71"/>
      <c r="Q17" s="71"/>
      <c r="R17" s="71"/>
      <c r="S17" s="71"/>
      <c r="T17" s="71">
        <v>146</v>
      </c>
      <c r="U17" s="71"/>
      <c r="V17" s="71"/>
      <c r="W17" s="71"/>
      <c r="X17" s="127"/>
      <c r="Y17" s="190">
        <f t="shared" si="0"/>
        <v>1369.2</v>
      </c>
      <c r="Z17" s="154">
        <f>H17-Y17</f>
        <v>-108.20000000000005</v>
      </c>
      <c r="AA17" s="263">
        <f t="shared" si="2"/>
        <v>-1369.2</v>
      </c>
      <c r="AB17" s="73" t="s">
        <v>1095</v>
      </c>
    </row>
    <row r="18" spans="1:31">
      <c r="A18" s="11"/>
      <c r="B18" s="246" t="s">
        <v>309</v>
      </c>
      <c r="C18" s="246" t="s">
        <v>984</v>
      </c>
      <c r="D18" s="241" t="s">
        <v>289</v>
      </c>
      <c r="E18" s="284">
        <v>2</v>
      </c>
      <c r="F18" s="270" t="s">
        <v>979</v>
      </c>
      <c r="G18" s="5" t="s">
        <v>289</v>
      </c>
      <c r="H18" s="99">
        <v>45</v>
      </c>
      <c r="I18" s="152"/>
      <c r="J18" s="152"/>
      <c r="K18" s="190"/>
      <c r="L18" s="114"/>
      <c r="M18" s="46"/>
      <c r="N18" s="46"/>
      <c r="O18" s="46"/>
      <c r="P18" s="46"/>
      <c r="Q18" s="46"/>
      <c r="R18" s="46"/>
      <c r="S18" s="46"/>
      <c r="T18" s="46">
        <v>45</v>
      </c>
      <c r="U18" s="46"/>
      <c r="V18" s="46"/>
      <c r="W18" s="46"/>
      <c r="X18" s="140"/>
      <c r="Y18" s="190">
        <f t="shared" si="0"/>
        <v>45</v>
      </c>
      <c r="Z18" s="152">
        <f t="shared" si="1"/>
        <v>0</v>
      </c>
      <c r="AA18" s="263">
        <f t="shared" si="2"/>
        <v>-43</v>
      </c>
      <c r="AB18" s="48"/>
    </row>
    <row r="19" spans="1:31" ht="30">
      <c r="A19" s="11"/>
      <c r="B19" s="246" t="s">
        <v>16</v>
      </c>
      <c r="C19" s="246" t="s">
        <v>17</v>
      </c>
      <c r="D19" s="241" t="s">
        <v>292</v>
      </c>
      <c r="E19" s="284">
        <v>10.76</v>
      </c>
      <c r="F19" s="274" t="s">
        <v>641</v>
      </c>
      <c r="G19" s="5" t="s">
        <v>635</v>
      </c>
      <c r="H19" s="99">
        <f>15202.3+2206.8</f>
        <v>17409.099999999999</v>
      </c>
      <c r="I19" s="152"/>
      <c r="J19" s="152"/>
      <c r="K19" s="190"/>
      <c r="L19" s="114">
        <v>800</v>
      </c>
      <c r="M19" s="46">
        <v>1200</v>
      </c>
      <c r="N19" s="46">
        <v>1000</v>
      </c>
      <c r="O19" s="46">
        <v>750</v>
      </c>
      <c r="P19" s="46">
        <v>1500</v>
      </c>
      <c r="Q19" s="46">
        <v>1100</v>
      </c>
      <c r="R19" s="46">
        <v>1250</v>
      </c>
      <c r="S19" s="46">
        <v>1300</v>
      </c>
      <c r="T19" s="46"/>
      <c r="U19" s="46">
        <v>1500</v>
      </c>
      <c r="V19" s="46"/>
      <c r="W19" s="46"/>
      <c r="X19" s="140"/>
      <c r="Y19" s="190">
        <f t="shared" si="0"/>
        <v>10400</v>
      </c>
      <c r="Z19" s="152">
        <f t="shared" si="1"/>
        <v>7009.0999999999985</v>
      </c>
      <c r="AA19" s="263">
        <f t="shared" si="2"/>
        <v>-10389.24</v>
      </c>
      <c r="AB19" s="48"/>
    </row>
    <row r="20" spans="1:31" ht="30">
      <c r="A20" s="11"/>
      <c r="B20" s="246" t="s">
        <v>18</v>
      </c>
      <c r="C20" s="246" t="s">
        <v>19</v>
      </c>
      <c r="D20" s="241" t="s">
        <v>289</v>
      </c>
      <c r="E20" s="284">
        <v>6063</v>
      </c>
      <c r="F20" s="274" t="s">
        <v>19</v>
      </c>
      <c r="G20" s="5" t="s">
        <v>289</v>
      </c>
      <c r="H20" s="99">
        <f>4360+229+448+100+104+244+30</f>
        <v>5515</v>
      </c>
      <c r="I20" s="200" t="s">
        <v>500</v>
      </c>
      <c r="J20" s="154" t="s">
        <v>289</v>
      </c>
      <c r="K20" s="192">
        <v>5515</v>
      </c>
      <c r="L20" s="114"/>
      <c r="M20" s="398">
        <f>1552.52*1.1</f>
        <v>1707.7720000000002</v>
      </c>
      <c r="N20" s="398"/>
      <c r="O20" s="398">
        <f>657.4*1.1</f>
        <v>723.14</v>
      </c>
      <c r="P20" s="398"/>
      <c r="Q20" s="398">
        <f>115*1.1</f>
        <v>126.50000000000001</v>
      </c>
      <c r="R20" s="398">
        <f>238.9*1.1</f>
        <v>262.79000000000002</v>
      </c>
      <c r="S20" s="398"/>
      <c r="T20" s="398">
        <f>232.18*1.1</f>
        <v>255.39800000000002</v>
      </c>
      <c r="U20" s="398"/>
      <c r="V20" s="46"/>
      <c r="W20" s="46"/>
      <c r="X20" s="140"/>
      <c r="Y20" s="190">
        <f t="shared" si="0"/>
        <v>3075.6000000000004</v>
      </c>
      <c r="Z20" s="152">
        <f t="shared" si="1"/>
        <v>2439.3999999999996</v>
      </c>
      <c r="AA20" s="263">
        <f t="shared" si="2"/>
        <v>2987.3999999999996</v>
      </c>
      <c r="AB20" s="48" t="s">
        <v>1053</v>
      </c>
    </row>
    <row r="21" spans="1:31" ht="30">
      <c r="A21" s="11"/>
      <c r="B21" s="246" t="s">
        <v>310</v>
      </c>
      <c r="C21" s="246" t="s">
        <v>311</v>
      </c>
      <c r="D21" s="241" t="s">
        <v>289</v>
      </c>
      <c r="E21" s="284">
        <v>36.799999999999997</v>
      </c>
      <c r="F21" s="274" t="s">
        <v>311</v>
      </c>
      <c r="G21" s="5" t="s">
        <v>289</v>
      </c>
      <c r="H21" s="99">
        <v>36.799999999999997</v>
      </c>
      <c r="I21" s="152"/>
      <c r="J21" s="152"/>
      <c r="K21" s="190"/>
      <c r="L21" s="114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140"/>
      <c r="Y21" s="190">
        <f t="shared" si="0"/>
        <v>0</v>
      </c>
      <c r="Z21" s="152">
        <f t="shared" si="1"/>
        <v>36.799999999999997</v>
      </c>
      <c r="AA21" s="263">
        <f t="shared" si="2"/>
        <v>36.799999999999997</v>
      </c>
      <c r="AB21" s="48" t="s">
        <v>1053</v>
      </c>
    </row>
    <row r="22" spans="1:31">
      <c r="A22" s="11"/>
      <c r="B22" s="246" t="s">
        <v>312</v>
      </c>
      <c r="C22" s="246" t="s">
        <v>313</v>
      </c>
      <c r="D22" s="241" t="s">
        <v>289</v>
      </c>
      <c r="E22" s="284">
        <v>1</v>
      </c>
      <c r="F22" s="274" t="s">
        <v>313</v>
      </c>
      <c r="G22" s="5" t="s">
        <v>289</v>
      </c>
      <c r="H22" s="99">
        <v>1</v>
      </c>
      <c r="I22" s="152"/>
      <c r="J22" s="152"/>
      <c r="K22" s="190"/>
      <c r="L22" s="114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140"/>
      <c r="Y22" s="190">
        <f t="shared" si="0"/>
        <v>0</v>
      </c>
      <c r="Z22" s="152">
        <f t="shared" si="1"/>
        <v>1</v>
      </c>
      <c r="AA22" s="263">
        <f t="shared" si="2"/>
        <v>1</v>
      </c>
      <c r="AB22" s="48"/>
    </row>
    <row r="23" spans="1:31">
      <c r="A23" s="11"/>
      <c r="B23" s="246" t="s">
        <v>314</v>
      </c>
      <c r="C23" s="246" t="s">
        <v>315</v>
      </c>
      <c r="D23" s="241" t="s">
        <v>293</v>
      </c>
      <c r="E23" s="284">
        <v>1895</v>
      </c>
      <c r="F23" s="274" t="s">
        <v>315</v>
      </c>
      <c r="G23" s="5" t="s">
        <v>293</v>
      </c>
      <c r="H23" s="99">
        <v>1895</v>
      </c>
      <c r="I23" s="152"/>
      <c r="J23" s="152"/>
      <c r="K23" s="190"/>
      <c r="L23" s="114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140"/>
      <c r="Y23" s="190">
        <f t="shared" si="0"/>
        <v>0</v>
      </c>
      <c r="Z23" s="152">
        <f t="shared" si="1"/>
        <v>1895</v>
      </c>
      <c r="AA23" s="263">
        <f t="shared" si="2"/>
        <v>1895</v>
      </c>
      <c r="AB23" s="48"/>
    </row>
    <row r="24" spans="1:31" ht="30">
      <c r="A24" s="11"/>
      <c r="B24" s="246" t="s">
        <v>33</v>
      </c>
      <c r="C24" s="246" t="s">
        <v>34</v>
      </c>
      <c r="D24" s="241" t="s">
        <v>289</v>
      </c>
      <c r="E24" s="284">
        <v>3156.11</v>
      </c>
      <c r="F24" s="274" t="s">
        <v>34</v>
      </c>
      <c r="G24" s="5" t="s">
        <v>289</v>
      </c>
      <c r="H24" s="99">
        <f>(12630*0.2+317*0.28+96*0.23+324*0.15+274*0.2+99*0.15)</f>
        <v>2755.09</v>
      </c>
      <c r="I24" s="200" t="s">
        <v>639</v>
      </c>
      <c r="J24" s="154" t="s">
        <v>289</v>
      </c>
      <c r="K24" s="192">
        <f>(12630*0.2+317*0.28+96*0.23+324*0.15+274*0.2+99*0.15)*1.26</f>
        <v>3471.4134000000004</v>
      </c>
      <c r="L24" s="114"/>
      <c r="M24" s="46"/>
      <c r="N24" s="46"/>
      <c r="O24" s="46"/>
      <c r="P24" s="398">
        <f>1034*1.26</f>
        <v>1302.8399999999999</v>
      </c>
      <c r="Q24" s="398">
        <f>62.56*1.26</f>
        <v>78.825600000000009</v>
      </c>
      <c r="R24" s="398">
        <f>715.85*1.26</f>
        <v>901.971</v>
      </c>
      <c r="S24" s="46">
        <f>730*0.2</f>
        <v>146</v>
      </c>
      <c r="T24" s="46">
        <f>(40+240)*0.2</f>
        <v>56</v>
      </c>
      <c r="U24" s="46"/>
      <c r="V24" s="46">
        <f>420.13*1.26</f>
        <v>529.36379999999997</v>
      </c>
      <c r="W24" s="46"/>
      <c r="X24" s="140"/>
      <c r="Y24" s="190">
        <f t="shared" si="0"/>
        <v>3015.0003999999999</v>
      </c>
      <c r="Z24" s="152">
        <f t="shared" si="1"/>
        <v>-259.91039999999975</v>
      </c>
      <c r="AA24" s="263">
        <f t="shared" si="2"/>
        <v>141.10960000000023</v>
      </c>
      <c r="AB24" s="48"/>
    </row>
    <row r="25" spans="1:31" ht="45">
      <c r="A25" s="11"/>
      <c r="B25" s="246" t="s">
        <v>24</v>
      </c>
      <c r="C25" s="246" t="s">
        <v>25</v>
      </c>
      <c r="D25" s="241" t="s">
        <v>289</v>
      </c>
      <c r="E25" s="284">
        <v>1471.8</v>
      </c>
      <c r="F25" s="274" t="s">
        <v>25</v>
      </c>
      <c r="G25" s="5" t="s">
        <v>289</v>
      </c>
      <c r="H25" s="99">
        <f>(12630+572+1119+274+259+74+1477)*0.1</f>
        <v>1640.5</v>
      </c>
      <c r="I25" s="200" t="s">
        <v>470</v>
      </c>
      <c r="J25" s="154" t="s">
        <v>289</v>
      </c>
      <c r="K25" s="192">
        <f>H25*1.26</f>
        <v>2067.0300000000002</v>
      </c>
      <c r="L25" s="114"/>
      <c r="M25" s="46"/>
      <c r="N25" s="46"/>
      <c r="O25" s="46"/>
      <c r="P25" s="398">
        <f>510*1.26</f>
        <v>642.6</v>
      </c>
      <c r="Q25" s="398">
        <f>32.44*1.26</f>
        <v>40.874399999999994</v>
      </c>
      <c r="R25" s="398">
        <f>339.15*1.26</f>
        <v>427.32899999999995</v>
      </c>
      <c r="S25" s="46">
        <f>730*0.1</f>
        <v>73</v>
      </c>
      <c r="T25" s="46">
        <f>(262+162+95+66+81+60)*0.15+(280+200)*0.1</f>
        <v>156.89999999999998</v>
      </c>
      <c r="U25" s="46"/>
      <c r="V25" s="46">
        <f>228.87*1.26</f>
        <v>288.37619999999998</v>
      </c>
      <c r="W25" s="46"/>
      <c r="X25" s="140"/>
      <c r="Y25" s="190">
        <f t="shared" si="0"/>
        <v>1629.0795999999998</v>
      </c>
      <c r="Z25" s="152">
        <f t="shared" si="1"/>
        <v>11.4204000000002</v>
      </c>
      <c r="AA25" s="263">
        <f t="shared" si="2"/>
        <v>-157.27959999999985</v>
      </c>
      <c r="AB25" s="48" t="s">
        <v>1054</v>
      </c>
    </row>
    <row r="26" spans="1:31" ht="30">
      <c r="A26" s="11"/>
      <c r="B26" s="246" t="s">
        <v>36</v>
      </c>
      <c r="C26" s="246" t="s">
        <v>37</v>
      </c>
      <c r="D26" s="241" t="s">
        <v>291</v>
      </c>
      <c r="E26" s="284">
        <v>1592</v>
      </c>
      <c r="F26" s="274" t="s">
        <v>429</v>
      </c>
      <c r="G26" s="5" t="s">
        <v>430</v>
      </c>
      <c r="H26" s="99">
        <f>2025+454</f>
        <v>2479</v>
      </c>
      <c r="I26" s="200" t="s">
        <v>647</v>
      </c>
      <c r="J26" s="154" t="s">
        <v>294</v>
      </c>
      <c r="K26" s="192">
        <f>H26</f>
        <v>2479</v>
      </c>
      <c r="L26" s="114"/>
      <c r="M26" s="46"/>
      <c r="N26" s="46"/>
      <c r="O26" s="46">
        <v>160</v>
      </c>
      <c r="P26" s="46">
        <v>917</v>
      </c>
      <c r="Q26" s="46">
        <f>1129.7-1077</f>
        <v>52.700000000000045</v>
      </c>
      <c r="R26" s="46"/>
      <c r="S26" s="46">
        <v>180</v>
      </c>
      <c r="T26" s="46">
        <f>450+80</f>
        <v>530</v>
      </c>
      <c r="U26" s="46"/>
      <c r="V26" s="46"/>
      <c r="W26" s="46"/>
      <c r="X26" s="140"/>
      <c r="Y26" s="190">
        <f t="shared" si="0"/>
        <v>1839.7</v>
      </c>
      <c r="Z26" s="152">
        <f t="shared" si="1"/>
        <v>639.29999999999995</v>
      </c>
      <c r="AA26" s="263">
        <f t="shared" si="2"/>
        <v>-247.70000000000005</v>
      </c>
      <c r="AB26" s="73" t="s">
        <v>1055</v>
      </c>
      <c r="AD26" s="33">
        <f>Z26*0.043</f>
        <v>27.489899999999995</v>
      </c>
      <c r="AE26" s="33">
        <f>Z27*0.018</f>
        <v>7.5239999999999991</v>
      </c>
    </row>
    <row r="27" spans="1:31" ht="30">
      <c r="A27" s="11"/>
      <c r="B27" s="246"/>
      <c r="C27" s="246"/>
      <c r="D27" s="241"/>
      <c r="E27" s="284"/>
      <c r="F27" s="274" t="s">
        <v>646</v>
      </c>
      <c r="G27" s="5" t="s">
        <v>430</v>
      </c>
      <c r="H27" s="99">
        <f>109+819</f>
        <v>928</v>
      </c>
      <c r="I27" s="200" t="s">
        <v>648</v>
      </c>
      <c r="J27" s="154" t="s">
        <v>294</v>
      </c>
      <c r="K27" s="192">
        <f>H27</f>
        <v>928</v>
      </c>
      <c r="L27" s="114"/>
      <c r="M27" s="46"/>
      <c r="N27" s="46"/>
      <c r="O27" s="46"/>
      <c r="P27" s="46"/>
      <c r="Q27" s="46"/>
      <c r="R27" s="46"/>
      <c r="S27" s="46"/>
      <c r="T27" s="46">
        <f>450+60</f>
        <v>510</v>
      </c>
      <c r="U27" s="46"/>
      <c r="V27" s="46"/>
      <c r="W27" s="46"/>
      <c r="X27" s="140"/>
      <c r="Y27" s="190">
        <f t="shared" si="0"/>
        <v>510</v>
      </c>
      <c r="Z27" s="152">
        <f t="shared" ref="Z27" si="5">H27-Y27</f>
        <v>418</v>
      </c>
      <c r="AA27" s="263">
        <f t="shared" si="2"/>
        <v>-510</v>
      </c>
      <c r="AB27" s="48" t="s">
        <v>1056</v>
      </c>
      <c r="AD27" s="33">
        <f>H26*0.043</f>
        <v>106.59699999999999</v>
      </c>
      <c r="AE27" s="33">
        <f>H27*0.018</f>
        <v>16.703999999999997</v>
      </c>
    </row>
    <row r="28" spans="1:31" s="1" customFormat="1" ht="30">
      <c r="A28" s="11"/>
      <c r="B28" s="246" t="s">
        <v>26</v>
      </c>
      <c r="C28" s="246" t="s">
        <v>996</v>
      </c>
      <c r="D28" s="241" t="s">
        <v>293</v>
      </c>
      <c r="E28" s="293">
        <v>30974</v>
      </c>
      <c r="F28" s="275" t="s">
        <v>656</v>
      </c>
      <c r="G28" s="25" t="s">
        <v>293</v>
      </c>
      <c r="H28" s="201">
        <f>11976+241</f>
        <v>12217</v>
      </c>
      <c r="I28" s="170" t="s">
        <v>463</v>
      </c>
      <c r="J28" s="155" t="s">
        <v>635</v>
      </c>
      <c r="K28" s="192">
        <f>H28*0.7/1000*1.03</f>
        <v>8.8084570000000006</v>
      </c>
      <c r="L28" s="106"/>
      <c r="M28" s="25">
        <v>0</v>
      </c>
      <c r="N28" s="25"/>
      <c r="O28" s="25">
        <v>0</v>
      </c>
      <c r="P28" s="25"/>
      <c r="Q28" s="71">
        <f>Q29</f>
        <v>5126.42</v>
      </c>
      <c r="R28" s="71">
        <v>4873.58</v>
      </c>
      <c r="S28" s="71">
        <v>730</v>
      </c>
      <c r="T28" s="71">
        <v>2700</v>
      </c>
      <c r="U28" s="71"/>
      <c r="V28" s="71"/>
      <c r="W28" s="71"/>
      <c r="X28" s="127"/>
      <c r="Y28" s="190">
        <f t="shared" si="0"/>
        <v>13430</v>
      </c>
      <c r="Z28" s="154">
        <f t="shared" si="1"/>
        <v>-1213</v>
      </c>
      <c r="AA28" s="263">
        <f t="shared" si="2"/>
        <v>17544</v>
      </c>
      <c r="AB28" s="259" t="s">
        <v>1057</v>
      </c>
    </row>
    <row r="29" spans="1:31" ht="30">
      <c r="A29" s="11"/>
      <c r="B29" s="246" t="s">
        <v>28</v>
      </c>
      <c r="C29" s="246" t="s">
        <v>985</v>
      </c>
      <c r="D29" s="241" t="s">
        <v>293</v>
      </c>
      <c r="E29" s="284">
        <v>15737</v>
      </c>
      <c r="F29" s="274" t="s">
        <v>655</v>
      </c>
      <c r="G29" s="5" t="s">
        <v>293</v>
      </c>
      <c r="H29" s="99">
        <f>H28</f>
        <v>12217</v>
      </c>
      <c r="I29" s="200" t="s">
        <v>654</v>
      </c>
      <c r="J29" s="154" t="s">
        <v>635</v>
      </c>
      <c r="K29" s="192">
        <f>H29*0.08*2.56</f>
        <v>2502.0416</v>
      </c>
      <c r="L29" s="114"/>
      <c r="M29" s="46"/>
      <c r="N29" s="46"/>
      <c r="O29" s="46"/>
      <c r="P29" s="46"/>
      <c r="Q29" s="46">
        <f>5093.61+32.81</f>
        <v>5126.42</v>
      </c>
      <c r="R29" s="46">
        <v>4873.58</v>
      </c>
      <c r="S29" s="46">
        <f>730</f>
        <v>730</v>
      </c>
      <c r="T29" s="46">
        <f>2000+700</f>
        <v>2700</v>
      </c>
      <c r="U29" s="46"/>
      <c r="V29" s="46"/>
      <c r="W29" s="46"/>
      <c r="X29" s="140"/>
      <c r="Y29" s="190">
        <f t="shared" si="0"/>
        <v>13430</v>
      </c>
      <c r="Z29" s="152">
        <f t="shared" si="1"/>
        <v>-1213</v>
      </c>
      <c r="AA29" s="263">
        <f t="shared" si="2"/>
        <v>2307</v>
      </c>
      <c r="AB29" s="259" t="s">
        <v>1058</v>
      </c>
    </row>
    <row r="30" spans="1:31" s="1" customFormat="1" ht="30">
      <c r="A30" s="11"/>
      <c r="B30" s="246"/>
      <c r="C30" s="246"/>
      <c r="D30" s="241"/>
      <c r="E30" s="293"/>
      <c r="F30" s="275" t="s">
        <v>649</v>
      </c>
      <c r="G30" s="25" t="s">
        <v>293</v>
      </c>
      <c r="H30" s="201">
        <f>11976+2963+96+241+1216</f>
        <v>16492</v>
      </c>
      <c r="I30" s="170" t="s">
        <v>463</v>
      </c>
      <c r="J30" s="155" t="s">
        <v>635</v>
      </c>
      <c r="K30" s="192">
        <f>H30*0.3/1000*1.03</f>
        <v>5.0960279999999996</v>
      </c>
      <c r="L30" s="106"/>
      <c r="M30" s="25">
        <v>0</v>
      </c>
      <c r="N30" s="25"/>
      <c r="O30" s="25">
        <v>0</v>
      </c>
      <c r="P30" s="25"/>
      <c r="Q30" s="71">
        <f>Q31</f>
        <v>0</v>
      </c>
      <c r="R30" s="71">
        <v>4873.58</v>
      </c>
      <c r="S30" s="71">
        <v>730</v>
      </c>
      <c r="T30" s="71"/>
      <c r="U30" s="71"/>
      <c r="V30" s="71"/>
      <c r="W30" s="71"/>
      <c r="X30" s="127"/>
      <c r="Y30" s="190">
        <f t="shared" si="0"/>
        <v>5603.58</v>
      </c>
      <c r="Z30" s="154">
        <f t="shared" ref="Z30" si="6">H30-Y30</f>
        <v>10888.42</v>
      </c>
      <c r="AA30" s="263">
        <f t="shared" si="2"/>
        <v>-5603.58</v>
      </c>
      <c r="AB30" s="259" t="s">
        <v>1059</v>
      </c>
    </row>
    <row r="31" spans="1:31" ht="30">
      <c r="A31" s="11"/>
      <c r="B31" s="246" t="s">
        <v>30</v>
      </c>
      <c r="C31" s="246" t="s">
        <v>316</v>
      </c>
      <c r="D31" s="241" t="s">
        <v>293</v>
      </c>
      <c r="E31" s="284">
        <v>15737</v>
      </c>
      <c r="F31" s="274" t="s">
        <v>316</v>
      </c>
      <c r="G31" s="5" t="s">
        <v>293</v>
      </c>
      <c r="H31" s="99">
        <f>11976+2963+96+241+1216</f>
        <v>16492</v>
      </c>
      <c r="I31" s="200" t="s">
        <v>465</v>
      </c>
      <c r="J31" s="154" t="s">
        <v>635</v>
      </c>
      <c r="K31" s="192">
        <f>H31*0.05*2.56</f>
        <v>2110.9760000000001</v>
      </c>
      <c r="L31" s="114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140"/>
      <c r="Y31" s="190">
        <f t="shared" si="0"/>
        <v>0</v>
      </c>
      <c r="Z31" s="152">
        <f>H31-Y31</f>
        <v>16492</v>
      </c>
      <c r="AA31" s="263">
        <f t="shared" si="2"/>
        <v>15737</v>
      </c>
      <c r="AB31" s="48"/>
    </row>
    <row r="32" spans="1:31" ht="30">
      <c r="A32" s="11"/>
      <c r="B32" s="246"/>
      <c r="C32" s="246"/>
      <c r="D32" s="241"/>
      <c r="E32" s="284"/>
      <c r="F32" s="275" t="s">
        <v>660</v>
      </c>
      <c r="G32" s="25" t="s">
        <v>293</v>
      </c>
      <c r="H32" s="98">
        <f>879.06+1216</f>
        <v>2095.06</v>
      </c>
      <c r="I32" s="200"/>
      <c r="J32" s="154"/>
      <c r="K32" s="192"/>
      <c r="L32" s="114"/>
      <c r="M32" s="46"/>
      <c r="N32" s="46"/>
      <c r="O32" s="46"/>
      <c r="P32" s="46"/>
      <c r="Q32" s="46"/>
      <c r="R32" s="46"/>
      <c r="S32" s="46">
        <v>2095.06</v>
      </c>
      <c r="T32" s="46"/>
      <c r="U32" s="46"/>
      <c r="V32" s="46"/>
      <c r="W32" s="46"/>
      <c r="X32" s="140"/>
      <c r="Y32" s="190">
        <f t="shared" si="0"/>
        <v>2095.06</v>
      </c>
      <c r="Z32" s="154">
        <f t="shared" ref="Z32:Z36" si="7">H32-Y32</f>
        <v>0</v>
      </c>
      <c r="AA32" s="263">
        <f t="shared" si="2"/>
        <v>-2095.06</v>
      </c>
      <c r="AB32" s="48" t="s">
        <v>1060</v>
      </c>
    </row>
    <row r="33" spans="1:28" ht="45">
      <c r="A33" s="11"/>
      <c r="B33" s="246"/>
      <c r="C33" s="246"/>
      <c r="D33" s="241"/>
      <c r="E33" s="284"/>
      <c r="F33" s="275" t="s">
        <v>657</v>
      </c>
      <c r="G33" s="25" t="s">
        <v>635</v>
      </c>
      <c r="H33" s="98">
        <f>774+1070</f>
        <v>1844</v>
      </c>
      <c r="I33" s="200"/>
      <c r="J33" s="154"/>
      <c r="K33" s="192"/>
      <c r="L33" s="114"/>
      <c r="M33" s="46"/>
      <c r="N33" s="46"/>
      <c r="O33" s="46"/>
      <c r="P33" s="46"/>
      <c r="Q33" s="46"/>
      <c r="R33" s="46"/>
      <c r="S33" s="46">
        <v>1844</v>
      </c>
      <c r="T33" s="46"/>
      <c r="U33" s="46"/>
      <c r="V33" s="46"/>
      <c r="W33" s="46"/>
      <c r="X33" s="140"/>
      <c r="Y33" s="190">
        <f t="shared" si="0"/>
        <v>1844</v>
      </c>
      <c r="Z33" s="154">
        <f t="shared" si="7"/>
        <v>0</v>
      </c>
      <c r="AA33" s="263">
        <f t="shared" si="2"/>
        <v>-1844</v>
      </c>
      <c r="AB33" s="48" t="s">
        <v>1060</v>
      </c>
    </row>
    <row r="34" spans="1:28" ht="30">
      <c r="A34" s="11"/>
      <c r="B34" s="246"/>
      <c r="C34" s="246"/>
      <c r="D34" s="241"/>
      <c r="E34" s="284"/>
      <c r="F34" s="274" t="s">
        <v>658</v>
      </c>
      <c r="G34" s="5" t="s">
        <v>293</v>
      </c>
      <c r="H34" s="99">
        <f>879+1216</f>
        <v>2095</v>
      </c>
      <c r="I34" s="170" t="s">
        <v>463</v>
      </c>
      <c r="J34" s="155" t="s">
        <v>635</v>
      </c>
      <c r="K34" s="192">
        <f>H34*0.4/1000*1.03</f>
        <v>0.86314000000000002</v>
      </c>
      <c r="L34" s="114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140"/>
      <c r="Y34" s="190">
        <f t="shared" si="0"/>
        <v>0</v>
      </c>
      <c r="Z34" s="152">
        <f t="shared" si="7"/>
        <v>2095</v>
      </c>
      <c r="AA34" s="263">
        <f t="shared" si="2"/>
        <v>0</v>
      </c>
      <c r="AB34" s="48"/>
    </row>
    <row r="35" spans="1:28" ht="30">
      <c r="A35" s="11"/>
      <c r="B35" s="246"/>
      <c r="C35" s="246"/>
      <c r="D35" s="241"/>
      <c r="E35" s="284"/>
      <c r="F35" s="274" t="s">
        <v>649</v>
      </c>
      <c r="G35" s="5" t="s">
        <v>293</v>
      </c>
      <c r="H35" s="99">
        <v>1220</v>
      </c>
      <c r="I35" s="170" t="s">
        <v>463</v>
      </c>
      <c r="J35" s="155" t="s">
        <v>635</v>
      </c>
      <c r="K35" s="192">
        <f>H35*0.3/1000*1.03</f>
        <v>0.37697999999999998</v>
      </c>
      <c r="L35" s="114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140"/>
      <c r="Y35" s="190">
        <f t="shared" si="0"/>
        <v>0</v>
      </c>
      <c r="Z35" s="152">
        <f t="shared" si="7"/>
        <v>1220</v>
      </c>
      <c r="AA35" s="263">
        <f t="shared" si="2"/>
        <v>0</v>
      </c>
      <c r="AB35" s="48"/>
    </row>
    <row r="36" spans="1:28" ht="45">
      <c r="A36" s="11"/>
      <c r="B36" s="246"/>
      <c r="C36" s="246"/>
      <c r="D36" s="241"/>
      <c r="E36" s="284"/>
      <c r="F36" s="275" t="s">
        <v>659</v>
      </c>
      <c r="G36" s="25" t="s">
        <v>293</v>
      </c>
      <c r="H36" s="98">
        <f>1220+1216</f>
        <v>2436</v>
      </c>
      <c r="I36" s="170" t="s">
        <v>981</v>
      </c>
      <c r="J36" s="155" t="s">
        <v>635</v>
      </c>
      <c r="K36" s="192">
        <f>H36*0.04*2.56</f>
        <v>249.44640000000001</v>
      </c>
      <c r="L36" s="126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141"/>
      <c r="Y36" s="192">
        <f t="shared" si="0"/>
        <v>0</v>
      </c>
      <c r="Z36" s="154">
        <f t="shared" si="7"/>
        <v>2436</v>
      </c>
      <c r="AA36" s="339">
        <f t="shared" si="2"/>
        <v>0</v>
      </c>
      <c r="AB36" s="48"/>
    </row>
    <row r="37" spans="1:28" ht="30">
      <c r="A37" s="11"/>
      <c r="B37" s="246"/>
      <c r="C37" s="246"/>
      <c r="D37" s="241"/>
      <c r="E37" s="284"/>
      <c r="F37" s="275" t="s">
        <v>753</v>
      </c>
      <c r="G37" s="25" t="s">
        <v>291</v>
      </c>
      <c r="H37" s="98">
        <v>1477</v>
      </c>
      <c r="I37" s="170" t="s">
        <v>675</v>
      </c>
      <c r="J37" s="155" t="s">
        <v>635</v>
      </c>
      <c r="K37" s="192">
        <f>H37*0.05*2.56</f>
        <v>189.05600000000001</v>
      </c>
      <c r="L37" s="126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141"/>
      <c r="Y37" s="192">
        <f t="shared" si="0"/>
        <v>0</v>
      </c>
      <c r="Z37" s="154"/>
      <c r="AA37" s="339">
        <f t="shared" si="2"/>
        <v>0</v>
      </c>
      <c r="AB37" s="48"/>
    </row>
    <row r="38" spans="1:28" ht="30">
      <c r="A38" s="11"/>
      <c r="B38" s="246"/>
      <c r="C38" s="246"/>
      <c r="D38" s="241"/>
      <c r="E38" s="284"/>
      <c r="F38" s="275" t="s">
        <v>468</v>
      </c>
      <c r="G38" s="25" t="s">
        <v>293</v>
      </c>
      <c r="H38" s="98">
        <f>572+1119+259+74</f>
        <v>2024</v>
      </c>
      <c r="I38" s="170" t="s">
        <v>661</v>
      </c>
      <c r="J38" s="155" t="s">
        <v>293</v>
      </c>
      <c r="K38" s="192">
        <f>629+1231+285+81</f>
        <v>2226</v>
      </c>
      <c r="L38" s="126"/>
      <c r="M38" s="72"/>
      <c r="N38" s="72"/>
      <c r="O38" s="72"/>
      <c r="P38" s="72"/>
      <c r="Q38" s="72"/>
      <c r="R38" s="72"/>
      <c r="S38" s="72"/>
      <c r="T38" s="72"/>
      <c r="U38" s="72">
        <v>1700</v>
      </c>
      <c r="V38" s="72">
        <v>500</v>
      </c>
      <c r="W38" s="72"/>
      <c r="X38" s="141"/>
      <c r="Y38" s="192">
        <f t="shared" si="0"/>
        <v>2200</v>
      </c>
      <c r="Z38" s="154">
        <f t="shared" ref="Z38:Z40" si="8">H38-Y38</f>
        <v>-176</v>
      </c>
      <c r="AA38" s="339">
        <f t="shared" si="2"/>
        <v>-2200</v>
      </c>
      <c r="AB38" s="73" t="s">
        <v>414</v>
      </c>
    </row>
    <row r="39" spans="1:28">
      <c r="A39" s="11"/>
      <c r="B39" s="246" t="s">
        <v>988</v>
      </c>
      <c r="C39" s="246" t="s">
        <v>989</v>
      </c>
      <c r="D39" s="241" t="s">
        <v>292</v>
      </c>
      <c r="E39" s="284">
        <v>1.3784000000000001</v>
      </c>
      <c r="F39" s="275" t="s">
        <v>662</v>
      </c>
      <c r="G39" s="25" t="s">
        <v>293</v>
      </c>
      <c r="H39" s="98">
        <f>H38</f>
        <v>2024</v>
      </c>
      <c r="I39" s="170" t="s">
        <v>663</v>
      </c>
      <c r="J39" s="155" t="s">
        <v>293</v>
      </c>
      <c r="K39" s="192">
        <f>H39</f>
        <v>2024</v>
      </c>
      <c r="L39" s="126"/>
      <c r="M39" s="72"/>
      <c r="N39" s="72"/>
      <c r="O39" s="72"/>
      <c r="P39" s="72"/>
      <c r="Q39" s="72"/>
      <c r="R39" s="72"/>
      <c r="S39" s="72"/>
      <c r="T39" s="72"/>
      <c r="U39" s="72">
        <v>1700</v>
      </c>
      <c r="V39" s="72">
        <v>500</v>
      </c>
      <c r="W39" s="72"/>
      <c r="X39" s="141"/>
      <c r="Y39" s="192">
        <f t="shared" si="0"/>
        <v>2200</v>
      </c>
      <c r="Z39" s="154">
        <f t="shared" si="8"/>
        <v>-176</v>
      </c>
      <c r="AA39" s="339">
        <f t="shared" si="2"/>
        <v>-2198.6215999999999</v>
      </c>
      <c r="AB39" s="73" t="s">
        <v>414</v>
      </c>
    </row>
    <row r="40" spans="1:28" ht="30">
      <c r="A40" s="11"/>
      <c r="B40" s="246"/>
      <c r="C40" s="246"/>
      <c r="D40" s="241"/>
      <c r="E40" s="284"/>
      <c r="F40" s="275" t="s">
        <v>664</v>
      </c>
      <c r="G40" s="25" t="s">
        <v>289</v>
      </c>
      <c r="H40" s="98">
        <f>114+224+52+15</f>
        <v>405</v>
      </c>
      <c r="I40" s="170" t="s">
        <v>1076</v>
      </c>
      <c r="J40" s="155" t="s">
        <v>289</v>
      </c>
      <c r="K40" s="192">
        <f>H40</f>
        <v>405</v>
      </c>
      <c r="L40" s="126"/>
      <c r="M40" s="72"/>
      <c r="N40" s="72"/>
      <c r="O40" s="72"/>
      <c r="P40" s="72"/>
      <c r="Q40" s="72"/>
      <c r="R40" s="72"/>
      <c r="S40" s="72"/>
      <c r="T40" s="72"/>
      <c r="U40" s="72">
        <f>U39*0.1</f>
        <v>170</v>
      </c>
      <c r="V40" s="72">
        <v>100</v>
      </c>
      <c r="W40" s="72"/>
      <c r="X40" s="141"/>
      <c r="Y40" s="192">
        <f t="shared" si="0"/>
        <v>270</v>
      </c>
      <c r="Z40" s="154">
        <f t="shared" si="8"/>
        <v>135</v>
      </c>
      <c r="AA40" s="339">
        <f t="shared" si="2"/>
        <v>-270</v>
      </c>
      <c r="AB40" s="73" t="s">
        <v>1103</v>
      </c>
    </row>
    <row r="41" spans="1:28" ht="30">
      <c r="A41" s="11"/>
      <c r="B41" s="246" t="s">
        <v>992</v>
      </c>
      <c r="C41" s="246" t="s">
        <v>993</v>
      </c>
      <c r="D41" s="241" t="s">
        <v>289</v>
      </c>
      <c r="E41" s="284">
        <v>69</v>
      </c>
      <c r="F41" s="275" t="s">
        <v>665</v>
      </c>
      <c r="G41" s="25" t="s">
        <v>289</v>
      </c>
      <c r="H41" s="98">
        <f>23+45+10+3</f>
        <v>81</v>
      </c>
      <c r="I41" s="170" t="s">
        <v>666</v>
      </c>
      <c r="J41" s="155" t="s">
        <v>289</v>
      </c>
      <c r="K41" s="192">
        <f>H41</f>
        <v>81</v>
      </c>
      <c r="L41" s="126"/>
      <c r="M41" s="72"/>
      <c r="N41" s="72"/>
      <c r="O41" s="72"/>
      <c r="P41" s="72"/>
      <c r="Q41" s="72"/>
      <c r="R41" s="72"/>
      <c r="S41" s="72"/>
      <c r="T41" s="72"/>
      <c r="U41" s="72"/>
      <c r="V41" s="72">
        <v>440</v>
      </c>
      <c r="W41" s="72"/>
      <c r="X41" s="141"/>
      <c r="Y41" s="192">
        <f t="shared" si="0"/>
        <v>440</v>
      </c>
      <c r="Z41" s="154">
        <f t="shared" ref="Z41:Z43" si="9">H41-Y41</f>
        <v>-359</v>
      </c>
      <c r="AA41" s="339">
        <f t="shared" si="2"/>
        <v>-371</v>
      </c>
      <c r="AB41" s="48"/>
    </row>
    <row r="42" spans="1:28" ht="30">
      <c r="A42" s="11"/>
      <c r="B42" s="246" t="s">
        <v>990</v>
      </c>
      <c r="C42" s="246" t="s">
        <v>991</v>
      </c>
      <c r="D42" s="241" t="s">
        <v>293</v>
      </c>
      <c r="E42" s="284">
        <v>1723</v>
      </c>
      <c r="F42" s="275" t="s">
        <v>667</v>
      </c>
      <c r="G42" s="25" t="s">
        <v>293</v>
      </c>
      <c r="H42" s="98">
        <f>572+1119+259+74</f>
        <v>2024</v>
      </c>
      <c r="I42" s="170" t="s">
        <v>668</v>
      </c>
      <c r="J42" s="155" t="s">
        <v>293</v>
      </c>
      <c r="K42" s="192">
        <f>H42</f>
        <v>2024</v>
      </c>
      <c r="L42" s="126"/>
      <c r="M42" s="72"/>
      <c r="N42" s="72"/>
      <c r="O42" s="72"/>
      <c r="P42" s="72"/>
      <c r="Q42" s="72"/>
      <c r="R42" s="72"/>
      <c r="S42" s="72"/>
      <c r="T42" s="72"/>
      <c r="U42" s="72"/>
      <c r="V42" s="72">
        <v>2000</v>
      </c>
      <c r="W42" s="72"/>
      <c r="X42" s="141"/>
      <c r="Y42" s="192">
        <f t="shared" si="0"/>
        <v>2000</v>
      </c>
      <c r="Z42" s="154">
        <f t="shared" si="9"/>
        <v>24</v>
      </c>
      <c r="AA42" s="339">
        <f t="shared" si="2"/>
        <v>-277</v>
      </c>
      <c r="AB42" s="48"/>
    </row>
    <row r="43" spans="1:28">
      <c r="A43" s="11"/>
      <c r="B43" s="246"/>
      <c r="C43" s="246"/>
      <c r="D43" s="241"/>
      <c r="E43" s="284"/>
      <c r="F43" s="275" t="s">
        <v>669</v>
      </c>
      <c r="G43" s="25" t="s">
        <v>293</v>
      </c>
      <c r="H43" s="98">
        <f>3102+1140</f>
        <v>4242</v>
      </c>
      <c r="I43" s="170" t="s">
        <v>670</v>
      </c>
      <c r="J43" s="155" t="s">
        <v>289</v>
      </c>
      <c r="K43" s="192">
        <f>H43</f>
        <v>4242</v>
      </c>
      <c r="L43" s="126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141"/>
      <c r="Y43" s="192">
        <f t="shared" si="0"/>
        <v>0</v>
      </c>
      <c r="Z43" s="154">
        <f t="shared" si="9"/>
        <v>4242</v>
      </c>
      <c r="AA43" s="339">
        <f t="shared" si="2"/>
        <v>0</v>
      </c>
      <c r="AB43" s="48"/>
    </row>
    <row r="44" spans="1:28" ht="30">
      <c r="A44" s="11"/>
      <c r="B44" s="246"/>
      <c r="C44" s="246"/>
      <c r="D44" s="241"/>
      <c r="E44" s="284"/>
      <c r="F44" s="275" t="s">
        <v>671</v>
      </c>
      <c r="G44" s="25" t="s">
        <v>430</v>
      </c>
      <c r="H44" s="98">
        <v>14.6</v>
      </c>
      <c r="I44" s="170" t="s">
        <v>673</v>
      </c>
      <c r="J44" s="155" t="s">
        <v>674</v>
      </c>
      <c r="K44" s="192">
        <f>H45</f>
        <v>22.106000000000002</v>
      </c>
      <c r="L44" s="126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141"/>
      <c r="Y44" s="192">
        <f t="shared" si="0"/>
        <v>0</v>
      </c>
      <c r="Z44" s="154">
        <f t="shared" ref="Z44:Z45" si="10">H44-Y44</f>
        <v>14.6</v>
      </c>
      <c r="AA44" s="339">
        <f t="shared" si="2"/>
        <v>0</v>
      </c>
      <c r="AB44" s="48"/>
    </row>
    <row r="45" spans="1:28" ht="30">
      <c r="A45" s="11"/>
      <c r="B45" s="246"/>
      <c r="C45" s="246"/>
      <c r="D45" s="241"/>
      <c r="E45" s="284"/>
      <c r="F45" s="275" t="s">
        <v>672</v>
      </c>
      <c r="G45" s="25" t="s">
        <v>289</v>
      </c>
      <c r="H45" s="98">
        <v>22.106000000000002</v>
      </c>
      <c r="I45" s="170" t="s">
        <v>500</v>
      </c>
      <c r="J45" s="155" t="s">
        <v>289</v>
      </c>
      <c r="K45" s="192">
        <f>H45</f>
        <v>22.106000000000002</v>
      </c>
      <c r="L45" s="126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141"/>
      <c r="Y45" s="192">
        <f t="shared" si="0"/>
        <v>0</v>
      </c>
      <c r="Z45" s="154">
        <f t="shared" si="10"/>
        <v>22.106000000000002</v>
      </c>
      <c r="AA45" s="339">
        <f t="shared" si="2"/>
        <v>0</v>
      </c>
      <c r="AB45" s="48"/>
    </row>
    <row r="46" spans="1:28">
      <c r="A46" s="11"/>
      <c r="B46" s="246" t="s">
        <v>55</v>
      </c>
      <c r="C46" s="246" t="s">
        <v>56</v>
      </c>
      <c r="D46" s="241" t="s">
        <v>293</v>
      </c>
      <c r="E46" s="284">
        <v>10</v>
      </c>
      <c r="F46" s="274" t="s">
        <v>56</v>
      </c>
      <c r="G46" s="5" t="s">
        <v>430</v>
      </c>
      <c r="H46" s="99">
        <f>391+860+50+42+30+0</f>
        <v>1373</v>
      </c>
      <c r="I46" s="200" t="s">
        <v>685</v>
      </c>
      <c r="J46" s="154" t="s">
        <v>293</v>
      </c>
      <c r="K46" s="192">
        <v>58.65</v>
      </c>
      <c r="L46" s="114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140"/>
      <c r="Y46" s="190">
        <f t="shared" si="0"/>
        <v>0</v>
      </c>
      <c r="Z46" s="154">
        <f t="shared" ref="Z46:Z53" si="11">H46-Y46</f>
        <v>1373</v>
      </c>
      <c r="AA46" s="263">
        <f t="shared" si="2"/>
        <v>10</v>
      </c>
      <c r="AB46" s="48"/>
    </row>
    <row r="47" spans="1:28">
      <c r="A47" s="11"/>
      <c r="B47" s="246"/>
      <c r="C47" s="246"/>
      <c r="D47" s="241"/>
      <c r="E47" s="284"/>
      <c r="F47" s="274"/>
      <c r="G47" s="5"/>
      <c r="H47" s="99"/>
      <c r="I47" s="200" t="s">
        <v>686</v>
      </c>
      <c r="J47" s="154" t="s">
        <v>293</v>
      </c>
      <c r="K47" s="192">
        <v>32.25</v>
      </c>
      <c r="L47" s="114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140"/>
      <c r="Y47" s="190">
        <f t="shared" si="0"/>
        <v>0</v>
      </c>
      <c r="Z47" s="154">
        <f t="shared" si="11"/>
        <v>0</v>
      </c>
      <c r="AA47" s="263">
        <f t="shared" si="2"/>
        <v>0</v>
      </c>
      <c r="AB47" s="48"/>
    </row>
    <row r="48" spans="1:28">
      <c r="A48" s="11"/>
      <c r="B48" s="246"/>
      <c r="C48" s="246"/>
      <c r="D48" s="241"/>
      <c r="E48" s="284"/>
      <c r="F48" s="274"/>
      <c r="G48" s="5"/>
      <c r="H48" s="99"/>
      <c r="I48" s="200" t="s">
        <v>687</v>
      </c>
      <c r="J48" s="154" t="s">
        <v>293</v>
      </c>
      <c r="K48" s="192">
        <v>5.625</v>
      </c>
      <c r="L48" s="114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140"/>
      <c r="Y48" s="190">
        <f t="shared" si="0"/>
        <v>0</v>
      </c>
      <c r="Z48" s="154">
        <f t="shared" si="11"/>
        <v>0</v>
      </c>
      <c r="AA48" s="263">
        <f t="shared" si="2"/>
        <v>0</v>
      </c>
      <c r="AB48" s="48"/>
    </row>
    <row r="49" spans="1:28">
      <c r="A49" s="11"/>
      <c r="B49" s="246"/>
      <c r="C49" s="246"/>
      <c r="D49" s="241"/>
      <c r="E49" s="284"/>
      <c r="F49" s="274"/>
      <c r="G49" s="5"/>
      <c r="H49" s="99"/>
      <c r="I49" s="200" t="s">
        <v>688</v>
      </c>
      <c r="J49" s="154" t="s">
        <v>293</v>
      </c>
      <c r="K49" s="192">
        <v>67.2</v>
      </c>
      <c r="L49" s="114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140"/>
      <c r="Y49" s="190">
        <f t="shared" si="0"/>
        <v>0</v>
      </c>
      <c r="Z49" s="154">
        <f t="shared" si="11"/>
        <v>0</v>
      </c>
      <c r="AA49" s="263">
        <f t="shared" si="2"/>
        <v>0</v>
      </c>
      <c r="AB49" s="48"/>
    </row>
    <row r="50" spans="1:28">
      <c r="A50" s="11"/>
      <c r="B50" s="246"/>
      <c r="C50" s="246"/>
      <c r="D50" s="241"/>
      <c r="E50" s="284"/>
      <c r="F50" s="274"/>
      <c r="G50" s="5"/>
      <c r="H50" s="99"/>
      <c r="I50" s="200" t="s">
        <v>689</v>
      </c>
      <c r="J50" s="154" t="s">
        <v>293</v>
      </c>
      <c r="K50" s="192">
        <v>12</v>
      </c>
      <c r="L50" s="114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140"/>
      <c r="Y50" s="190">
        <f t="shared" si="0"/>
        <v>0</v>
      </c>
      <c r="Z50" s="154">
        <f t="shared" si="11"/>
        <v>0</v>
      </c>
      <c r="AA50" s="263">
        <f t="shared" si="2"/>
        <v>0</v>
      </c>
      <c r="AB50" s="48"/>
    </row>
    <row r="51" spans="1:28">
      <c r="A51" s="11"/>
      <c r="B51" s="246"/>
      <c r="C51" s="246"/>
      <c r="D51" s="241"/>
      <c r="E51" s="284"/>
      <c r="F51" s="274"/>
      <c r="G51" s="5"/>
      <c r="H51" s="99"/>
      <c r="I51" s="200" t="s">
        <v>690</v>
      </c>
      <c r="J51" s="154" t="s">
        <v>293</v>
      </c>
      <c r="K51" s="192">
        <v>4.88</v>
      </c>
      <c r="L51" s="114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140"/>
      <c r="Y51" s="190">
        <f t="shared" si="0"/>
        <v>0</v>
      </c>
      <c r="Z51" s="154">
        <f t="shared" si="11"/>
        <v>0</v>
      </c>
      <c r="AA51" s="263">
        <f t="shared" si="2"/>
        <v>0</v>
      </c>
      <c r="AB51" s="48"/>
    </row>
    <row r="52" spans="1:28">
      <c r="A52" s="11"/>
      <c r="B52" s="246"/>
      <c r="C52" s="246"/>
      <c r="D52" s="241"/>
      <c r="E52" s="284"/>
      <c r="F52" s="274"/>
      <c r="G52" s="5"/>
      <c r="H52" s="99"/>
      <c r="I52" s="200" t="s">
        <v>691</v>
      </c>
      <c r="J52" s="154" t="s">
        <v>293</v>
      </c>
      <c r="K52" s="192">
        <v>0</v>
      </c>
      <c r="L52" s="114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140"/>
      <c r="Y52" s="190">
        <f t="shared" si="0"/>
        <v>0</v>
      </c>
      <c r="Z52" s="154">
        <f t="shared" si="11"/>
        <v>0</v>
      </c>
      <c r="AA52" s="263">
        <f t="shared" si="2"/>
        <v>0</v>
      </c>
      <c r="AB52" s="48"/>
    </row>
    <row r="53" spans="1:28" ht="30">
      <c r="A53" s="11"/>
      <c r="B53" s="246"/>
      <c r="C53" s="246"/>
      <c r="D53" s="241"/>
      <c r="E53" s="284"/>
      <c r="F53" s="274"/>
      <c r="G53" s="5"/>
      <c r="H53" s="99"/>
      <c r="I53" s="200" t="s">
        <v>692</v>
      </c>
      <c r="J53" s="154" t="s">
        <v>293</v>
      </c>
      <c r="K53" s="192">
        <v>0</v>
      </c>
      <c r="L53" s="114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140"/>
      <c r="Y53" s="190">
        <f t="shared" si="0"/>
        <v>0</v>
      </c>
      <c r="Z53" s="154">
        <f t="shared" si="11"/>
        <v>0</v>
      </c>
      <c r="AA53" s="263">
        <f t="shared" si="2"/>
        <v>0</v>
      </c>
      <c r="AB53" s="48"/>
    </row>
    <row r="54" spans="1:28" ht="30">
      <c r="A54" s="11"/>
      <c r="B54" s="246" t="s">
        <v>52</v>
      </c>
      <c r="C54" s="246" t="s">
        <v>53</v>
      </c>
      <c r="D54" s="241" t="s">
        <v>294</v>
      </c>
      <c r="E54" s="284">
        <v>8</v>
      </c>
      <c r="F54" s="274" t="s">
        <v>53</v>
      </c>
      <c r="G54" s="5" t="s">
        <v>294</v>
      </c>
      <c r="H54" s="99">
        <v>314</v>
      </c>
      <c r="I54" s="206" t="s">
        <v>679</v>
      </c>
      <c r="J54" s="207" t="s">
        <v>294</v>
      </c>
      <c r="K54" s="208">
        <v>12</v>
      </c>
      <c r="L54" s="114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140"/>
      <c r="Y54" s="190">
        <f t="shared" si="0"/>
        <v>0</v>
      </c>
      <c r="Z54" s="154">
        <f t="shared" si="1"/>
        <v>314</v>
      </c>
      <c r="AA54" s="263">
        <f t="shared" si="2"/>
        <v>8</v>
      </c>
      <c r="AB54" s="48"/>
    </row>
    <row r="55" spans="1:28" ht="30">
      <c r="A55" s="11"/>
      <c r="B55" s="246"/>
      <c r="C55" s="246"/>
      <c r="D55" s="241"/>
      <c r="E55" s="284"/>
      <c r="F55" s="274"/>
      <c r="G55" s="5"/>
      <c r="H55" s="99"/>
      <c r="I55" s="206" t="s">
        <v>680</v>
      </c>
      <c r="J55" s="207" t="s">
        <v>294</v>
      </c>
      <c r="K55" s="208">
        <v>60</v>
      </c>
      <c r="L55" s="114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140"/>
      <c r="Y55" s="190">
        <f t="shared" si="0"/>
        <v>0</v>
      </c>
      <c r="Z55" s="154">
        <f t="shared" ref="Z55:Z60" si="12">H55-Y55</f>
        <v>0</v>
      </c>
      <c r="AA55" s="263">
        <f t="shared" si="2"/>
        <v>0</v>
      </c>
      <c r="AB55" s="48"/>
    </row>
    <row r="56" spans="1:28" ht="30">
      <c r="A56" s="11"/>
      <c r="B56" s="246"/>
      <c r="C56" s="246"/>
      <c r="D56" s="241"/>
      <c r="E56" s="284"/>
      <c r="F56" s="274"/>
      <c r="G56" s="5"/>
      <c r="H56" s="99"/>
      <c r="I56" s="206" t="s">
        <v>681</v>
      </c>
      <c r="J56" s="207" t="s">
        <v>294</v>
      </c>
      <c r="K56" s="208">
        <v>4</v>
      </c>
      <c r="L56" s="114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140"/>
      <c r="Y56" s="190">
        <f t="shared" si="0"/>
        <v>0</v>
      </c>
      <c r="Z56" s="154">
        <f t="shared" si="12"/>
        <v>0</v>
      </c>
      <c r="AA56" s="263">
        <f t="shared" si="2"/>
        <v>0</v>
      </c>
      <c r="AB56" s="48"/>
    </row>
    <row r="57" spans="1:28" ht="45">
      <c r="A57" s="11"/>
      <c r="B57" s="246"/>
      <c r="C57" s="246"/>
      <c r="D57" s="241"/>
      <c r="E57" s="284"/>
      <c r="F57" s="274"/>
      <c r="G57" s="5"/>
      <c r="H57" s="99"/>
      <c r="I57" s="206" t="s">
        <v>682</v>
      </c>
      <c r="J57" s="207" t="s">
        <v>294</v>
      </c>
      <c r="K57" s="208">
        <v>26</v>
      </c>
      <c r="L57" s="114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140"/>
      <c r="Y57" s="190">
        <f t="shared" si="0"/>
        <v>0</v>
      </c>
      <c r="Z57" s="154">
        <f t="shared" si="12"/>
        <v>0</v>
      </c>
      <c r="AA57" s="263">
        <f t="shared" si="2"/>
        <v>0</v>
      </c>
      <c r="AB57" s="48"/>
    </row>
    <row r="58" spans="1:28" ht="30">
      <c r="A58" s="11"/>
      <c r="B58" s="246"/>
      <c r="C58" s="246"/>
      <c r="D58" s="241"/>
      <c r="E58" s="284"/>
      <c r="F58" s="274"/>
      <c r="G58" s="5"/>
      <c r="H58" s="99"/>
      <c r="I58" s="206" t="s">
        <v>683</v>
      </c>
      <c r="J58" s="207" t="s">
        <v>294</v>
      </c>
      <c r="K58" s="208">
        <v>40</v>
      </c>
      <c r="L58" s="114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140"/>
      <c r="Y58" s="190">
        <f t="shared" si="0"/>
        <v>0</v>
      </c>
      <c r="Z58" s="154">
        <f t="shared" si="12"/>
        <v>0</v>
      </c>
      <c r="AA58" s="263">
        <f t="shared" si="2"/>
        <v>0</v>
      </c>
      <c r="AB58" s="48"/>
    </row>
    <row r="59" spans="1:28" ht="60">
      <c r="A59" s="11"/>
      <c r="B59" s="246"/>
      <c r="C59" s="246"/>
      <c r="D59" s="241"/>
      <c r="E59" s="284"/>
      <c r="F59" s="274"/>
      <c r="G59" s="5"/>
      <c r="H59" s="99"/>
      <c r="I59" s="206" t="s">
        <v>684</v>
      </c>
      <c r="J59" s="207" t="s">
        <v>294</v>
      </c>
      <c r="K59" s="208">
        <v>172</v>
      </c>
      <c r="L59" s="114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140"/>
      <c r="Y59" s="190">
        <f t="shared" si="0"/>
        <v>0</v>
      </c>
      <c r="Z59" s="154">
        <f t="shared" si="12"/>
        <v>0</v>
      </c>
      <c r="AA59" s="263">
        <f t="shared" si="2"/>
        <v>0</v>
      </c>
      <c r="AB59" s="48"/>
    </row>
    <row r="60" spans="1:28">
      <c r="A60" s="11"/>
      <c r="B60" s="246" t="s">
        <v>317</v>
      </c>
      <c r="C60" s="246" t="s">
        <v>986</v>
      </c>
      <c r="D60" s="241" t="s">
        <v>294</v>
      </c>
      <c r="E60" s="284">
        <v>25</v>
      </c>
      <c r="F60" s="274"/>
      <c r="G60" s="5"/>
      <c r="H60" s="99"/>
      <c r="I60" s="204"/>
      <c r="J60" s="204"/>
      <c r="K60" s="205"/>
      <c r="L60" s="114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140"/>
      <c r="Y60" s="190">
        <f t="shared" si="0"/>
        <v>0</v>
      </c>
      <c r="Z60" s="154">
        <f t="shared" si="12"/>
        <v>0</v>
      </c>
      <c r="AA60" s="263">
        <f t="shared" si="2"/>
        <v>25</v>
      </c>
      <c r="AB60" s="48"/>
    </row>
    <row r="61" spans="1:28" ht="30">
      <c r="A61" s="11"/>
      <c r="B61" s="246"/>
      <c r="C61" s="246"/>
      <c r="D61" s="241"/>
      <c r="E61" s="284"/>
      <c r="F61" s="275" t="s">
        <v>676</v>
      </c>
      <c r="G61" s="25" t="s">
        <v>289</v>
      </c>
      <c r="H61" s="98">
        <v>14.1</v>
      </c>
      <c r="I61" s="200" t="s">
        <v>677</v>
      </c>
      <c r="J61" s="154" t="s">
        <v>289</v>
      </c>
      <c r="K61" s="192">
        <f>H61</f>
        <v>14.1</v>
      </c>
      <c r="L61" s="114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140"/>
      <c r="Y61" s="190">
        <f t="shared" si="0"/>
        <v>0</v>
      </c>
      <c r="Z61" s="154">
        <f t="shared" ref="Z61" si="13">H61-Y61</f>
        <v>14.1</v>
      </c>
      <c r="AA61" s="263">
        <f t="shared" si="2"/>
        <v>0</v>
      </c>
      <c r="AB61" s="48"/>
    </row>
    <row r="62" spans="1:28" ht="30">
      <c r="A62" s="11"/>
      <c r="B62" s="246"/>
      <c r="C62" s="246"/>
      <c r="D62" s="241"/>
      <c r="E62" s="284"/>
      <c r="F62" s="275" t="s">
        <v>678</v>
      </c>
      <c r="G62" s="25" t="s">
        <v>294</v>
      </c>
      <c r="H62" s="98">
        <v>94</v>
      </c>
      <c r="I62" s="202"/>
      <c r="J62" s="202"/>
      <c r="K62" s="203"/>
      <c r="L62" s="114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140"/>
      <c r="Y62" s="190">
        <f t="shared" si="0"/>
        <v>0</v>
      </c>
      <c r="Z62" s="152">
        <f t="shared" si="1"/>
        <v>94</v>
      </c>
      <c r="AA62" s="263">
        <f t="shared" si="2"/>
        <v>0</v>
      </c>
      <c r="AB62" s="48"/>
    </row>
    <row r="63" spans="1:28" s="65" customFormat="1" ht="15.75">
      <c r="A63" s="63"/>
      <c r="B63" s="289"/>
      <c r="C63" s="290" t="s">
        <v>57</v>
      </c>
      <c r="D63" s="291"/>
      <c r="E63" s="292"/>
      <c r="F63" s="271" t="s">
        <v>57</v>
      </c>
      <c r="G63" s="64"/>
      <c r="H63" s="131"/>
      <c r="I63" s="153"/>
      <c r="J63" s="153"/>
      <c r="K63" s="191"/>
      <c r="L63" s="138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139"/>
      <c r="Y63" s="191"/>
      <c r="Z63" s="153"/>
      <c r="AA63" s="153"/>
      <c r="AB63" s="258"/>
    </row>
    <row r="64" spans="1:28" ht="75">
      <c r="A64" s="11"/>
      <c r="B64" s="246"/>
      <c r="C64" s="246"/>
      <c r="D64" s="241"/>
      <c r="E64" s="284"/>
      <c r="F64" s="275" t="s">
        <v>694</v>
      </c>
      <c r="G64" s="25" t="s">
        <v>289</v>
      </c>
      <c r="H64" s="98">
        <f>2512.9+1118.173</f>
        <v>3631.0730000000003</v>
      </c>
      <c r="I64" s="200"/>
      <c r="J64" s="154"/>
      <c r="K64" s="192"/>
      <c r="L64" s="126"/>
      <c r="M64" s="72"/>
      <c r="N64" s="72">
        <v>300</v>
      </c>
      <c r="O64" s="72">
        <v>180</v>
      </c>
      <c r="P64" s="72">
        <v>50</v>
      </c>
      <c r="Q64" s="72">
        <v>60</v>
      </c>
      <c r="R64" s="72"/>
      <c r="S64" s="72">
        <f>120+7.2*20*6.4</f>
        <v>1041.5999999999999</v>
      </c>
      <c r="T64" s="72"/>
      <c r="U64" s="72">
        <v>450</v>
      </c>
      <c r="V64" s="72">
        <v>647</v>
      </c>
      <c r="W64" s="72"/>
      <c r="X64" s="141"/>
      <c r="Y64" s="190">
        <f t="shared" si="0"/>
        <v>2728.6</v>
      </c>
      <c r="Z64" s="154">
        <f>H64-Y64</f>
        <v>902.47300000000041</v>
      </c>
      <c r="AA64" s="263">
        <f t="shared" ref="AA64:AA131" si="14">E64-Y64</f>
        <v>-2728.6</v>
      </c>
      <c r="AB64" s="48" t="s">
        <v>1061</v>
      </c>
    </row>
    <row r="65" spans="1:28" ht="30">
      <c r="A65" s="11"/>
      <c r="B65" s="246"/>
      <c r="C65" s="246"/>
      <c r="D65" s="241"/>
      <c r="E65" s="284"/>
      <c r="F65" s="275" t="s">
        <v>693</v>
      </c>
      <c r="G65" s="25" t="s">
        <v>289</v>
      </c>
      <c r="H65" s="98">
        <f>32.1+1.8+4.8</f>
        <v>38.699999999999996</v>
      </c>
      <c r="I65" s="200" t="s">
        <v>500</v>
      </c>
      <c r="J65" s="154" t="s">
        <v>289</v>
      </c>
      <c r="K65" s="192">
        <f>H65*1.1</f>
        <v>42.57</v>
      </c>
      <c r="L65" s="126"/>
      <c r="M65" s="72"/>
      <c r="N65" s="72">
        <v>30</v>
      </c>
      <c r="O65" s="72"/>
      <c r="P65" s="72"/>
      <c r="Q65" s="72"/>
      <c r="R65" s="72"/>
      <c r="S65" s="72"/>
      <c r="T65" s="72"/>
      <c r="U65" s="72"/>
      <c r="V65" s="72"/>
      <c r="W65" s="72"/>
      <c r="X65" s="141"/>
      <c r="Y65" s="190">
        <f t="shared" si="0"/>
        <v>30</v>
      </c>
      <c r="Z65" s="154">
        <f t="shared" ref="Z65:Z68" si="15">H65-Y65</f>
        <v>8.6999999999999957</v>
      </c>
      <c r="AA65" s="263">
        <f t="shared" si="14"/>
        <v>-30</v>
      </c>
      <c r="AB65" s="48"/>
    </row>
    <row r="66" spans="1:28" ht="30">
      <c r="A66" s="11"/>
      <c r="B66" s="246"/>
      <c r="C66" s="246"/>
      <c r="D66" s="241"/>
      <c r="E66" s="284"/>
      <c r="F66" s="275" t="s">
        <v>695</v>
      </c>
      <c r="G66" s="25" t="s">
        <v>289</v>
      </c>
      <c r="H66" s="98">
        <f>1985.3+750.3</f>
        <v>2735.6</v>
      </c>
      <c r="I66" s="200" t="s">
        <v>500</v>
      </c>
      <c r="J66" s="154" t="s">
        <v>289</v>
      </c>
      <c r="K66" s="192">
        <f>H66*1.1</f>
        <v>3009.1600000000003</v>
      </c>
      <c r="L66" s="114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140"/>
      <c r="Y66" s="190">
        <f t="shared" si="0"/>
        <v>0</v>
      </c>
      <c r="Z66" s="152">
        <f t="shared" si="15"/>
        <v>2735.6</v>
      </c>
      <c r="AA66" s="263">
        <f t="shared" si="14"/>
        <v>0</v>
      </c>
      <c r="AB66" s="48"/>
    </row>
    <row r="67" spans="1:28" ht="30">
      <c r="A67" s="11"/>
      <c r="B67" s="246"/>
      <c r="C67" s="246"/>
      <c r="D67" s="241"/>
      <c r="E67" s="284"/>
      <c r="F67" s="275" t="s">
        <v>696</v>
      </c>
      <c r="G67" s="25" t="s">
        <v>430</v>
      </c>
      <c r="H67" s="98">
        <f>11*50</f>
        <v>550</v>
      </c>
      <c r="I67" s="200" t="s">
        <v>697</v>
      </c>
      <c r="J67" s="154" t="s">
        <v>477</v>
      </c>
      <c r="K67" s="192">
        <v>50</v>
      </c>
      <c r="L67" s="114"/>
      <c r="M67" s="46"/>
      <c r="N67" s="46"/>
      <c r="O67" s="46"/>
      <c r="P67" s="46"/>
      <c r="Q67" s="46"/>
      <c r="R67" s="46"/>
      <c r="S67" s="46">
        <v>550</v>
      </c>
      <c r="T67" s="46"/>
      <c r="U67" s="46"/>
      <c r="V67" s="46"/>
      <c r="W67" s="46"/>
      <c r="X67" s="140"/>
      <c r="Y67" s="190">
        <f t="shared" si="0"/>
        <v>550</v>
      </c>
      <c r="Z67" s="152">
        <f t="shared" si="15"/>
        <v>0</v>
      </c>
      <c r="AA67" s="263">
        <f t="shared" si="14"/>
        <v>-550</v>
      </c>
      <c r="AB67" s="48" t="s">
        <v>1062</v>
      </c>
    </row>
    <row r="68" spans="1:28">
      <c r="A68" s="11"/>
      <c r="B68" s="246"/>
      <c r="C68" s="246"/>
      <c r="D68" s="241"/>
      <c r="E68" s="284"/>
      <c r="F68" s="275" t="s">
        <v>729</v>
      </c>
      <c r="G68" s="25" t="s">
        <v>430</v>
      </c>
      <c r="H68" s="98">
        <v>48</v>
      </c>
      <c r="I68" s="200"/>
      <c r="J68" s="154"/>
      <c r="K68" s="192"/>
      <c r="L68" s="114"/>
      <c r="M68" s="46"/>
      <c r="N68" s="46"/>
      <c r="O68" s="46"/>
      <c r="P68" s="46"/>
      <c r="Q68" s="46"/>
      <c r="R68" s="46"/>
      <c r="S68" s="46"/>
      <c r="T68" s="46"/>
      <c r="U68" s="46">
        <v>48</v>
      </c>
      <c r="V68" s="46"/>
      <c r="W68" s="46"/>
      <c r="X68" s="140"/>
      <c r="Y68" s="190">
        <f t="shared" si="0"/>
        <v>48</v>
      </c>
      <c r="Z68" s="152">
        <f t="shared" si="15"/>
        <v>0</v>
      </c>
      <c r="AA68" s="263">
        <f t="shared" si="14"/>
        <v>-48</v>
      </c>
      <c r="AB68" s="48"/>
    </row>
    <row r="69" spans="1:28" ht="30">
      <c r="A69" s="11"/>
      <c r="B69" s="246"/>
      <c r="C69" s="246"/>
      <c r="D69" s="241"/>
      <c r="E69" s="284"/>
      <c r="F69" s="275" t="s">
        <v>698</v>
      </c>
      <c r="G69" s="25" t="s">
        <v>294</v>
      </c>
      <c r="H69" s="98">
        <v>50</v>
      </c>
      <c r="I69" s="200"/>
      <c r="J69" s="154"/>
      <c r="K69" s="192"/>
      <c r="L69" s="114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140"/>
      <c r="Y69" s="190">
        <f t="shared" si="0"/>
        <v>0</v>
      </c>
      <c r="Z69" s="152"/>
      <c r="AA69" s="263">
        <f t="shared" si="14"/>
        <v>0</v>
      </c>
      <c r="AB69" s="48"/>
    </row>
    <row r="70" spans="1:28" ht="30">
      <c r="A70" s="11"/>
      <c r="B70" s="246" t="s">
        <v>318</v>
      </c>
      <c r="C70" s="246" t="s">
        <v>987</v>
      </c>
      <c r="D70" s="241" t="s">
        <v>291</v>
      </c>
      <c r="E70" s="284">
        <v>80</v>
      </c>
      <c r="F70" s="274" t="s">
        <v>700</v>
      </c>
      <c r="G70" s="5" t="s">
        <v>291</v>
      </c>
      <c r="H70" s="99">
        <v>80</v>
      </c>
      <c r="I70" s="200" t="s">
        <v>701</v>
      </c>
      <c r="J70" s="154" t="s">
        <v>477</v>
      </c>
      <c r="K70" s="209">
        <v>15</v>
      </c>
      <c r="L70" s="114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140"/>
      <c r="Y70" s="190">
        <f t="shared" si="0"/>
        <v>0</v>
      </c>
      <c r="Z70" s="152">
        <f t="shared" ref="Z70:Z118" si="16">H70-Y70</f>
        <v>80</v>
      </c>
      <c r="AA70" s="263">
        <f t="shared" si="14"/>
        <v>80</v>
      </c>
      <c r="AB70" s="48"/>
    </row>
    <row r="71" spans="1:28" ht="30">
      <c r="A71" s="11"/>
      <c r="B71" s="246" t="s">
        <v>67</v>
      </c>
      <c r="C71" s="246" t="s">
        <v>68</v>
      </c>
      <c r="D71" s="241" t="s">
        <v>294</v>
      </c>
      <c r="E71" s="284">
        <v>4</v>
      </c>
      <c r="F71" s="274" t="s">
        <v>68</v>
      </c>
      <c r="G71" s="5" t="s">
        <v>294</v>
      </c>
      <c r="H71" s="99">
        <v>4</v>
      </c>
      <c r="I71" s="200" t="s">
        <v>702</v>
      </c>
      <c r="J71" s="154" t="s">
        <v>477</v>
      </c>
      <c r="K71" s="209">
        <v>1</v>
      </c>
      <c r="L71" s="114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140"/>
      <c r="Y71" s="190">
        <f t="shared" si="0"/>
        <v>0</v>
      </c>
      <c r="Z71" s="152">
        <f t="shared" si="16"/>
        <v>4</v>
      </c>
      <c r="AA71" s="263">
        <f t="shared" si="14"/>
        <v>4</v>
      </c>
      <c r="AB71" s="48"/>
    </row>
    <row r="72" spans="1:28" ht="30">
      <c r="A72" s="11"/>
      <c r="B72" s="246"/>
      <c r="C72" s="246"/>
      <c r="D72" s="241"/>
      <c r="E72" s="284"/>
      <c r="F72" s="274"/>
      <c r="G72" s="5"/>
      <c r="H72" s="99"/>
      <c r="I72" s="200" t="s">
        <v>704</v>
      </c>
      <c r="J72" s="154" t="s">
        <v>477</v>
      </c>
      <c r="K72" s="209">
        <v>1</v>
      </c>
      <c r="L72" s="114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140"/>
      <c r="Y72" s="190">
        <f t="shared" ref="Y72:Y114" si="17">SUM(L72:X72)</f>
        <v>0</v>
      </c>
      <c r="Z72" s="152">
        <f t="shared" ref="Z72:Z114" si="18">H72-Y72</f>
        <v>0</v>
      </c>
      <c r="AA72" s="263">
        <f t="shared" si="14"/>
        <v>0</v>
      </c>
      <c r="AB72" s="48"/>
    </row>
    <row r="73" spans="1:28" ht="45">
      <c r="A73" s="11"/>
      <c r="B73" s="246"/>
      <c r="C73" s="246"/>
      <c r="D73" s="241"/>
      <c r="E73" s="284"/>
      <c r="F73" s="274"/>
      <c r="G73" s="5"/>
      <c r="H73" s="99"/>
      <c r="I73" s="200" t="s">
        <v>705</v>
      </c>
      <c r="J73" s="154" t="s">
        <v>477</v>
      </c>
      <c r="K73" s="209">
        <v>1</v>
      </c>
      <c r="L73" s="114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140"/>
      <c r="Y73" s="190">
        <f t="shared" si="17"/>
        <v>0</v>
      </c>
      <c r="Z73" s="152">
        <f t="shared" si="18"/>
        <v>0</v>
      </c>
      <c r="AA73" s="263">
        <f t="shared" si="14"/>
        <v>0</v>
      </c>
      <c r="AB73" s="48"/>
    </row>
    <row r="74" spans="1:28" ht="30">
      <c r="A74" s="11"/>
      <c r="B74" s="246"/>
      <c r="C74" s="246"/>
      <c r="D74" s="241"/>
      <c r="E74" s="284"/>
      <c r="F74" s="274"/>
      <c r="G74" s="5"/>
      <c r="H74" s="99"/>
      <c r="I74" s="200" t="s">
        <v>708</v>
      </c>
      <c r="J74" s="154" t="s">
        <v>477</v>
      </c>
      <c r="K74" s="209">
        <v>31</v>
      </c>
      <c r="L74" s="114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140"/>
      <c r="Y74" s="190">
        <f t="shared" si="17"/>
        <v>0</v>
      </c>
      <c r="Z74" s="152">
        <f t="shared" si="18"/>
        <v>0</v>
      </c>
      <c r="AA74" s="263">
        <f t="shared" si="14"/>
        <v>0</v>
      </c>
      <c r="AB74" s="48"/>
    </row>
    <row r="75" spans="1:28">
      <c r="A75" s="11"/>
      <c r="B75" s="246"/>
      <c r="C75" s="246"/>
      <c r="D75" s="241"/>
      <c r="E75" s="284"/>
      <c r="F75" s="274"/>
      <c r="G75" s="5"/>
      <c r="H75" s="99"/>
      <c r="I75" s="200" t="s">
        <v>709</v>
      </c>
      <c r="J75" s="154" t="s">
        <v>477</v>
      </c>
      <c r="K75" s="209">
        <v>124</v>
      </c>
      <c r="L75" s="114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140"/>
      <c r="Y75" s="190">
        <f t="shared" si="17"/>
        <v>0</v>
      </c>
      <c r="Z75" s="152">
        <f t="shared" si="18"/>
        <v>0</v>
      </c>
      <c r="AA75" s="263">
        <f t="shared" si="14"/>
        <v>0</v>
      </c>
      <c r="AB75" s="48"/>
    </row>
    <row r="76" spans="1:28">
      <c r="A76" s="11"/>
      <c r="B76" s="246"/>
      <c r="C76" s="246"/>
      <c r="D76" s="241"/>
      <c r="E76" s="284"/>
      <c r="F76" s="274"/>
      <c r="G76" s="5"/>
      <c r="H76" s="99"/>
      <c r="I76" s="200" t="s">
        <v>710</v>
      </c>
      <c r="J76" s="154" t="s">
        <v>477</v>
      </c>
      <c r="K76" s="209">
        <v>14</v>
      </c>
      <c r="L76" s="114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140"/>
      <c r="Y76" s="190">
        <f t="shared" si="17"/>
        <v>0</v>
      </c>
      <c r="Z76" s="152">
        <f t="shared" si="18"/>
        <v>0</v>
      </c>
      <c r="AA76" s="263">
        <f t="shared" si="14"/>
        <v>0</v>
      </c>
      <c r="AB76" s="48"/>
    </row>
    <row r="77" spans="1:28" ht="30">
      <c r="A77" s="11"/>
      <c r="B77" s="246"/>
      <c r="C77" s="246"/>
      <c r="D77" s="241"/>
      <c r="E77" s="284"/>
      <c r="F77" s="274"/>
      <c r="G77" s="5"/>
      <c r="H77" s="99"/>
      <c r="I77" s="200" t="s">
        <v>711</v>
      </c>
      <c r="J77" s="154" t="s">
        <v>477</v>
      </c>
      <c r="K77" s="209">
        <v>2</v>
      </c>
      <c r="L77" s="114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140"/>
      <c r="Y77" s="190">
        <f t="shared" si="17"/>
        <v>0</v>
      </c>
      <c r="Z77" s="152">
        <f t="shared" si="18"/>
        <v>0</v>
      </c>
      <c r="AA77" s="263">
        <f t="shared" si="14"/>
        <v>0</v>
      </c>
      <c r="AB77" s="48"/>
    </row>
    <row r="78" spans="1:28" ht="30">
      <c r="A78" s="11"/>
      <c r="B78" s="246" t="s">
        <v>319</v>
      </c>
      <c r="C78" s="246" t="s">
        <v>320</v>
      </c>
      <c r="D78" s="241" t="s">
        <v>294</v>
      </c>
      <c r="E78" s="284">
        <v>1</v>
      </c>
      <c r="F78" s="274" t="s">
        <v>320</v>
      </c>
      <c r="G78" s="5" t="s">
        <v>294</v>
      </c>
      <c r="H78" s="99">
        <v>1</v>
      </c>
      <c r="I78" s="200" t="s">
        <v>703</v>
      </c>
      <c r="J78" s="154" t="s">
        <v>477</v>
      </c>
      <c r="K78" s="209">
        <v>1</v>
      </c>
      <c r="L78" s="114"/>
      <c r="M78" s="46"/>
      <c r="N78" s="46">
        <v>1</v>
      </c>
      <c r="O78" s="46"/>
      <c r="P78" s="46"/>
      <c r="Q78" s="46"/>
      <c r="R78" s="46"/>
      <c r="S78" s="46"/>
      <c r="T78" s="46"/>
      <c r="U78" s="46"/>
      <c r="V78" s="46"/>
      <c r="W78" s="46"/>
      <c r="X78" s="140"/>
      <c r="Y78" s="190">
        <f t="shared" si="17"/>
        <v>1</v>
      </c>
      <c r="Z78" s="152">
        <f t="shared" si="18"/>
        <v>0</v>
      </c>
      <c r="AA78" s="263">
        <f t="shared" si="14"/>
        <v>0</v>
      </c>
      <c r="AB78" s="48"/>
    </row>
    <row r="79" spans="1:28" ht="30">
      <c r="A79" s="11"/>
      <c r="B79" s="246"/>
      <c r="C79" s="246"/>
      <c r="D79" s="241"/>
      <c r="E79" s="284"/>
      <c r="F79" s="274"/>
      <c r="G79" s="5"/>
      <c r="H79" s="99"/>
      <c r="I79" s="200" t="s">
        <v>706</v>
      </c>
      <c r="J79" s="154" t="s">
        <v>477</v>
      </c>
      <c r="K79" s="209">
        <v>1</v>
      </c>
      <c r="L79" s="114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140"/>
      <c r="Y79" s="190">
        <f t="shared" si="17"/>
        <v>0</v>
      </c>
      <c r="Z79" s="152">
        <f t="shared" si="18"/>
        <v>0</v>
      </c>
      <c r="AA79" s="263">
        <f t="shared" si="14"/>
        <v>0</v>
      </c>
      <c r="AB79" s="48"/>
    </row>
    <row r="80" spans="1:28" ht="30">
      <c r="A80" s="11"/>
      <c r="B80" s="246"/>
      <c r="C80" s="246"/>
      <c r="D80" s="241"/>
      <c r="E80" s="284"/>
      <c r="F80" s="274"/>
      <c r="G80" s="5"/>
      <c r="H80" s="99"/>
      <c r="I80" s="200" t="s">
        <v>707</v>
      </c>
      <c r="J80" s="154" t="s">
        <v>477</v>
      </c>
      <c r="K80" s="209">
        <v>1</v>
      </c>
      <c r="L80" s="114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140"/>
      <c r="Y80" s="190">
        <f t="shared" si="17"/>
        <v>0</v>
      </c>
      <c r="Z80" s="152">
        <f t="shared" si="18"/>
        <v>0</v>
      </c>
      <c r="AA80" s="263">
        <f t="shared" si="14"/>
        <v>0</v>
      </c>
      <c r="AB80" s="48"/>
    </row>
    <row r="81" spans="1:31" s="231" customFormat="1" ht="30">
      <c r="A81" s="149"/>
      <c r="B81" s="382"/>
      <c r="C81" s="382"/>
      <c r="D81" s="383"/>
      <c r="E81" s="384"/>
      <c r="F81" s="385" t="s">
        <v>1106</v>
      </c>
      <c r="G81" s="25" t="s">
        <v>289</v>
      </c>
      <c r="H81" s="98">
        <v>30</v>
      </c>
      <c r="I81" s="200" t="s">
        <v>1104</v>
      </c>
      <c r="J81" s="154" t="s">
        <v>1105</v>
      </c>
      <c r="K81" s="209">
        <v>30</v>
      </c>
      <c r="L81" s="126"/>
      <c r="M81" s="72"/>
      <c r="N81" s="72"/>
      <c r="O81" s="72"/>
      <c r="P81" s="72"/>
      <c r="Q81" s="72"/>
      <c r="R81" s="72"/>
      <c r="S81" s="72"/>
      <c r="T81" s="72"/>
      <c r="U81" s="72"/>
      <c r="V81" s="72">
        <v>60</v>
      </c>
      <c r="W81" s="72"/>
      <c r="X81" s="141"/>
      <c r="Y81" s="192">
        <f t="shared" ref="Y81" si="19">SUM(L81:X81)</f>
        <v>60</v>
      </c>
      <c r="Z81" s="154">
        <f t="shared" ref="Z81" si="20">H81-Y81</f>
        <v>-30</v>
      </c>
      <c r="AA81" s="339">
        <f t="shared" ref="AA81" si="21">E81-Y81</f>
        <v>-60</v>
      </c>
      <c r="AB81" s="73"/>
    </row>
    <row r="82" spans="1:31" ht="30">
      <c r="A82" s="11"/>
      <c r="B82" s="246" t="s">
        <v>321</v>
      </c>
      <c r="C82" s="246" t="s">
        <v>322</v>
      </c>
      <c r="D82" s="241" t="s">
        <v>294</v>
      </c>
      <c r="E82" s="284">
        <v>1</v>
      </c>
      <c r="F82" s="274" t="s">
        <v>322</v>
      </c>
      <c r="G82" s="5" t="s">
        <v>294</v>
      </c>
      <c r="H82" s="99">
        <v>1</v>
      </c>
      <c r="I82" s="200" t="s">
        <v>752</v>
      </c>
      <c r="J82" s="154" t="s">
        <v>477</v>
      </c>
      <c r="K82" s="192">
        <v>1</v>
      </c>
      <c r="L82" s="114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140"/>
      <c r="Y82" s="190">
        <f t="shared" si="17"/>
        <v>0</v>
      </c>
      <c r="Z82" s="152">
        <f t="shared" si="18"/>
        <v>1</v>
      </c>
      <c r="AA82" s="263">
        <f t="shared" si="14"/>
        <v>1</v>
      </c>
      <c r="AB82" s="48"/>
    </row>
    <row r="83" spans="1:31" ht="30">
      <c r="A83" s="11"/>
      <c r="B83" s="246" t="s">
        <v>323</v>
      </c>
      <c r="C83" s="246" t="s">
        <v>324</v>
      </c>
      <c r="D83" s="241" t="s">
        <v>294</v>
      </c>
      <c r="E83" s="284">
        <v>6</v>
      </c>
      <c r="F83" s="274" t="s">
        <v>324</v>
      </c>
      <c r="G83" s="5" t="s">
        <v>294</v>
      </c>
      <c r="H83" s="99">
        <v>6</v>
      </c>
      <c r="I83" s="200"/>
      <c r="J83" s="154"/>
      <c r="K83" s="192"/>
      <c r="L83" s="114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140"/>
      <c r="Y83" s="190">
        <f t="shared" si="17"/>
        <v>0</v>
      </c>
      <c r="Z83" s="152">
        <f t="shared" si="18"/>
        <v>6</v>
      </c>
      <c r="AA83" s="263">
        <f t="shared" si="14"/>
        <v>6</v>
      </c>
      <c r="AB83" s="48"/>
    </row>
    <row r="84" spans="1:31" ht="45">
      <c r="A84" s="11"/>
      <c r="B84" s="246"/>
      <c r="C84" s="246"/>
      <c r="D84" s="241"/>
      <c r="E84" s="284"/>
      <c r="F84" s="275" t="s">
        <v>749</v>
      </c>
      <c r="G84" s="25" t="s">
        <v>430</v>
      </c>
      <c r="H84" s="98">
        <f>380+67.2</f>
        <v>447.2</v>
      </c>
      <c r="I84" s="200" t="s">
        <v>745</v>
      </c>
      <c r="J84" s="154" t="s">
        <v>291</v>
      </c>
      <c r="K84" s="192">
        <v>343.7</v>
      </c>
      <c r="L84" s="126"/>
      <c r="M84" s="72"/>
      <c r="N84" s="72"/>
      <c r="O84" s="72">
        <v>140</v>
      </c>
      <c r="P84" s="72">
        <v>50</v>
      </c>
      <c r="Q84" s="72">
        <v>60</v>
      </c>
      <c r="R84" s="72">
        <f>60+67.2</f>
        <v>127.2</v>
      </c>
      <c r="S84" s="72">
        <v>70</v>
      </c>
      <c r="T84" s="72"/>
      <c r="U84" s="72">
        <v>100</v>
      </c>
      <c r="V84" s="72"/>
      <c r="W84" s="72"/>
      <c r="X84" s="141"/>
      <c r="Y84" s="190">
        <f t="shared" si="17"/>
        <v>547.20000000000005</v>
      </c>
      <c r="Z84" s="152">
        <f t="shared" si="18"/>
        <v>-100.00000000000006</v>
      </c>
      <c r="AA84" s="263">
        <f t="shared" si="14"/>
        <v>-547.20000000000005</v>
      </c>
      <c r="AB84" s="48"/>
      <c r="AE84" s="231"/>
    </row>
    <row r="85" spans="1:31" ht="45">
      <c r="A85" s="11"/>
      <c r="B85" s="246"/>
      <c r="C85" s="246"/>
      <c r="D85" s="241"/>
      <c r="E85" s="284"/>
      <c r="F85" s="275"/>
      <c r="G85" s="25"/>
      <c r="H85" s="98"/>
      <c r="I85" s="200" t="s">
        <v>746</v>
      </c>
      <c r="J85" s="154" t="s">
        <v>291</v>
      </c>
      <c r="K85" s="192">
        <v>60.9</v>
      </c>
      <c r="L85" s="126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141"/>
      <c r="Y85" s="190">
        <f t="shared" si="17"/>
        <v>0</v>
      </c>
      <c r="Z85" s="152">
        <f t="shared" si="18"/>
        <v>0</v>
      </c>
      <c r="AA85" s="263">
        <f t="shared" si="14"/>
        <v>0</v>
      </c>
      <c r="AB85" s="48"/>
      <c r="AE85" s="231"/>
    </row>
    <row r="86" spans="1:31" ht="45">
      <c r="A86" s="11"/>
      <c r="B86" s="246"/>
      <c r="C86" s="246"/>
      <c r="D86" s="241"/>
      <c r="E86" s="284"/>
      <c r="F86" s="275"/>
      <c r="G86" s="25"/>
      <c r="H86" s="98"/>
      <c r="I86" s="200" t="s">
        <v>747</v>
      </c>
      <c r="J86" s="154" t="s">
        <v>291</v>
      </c>
      <c r="K86" s="192">
        <v>207.4</v>
      </c>
      <c r="L86" s="126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141"/>
      <c r="Y86" s="190">
        <f t="shared" si="17"/>
        <v>0</v>
      </c>
      <c r="Z86" s="152">
        <f t="shared" si="18"/>
        <v>0</v>
      </c>
      <c r="AA86" s="263">
        <f t="shared" si="14"/>
        <v>0</v>
      </c>
      <c r="AB86" s="48"/>
      <c r="AE86" s="231"/>
    </row>
    <row r="87" spans="1:31" ht="45">
      <c r="A87" s="11"/>
      <c r="B87" s="246"/>
      <c r="C87" s="246"/>
      <c r="D87" s="241"/>
      <c r="E87" s="284"/>
      <c r="F87" s="275"/>
      <c r="G87" s="25"/>
      <c r="H87" s="98"/>
      <c r="I87" s="200" t="s">
        <v>748</v>
      </c>
      <c r="J87" s="154" t="s">
        <v>291</v>
      </c>
      <c r="K87" s="192">
        <v>2.6</v>
      </c>
      <c r="L87" s="126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141"/>
      <c r="Y87" s="190">
        <f t="shared" si="17"/>
        <v>0</v>
      </c>
      <c r="Z87" s="152">
        <f t="shared" si="18"/>
        <v>0</v>
      </c>
      <c r="AA87" s="263">
        <f t="shared" si="14"/>
        <v>0</v>
      </c>
      <c r="AB87" s="48"/>
      <c r="AD87" s="387"/>
      <c r="AE87" s="387"/>
    </row>
    <row r="88" spans="1:31">
      <c r="A88" s="11"/>
      <c r="B88" s="246"/>
      <c r="C88" s="246"/>
      <c r="D88" s="241"/>
      <c r="E88" s="284"/>
      <c r="F88" s="275"/>
      <c r="G88" s="25"/>
      <c r="H88" s="98"/>
      <c r="I88" s="200" t="s">
        <v>750</v>
      </c>
      <c r="J88" s="154" t="s">
        <v>291</v>
      </c>
      <c r="K88" s="192">
        <v>13.8</v>
      </c>
      <c r="L88" s="126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141"/>
      <c r="Y88" s="190">
        <f t="shared" si="17"/>
        <v>0</v>
      </c>
      <c r="Z88" s="152">
        <f t="shared" si="18"/>
        <v>0</v>
      </c>
      <c r="AA88" s="263">
        <f t="shared" si="14"/>
        <v>0</v>
      </c>
      <c r="AB88" s="48"/>
      <c r="AD88" s="387"/>
      <c r="AE88" s="387"/>
    </row>
    <row r="89" spans="1:31">
      <c r="A89" s="11"/>
      <c r="B89" s="246"/>
      <c r="C89" s="246"/>
      <c r="D89" s="241"/>
      <c r="E89" s="284"/>
      <c r="F89" s="275"/>
      <c r="G89" s="25"/>
      <c r="H89" s="98"/>
      <c r="I89" s="200" t="s">
        <v>751</v>
      </c>
      <c r="J89" s="154" t="s">
        <v>291</v>
      </c>
      <c r="K89" s="192">
        <v>70</v>
      </c>
      <c r="L89" s="126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141"/>
      <c r="Y89" s="190">
        <f t="shared" si="17"/>
        <v>0</v>
      </c>
      <c r="Z89" s="152">
        <f t="shared" si="18"/>
        <v>0</v>
      </c>
      <c r="AA89" s="263">
        <f t="shared" si="14"/>
        <v>0</v>
      </c>
      <c r="AB89" s="48"/>
      <c r="AD89" s="387"/>
      <c r="AE89" s="387"/>
    </row>
    <row r="90" spans="1:31">
      <c r="A90" s="11"/>
      <c r="B90" s="246"/>
      <c r="C90" s="246"/>
      <c r="D90" s="241"/>
      <c r="E90" s="284"/>
      <c r="F90" s="275" t="s">
        <v>719</v>
      </c>
      <c r="G90" s="25" t="s">
        <v>294</v>
      </c>
      <c r="H90" s="98">
        <v>20</v>
      </c>
      <c r="I90" s="213" t="s">
        <v>1066</v>
      </c>
      <c r="J90" s="214" t="s">
        <v>477</v>
      </c>
      <c r="K90" s="215">
        <v>20</v>
      </c>
      <c r="L90" s="126"/>
      <c r="M90" s="72"/>
      <c r="N90" s="72"/>
      <c r="O90" s="72">
        <v>4</v>
      </c>
      <c r="P90" s="72">
        <v>2</v>
      </c>
      <c r="Q90" s="72"/>
      <c r="R90" s="72"/>
      <c r="S90" s="72"/>
      <c r="T90" s="72"/>
      <c r="U90" s="72">
        <v>5</v>
      </c>
      <c r="V90" s="72"/>
      <c r="W90" s="72"/>
      <c r="X90" s="141"/>
      <c r="Y90" s="190">
        <f t="shared" si="17"/>
        <v>11</v>
      </c>
      <c r="Z90" s="152">
        <f t="shared" si="18"/>
        <v>9</v>
      </c>
      <c r="AA90" s="263">
        <f t="shared" si="14"/>
        <v>-11</v>
      </c>
      <c r="AB90" s="48"/>
      <c r="AD90" s="387"/>
      <c r="AE90" s="387"/>
    </row>
    <row r="91" spans="1:31">
      <c r="A91" s="11"/>
      <c r="B91" s="246"/>
      <c r="C91" s="246"/>
      <c r="D91" s="241"/>
      <c r="E91" s="284"/>
      <c r="F91" s="275"/>
      <c r="G91" s="25"/>
      <c r="H91" s="98"/>
      <c r="I91" s="213"/>
      <c r="J91" s="214"/>
      <c r="K91" s="215"/>
      <c r="L91" s="126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141"/>
      <c r="Y91" s="190"/>
      <c r="Z91" s="152"/>
      <c r="AA91" s="263"/>
      <c r="AB91" s="48"/>
      <c r="AD91" s="387"/>
      <c r="AE91" s="387"/>
    </row>
    <row r="92" spans="1:31">
      <c r="A92" s="11"/>
      <c r="B92" s="246"/>
      <c r="C92" s="246"/>
      <c r="D92" s="241"/>
      <c r="E92" s="284"/>
      <c r="F92" s="275" t="s">
        <v>720</v>
      </c>
      <c r="G92" s="25"/>
      <c r="H92" s="98"/>
      <c r="I92" s="200" t="s">
        <v>721</v>
      </c>
      <c r="J92" s="207" t="s">
        <v>477</v>
      </c>
      <c r="K92" s="192">
        <v>19</v>
      </c>
      <c r="L92" s="126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141"/>
      <c r="Y92" s="190">
        <f t="shared" si="17"/>
        <v>0</v>
      </c>
      <c r="Z92" s="152">
        <f t="shared" si="18"/>
        <v>0</v>
      </c>
      <c r="AA92" s="263">
        <f t="shared" si="14"/>
        <v>0</v>
      </c>
      <c r="AB92" s="48"/>
      <c r="AD92" s="387"/>
      <c r="AE92" s="387"/>
    </row>
    <row r="93" spans="1:31">
      <c r="A93" s="11"/>
      <c r="B93" s="246"/>
      <c r="C93" s="246"/>
      <c r="D93" s="241"/>
      <c r="E93" s="284"/>
      <c r="F93" s="275"/>
      <c r="G93" s="25"/>
      <c r="H93" s="98"/>
      <c r="I93" s="200" t="s">
        <v>722</v>
      </c>
      <c r="J93" s="207" t="s">
        <v>477</v>
      </c>
      <c r="K93" s="192">
        <v>1</v>
      </c>
      <c r="L93" s="126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141"/>
      <c r="Y93" s="190">
        <f t="shared" si="17"/>
        <v>0</v>
      </c>
      <c r="Z93" s="152">
        <f t="shared" si="18"/>
        <v>0</v>
      </c>
      <c r="AA93" s="263">
        <f t="shared" si="14"/>
        <v>0</v>
      </c>
      <c r="AB93" s="48"/>
      <c r="AD93" s="387"/>
      <c r="AE93" s="387"/>
    </row>
    <row r="94" spans="1:31">
      <c r="A94" s="11"/>
      <c r="B94" s="246"/>
      <c r="C94" s="246"/>
      <c r="D94" s="241"/>
      <c r="E94" s="284"/>
      <c r="F94" s="275"/>
      <c r="G94" s="25"/>
      <c r="H94" s="98"/>
      <c r="I94" s="200" t="s">
        <v>723</v>
      </c>
      <c r="J94" s="207" t="s">
        <v>477</v>
      </c>
      <c r="K94" s="192">
        <v>21</v>
      </c>
      <c r="L94" s="126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141"/>
      <c r="Y94" s="190">
        <f t="shared" si="17"/>
        <v>0</v>
      </c>
      <c r="Z94" s="152">
        <f t="shared" si="18"/>
        <v>0</v>
      </c>
      <c r="AA94" s="263">
        <f t="shared" si="14"/>
        <v>0</v>
      </c>
      <c r="AB94" s="48"/>
      <c r="AD94" s="387"/>
      <c r="AE94" s="387"/>
    </row>
    <row r="95" spans="1:31">
      <c r="A95" s="11"/>
      <c r="B95" s="246"/>
      <c r="C95" s="246"/>
      <c r="D95" s="241"/>
      <c r="E95" s="284"/>
      <c r="F95" s="275"/>
      <c r="G95" s="25"/>
      <c r="H95" s="98"/>
      <c r="I95" s="200" t="s">
        <v>716</v>
      </c>
      <c r="J95" s="154" t="s">
        <v>289</v>
      </c>
      <c r="K95" s="192">
        <v>3.2</v>
      </c>
      <c r="L95" s="126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141"/>
      <c r="Y95" s="190">
        <f t="shared" si="17"/>
        <v>0</v>
      </c>
      <c r="Z95" s="152">
        <f t="shared" si="18"/>
        <v>0</v>
      </c>
      <c r="AA95" s="263">
        <f t="shared" si="14"/>
        <v>0</v>
      </c>
      <c r="AB95" s="48"/>
      <c r="AD95" s="387"/>
      <c r="AE95" s="387"/>
    </row>
    <row r="96" spans="1:31">
      <c r="A96" s="11"/>
      <c r="B96" s="246"/>
      <c r="C96" s="246"/>
      <c r="D96" s="241"/>
      <c r="E96" s="284"/>
      <c r="F96" s="275" t="s">
        <v>724</v>
      </c>
      <c r="G96" s="25" t="s">
        <v>477</v>
      </c>
      <c r="H96" s="98">
        <f>K96+K97+K98+K99</f>
        <v>21</v>
      </c>
      <c r="I96" s="200" t="s">
        <v>725</v>
      </c>
      <c r="J96" s="154" t="s">
        <v>477</v>
      </c>
      <c r="K96" s="192">
        <v>1</v>
      </c>
      <c r="L96" s="126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141"/>
      <c r="Y96" s="190">
        <f t="shared" si="17"/>
        <v>0</v>
      </c>
      <c r="Z96" s="152">
        <f t="shared" si="18"/>
        <v>21</v>
      </c>
      <c r="AA96" s="263">
        <f t="shared" si="14"/>
        <v>0</v>
      </c>
      <c r="AB96" s="48"/>
      <c r="AD96" s="386"/>
      <c r="AE96" s="386"/>
    </row>
    <row r="97" spans="1:30">
      <c r="A97" s="11"/>
      <c r="B97" s="246"/>
      <c r="C97" s="246"/>
      <c r="D97" s="241"/>
      <c r="E97" s="284"/>
      <c r="F97" s="275"/>
      <c r="G97" s="25"/>
      <c r="H97" s="98"/>
      <c r="I97" s="200" t="s">
        <v>726</v>
      </c>
      <c r="J97" s="154" t="s">
        <v>477</v>
      </c>
      <c r="K97" s="192">
        <v>5</v>
      </c>
      <c r="L97" s="126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141"/>
      <c r="Y97" s="190">
        <f t="shared" si="17"/>
        <v>0</v>
      </c>
      <c r="Z97" s="152">
        <f t="shared" si="18"/>
        <v>0</v>
      </c>
      <c r="AA97" s="263">
        <f t="shared" si="14"/>
        <v>0</v>
      </c>
      <c r="AB97" s="48"/>
      <c r="AD97" s="42"/>
    </row>
    <row r="98" spans="1:30">
      <c r="A98" s="11"/>
      <c r="B98" s="246"/>
      <c r="C98" s="246"/>
      <c r="D98" s="241"/>
      <c r="E98" s="284"/>
      <c r="F98" s="275"/>
      <c r="G98" s="25"/>
      <c r="H98" s="98"/>
      <c r="I98" s="200" t="s">
        <v>727</v>
      </c>
      <c r="J98" s="154" t="s">
        <v>477</v>
      </c>
      <c r="K98" s="192">
        <v>4</v>
      </c>
      <c r="L98" s="126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141"/>
      <c r="Y98" s="190">
        <f t="shared" si="17"/>
        <v>0</v>
      </c>
      <c r="Z98" s="152">
        <f t="shared" si="18"/>
        <v>0</v>
      </c>
      <c r="AA98" s="263">
        <f t="shared" si="14"/>
        <v>0</v>
      </c>
      <c r="AB98" s="48"/>
    </row>
    <row r="99" spans="1:30">
      <c r="A99" s="11"/>
      <c r="B99" s="246"/>
      <c r="C99" s="246"/>
      <c r="D99" s="241"/>
      <c r="E99" s="284"/>
      <c r="F99" s="275"/>
      <c r="G99" s="25"/>
      <c r="H99" s="98"/>
      <c r="I99" s="200" t="s">
        <v>728</v>
      </c>
      <c r="J99" s="154" t="s">
        <v>477</v>
      </c>
      <c r="K99" s="192">
        <v>11</v>
      </c>
      <c r="L99" s="126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141"/>
      <c r="Y99" s="190">
        <f t="shared" si="17"/>
        <v>0</v>
      </c>
      <c r="Z99" s="152">
        <f t="shared" si="18"/>
        <v>0</v>
      </c>
      <c r="AA99" s="263">
        <f t="shared" si="14"/>
        <v>0</v>
      </c>
      <c r="AB99" s="48"/>
    </row>
    <row r="100" spans="1:30">
      <c r="A100" s="11"/>
      <c r="B100" s="246"/>
      <c r="C100" s="246"/>
      <c r="D100" s="241"/>
      <c r="E100" s="284"/>
      <c r="F100" s="275"/>
      <c r="G100" s="25"/>
      <c r="H100" s="98"/>
      <c r="I100" s="200"/>
      <c r="J100" s="154"/>
      <c r="K100" s="192"/>
      <c r="L100" s="126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141"/>
      <c r="Y100" s="190">
        <f t="shared" si="17"/>
        <v>0</v>
      </c>
      <c r="Z100" s="152">
        <f t="shared" si="18"/>
        <v>0</v>
      </c>
      <c r="AA100" s="263">
        <f t="shared" si="14"/>
        <v>0</v>
      </c>
      <c r="AB100" s="48"/>
    </row>
    <row r="101" spans="1:30" ht="30">
      <c r="A101" s="11"/>
      <c r="B101" s="246"/>
      <c r="C101" s="246"/>
      <c r="D101" s="241"/>
      <c r="E101" s="284"/>
      <c r="F101" s="275" t="s">
        <v>718</v>
      </c>
      <c r="G101" s="25" t="s">
        <v>294</v>
      </c>
      <c r="H101" s="98">
        <v>16</v>
      </c>
      <c r="I101" s="200" t="s">
        <v>713</v>
      </c>
      <c r="J101" s="154" t="s">
        <v>477</v>
      </c>
      <c r="K101" s="192">
        <v>16</v>
      </c>
      <c r="L101" s="126"/>
      <c r="M101" s="72"/>
      <c r="N101" s="72"/>
      <c r="O101" s="72">
        <v>2</v>
      </c>
      <c r="P101" s="72">
        <v>2</v>
      </c>
      <c r="Q101" s="72"/>
      <c r="R101" s="72"/>
      <c r="S101" s="72"/>
      <c r="T101" s="72"/>
      <c r="U101" s="72"/>
      <c r="V101" s="72"/>
      <c r="W101" s="72"/>
      <c r="X101" s="141"/>
      <c r="Y101" s="190">
        <f t="shared" si="17"/>
        <v>4</v>
      </c>
      <c r="Z101" s="152">
        <f t="shared" si="18"/>
        <v>12</v>
      </c>
      <c r="AA101" s="263">
        <f t="shared" si="14"/>
        <v>-4</v>
      </c>
      <c r="AB101" s="48"/>
    </row>
    <row r="102" spans="1:30">
      <c r="A102" s="11"/>
      <c r="B102" s="246"/>
      <c r="C102" s="246"/>
      <c r="D102" s="241"/>
      <c r="E102" s="284"/>
      <c r="F102" s="275"/>
      <c r="G102" s="25"/>
      <c r="H102" s="98"/>
      <c r="I102" s="200" t="s">
        <v>714</v>
      </c>
      <c r="J102" s="154" t="s">
        <v>477</v>
      </c>
      <c r="K102" s="192">
        <v>16</v>
      </c>
      <c r="L102" s="126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141"/>
      <c r="Y102" s="190">
        <f t="shared" si="17"/>
        <v>0</v>
      </c>
      <c r="Z102" s="152">
        <f t="shared" si="18"/>
        <v>0</v>
      </c>
      <c r="AA102" s="263">
        <f t="shared" si="14"/>
        <v>0</v>
      </c>
      <c r="AB102" s="48"/>
    </row>
    <row r="103" spans="1:30">
      <c r="A103" s="11"/>
      <c r="B103" s="246"/>
      <c r="C103" s="246"/>
      <c r="D103" s="241"/>
      <c r="E103" s="284"/>
      <c r="F103" s="275"/>
      <c r="G103" s="25"/>
      <c r="H103" s="98"/>
      <c r="I103" s="200" t="s">
        <v>715</v>
      </c>
      <c r="J103" s="154" t="s">
        <v>289</v>
      </c>
      <c r="K103" s="192">
        <v>1.8</v>
      </c>
      <c r="L103" s="126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141"/>
      <c r="Y103" s="190">
        <f t="shared" si="17"/>
        <v>0</v>
      </c>
      <c r="Z103" s="152">
        <f t="shared" si="18"/>
        <v>0</v>
      </c>
      <c r="AA103" s="263">
        <f t="shared" si="14"/>
        <v>0</v>
      </c>
      <c r="AB103" s="48"/>
    </row>
    <row r="104" spans="1:30">
      <c r="A104" s="11"/>
      <c r="B104" s="246"/>
      <c r="C104" s="246"/>
      <c r="D104" s="241"/>
      <c r="E104" s="284"/>
      <c r="F104" s="275"/>
      <c r="G104" s="25"/>
      <c r="H104" s="98"/>
      <c r="I104" s="200" t="s">
        <v>716</v>
      </c>
      <c r="J104" s="154" t="s">
        <v>289</v>
      </c>
      <c r="K104" s="192">
        <v>1.1000000000000001</v>
      </c>
      <c r="L104" s="126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141"/>
      <c r="Y104" s="190">
        <f t="shared" si="17"/>
        <v>0</v>
      </c>
      <c r="Z104" s="152">
        <f t="shared" si="18"/>
        <v>0</v>
      </c>
      <c r="AA104" s="263">
        <f t="shared" si="14"/>
        <v>0</v>
      </c>
      <c r="AB104" s="48"/>
    </row>
    <row r="105" spans="1:30">
      <c r="A105" s="11"/>
      <c r="B105" s="246"/>
      <c r="C105" s="246"/>
      <c r="D105" s="241"/>
      <c r="E105" s="284"/>
      <c r="F105" s="275" t="s">
        <v>743</v>
      </c>
      <c r="G105" s="25" t="s">
        <v>291</v>
      </c>
      <c r="H105" s="98">
        <v>0</v>
      </c>
      <c r="I105" s="200"/>
      <c r="J105" s="154"/>
      <c r="K105" s="192"/>
      <c r="L105" s="126"/>
      <c r="M105" s="72"/>
      <c r="N105" s="72"/>
      <c r="O105" s="72">
        <v>15.5</v>
      </c>
      <c r="P105" s="72"/>
      <c r="Q105" s="72"/>
      <c r="R105" s="72"/>
      <c r="S105" s="72"/>
      <c r="T105" s="72"/>
      <c r="U105" s="72"/>
      <c r="V105" s="72"/>
      <c r="W105" s="72"/>
      <c r="X105" s="141"/>
      <c r="Y105" s="190">
        <f t="shared" si="17"/>
        <v>15.5</v>
      </c>
      <c r="Z105" s="152">
        <f t="shared" si="18"/>
        <v>-15.5</v>
      </c>
      <c r="AA105" s="263">
        <f t="shared" si="14"/>
        <v>-15.5</v>
      </c>
      <c r="AB105" s="48"/>
    </row>
    <row r="106" spans="1:30" ht="45">
      <c r="A106" s="11"/>
      <c r="B106" s="246"/>
      <c r="C106" s="246"/>
      <c r="D106" s="241"/>
      <c r="E106" s="284"/>
      <c r="F106" s="275" t="s">
        <v>431</v>
      </c>
      <c r="G106" s="25" t="s">
        <v>291</v>
      </c>
      <c r="H106" s="98">
        <v>60.5</v>
      </c>
      <c r="I106" s="200" t="s">
        <v>732</v>
      </c>
      <c r="J106" s="154" t="s">
        <v>291</v>
      </c>
      <c r="K106" s="192">
        <v>60.5</v>
      </c>
      <c r="L106" s="126"/>
      <c r="M106" s="72"/>
      <c r="N106" s="72"/>
      <c r="O106" s="72">
        <v>10</v>
      </c>
      <c r="P106" s="72"/>
      <c r="Q106" s="72"/>
      <c r="R106" s="72"/>
      <c r="S106" s="72"/>
      <c r="T106" s="72"/>
      <c r="U106" s="72"/>
      <c r="V106" s="72"/>
      <c r="W106" s="72"/>
      <c r="X106" s="141"/>
      <c r="Y106" s="190">
        <f t="shared" si="17"/>
        <v>10</v>
      </c>
      <c r="Z106" s="152">
        <f t="shared" si="18"/>
        <v>50.5</v>
      </c>
      <c r="AA106" s="263">
        <f t="shared" si="14"/>
        <v>-10</v>
      </c>
      <c r="AB106" s="73" t="s">
        <v>733</v>
      </c>
    </row>
    <row r="107" spans="1:30" ht="30">
      <c r="A107" s="11"/>
      <c r="B107" s="246"/>
      <c r="C107" s="246"/>
      <c r="D107" s="241"/>
      <c r="E107" s="284"/>
      <c r="F107" s="275" t="s">
        <v>734</v>
      </c>
      <c r="G107" s="25" t="s">
        <v>294</v>
      </c>
      <c r="H107" s="98">
        <f>K107+K108+K109+K110+K111+K112+K113+K114</f>
        <v>128</v>
      </c>
      <c r="I107" s="200" t="s">
        <v>735</v>
      </c>
      <c r="J107" s="154" t="s">
        <v>477</v>
      </c>
      <c r="K107" s="192">
        <v>24</v>
      </c>
      <c r="L107" s="126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141"/>
      <c r="Y107" s="190">
        <f t="shared" si="17"/>
        <v>0</v>
      </c>
      <c r="Z107" s="152">
        <f t="shared" si="18"/>
        <v>128</v>
      </c>
      <c r="AA107" s="263">
        <f t="shared" si="14"/>
        <v>0</v>
      </c>
      <c r="AB107" s="73"/>
    </row>
    <row r="108" spans="1:30">
      <c r="A108" s="11"/>
      <c r="B108" s="246"/>
      <c r="C108" s="246"/>
      <c r="D108" s="241"/>
      <c r="E108" s="284"/>
      <c r="F108" s="275"/>
      <c r="G108" s="25"/>
      <c r="H108" s="98"/>
      <c r="I108" s="200" t="s">
        <v>736</v>
      </c>
      <c r="J108" s="154" t="s">
        <v>477</v>
      </c>
      <c r="K108" s="192">
        <v>20</v>
      </c>
      <c r="L108" s="126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141"/>
      <c r="Y108" s="190">
        <f t="shared" si="17"/>
        <v>0</v>
      </c>
      <c r="Z108" s="152">
        <f t="shared" si="18"/>
        <v>0</v>
      </c>
      <c r="AA108" s="263">
        <f t="shared" si="14"/>
        <v>0</v>
      </c>
      <c r="AB108" s="73"/>
    </row>
    <row r="109" spans="1:30">
      <c r="A109" s="11"/>
      <c r="B109" s="246"/>
      <c r="C109" s="246"/>
      <c r="D109" s="241"/>
      <c r="E109" s="284"/>
      <c r="F109" s="275"/>
      <c r="G109" s="25"/>
      <c r="H109" s="98"/>
      <c r="I109" s="200" t="s">
        <v>737</v>
      </c>
      <c r="J109" s="154" t="s">
        <v>477</v>
      </c>
      <c r="K109" s="192">
        <v>19</v>
      </c>
      <c r="L109" s="126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141"/>
      <c r="Y109" s="190">
        <f t="shared" si="17"/>
        <v>0</v>
      </c>
      <c r="Z109" s="152">
        <f t="shared" si="18"/>
        <v>0</v>
      </c>
      <c r="AA109" s="263">
        <f t="shared" si="14"/>
        <v>0</v>
      </c>
      <c r="AB109" s="73"/>
    </row>
    <row r="110" spans="1:30">
      <c r="A110" s="11"/>
      <c r="B110" s="246"/>
      <c r="C110" s="246"/>
      <c r="D110" s="241"/>
      <c r="E110" s="284"/>
      <c r="F110" s="275"/>
      <c r="G110" s="25"/>
      <c r="H110" s="98"/>
      <c r="I110" s="200" t="s">
        <v>738</v>
      </c>
      <c r="J110" s="154" t="s">
        <v>477</v>
      </c>
      <c r="K110" s="192">
        <v>1</v>
      </c>
      <c r="L110" s="126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141"/>
      <c r="Y110" s="190">
        <f t="shared" si="17"/>
        <v>0</v>
      </c>
      <c r="Z110" s="152">
        <f t="shared" si="18"/>
        <v>0</v>
      </c>
      <c r="AA110" s="263">
        <f t="shared" si="14"/>
        <v>0</v>
      </c>
      <c r="AB110" s="73"/>
    </row>
    <row r="111" spans="1:30">
      <c r="A111" s="11"/>
      <c r="B111" s="246"/>
      <c r="C111" s="246"/>
      <c r="D111" s="241"/>
      <c r="E111" s="284"/>
      <c r="F111" s="275"/>
      <c r="G111" s="25"/>
      <c r="H111" s="98"/>
      <c r="I111" s="200" t="s">
        <v>739</v>
      </c>
      <c r="J111" s="154" t="s">
        <v>477</v>
      </c>
      <c r="K111" s="192">
        <v>24</v>
      </c>
      <c r="L111" s="126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141"/>
      <c r="Y111" s="190">
        <f t="shared" si="17"/>
        <v>0</v>
      </c>
      <c r="Z111" s="152">
        <f t="shared" si="18"/>
        <v>0</v>
      </c>
      <c r="AA111" s="263">
        <f t="shared" si="14"/>
        <v>0</v>
      </c>
      <c r="AB111" s="73"/>
    </row>
    <row r="112" spans="1:30">
      <c r="A112" s="11"/>
      <c r="B112" s="246"/>
      <c r="C112" s="246"/>
      <c r="D112" s="241"/>
      <c r="E112" s="284"/>
      <c r="F112" s="275"/>
      <c r="G112" s="25"/>
      <c r="H112" s="98"/>
      <c r="I112" s="200" t="s">
        <v>740</v>
      </c>
      <c r="J112" s="154" t="s">
        <v>477</v>
      </c>
      <c r="K112" s="192">
        <v>20</v>
      </c>
      <c r="L112" s="126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141"/>
      <c r="Y112" s="190">
        <f t="shared" si="17"/>
        <v>0</v>
      </c>
      <c r="Z112" s="152">
        <f t="shared" si="18"/>
        <v>0</v>
      </c>
      <c r="AA112" s="263">
        <f t="shared" si="14"/>
        <v>0</v>
      </c>
      <c r="AB112" s="73"/>
    </row>
    <row r="113" spans="1:28">
      <c r="A113" s="11"/>
      <c r="B113" s="246"/>
      <c r="C113" s="246"/>
      <c r="D113" s="241"/>
      <c r="E113" s="284"/>
      <c r="F113" s="275"/>
      <c r="G113" s="25"/>
      <c r="H113" s="98"/>
      <c r="I113" s="200" t="s">
        <v>741</v>
      </c>
      <c r="J113" s="154" t="s">
        <v>477</v>
      </c>
      <c r="K113" s="192">
        <v>19</v>
      </c>
      <c r="L113" s="126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141"/>
      <c r="Y113" s="190">
        <f t="shared" si="17"/>
        <v>0</v>
      </c>
      <c r="Z113" s="152">
        <f t="shared" si="18"/>
        <v>0</v>
      </c>
      <c r="AA113" s="263">
        <f t="shared" si="14"/>
        <v>0</v>
      </c>
      <c r="AB113" s="73"/>
    </row>
    <row r="114" spans="1:28">
      <c r="A114" s="11"/>
      <c r="B114" s="246"/>
      <c r="C114" s="246"/>
      <c r="D114" s="241"/>
      <c r="E114" s="284"/>
      <c r="F114" s="275"/>
      <c r="G114" s="25"/>
      <c r="H114" s="98"/>
      <c r="I114" s="200" t="s">
        <v>742</v>
      </c>
      <c r="J114" s="154" t="s">
        <v>477</v>
      </c>
      <c r="K114" s="192">
        <v>1</v>
      </c>
      <c r="L114" s="126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141"/>
      <c r="Y114" s="190">
        <f t="shared" si="17"/>
        <v>0</v>
      </c>
      <c r="Z114" s="152">
        <f t="shared" si="18"/>
        <v>0</v>
      </c>
      <c r="AA114" s="263">
        <f t="shared" si="14"/>
        <v>0</v>
      </c>
      <c r="AB114" s="73"/>
    </row>
    <row r="115" spans="1:28">
      <c r="A115" s="11"/>
      <c r="B115" s="246"/>
      <c r="C115" s="246"/>
      <c r="D115" s="241"/>
      <c r="E115" s="284"/>
      <c r="F115" s="275" t="s">
        <v>730</v>
      </c>
      <c r="G115" s="25" t="s">
        <v>398</v>
      </c>
      <c r="H115" s="98">
        <v>3</v>
      </c>
      <c r="I115" s="200"/>
      <c r="J115" s="154"/>
      <c r="K115" s="192"/>
      <c r="L115" s="126"/>
      <c r="M115" s="71">
        <v>2</v>
      </c>
      <c r="N115" s="71"/>
      <c r="O115" s="71"/>
      <c r="P115" s="71"/>
      <c r="Q115" s="71"/>
      <c r="R115" s="71"/>
      <c r="S115" s="71"/>
      <c r="T115" s="71"/>
      <c r="U115" s="71">
        <v>1</v>
      </c>
      <c r="V115" s="71"/>
      <c r="W115" s="71"/>
      <c r="X115" s="127"/>
      <c r="Y115" s="190">
        <f>SUM(L115:X115)</f>
        <v>3</v>
      </c>
      <c r="Z115" s="154">
        <f t="shared" si="16"/>
        <v>0</v>
      </c>
      <c r="AA115" s="263">
        <f t="shared" si="14"/>
        <v>-3</v>
      </c>
      <c r="AB115" s="48"/>
    </row>
    <row r="116" spans="1:28" ht="30">
      <c r="A116" s="11"/>
      <c r="B116" s="246"/>
      <c r="C116" s="246"/>
      <c r="D116" s="241"/>
      <c r="E116" s="284"/>
      <c r="F116" s="275" t="s">
        <v>397</v>
      </c>
      <c r="G116" s="25" t="s">
        <v>291</v>
      </c>
      <c r="H116" s="98">
        <v>160</v>
      </c>
      <c r="I116" s="200" t="s">
        <v>699</v>
      </c>
      <c r="J116" s="154" t="s">
        <v>674</v>
      </c>
      <c r="K116" s="192">
        <v>160</v>
      </c>
      <c r="L116" s="126"/>
      <c r="M116" s="71">
        <f>17*2</f>
        <v>34</v>
      </c>
      <c r="N116" s="71"/>
      <c r="O116" s="71"/>
      <c r="P116" s="71"/>
      <c r="Q116" s="71"/>
      <c r="R116" s="71"/>
      <c r="S116" s="71"/>
      <c r="T116" s="71"/>
      <c r="U116" s="71">
        <v>60</v>
      </c>
      <c r="V116" s="71"/>
      <c r="W116" s="71"/>
      <c r="X116" s="127"/>
      <c r="Y116" s="190">
        <f>SUM(K116:X116)</f>
        <v>254</v>
      </c>
      <c r="Z116" s="154">
        <f t="shared" si="16"/>
        <v>-94</v>
      </c>
      <c r="AA116" s="263">
        <f t="shared" si="14"/>
        <v>-254</v>
      </c>
      <c r="AB116" s="48"/>
    </row>
    <row r="117" spans="1:28" ht="45">
      <c r="A117" s="11"/>
      <c r="B117" s="246"/>
      <c r="C117" s="246"/>
      <c r="D117" s="241"/>
      <c r="E117" s="284"/>
      <c r="F117" s="275" t="s">
        <v>731</v>
      </c>
      <c r="G117" s="25" t="s">
        <v>293</v>
      </c>
      <c r="H117" s="98">
        <f>119.5+166.2</f>
        <v>285.7</v>
      </c>
      <c r="I117" s="200" t="s">
        <v>717</v>
      </c>
      <c r="J117" s="154" t="s">
        <v>293</v>
      </c>
      <c r="K117" s="192">
        <f>H117</f>
        <v>285.7</v>
      </c>
      <c r="L117" s="126"/>
      <c r="M117" s="71">
        <f>2.78*3+3.71*2+0.56+0.75</f>
        <v>17.07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127"/>
      <c r="Y117" s="190">
        <f t="shared" si="0"/>
        <v>17.07</v>
      </c>
      <c r="Z117" s="154">
        <f>K117-Y117</f>
        <v>268.63</v>
      </c>
      <c r="AA117" s="263">
        <f t="shared" si="14"/>
        <v>-17.07</v>
      </c>
      <c r="AB117" s="48"/>
    </row>
    <row r="118" spans="1:28" ht="30">
      <c r="A118" s="11"/>
      <c r="B118" s="246"/>
      <c r="C118" s="246"/>
      <c r="D118" s="241"/>
      <c r="E118" s="284"/>
      <c r="F118" s="275" t="s">
        <v>712</v>
      </c>
      <c r="G118" s="25" t="s">
        <v>291</v>
      </c>
      <c r="H118" s="98">
        <v>166.2</v>
      </c>
      <c r="I118" s="200" t="s">
        <v>744</v>
      </c>
      <c r="J118" s="154" t="s">
        <v>291</v>
      </c>
      <c r="K118" s="192">
        <v>166.2</v>
      </c>
      <c r="L118" s="210"/>
      <c r="M118" s="211"/>
      <c r="N118" s="71"/>
      <c r="O118" s="211">
        <v>232</v>
      </c>
      <c r="P118" s="211"/>
      <c r="Q118" s="211"/>
      <c r="R118" s="211"/>
      <c r="S118" s="211"/>
      <c r="T118" s="211"/>
      <c r="U118" s="211"/>
      <c r="V118" s="211"/>
      <c r="W118" s="211"/>
      <c r="X118" s="212"/>
      <c r="Y118" s="190">
        <f t="shared" si="0"/>
        <v>232</v>
      </c>
      <c r="Z118" s="154">
        <f t="shared" si="16"/>
        <v>-65.800000000000011</v>
      </c>
      <c r="AA118" s="263">
        <f t="shared" si="14"/>
        <v>-232</v>
      </c>
      <c r="AB118" s="48"/>
    </row>
    <row r="119" spans="1:28">
      <c r="A119" s="11"/>
      <c r="B119" s="246"/>
      <c r="C119" s="246"/>
      <c r="D119" s="241"/>
      <c r="E119" s="284"/>
      <c r="F119" s="275" t="s">
        <v>1067</v>
      </c>
      <c r="G119" s="25" t="s">
        <v>477</v>
      </c>
      <c r="H119" s="98">
        <v>2</v>
      </c>
      <c r="I119" s="200"/>
      <c r="J119" s="154"/>
      <c r="K119" s="192"/>
      <c r="L119" s="210"/>
      <c r="M119" s="211"/>
      <c r="N119" s="7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2"/>
      <c r="Y119" s="190">
        <f t="shared" ref="Y119" si="22">SUM(L119:X119)</f>
        <v>0</v>
      </c>
      <c r="Z119" s="154">
        <f t="shared" ref="Z119" si="23">H119-Y119</f>
        <v>2</v>
      </c>
      <c r="AA119" s="263">
        <f t="shared" ref="AA119" si="24">E119-Y119</f>
        <v>0</v>
      </c>
      <c r="AB119" s="48"/>
    </row>
    <row r="120" spans="1:28">
      <c r="A120" s="11"/>
      <c r="B120" s="246"/>
      <c r="C120" s="246"/>
      <c r="D120" s="241"/>
      <c r="E120" s="284"/>
      <c r="F120" s="275"/>
      <c r="G120" s="25"/>
      <c r="H120" s="98"/>
      <c r="I120" s="200"/>
      <c r="J120" s="154"/>
      <c r="K120" s="192"/>
      <c r="L120" s="210"/>
      <c r="M120" s="211"/>
      <c r="N120" s="7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2"/>
      <c r="Y120" s="190"/>
      <c r="Z120" s="154"/>
      <c r="AA120" s="263"/>
      <c r="AB120" s="48"/>
    </row>
    <row r="121" spans="1:28" s="65" customFormat="1" ht="15.75">
      <c r="A121" s="63"/>
      <c r="B121" s="289"/>
      <c r="C121" s="290" t="s">
        <v>425</v>
      </c>
      <c r="D121" s="291"/>
      <c r="E121" s="292"/>
      <c r="F121" s="271" t="s">
        <v>425</v>
      </c>
      <c r="G121" s="64"/>
      <c r="H121" s="131"/>
      <c r="I121" s="153"/>
      <c r="J121" s="153"/>
      <c r="K121" s="191"/>
      <c r="L121" s="138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139"/>
      <c r="Y121" s="360">
        <f t="shared" si="0"/>
        <v>0</v>
      </c>
      <c r="Z121" s="153"/>
      <c r="AA121" s="153"/>
      <c r="AB121" s="258"/>
    </row>
    <row r="122" spans="1:28">
      <c r="A122" s="11"/>
      <c r="B122" s="246" t="s">
        <v>325</v>
      </c>
      <c r="C122" s="246" t="s">
        <v>326</v>
      </c>
      <c r="D122" s="241" t="s">
        <v>291</v>
      </c>
      <c r="E122" s="284">
        <v>120</v>
      </c>
      <c r="F122" s="274" t="s">
        <v>326</v>
      </c>
      <c r="G122" s="5" t="s">
        <v>291</v>
      </c>
      <c r="H122" s="99">
        <v>120</v>
      </c>
      <c r="I122" s="152"/>
      <c r="J122" s="152"/>
      <c r="K122" s="190"/>
      <c r="L122" s="114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115"/>
      <c r="Y122" s="190">
        <f t="shared" si="0"/>
        <v>0</v>
      </c>
      <c r="Z122" s="152">
        <f t="shared" ref="Z122:Z137" si="25">H122-Y122</f>
        <v>120</v>
      </c>
      <c r="AA122" s="263">
        <f t="shared" si="14"/>
        <v>120</v>
      </c>
      <c r="AB122" s="48"/>
    </row>
    <row r="123" spans="1:28">
      <c r="A123" s="66"/>
      <c r="B123" s="294" t="s">
        <v>327</v>
      </c>
      <c r="C123" s="294" t="s">
        <v>328</v>
      </c>
      <c r="D123" s="295" t="s">
        <v>294</v>
      </c>
      <c r="E123" s="296">
        <v>600</v>
      </c>
      <c r="F123" s="276" t="s">
        <v>328</v>
      </c>
      <c r="G123" s="67" t="s">
        <v>294</v>
      </c>
      <c r="H123" s="132">
        <v>600</v>
      </c>
      <c r="I123" s="156"/>
      <c r="J123" s="152"/>
      <c r="K123" s="190"/>
      <c r="L123" s="114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140"/>
      <c r="Y123" s="190">
        <f t="shared" si="0"/>
        <v>0</v>
      </c>
      <c r="Z123" s="364">
        <f t="shared" si="25"/>
        <v>600</v>
      </c>
      <c r="AA123" s="263">
        <f t="shared" si="14"/>
        <v>600</v>
      </c>
      <c r="AB123" s="260"/>
    </row>
    <row r="124" spans="1:28" ht="30">
      <c r="A124" s="11"/>
      <c r="B124" s="246" t="s">
        <v>329</v>
      </c>
      <c r="C124" s="246" t="s">
        <v>330</v>
      </c>
      <c r="D124" s="241" t="s">
        <v>291</v>
      </c>
      <c r="E124" s="284">
        <v>100</v>
      </c>
      <c r="F124" s="274" t="s">
        <v>330</v>
      </c>
      <c r="G124" s="5" t="s">
        <v>291</v>
      </c>
      <c r="H124" s="99">
        <v>100</v>
      </c>
      <c r="I124" s="156"/>
      <c r="J124" s="152"/>
      <c r="K124" s="190"/>
      <c r="L124" s="144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140"/>
      <c r="Y124" s="190">
        <f t="shared" si="0"/>
        <v>0</v>
      </c>
      <c r="Z124" s="152">
        <f t="shared" si="25"/>
        <v>100</v>
      </c>
      <c r="AA124" s="263">
        <f t="shared" si="14"/>
        <v>100</v>
      </c>
      <c r="AB124" s="48"/>
    </row>
    <row r="125" spans="1:28" ht="30">
      <c r="A125" s="11"/>
      <c r="B125" s="246" t="s">
        <v>331</v>
      </c>
      <c r="C125" s="246" t="s">
        <v>332</v>
      </c>
      <c r="D125" s="241" t="s">
        <v>291</v>
      </c>
      <c r="E125" s="284">
        <v>50</v>
      </c>
      <c r="F125" s="274" t="s">
        <v>332</v>
      </c>
      <c r="G125" s="5" t="s">
        <v>291</v>
      </c>
      <c r="H125" s="99">
        <v>50</v>
      </c>
      <c r="I125" s="152"/>
      <c r="J125" s="152"/>
      <c r="K125" s="190"/>
      <c r="L125" s="114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140"/>
      <c r="Y125" s="190">
        <f t="shared" si="0"/>
        <v>0</v>
      </c>
      <c r="Z125" s="152">
        <f t="shared" si="25"/>
        <v>50</v>
      </c>
      <c r="AA125" s="263">
        <f t="shared" si="14"/>
        <v>50</v>
      </c>
      <c r="AB125" s="48"/>
    </row>
    <row r="126" spans="1:28" ht="30">
      <c r="A126" s="11"/>
      <c r="B126" s="246" t="s">
        <v>360</v>
      </c>
      <c r="C126" s="246" t="s">
        <v>361</v>
      </c>
      <c r="D126" s="241" t="s">
        <v>293</v>
      </c>
      <c r="E126" s="284">
        <v>300</v>
      </c>
      <c r="F126" s="274" t="s">
        <v>361</v>
      </c>
      <c r="G126" s="5" t="s">
        <v>293</v>
      </c>
      <c r="H126" s="99">
        <v>300</v>
      </c>
      <c r="I126" s="152"/>
      <c r="J126" s="152"/>
      <c r="K126" s="190"/>
      <c r="L126" s="114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140"/>
      <c r="Y126" s="190">
        <f t="shared" si="0"/>
        <v>0</v>
      </c>
      <c r="Z126" s="152">
        <f t="shared" si="25"/>
        <v>300</v>
      </c>
      <c r="AA126" s="263">
        <f t="shared" si="14"/>
        <v>300</v>
      </c>
      <c r="AB126" s="48"/>
    </row>
    <row r="127" spans="1:28" ht="30">
      <c r="A127" s="11"/>
      <c r="B127" s="246" t="s">
        <v>362</v>
      </c>
      <c r="C127" s="246" t="s">
        <v>363</v>
      </c>
      <c r="D127" s="241" t="s">
        <v>294</v>
      </c>
      <c r="E127" s="284">
        <v>1</v>
      </c>
      <c r="F127" s="274" t="s">
        <v>363</v>
      </c>
      <c r="G127" s="5" t="s">
        <v>294</v>
      </c>
      <c r="H127" s="99">
        <v>1</v>
      </c>
      <c r="I127" s="154"/>
      <c r="J127" s="152"/>
      <c r="K127" s="190"/>
      <c r="L127" s="114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140"/>
      <c r="Y127" s="190">
        <f t="shared" si="0"/>
        <v>0</v>
      </c>
      <c r="Z127" s="152">
        <f t="shared" si="25"/>
        <v>1</v>
      </c>
      <c r="AA127" s="263">
        <f t="shared" si="14"/>
        <v>1</v>
      </c>
      <c r="AB127" s="48"/>
    </row>
    <row r="128" spans="1:28">
      <c r="A128" s="11"/>
      <c r="B128" s="246" t="s">
        <v>364</v>
      </c>
      <c r="C128" s="246" t="s">
        <v>365</v>
      </c>
      <c r="D128" s="241" t="s">
        <v>294</v>
      </c>
      <c r="E128" s="284">
        <v>3</v>
      </c>
      <c r="F128" s="274" t="s">
        <v>365</v>
      </c>
      <c r="G128" s="5" t="s">
        <v>294</v>
      </c>
      <c r="H128" s="99">
        <v>3</v>
      </c>
      <c r="I128" s="152"/>
      <c r="J128" s="152"/>
      <c r="K128" s="190"/>
      <c r="L128" s="114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140"/>
      <c r="Y128" s="190">
        <f t="shared" si="0"/>
        <v>0</v>
      </c>
      <c r="Z128" s="152">
        <f t="shared" si="25"/>
        <v>3</v>
      </c>
      <c r="AA128" s="263">
        <f t="shared" si="14"/>
        <v>3</v>
      </c>
      <c r="AB128" s="48"/>
    </row>
    <row r="129" spans="1:28">
      <c r="A129" s="11"/>
      <c r="B129" s="246" t="s">
        <v>366</v>
      </c>
      <c r="C129" s="246" t="s">
        <v>367</v>
      </c>
      <c r="D129" s="241" t="s">
        <v>294</v>
      </c>
      <c r="E129" s="284">
        <v>20</v>
      </c>
      <c r="F129" s="274" t="s">
        <v>367</v>
      </c>
      <c r="G129" s="5" t="s">
        <v>294</v>
      </c>
      <c r="H129" s="99">
        <v>20</v>
      </c>
      <c r="I129" s="152"/>
      <c r="J129" s="152"/>
      <c r="K129" s="190"/>
      <c r="L129" s="114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140"/>
      <c r="Y129" s="190">
        <f t="shared" si="0"/>
        <v>0</v>
      </c>
      <c r="Z129" s="152">
        <f t="shared" si="25"/>
        <v>20</v>
      </c>
      <c r="AA129" s="263">
        <f t="shared" si="14"/>
        <v>20</v>
      </c>
      <c r="AB129" s="48"/>
    </row>
    <row r="130" spans="1:28">
      <c r="A130" s="11"/>
      <c r="B130" s="246" t="s">
        <v>368</v>
      </c>
      <c r="C130" s="246" t="s">
        <v>369</v>
      </c>
      <c r="D130" s="241" t="s">
        <v>294</v>
      </c>
      <c r="E130" s="284">
        <v>9</v>
      </c>
      <c r="F130" s="274" t="s">
        <v>369</v>
      </c>
      <c r="G130" s="5" t="s">
        <v>294</v>
      </c>
      <c r="H130" s="99">
        <v>9</v>
      </c>
      <c r="I130" s="152"/>
      <c r="J130" s="152"/>
      <c r="K130" s="190"/>
      <c r="L130" s="114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140"/>
      <c r="Y130" s="190">
        <f t="shared" si="0"/>
        <v>0</v>
      </c>
      <c r="Z130" s="152">
        <f t="shared" si="25"/>
        <v>9</v>
      </c>
      <c r="AA130" s="263">
        <f t="shared" si="14"/>
        <v>9</v>
      </c>
      <c r="AB130" s="48"/>
    </row>
    <row r="131" spans="1:28">
      <c r="A131" s="11"/>
      <c r="B131" s="246" t="s">
        <v>370</v>
      </c>
      <c r="C131" s="246" t="s">
        <v>371</v>
      </c>
      <c r="D131" s="241" t="s">
        <v>294</v>
      </c>
      <c r="E131" s="284">
        <v>8</v>
      </c>
      <c r="F131" s="274" t="s">
        <v>371</v>
      </c>
      <c r="G131" s="5" t="s">
        <v>294</v>
      </c>
      <c r="H131" s="99">
        <v>8</v>
      </c>
      <c r="I131" s="152"/>
      <c r="J131" s="152"/>
      <c r="K131" s="190"/>
      <c r="L131" s="114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140"/>
      <c r="Y131" s="190">
        <f t="shared" si="0"/>
        <v>0</v>
      </c>
      <c r="Z131" s="152">
        <f t="shared" si="25"/>
        <v>8</v>
      </c>
      <c r="AA131" s="263">
        <f t="shared" si="14"/>
        <v>8</v>
      </c>
      <c r="AB131" s="48"/>
    </row>
    <row r="132" spans="1:28" ht="30">
      <c r="A132" s="11"/>
      <c r="B132" s="246" t="s">
        <v>372</v>
      </c>
      <c r="C132" s="246" t="s">
        <v>373</v>
      </c>
      <c r="D132" s="241" t="s">
        <v>293</v>
      </c>
      <c r="E132" s="284">
        <v>50</v>
      </c>
      <c r="F132" s="274" t="s">
        <v>373</v>
      </c>
      <c r="G132" s="5" t="s">
        <v>293</v>
      </c>
      <c r="H132" s="99">
        <v>50</v>
      </c>
      <c r="I132" s="152"/>
      <c r="J132" s="152"/>
      <c r="K132" s="190"/>
      <c r="L132" s="114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140"/>
      <c r="Y132" s="190">
        <f t="shared" si="0"/>
        <v>0</v>
      </c>
      <c r="Z132" s="152">
        <f t="shared" si="25"/>
        <v>50</v>
      </c>
      <c r="AA132" s="263">
        <f t="shared" ref="AA132:AA142" si="26">E132-Y132</f>
        <v>50</v>
      </c>
      <c r="AB132" s="48"/>
    </row>
    <row r="133" spans="1:28">
      <c r="A133" s="11"/>
      <c r="B133" s="246" t="s">
        <v>384</v>
      </c>
      <c r="C133" s="246" t="s">
        <v>995</v>
      </c>
      <c r="D133" s="241" t="s">
        <v>291</v>
      </c>
      <c r="E133" s="284">
        <v>160</v>
      </c>
      <c r="F133" s="270" t="s">
        <v>457</v>
      </c>
      <c r="G133" s="5" t="s">
        <v>291</v>
      </c>
      <c r="H133" s="99">
        <v>160</v>
      </c>
      <c r="I133" s="152"/>
      <c r="J133" s="152"/>
      <c r="K133" s="190"/>
      <c r="L133" s="114"/>
      <c r="M133" s="30"/>
      <c r="N133" s="30"/>
      <c r="O133" s="30"/>
      <c r="P133" s="30"/>
      <c r="Q133" s="30"/>
      <c r="R133" s="30">
        <v>3</v>
      </c>
      <c r="S133" s="30">
        <v>128</v>
      </c>
      <c r="T133" s="30"/>
      <c r="U133" s="30"/>
      <c r="V133" s="30"/>
      <c r="W133" s="30"/>
      <c r="X133" s="115"/>
      <c r="Y133" s="190">
        <f t="shared" si="0"/>
        <v>131</v>
      </c>
      <c r="Z133" s="152">
        <f t="shared" si="25"/>
        <v>29</v>
      </c>
      <c r="AA133" s="263">
        <f t="shared" si="26"/>
        <v>29</v>
      </c>
      <c r="AB133" s="48"/>
    </row>
    <row r="134" spans="1:28">
      <c r="A134" s="11"/>
      <c r="B134" s="246"/>
      <c r="C134" s="246"/>
      <c r="D134" s="241"/>
      <c r="E134" s="284"/>
      <c r="F134" s="270" t="s">
        <v>405</v>
      </c>
      <c r="G134" s="5" t="s">
        <v>289</v>
      </c>
      <c r="H134" s="341">
        <v>76.5</v>
      </c>
      <c r="I134" s="152"/>
      <c r="J134" s="152"/>
      <c r="K134" s="190"/>
      <c r="L134" s="142"/>
      <c r="M134" s="47"/>
      <c r="N134" s="30">
        <v>76.5</v>
      </c>
      <c r="O134" s="47"/>
      <c r="P134" s="47"/>
      <c r="Q134" s="47"/>
      <c r="R134" s="47"/>
      <c r="S134" s="47"/>
      <c r="T134" s="47"/>
      <c r="U134" s="47"/>
      <c r="V134" s="47"/>
      <c r="W134" s="47"/>
      <c r="X134" s="143"/>
      <c r="Y134" s="190">
        <f t="shared" si="0"/>
        <v>76.5</v>
      </c>
      <c r="Z134" s="152">
        <f t="shared" si="25"/>
        <v>0</v>
      </c>
      <c r="AA134" s="263">
        <f t="shared" si="26"/>
        <v>-76.5</v>
      </c>
      <c r="AB134" s="48"/>
    </row>
    <row r="135" spans="1:28" s="231" customFormat="1" ht="30">
      <c r="A135" s="149"/>
      <c r="B135" s="246"/>
      <c r="C135" s="246"/>
      <c r="D135" s="241"/>
      <c r="E135" s="284"/>
      <c r="F135" s="272" t="s">
        <v>406</v>
      </c>
      <c r="G135" s="25" t="s">
        <v>294</v>
      </c>
      <c r="H135" s="98">
        <v>0</v>
      </c>
      <c r="I135" s="154"/>
      <c r="J135" s="154"/>
      <c r="K135" s="192"/>
      <c r="L135" s="210"/>
      <c r="M135" s="211"/>
      <c r="N135" s="71">
        <v>22</v>
      </c>
      <c r="O135" s="211"/>
      <c r="P135" s="71">
        <v>32</v>
      </c>
      <c r="Q135" s="211"/>
      <c r="R135" s="211"/>
      <c r="S135" s="211"/>
      <c r="T135" s="211"/>
      <c r="U135" s="211"/>
      <c r="V135" s="211"/>
      <c r="W135" s="211"/>
      <c r="X135" s="212"/>
      <c r="Y135" s="190">
        <f t="shared" si="0"/>
        <v>54</v>
      </c>
      <c r="Z135" s="154">
        <f t="shared" si="25"/>
        <v>-54</v>
      </c>
      <c r="AA135" s="263">
        <f t="shared" si="26"/>
        <v>-54</v>
      </c>
      <c r="AB135" s="73"/>
    </row>
    <row r="136" spans="1:28" s="231" customFormat="1">
      <c r="A136" s="232"/>
      <c r="B136" s="252"/>
      <c r="C136" s="252"/>
      <c r="D136" s="247"/>
      <c r="E136" s="284"/>
      <c r="F136" s="277" t="s">
        <v>428</v>
      </c>
      <c r="G136" s="223" t="s">
        <v>289</v>
      </c>
      <c r="H136" s="98">
        <v>0</v>
      </c>
      <c r="I136" s="218"/>
      <c r="J136" s="218"/>
      <c r="K136" s="221"/>
      <c r="L136" s="233"/>
      <c r="M136" s="72"/>
      <c r="N136" s="72"/>
      <c r="O136" s="72"/>
      <c r="P136" s="72">
        <v>5</v>
      </c>
      <c r="Q136" s="72"/>
      <c r="R136" s="72"/>
      <c r="S136" s="72"/>
      <c r="T136" s="72"/>
      <c r="U136" s="72">
        <v>2</v>
      </c>
      <c r="V136" s="72"/>
      <c r="W136" s="72"/>
      <c r="X136" s="141"/>
      <c r="Y136" s="190">
        <f t="shared" si="0"/>
        <v>7</v>
      </c>
      <c r="Z136" s="154">
        <f t="shared" si="25"/>
        <v>-7</v>
      </c>
      <c r="AA136" s="263">
        <f t="shared" si="26"/>
        <v>-7</v>
      </c>
      <c r="AB136" s="234"/>
    </row>
    <row r="137" spans="1:28" s="231" customFormat="1" ht="30">
      <c r="A137" s="232"/>
      <c r="B137" s="252"/>
      <c r="C137" s="252"/>
      <c r="D137" s="247"/>
      <c r="E137" s="285"/>
      <c r="F137" s="277" t="s">
        <v>420</v>
      </c>
      <c r="G137" s="223" t="s">
        <v>289</v>
      </c>
      <c r="H137" s="235">
        <v>0</v>
      </c>
      <c r="I137" s="218"/>
      <c r="J137" s="218"/>
      <c r="K137" s="221"/>
      <c r="L137" s="233"/>
      <c r="M137" s="72"/>
      <c r="N137" s="72"/>
      <c r="O137" s="72">
        <v>25</v>
      </c>
      <c r="P137" s="72"/>
      <c r="Q137" s="72"/>
      <c r="R137" s="72">
        <v>22.5</v>
      </c>
      <c r="S137" s="72"/>
      <c r="T137" s="72"/>
      <c r="U137" s="72">
        <v>5</v>
      </c>
      <c r="V137" s="72"/>
      <c r="W137" s="72"/>
      <c r="X137" s="141"/>
      <c r="Y137" s="190">
        <f t="shared" si="0"/>
        <v>52.5</v>
      </c>
      <c r="Z137" s="154">
        <f t="shared" si="25"/>
        <v>-52.5</v>
      </c>
      <c r="AA137" s="263">
        <f t="shared" si="26"/>
        <v>-52.5</v>
      </c>
      <c r="AB137" s="234"/>
    </row>
    <row r="138" spans="1:28" s="231" customFormat="1">
      <c r="A138" s="232"/>
      <c r="B138" s="252"/>
      <c r="C138" s="252"/>
      <c r="D138" s="247"/>
      <c r="E138" s="285"/>
      <c r="F138" s="277" t="s">
        <v>980</v>
      </c>
      <c r="G138" s="223" t="s">
        <v>293</v>
      </c>
      <c r="H138" s="235">
        <v>0</v>
      </c>
      <c r="I138" s="218"/>
      <c r="J138" s="218"/>
      <c r="K138" s="221"/>
      <c r="L138" s="233"/>
      <c r="M138" s="72"/>
      <c r="N138" s="72"/>
      <c r="O138" s="72"/>
      <c r="P138" s="72"/>
      <c r="Q138" s="72"/>
      <c r="R138" s="72">
        <f>R133*0.5</f>
        <v>1.5</v>
      </c>
      <c r="S138" s="72">
        <f>S133*0.5</f>
        <v>64</v>
      </c>
      <c r="T138" s="72"/>
      <c r="U138" s="72"/>
      <c r="V138" s="72"/>
      <c r="W138" s="72"/>
      <c r="X138" s="141"/>
      <c r="Y138" s="190">
        <f t="shared" si="0"/>
        <v>65.5</v>
      </c>
      <c r="Z138" s="154">
        <f t="shared" ref="Z138" si="27">H138-Y138</f>
        <v>-65.5</v>
      </c>
      <c r="AA138" s="263">
        <f t="shared" si="26"/>
        <v>-65.5</v>
      </c>
      <c r="AB138" s="234"/>
    </row>
    <row r="139" spans="1:28" s="231" customFormat="1" ht="30">
      <c r="A139" s="232"/>
      <c r="B139" s="252"/>
      <c r="C139" s="252"/>
      <c r="D139" s="247"/>
      <c r="E139" s="285"/>
      <c r="F139" s="277" t="s">
        <v>63</v>
      </c>
      <c r="G139" s="223" t="s">
        <v>289</v>
      </c>
      <c r="H139" s="235"/>
      <c r="I139" s="218"/>
      <c r="J139" s="218"/>
      <c r="K139" s="221"/>
      <c r="L139" s="233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141"/>
      <c r="Y139" s="190"/>
      <c r="Z139" s="154"/>
      <c r="AA139" s="263"/>
      <c r="AB139" s="234"/>
    </row>
    <row r="140" spans="1:28" s="231" customFormat="1">
      <c r="A140" s="232"/>
      <c r="B140" s="252"/>
      <c r="C140" s="252"/>
      <c r="D140" s="247"/>
      <c r="E140" s="285"/>
      <c r="F140" s="277" t="s">
        <v>973</v>
      </c>
      <c r="G140" s="223" t="s">
        <v>291</v>
      </c>
      <c r="H140" s="235">
        <v>0</v>
      </c>
      <c r="I140" s="236" t="s">
        <v>976</v>
      </c>
      <c r="J140" s="218"/>
      <c r="K140" s="221"/>
      <c r="L140" s="233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141"/>
      <c r="Y140" s="190">
        <f t="shared" si="0"/>
        <v>0</v>
      </c>
      <c r="Z140" s="154">
        <f t="shared" ref="Z140" si="28">H140-Y140</f>
        <v>0</v>
      </c>
      <c r="AA140" s="263">
        <f t="shared" si="26"/>
        <v>0</v>
      </c>
      <c r="AB140" s="234"/>
    </row>
    <row r="141" spans="1:28" s="231" customFormat="1">
      <c r="A141" s="232"/>
      <c r="B141" s="252"/>
      <c r="C141" s="252"/>
      <c r="D141" s="247"/>
      <c r="E141" s="285"/>
      <c r="F141" s="277" t="s">
        <v>975</v>
      </c>
      <c r="G141" s="223" t="s">
        <v>289</v>
      </c>
      <c r="H141" s="235">
        <v>0</v>
      </c>
      <c r="I141" s="236" t="s">
        <v>1077</v>
      </c>
      <c r="J141" s="218" t="s">
        <v>289</v>
      </c>
      <c r="K141" s="221">
        <v>23</v>
      </c>
      <c r="L141" s="233"/>
      <c r="M141" s="72"/>
      <c r="N141" s="72"/>
      <c r="O141" s="72"/>
      <c r="P141" s="72"/>
      <c r="Q141" s="72"/>
      <c r="R141" s="72"/>
      <c r="S141" s="72"/>
      <c r="T141" s="72">
        <v>23</v>
      </c>
      <c r="U141" s="72"/>
      <c r="V141" s="72"/>
      <c r="W141" s="72"/>
      <c r="X141" s="141"/>
      <c r="Y141" s="190">
        <f t="shared" si="0"/>
        <v>23</v>
      </c>
      <c r="Z141" s="154">
        <f t="shared" ref="Z141:Z142" si="29">H141-Y141</f>
        <v>-23</v>
      </c>
      <c r="AA141" s="263">
        <f t="shared" si="26"/>
        <v>-23</v>
      </c>
      <c r="AB141" s="234"/>
    </row>
    <row r="142" spans="1:28" s="231" customFormat="1" ht="30">
      <c r="A142" s="232"/>
      <c r="B142" s="252"/>
      <c r="C142" s="252"/>
      <c r="D142" s="247"/>
      <c r="E142" s="285"/>
      <c r="F142" s="277" t="s">
        <v>1068</v>
      </c>
      <c r="G142" s="223" t="s">
        <v>477</v>
      </c>
      <c r="H142" s="237">
        <v>48</v>
      </c>
      <c r="I142" s="236" t="s">
        <v>978</v>
      </c>
      <c r="J142" s="218" t="s">
        <v>477</v>
      </c>
      <c r="K142" s="221">
        <v>48</v>
      </c>
      <c r="L142" s="233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141"/>
      <c r="Y142" s="190">
        <f t="shared" si="0"/>
        <v>0</v>
      </c>
      <c r="Z142" s="154">
        <f t="shared" si="29"/>
        <v>48</v>
      </c>
      <c r="AA142" s="263">
        <f t="shared" si="26"/>
        <v>0</v>
      </c>
      <c r="AB142" s="234"/>
    </row>
    <row r="143" spans="1:28" s="243" customFormat="1" ht="30">
      <c r="A143" s="240"/>
      <c r="B143" s="252" t="s">
        <v>41</v>
      </c>
      <c r="C143" s="252" t="s">
        <v>42</v>
      </c>
      <c r="D143" s="247" t="s">
        <v>289</v>
      </c>
      <c r="E143" s="285">
        <v>114</v>
      </c>
      <c r="F143" s="278"/>
      <c r="G143" s="249"/>
      <c r="H143" s="245"/>
      <c r="I143" s="254"/>
      <c r="J143" s="238"/>
      <c r="K143" s="251"/>
      <c r="L143" s="248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39"/>
      <c r="Y143" s="190">
        <f t="shared" ref="Y143:Y144" si="30">SUM(L143:X143)</f>
        <v>0</v>
      </c>
      <c r="Z143" s="154">
        <f t="shared" ref="Z143:Z144" si="31">H143-Y143</f>
        <v>0</v>
      </c>
      <c r="AA143" s="263">
        <f t="shared" ref="AA143:AA144" si="32">E143-Y143</f>
        <v>114</v>
      </c>
      <c r="AB143" s="250"/>
    </row>
    <row r="144" spans="1:28" s="413" customFormat="1">
      <c r="A144" s="401"/>
      <c r="B144" s="402"/>
      <c r="C144" s="402"/>
      <c r="D144" s="403"/>
      <c r="E144" s="404"/>
      <c r="F144" s="277" t="s">
        <v>1116</v>
      </c>
      <c r="G144" s="405" t="s">
        <v>289</v>
      </c>
      <c r="H144" s="406"/>
      <c r="I144" s="407" t="s">
        <v>1117</v>
      </c>
      <c r="J144" s="408" t="s">
        <v>289</v>
      </c>
      <c r="K144" s="409"/>
      <c r="L144" s="410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>
        <v>75</v>
      </c>
      <c r="W144" s="369"/>
      <c r="X144" s="411"/>
      <c r="Y144" s="192">
        <f t="shared" si="30"/>
        <v>75</v>
      </c>
      <c r="Z144" s="154">
        <f t="shared" si="31"/>
        <v>-75</v>
      </c>
      <c r="AA144" s="263">
        <f t="shared" si="32"/>
        <v>-75</v>
      </c>
      <c r="AB144" s="412"/>
    </row>
    <row r="145" spans="1:28" s="413" customFormat="1">
      <c r="A145" s="401"/>
      <c r="B145" s="402"/>
      <c r="C145" s="402"/>
      <c r="D145" s="403"/>
      <c r="E145" s="404"/>
      <c r="F145" s="277"/>
      <c r="G145" s="405"/>
      <c r="H145" s="237"/>
      <c r="I145" s="407" t="s">
        <v>475</v>
      </c>
      <c r="J145" s="408" t="s">
        <v>293</v>
      </c>
      <c r="K145" s="409"/>
      <c r="L145" s="410"/>
      <c r="M145" s="369"/>
      <c r="N145" s="369"/>
      <c r="O145" s="369"/>
      <c r="P145" s="369"/>
      <c r="Q145" s="369"/>
      <c r="R145" s="369"/>
      <c r="S145" s="369"/>
      <c r="T145" s="369"/>
      <c r="U145" s="369"/>
      <c r="V145" s="369">
        <v>483.59</v>
      </c>
      <c r="W145" s="369"/>
      <c r="X145" s="411"/>
      <c r="Y145" s="192">
        <f t="shared" ref="Y145" si="33">SUM(L145:X145)</f>
        <v>483.59</v>
      </c>
      <c r="Z145" s="154">
        <f t="shared" ref="Z145" si="34">H145-Y145</f>
        <v>-483.59</v>
      </c>
      <c r="AA145" s="263">
        <f t="shared" ref="AA145" si="35">E145-Y145</f>
        <v>-483.59</v>
      </c>
      <c r="AB145" s="412"/>
    </row>
    <row r="146" spans="1:28" s="65" customFormat="1" ht="15.75">
      <c r="A146" s="68"/>
      <c r="B146" s="297"/>
      <c r="C146" s="298" t="s">
        <v>421</v>
      </c>
      <c r="D146" s="297"/>
      <c r="E146" s="299"/>
      <c r="F146" s="279" t="s">
        <v>421</v>
      </c>
      <c r="G146" s="69"/>
      <c r="H146" s="134"/>
      <c r="I146" s="157"/>
      <c r="J146" s="157"/>
      <c r="K146" s="194"/>
      <c r="L146" s="68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70"/>
      <c r="Y146" s="360">
        <f t="shared" si="0"/>
        <v>0</v>
      </c>
      <c r="Z146" s="157"/>
      <c r="AA146" s="157"/>
      <c r="AB146" s="261"/>
    </row>
    <row r="147" spans="1:28">
      <c r="A147" s="11"/>
      <c r="B147" s="246" t="s">
        <v>259</v>
      </c>
      <c r="C147" s="246" t="s">
        <v>260</v>
      </c>
      <c r="D147" s="241" t="s">
        <v>291</v>
      </c>
      <c r="E147" s="284">
        <v>120</v>
      </c>
      <c r="F147" s="274" t="s">
        <v>260</v>
      </c>
      <c r="G147" s="5" t="s">
        <v>291</v>
      </c>
      <c r="H147" s="99">
        <v>120</v>
      </c>
      <c r="I147" s="152"/>
      <c r="J147" s="152"/>
      <c r="K147" s="190"/>
      <c r="L147" s="114"/>
      <c r="M147" s="46"/>
      <c r="N147" s="46"/>
      <c r="O147" s="46"/>
      <c r="P147" s="46"/>
      <c r="Q147" s="46"/>
      <c r="R147" s="46"/>
      <c r="S147" s="46"/>
      <c r="T147" s="46">
        <v>30</v>
      </c>
      <c r="U147" s="46"/>
      <c r="V147" s="46">
        <v>60</v>
      </c>
      <c r="W147" s="46"/>
      <c r="X147" s="140"/>
      <c r="Y147" s="190">
        <f t="shared" si="0"/>
        <v>90</v>
      </c>
      <c r="Z147" s="152">
        <f>H147-Y147</f>
        <v>30</v>
      </c>
      <c r="AA147" s="263">
        <f t="shared" ref="AA147:AA154" si="36">E147-Y147</f>
        <v>30</v>
      </c>
      <c r="AB147" s="48"/>
    </row>
    <row r="148" spans="1:28" ht="30">
      <c r="A148" s="11"/>
      <c r="B148" s="246" t="s">
        <v>8</v>
      </c>
      <c r="C148" s="246" t="s">
        <v>3</v>
      </c>
      <c r="D148" s="241" t="s">
        <v>289</v>
      </c>
      <c r="E148" s="284">
        <v>359</v>
      </c>
      <c r="F148" s="275" t="s">
        <v>754</v>
      </c>
      <c r="G148" s="25" t="s">
        <v>293</v>
      </c>
      <c r="H148" s="98">
        <f>1892.79+189.87</f>
        <v>2082.66</v>
      </c>
      <c r="I148" s="154"/>
      <c r="J148" s="154"/>
      <c r="K148" s="192"/>
      <c r="L148" s="126"/>
      <c r="M148" s="72"/>
      <c r="N148" s="72"/>
      <c r="O148" s="72">
        <v>1000</v>
      </c>
      <c r="P148" s="72">
        <v>892.79</v>
      </c>
      <c r="Q148" s="72">
        <v>189.87</v>
      </c>
      <c r="R148" s="72"/>
      <c r="S148" s="72"/>
      <c r="T148" s="72"/>
      <c r="U148" s="72"/>
      <c r="V148" s="72"/>
      <c r="W148" s="72"/>
      <c r="X148" s="141"/>
      <c r="Y148" s="190">
        <f t="shared" si="0"/>
        <v>2082.66</v>
      </c>
      <c r="Z148" s="154">
        <f t="shared" ref="Z148:Z150" si="37">H148-Y148</f>
        <v>0</v>
      </c>
      <c r="AA148" s="263">
        <f t="shared" si="36"/>
        <v>-1723.6599999999999</v>
      </c>
      <c r="AB148" s="48"/>
    </row>
    <row r="149" spans="1:28" ht="45">
      <c r="A149" s="11"/>
      <c r="B149" s="246" t="s">
        <v>9</v>
      </c>
      <c r="C149" s="246" t="s">
        <v>997</v>
      </c>
      <c r="D149" s="241" t="s">
        <v>290</v>
      </c>
      <c r="E149" s="284">
        <v>330</v>
      </c>
      <c r="F149" s="275" t="s">
        <v>657</v>
      </c>
      <c r="G149" s="25" t="s">
        <v>635</v>
      </c>
      <c r="H149" s="98">
        <f>H148*2.2*2</f>
        <v>9163.7039999999997</v>
      </c>
      <c r="I149" s="200"/>
      <c r="J149" s="154"/>
      <c r="K149" s="192"/>
      <c r="L149" s="114"/>
      <c r="M149" s="46"/>
      <c r="N149" s="46"/>
      <c r="O149" s="98">
        <f t="shared" ref="O149:Q149" si="38">O148*2.2*2</f>
        <v>4400</v>
      </c>
      <c r="P149" s="98">
        <f t="shared" si="38"/>
        <v>3928.2760000000003</v>
      </c>
      <c r="Q149" s="98">
        <f t="shared" si="38"/>
        <v>835.42800000000011</v>
      </c>
      <c r="R149" s="72"/>
      <c r="S149" s="72"/>
      <c r="T149" s="72"/>
      <c r="U149" s="72"/>
      <c r="V149" s="72"/>
      <c r="W149" s="72"/>
      <c r="X149" s="141"/>
      <c r="Y149" s="190">
        <f t="shared" si="0"/>
        <v>9163.7039999999997</v>
      </c>
      <c r="Z149" s="154">
        <f t="shared" si="37"/>
        <v>0</v>
      </c>
      <c r="AA149" s="263">
        <f t="shared" si="36"/>
        <v>-8833.7039999999997</v>
      </c>
      <c r="AB149" s="48"/>
    </row>
    <row r="150" spans="1:28" ht="45">
      <c r="A150" s="11"/>
      <c r="B150" s="246" t="s">
        <v>10</v>
      </c>
      <c r="C150" s="246" t="s">
        <v>5</v>
      </c>
      <c r="D150" s="241" t="s">
        <v>289</v>
      </c>
      <c r="E150" s="284">
        <v>719</v>
      </c>
      <c r="F150" s="275" t="s">
        <v>755</v>
      </c>
      <c r="G150" s="25" t="s">
        <v>293</v>
      </c>
      <c r="H150" s="98">
        <v>869.64</v>
      </c>
      <c r="I150" s="154"/>
      <c r="J150" s="154"/>
      <c r="K150" s="192"/>
      <c r="L150" s="126"/>
      <c r="M150" s="72"/>
      <c r="N150" s="72"/>
      <c r="O150" s="72"/>
      <c r="P150" s="72"/>
      <c r="Q150" s="72">
        <v>869.64</v>
      </c>
      <c r="R150" s="72"/>
      <c r="S150" s="72"/>
      <c r="T150" s="72"/>
      <c r="U150" s="72"/>
      <c r="V150" s="72"/>
      <c r="W150" s="72"/>
      <c r="X150" s="141"/>
      <c r="Y150" s="190">
        <f t="shared" si="0"/>
        <v>869.64</v>
      </c>
      <c r="Z150" s="154">
        <f t="shared" si="37"/>
        <v>0</v>
      </c>
      <c r="AA150" s="263">
        <f t="shared" si="36"/>
        <v>-150.63999999999999</v>
      </c>
      <c r="AB150" s="48"/>
    </row>
    <row r="151" spans="1:28" ht="45">
      <c r="A151" s="11"/>
      <c r="B151" s="246"/>
      <c r="C151" s="246"/>
      <c r="D151" s="241"/>
      <c r="E151" s="284"/>
      <c r="F151" s="275" t="s">
        <v>657</v>
      </c>
      <c r="G151" s="25" t="s">
        <v>635</v>
      </c>
      <c r="H151" s="98">
        <f>H150*2.5*2</f>
        <v>4348.2</v>
      </c>
      <c r="I151" s="200"/>
      <c r="J151" s="154"/>
      <c r="K151" s="192"/>
      <c r="L151" s="114"/>
      <c r="M151" s="46"/>
      <c r="N151" s="46"/>
      <c r="O151" s="46"/>
      <c r="P151" s="46"/>
      <c r="Q151" s="98">
        <f>Q150*2.5*2</f>
        <v>4348.2</v>
      </c>
      <c r="R151" s="46"/>
      <c r="S151" s="46"/>
      <c r="T151" s="46"/>
      <c r="U151" s="46"/>
      <c r="V151" s="46"/>
      <c r="W151" s="46"/>
      <c r="X151" s="140"/>
      <c r="Y151" s="190">
        <f t="shared" si="0"/>
        <v>4348.2</v>
      </c>
      <c r="Z151" s="154">
        <f t="shared" ref="Z151" si="39">H151-Y151</f>
        <v>0</v>
      </c>
      <c r="AA151" s="263">
        <f t="shared" si="36"/>
        <v>-4348.2</v>
      </c>
      <c r="AB151" s="48"/>
    </row>
    <row r="152" spans="1:28" ht="30">
      <c r="A152" s="11"/>
      <c r="B152" s="246" t="s">
        <v>333</v>
      </c>
      <c r="C152" s="246" t="s">
        <v>334</v>
      </c>
      <c r="D152" s="241" t="s">
        <v>289</v>
      </c>
      <c r="E152" s="284">
        <v>150</v>
      </c>
      <c r="F152" s="274" t="s">
        <v>334</v>
      </c>
      <c r="G152" s="5" t="s">
        <v>289</v>
      </c>
      <c r="H152" s="228">
        <v>150</v>
      </c>
      <c r="I152" s="152"/>
      <c r="J152" s="152"/>
      <c r="K152" s="190"/>
      <c r="L152" s="114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140"/>
      <c r="Y152" s="190">
        <f t="shared" si="0"/>
        <v>0</v>
      </c>
      <c r="Z152" s="152">
        <f>H152-Y152</f>
        <v>150</v>
      </c>
      <c r="AA152" s="263">
        <f t="shared" si="36"/>
        <v>150</v>
      </c>
      <c r="AB152" s="48"/>
    </row>
    <row r="153" spans="1:28">
      <c r="A153" s="11"/>
      <c r="B153" s="246" t="s">
        <v>12</v>
      </c>
      <c r="C153" s="246" t="s">
        <v>13</v>
      </c>
      <c r="D153" s="241" t="s">
        <v>291</v>
      </c>
      <c r="E153" s="284">
        <v>40</v>
      </c>
      <c r="F153" s="274" t="s">
        <v>13</v>
      </c>
      <c r="G153" s="5" t="s">
        <v>291</v>
      </c>
      <c r="H153" s="99">
        <v>40</v>
      </c>
      <c r="I153" s="152"/>
      <c r="J153" s="152"/>
      <c r="K153" s="190"/>
      <c r="L153" s="114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140"/>
      <c r="Y153" s="190">
        <f t="shared" si="0"/>
        <v>0</v>
      </c>
      <c r="Z153" s="152">
        <f>H153-Y153</f>
        <v>40</v>
      </c>
      <c r="AA153" s="263">
        <f t="shared" si="36"/>
        <v>40</v>
      </c>
      <c r="AB153" s="48"/>
    </row>
    <row r="154" spans="1:28" ht="30">
      <c r="A154" s="11"/>
      <c r="B154" s="246" t="s">
        <v>266</v>
      </c>
      <c r="C154" s="246" t="s">
        <v>267</v>
      </c>
      <c r="D154" s="241" t="s">
        <v>294</v>
      </c>
      <c r="E154" s="284">
        <v>20</v>
      </c>
      <c r="F154" s="274" t="s">
        <v>267</v>
      </c>
      <c r="G154" s="5" t="s">
        <v>294</v>
      </c>
      <c r="H154" s="99">
        <v>20</v>
      </c>
      <c r="I154" s="152"/>
      <c r="J154" s="152"/>
      <c r="K154" s="190"/>
      <c r="L154" s="114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140"/>
      <c r="Y154" s="190">
        <f t="shared" si="0"/>
        <v>0</v>
      </c>
      <c r="Z154" s="152">
        <f>H154-Y154</f>
        <v>20</v>
      </c>
      <c r="AA154" s="263">
        <f t="shared" si="36"/>
        <v>20</v>
      </c>
      <c r="AB154" s="48"/>
    </row>
    <row r="155" spans="1:28" s="65" customFormat="1" ht="15.75">
      <c r="A155" s="68"/>
      <c r="B155" s="297"/>
      <c r="C155" s="298" t="s">
        <v>423</v>
      </c>
      <c r="D155" s="297"/>
      <c r="E155" s="299"/>
      <c r="F155" s="279" t="s">
        <v>423</v>
      </c>
      <c r="G155" s="69"/>
      <c r="H155" s="134"/>
      <c r="I155" s="157"/>
      <c r="J155" s="157"/>
      <c r="K155" s="194"/>
      <c r="L155" s="68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70"/>
      <c r="Y155" s="360">
        <f t="shared" si="0"/>
        <v>0</v>
      </c>
      <c r="Z155" s="157"/>
      <c r="AA155" s="157"/>
      <c r="AB155" s="261"/>
    </row>
    <row r="156" spans="1:28">
      <c r="A156" s="11"/>
      <c r="B156" s="246" t="s">
        <v>335</v>
      </c>
      <c r="C156" s="246" t="s">
        <v>336</v>
      </c>
      <c r="D156" s="241" t="s">
        <v>294</v>
      </c>
      <c r="E156" s="284">
        <v>2</v>
      </c>
      <c r="F156" s="274" t="s">
        <v>336</v>
      </c>
      <c r="G156" s="5" t="s">
        <v>294</v>
      </c>
      <c r="H156" s="99">
        <v>2</v>
      </c>
      <c r="I156" s="152"/>
      <c r="J156" s="152"/>
      <c r="K156" s="190"/>
      <c r="L156" s="114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140"/>
      <c r="Y156" s="190">
        <f t="shared" si="0"/>
        <v>0</v>
      </c>
      <c r="Z156" s="152">
        <f>H156-Y156</f>
        <v>2</v>
      </c>
      <c r="AA156" s="263">
        <f t="shared" ref="AA156:AA159" si="40">E156-Y156</f>
        <v>2</v>
      </c>
      <c r="AB156" s="48"/>
    </row>
    <row r="157" spans="1:28">
      <c r="A157" s="11"/>
      <c r="B157" s="246" t="s">
        <v>337</v>
      </c>
      <c r="C157" s="246" t="s">
        <v>338</v>
      </c>
      <c r="D157" s="241" t="s">
        <v>294</v>
      </c>
      <c r="E157" s="284">
        <v>2</v>
      </c>
      <c r="F157" s="274" t="s">
        <v>338</v>
      </c>
      <c r="G157" s="5" t="s">
        <v>294</v>
      </c>
      <c r="H157" s="99">
        <v>2</v>
      </c>
      <c r="I157" s="152"/>
      <c r="J157" s="152"/>
      <c r="K157" s="190"/>
      <c r="L157" s="114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140"/>
      <c r="Y157" s="190">
        <f t="shared" si="0"/>
        <v>0</v>
      </c>
      <c r="Z157" s="152">
        <f>H157-Y157</f>
        <v>2</v>
      </c>
      <c r="AA157" s="263">
        <f t="shared" si="40"/>
        <v>2</v>
      </c>
      <c r="AB157" s="48"/>
    </row>
    <row r="158" spans="1:28">
      <c r="A158" s="11"/>
      <c r="B158" s="246" t="s">
        <v>339</v>
      </c>
      <c r="C158" s="246" t="s">
        <v>340</v>
      </c>
      <c r="D158" s="241" t="s">
        <v>294</v>
      </c>
      <c r="E158" s="284">
        <v>1</v>
      </c>
      <c r="F158" s="274" t="s">
        <v>340</v>
      </c>
      <c r="G158" s="5" t="s">
        <v>294</v>
      </c>
      <c r="H158" s="99">
        <v>1</v>
      </c>
      <c r="I158" s="152"/>
      <c r="J158" s="152"/>
      <c r="K158" s="190"/>
      <c r="L158" s="114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140"/>
      <c r="Y158" s="190">
        <f t="shared" si="0"/>
        <v>0</v>
      </c>
      <c r="Z158" s="152">
        <f>H158-Y158</f>
        <v>1</v>
      </c>
      <c r="AA158" s="263">
        <f t="shared" si="40"/>
        <v>1</v>
      </c>
      <c r="AB158" s="48"/>
    </row>
    <row r="159" spans="1:28" ht="30">
      <c r="A159" s="11"/>
      <c r="B159" s="246"/>
      <c r="C159" s="246"/>
      <c r="D159" s="241"/>
      <c r="E159" s="284"/>
      <c r="F159" s="274" t="s">
        <v>426</v>
      </c>
      <c r="G159" s="5" t="s">
        <v>291</v>
      </c>
      <c r="H159" s="99">
        <v>0</v>
      </c>
      <c r="I159" s="152"/>
      <c r="J159" s="152"/>
      <c r="K159" s="190"/>
      <c r="L159" s="114"/>
      <c r="M159" s="46"/>
      <c r="N159" s="46"/>
      <c r="O159" s="46">
        <v>232</v>
      </c>
      <c r="P159" s="46"/>
      <c r="Q159" s="46"/>
      <c r="R159" s="46"/>
      <c r="S159" s="46"/>
      <c r="T159" s="46"/>
      <c r="U159" s="46"/>
      <c r="V159" s="46"/>
      <c r="W159" s="46"/>
      <c r="X159" s="140"/>
      <c r="Y159" s="190">
        <f t="shared" si="0"/>
        <v>232</v>
      </c>
      <c r="Z159" s="152">
        <f>H159-Y159</f>
        <v>-232</v>
      </c>
      <c r="AA159" s="263">
        <f t="shared" si="40"/>
        <v>-232</v>
      </c>
      <c r="AB159" s="48"/>
    </row>
    <row r="160" spans="1:28" s="225" customFormat="1" ht="15.75">
      <c r="A160" s="149"/>
      <c r="B160" s="337"/>
      <c r="C160" s="338"/>
      <c r="D160" s="173"/>
      <c r="E160" s="177"/>
      <c r="F160" s="275" t="s">
        <v>1063</v>
      </c>
      <c r="G160" s="25"/>
      <c r="H160" s="91"/>
      <c r="I160" s="170"/>
      <c r="J160" s="25"/>
      <c r="K160" s="155"/>
      <c r="L160" s="106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107"/>
      <c r="Y160" s="349"/>
      <c r="Z160" s="155"/>
      <c r="AA160" s="339"/>
      <c r="AB160" s="73"/>
    </row>
    <row r="161" spans="1:28" s="65" customFormat="1" ht="15.75">
      <c r="A161" s="68"/>
      <c r="B161" s="297"/>
      <c r="C161" s="298" t="s">
        <v>422</v>
      </c>
      <c r="D161" s="297"/>
      <c r="E161" s="299"/>
      <c r="F161" s="279" t="s">
        <v>422</v>
      </c>
      <c r="G161" s="69"/>
      <c r="H161" s="134"/>
      <c r="I161" s="157"/>
      <c r="J161" s="157"/>
      <c r="K161" s="194"/>
      <c r="L161" s="68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70"/>
      <c r="Y161" s="360">
        <f t="shared" si="0"/>
        <v>0</v>
      </c>
      <c r="Z161" s="157"/>
      <c r="AA161" s="157"/>
      <c r="AB161" s="261"/>
    </row>
    <row r="162" spans="1:28">
      <c r="A162" s="11"/>
      <c r="B162" s="246" t="s">
        <v>100</v>
      </c>
      <c r="C162" s="246" t="s">
        <v>101</v>
      </c>
      <c r="D162" s="241" t="s">
        <v>289</v>
      </c>
      <c r="E162" s="284">
        <v>347.83</v>
      </c>
      <c r="F162" s="274" t="s">
        <v>101</v>
      </c>
      <c r="G162" s="5" t="s">
        <v>289</v>
      </c>
      <c r="H162" s="99">
        <f>11.49+0.52+0.681+2.08</f>
        <v>14.770999999999999</v>
      </c>
      <c r="I162" s="200" t="s">
        <v>756</v>
      </c>
      <c r="J162" s="154" t="s">
        <v>289</v>
      </c>
      <c r="K162" s="192">
        <f>11.49*1.02</f>
        <v>11.719800000000001</v>
      </c>
      <c r="L162" s="114"/>
      <c r="M162" s="46"/>
      <c r="N162" s="46"/>
      <c r="O162" s="46"/>
      <c r="P162" s="46"/>
      <c r="Q162" s="46"/>
      <c r="R162" s="46"/>
      <c r="S162" s="46">
        <v>3.24</v>
      </c>
      <c r="T162" s="46"/>
      <c r="U162" s="46">
        <v>6.75</v>
      </c>
      <c r="V162" s="46"/>
      <c r="W162" s="46"/>
      <c r="X162" s="140"/>
      <c r="Y162" s="190">
        <f t="shared" si="0"/>
        <v>9.99</v>
      </c>
      <c r="Z162" s="154">
        <f t="shared" ref="Z162:Z206" si="41">H162-Y162</f>
        <v>4.7809999999999988</v>
      </c>
      <c r="AA162" s="263">
        <f t="shared" ref="AA162:AA210" si="42">E162-Y162</f>
        <v>337.84</v>
      </c>
      <c r="AB162" s="48"/>
    </row>
    <row r="163" spans="1:28">
      <c r="A163" s="11"/>
      <c r="B163" s="246"/>
      <c r="C163" s="246"/>
      <c r="D163" s="241"/>
      <c r="E163" s="284"/>
      <c r="F163" s="274"/>
      <c r="G163" s="5"/>
      <c r="H163" s="99"/>
      <c r="I163" s="200" t="s">
        <v>757</v>
      </c>
      <c r="J163" s="154" t="s">
        <v>289</v>
      </c>
      <c r="K163" s="192">
        <f>(0.52+0.681+2.08)*1.02</f>
        <v>3.3466200000000002</v>
      </c>
      <c r="L163" s="114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140"/>
      <c r="Y163" s="190">
        <f t="shared" si="0"/>
        <v>0</v>
      </c>
      <c r="Z163" s="154">
        <f t="shared" ref="Z163:Z177" si="43">H163-Y163</f>
        <v>0</v>
      </c>
      <c r="AA163" s="263">
        <f t="shared" si="42"/>
        <v>0</v>
      </c>
      <c r="AB163" s="48"/>
    </row>
    <row r="164" spans="1:28">
      <c r="A164" s="11"/>
      <c r="B164" s="246"/>
      <c r="C164" s="246"/>
      <c r="D164" s="241"/>
      <c r="E164" s="300"/>
      <c r="F164" s="275" t="s">
        <v>416</v>
      </c>
      <c r="G164" s="25" t="s">
        <v>294</v>
      </c>
      <c r="H164" s="91">
        <f>K164+K165+K166</f>
        <v>105</v>
      </c>
      <c r="I164" s="170" t="s">
        <v>758</v>
      </c>
      <c r="J164" s="155" t="s">
        <v>477</v>
      </c>
      <c r="K164" s="193">
        <f>83+15</f>
        <v>98</v>
      </c>
      <c r="L164" s="106"/>
      <c r="M164" s="25"/>
      <c r="N164" s="25"/>
      <c r="O164" s="25"/>
      <c r="P164" s="25"/>
      <c r="Q164" s="25"/>
      <c r="R164" s="72"/>
      <c r="S164" s="72">
        <v>36</v>
      </c>
      <c r="T164" s="72"/>
      <c r="U164" s="72">
        <v>27</v>
      </c>
      <c r="V164" s="72"/>
      <c r="W164" s="72"/>
      <c r="X164" s="141"/>
      <c r="Y164" s="190">
        <f t="shared" si="0"/>
        <v>63</v>
      </c>
      <c r="Z164" s="154">
        <f t="shared" si="43"/>
        <v>42</v>
      </c>
      <c r="AA164" s="263">
        <f t="shared" si="42"/>
        <v>-63</v>
      </c>
      <c r="AB164" s="73"/>
    </row>
    <row r="165" spans="1:28">
      <c r="A165" s="11"/>
      <c r="B165" s="246"/>
      <c r="C165" s="246"/>
      <c r="D165" s="241"/>
      <c r="E165" s="300"/>
      <c r="F165" s="275"/>
      <c r="G165" s="25"/>
      <c r="H165" s="91"/>
      <c r="I165" s="170" t="s">
        <v>759</v>
      </c>
      <c r="J165" s="155" t="s">
        <v>477</v>
      </c>
      <c r="K165" s="193">
        <v>5</v>
      </c>
      <c r="L165" s="106"/>
      <c r="M165" s="223"/>
      <c r="N165" s="223"/>
      <c r="O165" s="223"/>
      <c r="P165" s="223"/>
      <c r="Q165" s="223"/>
      <c r="R165" s="72"/>
      <c r="S165" s="72"/>
      <c r="T165" s="72"/>
      <c r="U165" s="72"/>
      <c r="V165" s="72">
        <v>5</v>
      </c>
      <c r="W165" s="72"/>
      <c r="X165" s="141"/>
      <c r="Y165" s="190">
        <f t="shared" si="0"/>
        <v>5</v>
      </c>
      <c r="Z165" s="154">
        <f t="shared" si="43"/>
        <v>-5</v>
      </c>
      <c r="AA165" s="263">
        <f t="shared" si="42"/>
        <v>-5</v>
      </c>
      <c r="AB165" s="73"/>
    </row>
    <row r="166" spans="1:28">
      <c r="A166" s="11"/>
      <c r="B166" s="246"/>
      <c r="C166" s="246"/>
      <c r="D166" s="241"/>
      <c r="E166" s="300"/>
      <c r="F166" s="275"/>
      <c r="G166" s="25"/>
      <c r="H166" s="91"/>
      <c r="I166" s="170" t="s">
        <v>760</v>
      </c>
      <c r="J166" s="155" t="s">
        <v>477</v>
      </c>
      <c r="K166" s="193">
        <v>2</v>
      </c>
      <c r="L166" s="106"/>
      <c r="M166" s="223"/>
      <c r="N166" s="223"/>
      <c r="O166" s="223"/>
      <c r="P166" s="223"/>
      <c r="Q166" s="223"/>
      <c r="R166" s="72"/>
      <c r="S166" s="72"/>
      <c r="T166" s="72"/>
      <c r="U166" s="72">
        <v>2</v>
      </c>
      <c r="V166" s="72"/>
      <c r="W166" s="72"/>
      <c r="X166" s="141"/>
      <c r="Y166" s="190">
        <f t="shared" si="0"/>
        <v>2</v>
      </c>
      <c r="Z166" s="154">
        <f t="shared" si="43"/>
        <v>-2</v>
      </c>
      <c r="AA166" s="263">
        <f t="shared" si="42"/>
        <v>-2</v>
      </c>
      <c r="AB166" s="73"/>
    </row>
    <row r="167" spans="1:28">
      <c r="A167" s="11"/>
      <c r="B167" s="246"/>
      <c r="C167" s="246"/>
      <c r="D167" s="241"/>
      <c r="E167" s="300"/>
      <c r="F167" s="275" t="s">
        <v>761</v>
      </c>
      <c r="G167" s="25" t="s">
        <v>294</v>
      </c>
      <c r="H167" s="91">
        <f>K167+K168</f>
        <v>17</v>
      </c>
      <c r="I167" s="170" t="s">
        <v>762</v>
      </c>
      <c r="J167" s="155" t="s">
        <v>477</v>
      </c>
      <c r="K167" s="193">
        <f>2</f>
        <v>2</v>
      </c>
      <c r="L167" s="106"/>
      <c r="M167" s="223"/>
      <c r="N167" s="223"/>
      <c r="O167" s="223"/>
      <c r="P167" s="223"/>
      <c r="Q167" s="223"/>
      <c r="R167" s="72"/>
      <c r="S167" s="72"/>
      <c r="T167" s="72"/>
      <c r="U167" s="72">
        <v>2</v>
      </c>
      <c r="V167" s="72"/>
      <c r="W167" s="72"/>
      <c r="X167" s="141"/>
      <c r="Y167" s="190">
        <f t="shared" si="0"/>
        <v>2</v>
      </c>
      <c r="Z167" s="154">
        <f t="shared" si="43"/>
        <v>15</v>
      </c>
      <c r="AA167" s="263">
        <f t="shared" si="42"/>
        <v>-2</v>
      </c>
      <c r="AB167" s="73"/>
    </row>
    <row r="168" spans="1:28" ht="30">
      <c r="A168" s="11"/>
      <c r="B168" s="246"/>
      <c r="C168" s="246"/>
      <c r="D168" s="241"/>
      <c r="E168" s="300"/>
      <c r="F168" s="275"/>
      <c r="G168" s="25"/>
      <c r="H168" s="91"/>
      <c r="I168" s="170" t="s">
        <v>763</v>
      </c>
      <c r="J168" s="155" t="s">
        <v>477</v>
      </c>
      <c r="K168" s="193">
        <v>15</v>
      </c>
      <c r="L168" s="106"/>
      <c r="M168" s="223"/>
      <c r="N168" s="223"/>
      <c r="O168" s="223"/>
      <c r="P168" s="223"/>
      <c r="Q168" s="223"/>
      <c r="R168" s="72"/>
      <c r="S168" s="72"/>
      <c r="T168" s="72"/>
      <c r="U168" s="72"/>
      <c r="V168" s="72"/>
      <c r="W168" s="72"/>
      <c r="X168" s="141"/>
      <c r="Y168" s="190">
        <f t="shared" si="0"/>
        <v>0</v>
      </c>
      <c r="Z168" s="154">
        <f t="shared" si="43"/>
        <v>0</v>
      </c>
      <c r="AA168" s="263">
        <f t="shared" si="42"/>
        <v>0</v>
      </c>
      <c r="AB168" s="73"/>
    </row>
    <row r="169" spans="1:28">
      <c r="A169" s="11"/>
      <c r="B169" s="246"/>
      <c r="C169" s="246"/>
      <c r="D169" s="241"/>
      <c r="E169" s="300"/>
      <c r="F169" s="275" t="s">
        <v>764</v>
      </c>
      <c r="G169" s="25" t="s">
        <v>294</v>
      </c>
      <c r="H169" s="91">
        <f>K169+K170</f>
        <v>88</v>
      </c>
      <c r="I169" s="170" t="s">
        <v>765</v>
      </c>
      <c r="J169" s="155" t="s">
        <v>477</v>
      </c>
      <c r="K169" s="193">
        <v>83</v>
      </c>
      <c r="L169" s="106"/>
      <c r="M169" s="223"/>
      <c r="N169" s="223"/>
      <c r="O169" s="223"/>
      <c r="P169" s="223"/>
      <c r="Q169" s="223"/>
      <c r="R169" s="72"/>
      <c r="S169" s="72"/>
      <c r="T169" s="72"/>
      <c r="U169" s="72"/>
      <c r="V169" s="72"/>
      <c r="W169" s="72"/>
      <c r="X169" s="141"/>
      <c r="Y169" s="190">
        <f t="shared" si="0"/>
        <v>0</v>
      </c>
      <c r="Z169" s="154">
        <f t="shared" si="43"/>
        <v>88</v>
      </c>
      <c r="AA169" s="263">
        <f t="shared" si="42"/>
        <v>0</v>
      </c>
      <c r="AB169" s="73"/>
    </row>
    <row r="170" spans="1:28">
      <c r="A170" s="11"/>
      <c r="B170" s="246"/>
      <c r="C170" s="246"/>
      <c r="D170" s="241"/>
      <c r="E170" s="300"/>
      <c r="F170" s="275"/>
      <c r="G170" s="25"/>
      <c r="H170" s="91"/>
      <c r="I170" s="170" t="s">
        <v>766</v>
      </c>
      <c r="J170" s="155" t="s">
        <v>477</v>
      </c>
      <c r="K170" s="193">
        <v>5</v>
      </c>
      <c r="L170" s="106"/>
      <c r="M170" s="223"/>
      <c r="N170" s="223"/>
      <c r="O170" s="223"/>
      <c r="P170" s="223"/>
      <c r="Q170" s="223"/>
      <c r="R170" s="72"/>
      <c r="S170" s="72"/>
      <c r="T170" s="72"/>
      <c r="U170" s="72"/>
      <c r="V170" s="72"/>
      <c r="W170" s="72"/>
      <c r="X170" s="141"/>
      <c r="Y170" s="190">
        <f t="shared" si="0"/>
        <v>0</v>
      </c>
      <c r="Z170" s="154">
        <f t="shared" si="43"/>
        <v>0</v>
      </c>
      <c r="AA170" s="263">
        <f t="shared" si="42"/>
        <v>0</v>
      </c>
      <c r="AB170" s="73"/>
    </row>
    <row r="171" spans="1:28">
      <c r="A171" s="11"/>
      <c r="B171" s="246"/>
      <c r="C171" s="246"/>
      <c r="D171" s="241"/>
      <c r="E171" s="300"/>
      <c r="F171" s="275" t="s">
        <v>770</v>
      </c>
      <c r="G171" s="25" t="s">
        <v>294</v>
      </c>
      <c r="H171" s="91">
        <f>K171+K173</f>
        <v>36</v>
      </c>
      <c r="I171" s="170" t="s">
        <v>767</v>
      </c>
      <c r="J171" s="155" t="s">
        <v>477</v>
      </c>
      <c r="K171" s="193">
        <v>2</v>
      </c>
      <c r="L171" s="106"/>
      <c r="M171" s="223"/>
      <c r="N171" s="223"/>
      <c r="O171" s="223"/>
      <c r="P171" s="223"/>
      <c r="Q171" s="223"/>
      <c r="R171" s="72"/>
      <c r="S171" s="72"/>
      <c r="T171" s="72"/>
      <c r="U171" s="72">
        <v>2</v>
      </c>
      <c r="V171" s="72"/>
      <c r="W171" s="72"/>
      <c r="X171" s="141"/>
      <c r="Y171" s="190">
        <f t="shared" si="0"/>
        <v>2</v>
      </c>
      <c r="Z171" s="154">
        <f t="shared" si="43"/>
        <v>34</v>
      </c>
      <c r="AA171" s="263">
        <f t="shared" si="42"/>
        <v>-2</v>
      </c>
      <c r="AB171" s="73"/>
    </row>
    <row r="172" spans="1:28">
      <c r="A172" s="11"/>
      <c r="B172" s="246"/>
      <c r="C172" s="246"/>
      <c r="D172" s="241"/>
      <c r="E172" s="300"/>
      <c r="F172" s="275"/>
      <c r="G172" s="25"/>
      <c r="H172" s="91"/>
      <c r="I172" s="170" t="s">
        <v>768</v>
      </c>
      <c r="J172" s="155" t="s">
        <v>477</v>
      </c>
      <c r="K172" s="193">
        <v>2</v>
      </c>
      <c r="L172" s="106"/>
      <c r="M172" s="223"/>
      <c r="N172" s="223"/>
      <c r="O172" s="223"/>
      <c r="P172" s="223"/>
      <c r="Q172" s="223"/>
      <c r="R172" s="72"/>
      <c r="S172" s="72"/>
      <c r="T172" s="72"/>
      <c r="U172" s="72">
        <v>2</v>
      </c>
      <c r="V172" s="72"/>
      <c r="W172" s="72"/>
      <c r="X172" s="141"/>
      <c r="Y172" s="190">
        <f t="shared" si="0"/>
        <v>2</v>
      </c>
      <c r="Z172" s="154">
        <f t="shared" si="43"/>
        <v>-2</v>
      </c>
      <c r="AA172" s="263">
        <f t="shared" si="42"/>
        <v>-2</v>
      </c>
      <c r="AB172" s="73"/>
    </row>
    <row r="173" spans="1:28" ht="30">
      <c r="A173" s="11"/>
      <c r="B173" s="246"/>
      <c r="C173" s="246"/>
      <c r="D173" s="241"/>
      <c r="E173" s="300"/>
      <c r="F173" s="275"/>
      <c r="G173" s="25"/>
      <c r="H173" s="91"/>
      <c r="I173" s="170" t="s">
        <v>769</v>
      </c>
      <c r="J173" s="155" t="s">
        <v>477</v>
      </c>
      <c r="K173" s="193">
        <v>34</v>
      </c>
      <c r="L173" s="106"/>
      <c r="M173" s="223"/>
      <c r="N173" s="223"/>
      <c r="O173" s="223"/>
      <c r="P173" s="223"/>
      <c r="Q173" s="223"/>
      <c r="R173" s="72"/>
      <c r="S173" s="72"/>
      <c r="T173" s="72"/>
      <c r="U173" s="72"/>
      <c r="V173" s="72"/>
      <c r="W173" s="72"/>
      <c r="X173" s="141"/>
      <c r="Y173" s="190">
        <f t="shared" si="0"/>
        <v>0</v>
      </c>
      <c r="Z173" s="154">
        <f t="shared" si="43"/>
        <v>0</v>
      </c>
      <c r="AA173" s="263">
        <f t="shared" si="42"/>
        <v>0</v>
      </c>
      <c r="AB173" s="73"/>
    </row>
    <row r="174" spans="1:28" ht="30">
      <c r="A174" s="11"/>
      <c r="B174" s="246"/>
      <c r="C174" s="246"/>
      <c r="D174" s="241"/>
      <c r="E174" s="300"/>
      <c r="F174" s="275"/>
      <c r="G174" s="25"/>
      <c r="H174" s="91"/>
      <c r="I174" s="170" t="s">
        <v>771</v>
      </c>
      <c r="J174" s="155" t="s">
        <v>477</v>
      </c>
      <c r="K174" s="193">
        <v>3</v>
      </c>
      <c r="L174" s="106"/>
      <c r="M174" s="223"/>
      <c r="N174" s="223"/>
      <c r="O174" s="223"/>
      <c r="P174" s="223"/>
      <c r="Q174" s="223"/>
      <c r="R174" s="72"/>
      <c r="S174" s="72"/>
      <c r="T174" s="72"/>
      <c r="U174" s="72"/>
      <c r="V174" s="72"/>
      <c r="W174" s="72"/>
      <c r="X174" s="141"/>
      <c r="Y174" s="190">
        <f t="shared" si="0"/>
        <v>0</v>
      </c>
      <c r="Z174" s="154">
        <f t="shared" si="43"/>
        <v>0</v>
      </c>
      <c r="AA174" s="263">
        <f t="shared" si="42"/>
        <v>0</v>
      </c>
      <c r="AB174" s="73"/>
    </row>
    <row r="175" spans="1:28" ht="30">
      <c r="A175" s="11"/>
      <c r="B175" s="246"/>
      <c r="C175" s="246"/>
      <c r="D175" s="241"/>
      <c r="E175" s="300"/>
      <c r="F175" s="275"/>
      <c r="G175" s="25"/>
      <c r="H175" s="91"/>
      <c r="I175" s="170" t="s">
        <v>772</v>
      </c>
      <c r="J175" s="155" t="s">
        <v>477</v>
      </c>
      <c r="K175" s="193">
        <v>5</v>
      </c>
      <c r="L175" s="106"/>
      <c r="M175" s="223"/>
      <c r="N175" s="223"/>
      <c r="O175" s="223"/>
      <c r="P175" s="223"/>
      <c r="Q175" s="223"/>
      <c r="R175" s="72"/>
      <c r="S175" s="72"/>
      <c r="T175" s="72"/>
      <c r="U175" s="72"/>
      <c r="V175" s="72"/>
      <c r="W175" s="72"/>
      <c r="X175" s="141"/>
      <c r="Y175" s="190">
        <f t="shared" si="0"/>
        <v>0</v>
      </c>
      <c r="Z175" s="154">
        <f t="shared" si="43"/>
        <v>0</v>
      </c>
      <c r="AA175" s="263">
        <f t="shared" si="42"/>
        <v>0</v>
      </c>
      <c r="AB175" s="73"/>
    </row>
    <row r="176" spans="1:28" ht="30">
      <c r="A176" s="11"/>
      <c r="B176" s="246"/>
      <c r="C176" s="246"/>
      <c r="D176" s="241"/>
      <c r="E176" s="300"/>
      <c r="F176" s="275"/>
      <c r="G176" s="25"/>
      <c r="H176" s="91"/>
      <c r="I176" s="170" t="s">
        <v>773</v>
      </c>
      <c r="J176" s="155" t="s">
        <v>477</v>
      </c>
      <c r="K176" s="193">
        <v>6</v>
      </c>
      <c r="L176" s="106"/>
      <c r="M176" s="223"/>
      <c r="N176" s="223"/>
      <c r="O176" s="223"/>
      <c r="P176" s="223"/>
      <c r="Q176" s="223"/>
      <c r="R176" s="72"/>
      <c r="S176" s="72"/>
      <c r="T176" s="72"/>
      <c r="U176" s="72"/>
      <c r="V176" s="72"/>
      <c r="W176" s="72"/>
      <c r="X176" s="141"/>
      <c r="Y176" s="190">
        <f t="shared" si="0"/>
        <v>0</v>
      </c>
      <c r="Z176" s="154">
        <f t="shared" si="43"/>
        <v>0</v>
      </c>
      <c r="AA176" s="263">
        <f t="shared" si="42"/>
        <v>0</v>
      </c>
      <c r="AB176" s="73"/>
    </row>
    <row r="177" spans="1:28" ht="30">
      <c r="A177" s="11"/>
      <c r="B177" s="246"/>
      <c r="C177" s="246"/>
      <c r="D177" s="241"/>
      <c r="E177" s="300"/>
      <c r="F177" s="275"/>
      <c r="G177" s="25"/>
      <c r="H177" s="91"/>
      <c r="I177" s="170" t="s">
        <v>774</v>
      </c>
      <c r="J177" s="155" t="s">
        <v>477</v>
      </c>
      <c r="K177" s="193">
        <v>1</v>
      </c>
      <c r="L177" s="106"/>
      <c r="M177" s="223"/>
      <c r="N177" s="223"/>
      <c r="O177" s="223"/>
      <c r="P177" s="223"/>
      <c r="Q177" s="223"/>
      <c r="R177" s="72"/>
      <c r="S177" s="72"/>
      <c r="T177" s="72"/>
      <c r="U177" s="72"/>
      <c r="V177" s="72"/>
      <c r="W177" s="72"/>
      <c r="X177" s="141"/>
      <c r="Y177" s="190">
        <f t="shared" si="0"/>
        <v>0</v>
      </c>
      <c r="Z177" s="154">
        <f t="shared" si="43"/>
        <v>0</v>
      </c>
      <c r="AA177" s="263">
        <f t="shared" si="42"/>
        <v>0</v>
      </c>
      <c r="AB177" s="73"/>
    </row>
    <row r="178" spans="1:28" ht="30">
      <c r="A178" s="11"/>
      <c r="B178" s="246" t="s">
        <v>102</v>
      </c>
      <c r="C178" s="246" t="s">
        <v>103</v>
      </c>
      <c r="D178" s="241" t="s">
        <v>292</v>
      </c>
      <c r="E178" s="284">
        <v>85.9</v>
      </c>
      <c r="F178" s="270" t="s">
        <v>103</v>
      </c>
      <c r="G178" s="26" t="s">
        <v>292</v>
      </c>
      <c r="H178" s="198">
        <v>85.9</v>
      </c>
      <c r="I178" s="200"/>
      <c r="J178" s="154"/>
      <c r="K178" s="192"/>
      <c r="L178" s="114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140"/>
      <c r="Y178" s="190">
        <f t="shared" si="0"/>
        <v>0</v>
      </c>
      <c r="Z178" s="152">
        <f t="shared" si="41"/>
        <v>85.9</v>
      </c>
      <c r="AA178" s="263">
        <f t="shared" si="42"/>
        <v>85.9</v>
      </c>
      <c r="AB178" s="48"/>
    </row>
    <row r="179" spans="1:28">
      <c r="A179" s="11"/>
      <c r="B179" s="246" t="s">
        <v>341</v>
      </c>
      <c r="C179" s="246" t="s">
        <v>342</v>
      </c>
      <c r="D179" s="241" t="s">
        <v>293</v>
      </c>
      <c r="E179" s="284">
        <v>9</v>
      </c>
      <c r="F179" s="270" t="s">
        <v>342</v>
      </c>
      <c r="G179" s="26" t="s">
        <v>293</v>
      </c>
      <c r="H179" s="198">
        <v>9</v>
      </c>
      <c r="I179" s="200"/>
      <c r="J179" s="154"/>
      <c r="K179" s="192"/>
      <c r="L179" s="114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140"/>
      <c r="Y179" s="190">
        <f t="shared" si="0"/>
        <v>0</v>
      </c>
      <c r="Z179" s="152">
        <f t="shared" si="41"/>
        <v>9</v>
      </c>
      <c r="AA179" s="263">
        <f t="shared" si="42"/>
        <v>9</v>
      </c>
      <c r="AB179" s="48"/>
    </row>
    <row r="180" spans="1:28" ht="30">
      <c r="A180" s="11"/>
      <c r="B180" s="246" t="s">
        <v>343</v>
      </c>
      <c r="C180" s="246" t="s">
        <v>344</v>
      </c>
      <c r="D180" s="241" t="s">
        <v>297</v>
      </c>
      <c r="E180" s="284">
        <v>14.4</v>
      </c>
      <c r="F180" s="270" t="s">
        <v>344</v>
      </c>
      <c r="G180" s="26" t="s">
        <v>297</v>
      </c>
      <c r="H180" s="198">
        <v>14.4</v>
      </c>
      <c r="I180" s="200"/>
      <c r="J180" s="154"/>
      <c r="K180" s="192"/>
      <c r="L180" s="114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140"/>
      <c r="Y180" s="190">
        <f t="shared" si="0"/>
        <v>0</v>
      </c>
      <c r="Z180" s="152">
        <f t="shared" si="41"/>
        <v>14.4</v>
      </c>
      <c r="AA180" s="263">
        <f t="shared" si="42"/>
        <v>14.4</v>
      </c>
      <c r="AB180" s="48"/>
    </row>
    <row r="181" spans="1:28">
      <c r="A181" s="11"/>
      <c r="B181" s="246" t="s">
        <v>345</v>
      </c>
      <c r="C181" s="246" t="s">
        <v>346</v>
      </c>
      <c r="D181" s="241" t="s">
        <v>294</v>
      </c>
      <c r="E181" s="284">
        <v>9</v>
      </c>
      <c r="F181" s="270" t="s">
        <v>346</v>
      </c>
      <c r="G181" s="26" t="s">
        <v>294</v>
      </c>
      <c r="H181" s="198">
        <v>9</v>
      </c>
      <c r="I181" s="200"/>
      <c r="J181" s="154"/>
      <c r="K181" s="192"/>
      <c r="L181" s="114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140"/>
      <c r="Y181" s="190">
        <f t="shared" si="0"/>
        <v>0</v>
      </c>
      <c r="Z181" s="152">
        <f t="shared" si="41"/>
        <v>9</v>
      </c>
      <c r="AA181" s="263">
        <f t="shared" si="42"/>
        <v>9</v>
      </c>
      <c r="AB181" s="48"/>
    </row>
    <row r="182" spans="1:28" ht="30">
      <c r="A182" s="11"/>
      <c r="B182" s="246" t="s">
        <v>347</v>
      </c>
      <c r="C182" s="246" t="s">
        <v>348</v>
      </c>
      <c r="D182" s="241" t="s">
        <v>294</v>
      </c>
      <c r="E182" s="284">
        <v>9</v>
      </c>
      <c r="F182" s="270" t="s">
        <v>348</v>
      </c>
      <c r="G182" s="26" t="s">
        <v>294</v>
      </c>
      <c r="H182" s="198">
        <v>9</v>
      </c>
      <c r="I182" s="200"/>
      <c r="J182" s="154"/>
      <c r="K182" s="192"/>
      <c r="L182" s="114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140"/>
      <c r="Y182" s="190">
        <f t="shared" si="0"/>
        <v>0</v>
      </c>
      <c r="Z182" s="152">
        <f t="shared" si="41"/>
        <v>9</v>
      </c>
      <c r="AA182" s="263">
        <f t="shared" si="42"/>
        <v>9</v>
      </c>
      <c r="AB182" s="48"/>
    </row>
    <row r="183" spans="1:28" ht="45">
      <c r="A183" s="11"/>
      <c r="B183" s="246" t="s">
        <v>349</v>
      </c>
      <c r="C183" s="246" t="s">
        <v>350</v>
      </c>
      <c r="D183" s="241" t="s">
        <v>294</v>
      </c>
      <c r="E183" s="284">
        <v>4</v>
      </c>
      <c r="F183" s="270" t="s">
        <v>350</v>
      </c>
      <c r="G183" s="26" t="s">
        <v>294</v>
      </c>
      <c r="H183" s="198">
        <v>4</v>
      </c>
      <c r="I183" s="200"/>
      <c r="J183" s="154"/>
      <c r="K183" s="192"/>
      <c r="L183" s="114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140"/>
      <c r="Y183" s="190">
        <f t="shared" si="0"/>
        <v>0</v>
      </c>
      <c r="Z183" s="152">
        <f t="shared" si="41"/>
        <v>4</v>
      </c>
      <c r="AA183" s="263">
        <f t="shared" si="42"/>
        <v>4</v>
      </c>
      <c r="AB183" s="48"/>
    </row>
    <row r="184" spans="1:28" ht="60">
      <c r="A184" s="11"/>
      <c r="B184" s="246" t="s">
        <v>351</v>
      </c>
      <c r="C184" s="246" t="s">
        <v>352</v>
      </c>
      <c r="D184" s="241" t="s">
        <v>294</v>
      </c>
      <c r="E184" s="284">
        <v>9</v>
      </c>
      <c r="F184" s="270" t="s">
        <v>352</v>
      </c>
      <c r="G184" s="26" t="s">
        <v>294</v>
      </c>
      <c r="H184" s="198">
        <v>9</v>
      </c>
      <c r="I184" s="200"/>
      <c r="J184" s="154"/>
      <c r="K184" s="192"/>
      <c r="L184" s="114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140"/>
      <c r="Y184" s="190">
        <f t="shared" si="0"/>
        <v>0</v>
      </c>
      <c r="Z184" s="152">
        <f t="shared" si="41"/>
        <v>9</v>
      </c>
      <c r="AA184" s="263">
        <f t="shared" si="42"/>
        <v>9</v>
      </c>
      <c r="AB184" s="48"/>
    </row>
    <row r="185" spans="1:28" ht="30">
      <c r="A185" s="11"/>
      <c r="B185" s="246" t="s">
        <v>353</v>
      </c>
      <c r="C185" s="246" t="s">
        <v>354</v>
      </c>
      <c r="D185" s="241" t="s">
        <v>291</v>
      </c>
      <c r="E185" s="284">
        <v>961</v>
      </c>
      <c r="F185" s="270" t="s">
        <v>354</v>
      </c>
      <c r="G185" s="26" t="s">
        <v>291</v>
      </c>
      <c r="H185" s="198">
        <v>961</v>
      </c>
      <c r="I185" s="200"/>
      <c r="J185" s="154"/>
      <c r="K185" s="192"/>
      <c r="L185" s="114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140"/>
      <c r="Y185" s="190">
        <f t="shared" si="0"/>
        <v>0</v>
      </c>
      <c r="Z185" s="152">
        <f t="shared" si="41"/>
        <v>961</v>
      </c>
      <c r="AA185" s="263">
        <f t="shared" si="42"/>
        <v>961</v>
      </c>
      <c r="AB185" s="48"/>
    </row>
    <row r="186" spans="1:28" ht="60">
      <c r="A186" s="11"/>
      <c r="B186" s="246" t="s">
        <v>355</v>
      </c>
      <c r="C186" s="246" t="s">
        <v>356</v>
      </c>
      <c r="D186" s="241" t="s">
        <v>294</v>
      </c>
      <c r="E186" s="284">
        <v>18</v>
      </c>
      <c r="F186" s="274" t="s">
        <v>356</v>
      </c>
      <c r="G186" s="5" t="s">
        <v>294</v>
      </c>
      <c r="H186" s="99">
        <v>18</v>
      </c>
      <c r="I186" s="200" t="s">
        <v>903</v>
      </c>
      <c r="J186" s="154" t="s">
        <v>477</v>
      </c>
      <c r="K186" s="192">
        <v>30</v>
      </c>
      <c r="L186" s="114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140"/>
      <c r="Y186" s="190">
        <f t="shared" si="0"/>
        <v>0</v>
      </c>
      <c r="Z186" s="152">
        <f t="shared" si="41"/>
        <v>18</v>
      </c>
      <c r="AA186" s="263">
        <f t="shared" si="42"/>
        <v>18</v>
      </c>
      <c r="AB186" s="48"/>
    </row>
    <row r="187" spans="1:28" ht="45">
      <c r="A187" s="11"/>
      <c r="B187" s="246" t="s">
        <v>142</v>
      </c>
      <c r="C187" s="246" t="s">
        <v>143</v>
      </c>
      <c r="D187" s="241" t="s">
        <v>291</v>
      </c>
      <c r="E187" s="284">
        <v>120</v>
      </c>
      <c r="F187" s="274" t="s">
        <v>143</v>
      </c>
      <c r="G187" s="5" t="s">
        <v>291</v>
      </c>
      <c r="H187" s="99">
        <v>120</v>
      </c>
      <c r="I187" s="200"/>
      <c r="J187" s="154"/>
      <c r="K187" s="192"/>
      <c r="L187" s="114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140"/>
      <c r="Y187" s="190">
        <f t="shared" si="0"/>
        <v>0</v>
      </c>
      <c r="Z187" s="152">
        <f t="shared" si="41"/>
        <v>120</v>
      </c>
      <c r="AA187" s="263">
        <f t="shared" si="42"/>
        <v>120</v>
      </c>
      <c r="AB187" s="48"/>
    </row>
    <row r="188" spans="1:28" ht="45">
      <c r="A188" s="11"/>
      <c r="B188" s="246" t="s">
        <v>358</v>
      </c>
      <c r="C188" s="246" t="s">
        <v>359</v>
      </c>
      <c r="D188" s="241" t="s">
        <v>294</v>
      </c>
      <c r="E188" s="284">
        <v>5</v>
      </c>
      <c r="F188" s="274" t="s">
        <v>359</v>
      </c>
      <c r="G188" s="5" t="s">
        <v>294</v>
      </c>
      <c r="H188" s="99">
        <v>5</v>
      </c>
      <c r="I188" s="200"/>
      <c r="J188" s="154"/>
      <c r="K188" s="192"/>
      <c r="L188" s="114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140"/>
      <c r="Y188" s="190">
        <f t="shared" si="0"/>
        <v>0</v>
      </c>
      <c r="Z188" s="152">
        <f t="shared" si="41"/>
        <v>5</v>
      </c>
      <c r="AA188" s="263">
        <f t="shared" si="42"/>
        <v>5</v>
      </c>
      <c r="AB188" s="48"/>
    </row>
    <row r="189" spans="1:28" ht="30">
      <c r="A189" s="11"/>
      <c r="B189" s="246"/>
      <c r="C189" s="246"/>
      <c r="D189" s="241"/>
      <c r="E189" s="284"/>
      <c r="F189" s="275" t="s">
        <v>901</v>
      </c>
      <c r="G189" s="25" t="s">
        <v>291</v>
      </c>
      <c r="H189" s="98">
        <v>496</v>
      </c>
      <c r="I189" s="170" t="s">
        <v>902</v>
      </c>
      <c r="J189" s="155" t="s">
        <v>291</v>
      </c>
      <c r="K189" s="192">
        <v>496</v>
      </c>
      <c r="L189" s="106"/>
      <c r="M189" s="25"/>
      <c r="N189" s="25"/>
      <c r="O189" s="25"/>
      <c r="P189" s="25"/>
      <c r="Q189" s="25">
        <v>31</v>
      </c>
      <c r="R189" s="72"/>
      <c r="S189" s="72">
        <v>12</v>
      </c>
      <c r="T189" s="72"/>
      <c r="U189" s="72"/>
      <c r="V189" s="72"/>
      <c r="W189" s="72"/>
      <c r="X189" s="141"/>
      <c r="Y189" s="190">
        <f t="shared" si="0"/>
        <v>43</v>
      </c>
      <c r="Z189" s="154">
        <f t="shared" ref="Z189" si="44">H189-Y189</f>
        <v>453</v>
      </c>
      <c r="AA189" s="263">
        <f t="shared" si="42"/>
        <v>-43</v>
      </c>
      <c r="AB189" s="73"/>
    </row>
    <row r="190" spans="1:28" ht="75">
      <c r="A190" s="11"/>
      <c r="B190" s="246"/>
      <c r="C190" s="246"/>
      <c r="D190" s="241"/>
      <c r="E190" s="284"/>
      <c r="F190" s="275" t="s">
        <v>183</v>
      </c>
      <c r="G190" s="25" t="s">
        <v>291</v>
      </c>
      <c r="H190" s="98">
        <f>K190</f>
        <v>1975</v>
      </c>
      <c r="I190" s="170" t="s">
        <v>888</v>
      </c>
      <c r="J190" s="155" t="s">
        <v>291</v>
      </c>
      <c r="K190" s="192">
        <f>1524+451</f>
        <v>1975</v>
      </c>
      <c r="L190" s="106"/>
      <c r="M190" s="25"/>
      <c r="N190" s="25"/>
      <c r="O190" s="25"/>
      <c r="P190" s="25"/>
      <c r="Q190" s="25">
        <v>31</v>
      </c>
      <c r="R190" s="72"/>
      <c r="S190" s="72">
        <v>12</v>
      </c>
      <c r="T190" s="72"/>
      <c r="U190" s="72"/>
      <c r="V190" s="72"/>
      <c r="W190" s="72"/>
      <c r="X190" s="141"/>
      <c r="Y190" s="190">
        <f t="shared" si="0"/>
        <v>43</v>
      </c>
      <c r="Z190" s="154">
        <f t="shared" si="41"/>
        <v>1932</v>
      </c>
      <c r="AA190" s="263">
        <f t="shared" si="42"/>
        <v>-43</v>
      </c>
      <c r="AB190" s="73"/>
    </row>
    <row r="191" spans="1:28" ht="30">
      <c r="A191" s="11"/>
      <c r="B191" s="246"/>
      <c r="C191" s="246"/>
      <c r="D191" s="241"/>
      <c r="E191" s="284"/>
      <c r="F191" s="275" t="s">
        <v>221</v>
      </c>
      <c r="G191" s="25" t="s">
        <v>291</v>
      </c>
      <c r="H191" s="98">
        <f t="shared" ref="H191:H193" si="45">K191</f>
        <v>0</v>
      </c>
      <c r="I191" s="170"/>
      <c r="J191" s="155"/>
      <c r="K191" s="192"/>
      <c r="L191" s="106"/>
      <c r="M191" s="25"/>
      <c r="N191" s="25"/>
      <c r="O191" s="25"/>
      <c r="P191" s="25"/>
      <c r="Q191" s="25">
        <v>7</v>
      </c>
      <c r="R191" s="72"/>
      <c r="S191" s="72"/>
      <c r="T191" s="72"/>
      <c r="U191" s="72"/>
      <c r="V191" s="72"/>
      <c r="W191" s="72"/>
      <c r="X191" s="141"/>
      <c r="Y191" s="190">
        <f t="shared" si="0"/>
        <v>7</v>
      </c>
      <c r="Z191" s="154">
        <f t="shared" si="41"/>
        <v>-7</v>
      </c>
      <c r="AA191" s="263">
        <f t="shared" si="42"/>
        <v>-7</v>
      </c>
      <c r="AB191" s="73"/>
    </row>
    <row r="192" spans="1:28" ht="75">
      <c r="A192" s="11"/>
      <c r="B192" s="246"/>
      <c r="C192" s="246"/>
      <c r="D192" s="241"/>
      <c r="E192" s="284"/>
      <c r="F192" s="275" t="s">
        <v>452</v>
      </c>
      <c r="G192" s="25" t="s">
        <v>291</v>
      </c>
      <c r="H192" s="98">
        <f t="shared" si="45"/>
        <v>1241</v>
      </c>
      <c r="I192" s="170" t="s">
        <v>890</v>
      </c>
      <c r="J192" s="155" t="s">
        <v>291</v>
      </c>
      <c r="K192" s="192">
        <v>1241</v>
      </c>
      <c r="L192" s="106"/>
      <c r="M192" s="25"/>
      <c r="N192" s="25"/>
      <c r="O192" s="25"/>
      <c r="P192" s="25"/>
      <c r="Q192" s="25">
        <v>239</v>
      </c>
      <c r="R192" s="72"/>
      <c r="S192" s="72">
        <v>128</v>
      </c>
      <c r="T192" s="72">
        <v>204</v>
      </c>
      <c r="U192" s="72">
        <v>166</v>
      </c>
      <c r="V192" s="72"/>
      <c r="W192" s="72"/>
      <c r="X192" s="141"/>
      <c r="Y192" s="190">
        <f t="shared" si="0"/>
        <v>737</v>
      </c>
      <c r="Z192" s="154">
        <f t="shared" si="41"/>
        <v>504</v>
      </c>
      <c r="AA192" s="263">
        <f t="shared" si="42"/>
        <v>-737</v>
      </c>
      <c r="AB192" s="73"/>
    </row>
    <row r="193" spans="1:28" ht="75">
      <c r="A193" s="11"/>
      <c r="B193" s="246"/>
      <c r="C193" s="246"/>
      <c r="D193" s="241"/>
      <c r="E193" s="284"/>
      <c r="F193" s="275" t="s">
        <v>453</v>
      </c>
      <c r="G193" s="25" t="s">
        <v>291</v>
      </c>
      <c r="H193" s="98">
        <f t="shared" si="45"/>
        <v>1106</v>
      </c>
      <c r="I193" s="170" t="s">
        <v>889</v>
      </c>
      <c r="J193" s="155" t="s">
        <v>291</v>
      </c>
      <c r="K193" s="192">
        <v>1106</v>
      </c>
      <c r="L193" s="106"/>
      <c r="M193" s="25"/>
      <c r="N193" s="25"/>
      <c r="O193" s="25"/>
      <c r="P193" s="25"/>
      <c r="Q193" s="25">
        <v>66</v>
      </c>
      <c r="R193" s="72"/>
      <c r="S193" s="72"/>
      <c r="T193" s="72"/>
      <c r="U193" s="72"/>
      <c r="V193" s="72"/>
      <c r="W193" s="72"/>
      <c r="X193" s="141"/>
      <c r="Y193" s="190">
        <f t="shared" si="0"/>
        <v>66</v>
      </c>
      <c r="Z193" s="154">
        <f t="shared" si="41"/>
        <v>1040</v>
      </c>
      <c r="AA193" s="263">
        <f t="shared" si="42"/>
        <v>-66</v>
      </c>
      <c r="AB193" s="73"/>
    </row>
    <row r="194" spans="1:28" ht="30">
      <c r="A194" s="11"/>
      <c r="B194" s="246"/>
      <c r="C194" s="246"/>
      <c r="D194" s="241"/>
      <c r="E194" s="284"/>
      <c r="F194" s="275" t="s">
        <v>159</v>
      </c>
      <c r="G194" s="25" t="s">
        <v>291</v>
      </c>
      <c r="H194" s="98">
        <f>K194</f>
        <v>1524</v>
      </c>
      <c r="I194" s="170" t="s">
        <v>891</v>
      </c>
      <c r="J194" s="155" t="s">
        <v>291</v>
      </c>
      <c r="K194" s="192">
        <v>1524</v>
      </c>
      <c r="L194" s="106"/>
      <c r="M194" s="25"/>
      <c r="N194" s="25"/>
      <c r="O194" s="25"/>
      <c r="P194" s="25"/>
      <c r="Q194" s="25">
        <v>305</v>
      </c>
      <c r="R194" s="72"/>
      <c r="S194" s="72">
        <v>128</v>
      </c>
      <c r="T194" s="72">
        <v>185</v>
      </c>
      <c r="U194" s="72">
        <v>196</v>
      </c>
      <c r="V194" s="72"/>
      <c r="W194" s="72"/>
      <c r="X194" s="141"/>
      <c r="Y194" s="190">
        <f t="shared" si="0"/>
        <v>814</v>
      </c>
      <c r="Z194" s="154">
        <f t="shared" si="41"/>
        <v>710</v>
      </c>
      <c r="AA194" s="263">
        <f t="shared" si="42"/>
        <v>-814</v>
      </c>
      <c r="AB194" s="73"/>
    </row>
    <row r="195" spans="1:28">
      <c r="A195" s="11"/>
      <c r="B195" s="246"/>
      <c r="C195" s="246"/>
      <c r="D195" s="241"/>
      <c r="E195" s="300"/>
      <c r="F195" s="275"/>
      <c r="G195" s="25"/>
      <c r="H195" s="91"/>
      <c r="I195" s="170" t="s">
        <v>892</v>
      </c>
      <c r="J195" s="155" t="s">
        <v>294</v>
      </c>
      <c r="K195" s="192">
        <v>175</v>
      </c>
      <c r="L195" s="106"/>
      <c r="M195" s="25"/>
      <c r="N195" s="25"/>
      <c r="O195" s="25"/>
      <c r="P195" s="25"/>
      <c r="Q195" s="25"/>
      <c r="R195" s="72"/>
      <c r="S195" s="72"/>
      <c r="T195" s="72"/>
      <c r="U195" s="72"/>
      <c r="V195" s="72"/>
      <c r="W195" s="72"/>
      <c r="X195" s="141"/>
      <c r="Y195" s="190">
        <f t="shared" si="0"/>
        <v>0</v>
      </c>
      <c r="Z195" s="154">
        <f t="shared" ref="Z195:Z198" si="46">H195-Y195</f>
        <v>0</v>
      </c>
      <c r="AA195" s="263">
        <f t="shared" si="42"/>
        <v>0</v>
      </c>
      <c r="AB195" s="73"/>
    </row>
    <row r="196" spans="1:28">
      <c r="A196" s="11"/>
      <c r="B196" s="246"/>
      <c r="C196" s="246"/>
      <c r="D196" s="241"/>
      <c r="E196" s="300"/>
      <c r="F196" s="275"/>
      <c r="G196" s="25"/>
      <c r="H196" s="91"/>
      <c r="I196" s="170" t="s">
        <v>894</v>
      </c>
      <c r="J196" s="155" t="s">
        <v>294</v>
      </c>
      <c r="K196" s="192">
        <v>352</v>
      </c>
      <c r="L196" s="106"/>
      <c r="M196" s="25"/>
      <c r="N196" s="25"/>
      <c r="O196" s="25"/>
      <c r="P196" s="25"/>
      <c r="Q196" s="25"/>
      <c r="R196" s="72"/>
      <c r="S196" s="72"/>
      <c r="T196" s="72"/>
      <c r="U196" s="72"/>
      <c r="V196" s="72"/>
      <c r="W196" s="72"/>
      <c r="X196" s="141"/>
      <c r="Y196" s="190">
        <f t="shared" si="0"/>
        <v>0</v>
      </c>
      <c r="Z196" s="154">
        <f t="shared" si="46"/>
        <v>0</v>
      </c>
      <c r="AA196" s="263">
        <f t="shared" si="42"/>
        <v>0</v>
      </c>
      <c r="AB196" s="73"/>
    </row>
    <row r="197" spans="1:28" ht="30">
      <c r="A197" s="11"/>
      <c r="B197" s="246"/>
      <c r="C197" s="246"/>
      <c r="D197" s="241"/>
      <c r="E197" s="300"/>
      <c r="F197" s="275"/>
      <c r="G197" s="25"/>
      <c r="H197" s="91"/>
      <c r="I197" s="170" t="s">
        <v>907</v>
      </c>
      <c r="J197" s="155" t="s">
        <v>294</v>
      </c>
      <c r="K197" s="192">
        <v>93</v>
      </c>
      <c r="L197" s="106"/>
      <c r="M197" s="25"/>
      <c r="N197" s="25"/>
      <c r="O197" s="25"/>
      <c r="P197" s="25"/>
      <c r="Q197" s="25"/>
      <c r="R197" s="72"/>
      <c r="S197" s="72"/>
      <c r="T197" s="72"/>
      <c r="U197" s="72"/>
      <c r="V197" s="72"/>
      <c r="W197" s="72"/>
      <c r="X197" s="141"/>
      <c r="Y197" s="190">
        <f t="shared" si="0"/>
        <v>0</v>
      </c>
      <c r="Z197" s="154">
        <f t="shared" si="46"/>
        <v>0</v>
      </c>
      <c r="AA197" s="263">
        <f t="shared" si="42"/>
        <v>0</v>
      </c>
      <c r="AB197" s="73"/>
    </row>
    <row r="198" spans="1:28">
      <c r="A198" s="11"/>
      <c r="B198" s="246"/>
      <c r="C198" s="246"/>
      <c r="D198" s="241"/>
      <c r="E198" s="284"/>
      <c r="F198" s="275" t="s">
        <v>904</v>
      </c>
      <c r="G198" s="25" t="s">
        <v>291</v>
      </c>
      <c r="H198" s="98">
        <f>K198+K199</f>
        <v>442</v>
      </c>
      <c r="I198" s="170" t="s">
        <v>905</v>
      </c>
      <c r="J198" s="155" t="s">
        <v>291</v>
      </c>
      <c r="K198" s="192">
        <v>382</v>
      </c>
      <c r="L198" s="106"/>
      <c r="M198" s="25"/>
      <c r="N198" s="25"/>
      <c r="O198" s="25"/>
      <c r="P198" s="25"/>
      <c r="Q198" s="25"/>
      <c r="R198" s="72"/>
      <c r="S198" s="72">
        <v>128</v>
      </c>
      <c r="T198" s="72">
        <v>342</v>
      </c>
      <c r="U198" s="72"/>
      <c r="V198" s="72"/>
      <c r="W198" s="72"/>
      <c r="X198" s="141"/>
      <c r="Y198" s="190">
        <f t="shared" si="0"/>
        <v>470</v>
      </c>
      <c r="Z198" s="154">
        <f t="shared" si="46"/>
        <v>-28</v>
      </c>
      <c r="AA198" s="263">
        <f t="shared" si="42"/>
        <v>-470</v>
      </c>
      <c r="AB198" s="73"/>
    </row>
    <row r="199" spans="1:28">
      <c r="A199" s="11"/>
      <c r="B199" s="246"/>
      <c r="C199" s="246"/>
      <c r="D199" s="241"/>
      <c r="E199" s="284"/>
      <c r="F199" s="275"/>
      <c r="G199" s="25"/>
      <c r="H199" s="98"/>
      <c r="I199" s="170" t="s">
        <v>906</v>
      </c>
      <c r="J199" s="155" t="s">
        <v>291</v>
      </c>
      <c r="K199" s="192">
        <v>60</v>
      </c>
      <c r="L199" s="106"/>
      <c r="M199" s="25"/>
      <c r="N199" s="25"/>
      <c r="O199" s="25"/>
      <c r="P199" s="25"/>
      <c r="Q199" s="25"/>
      <c r="R199" s="72"/>
      <c r="S199" s="72"/>
      <c r="T199" s="72">
        <v>97</v>
      </c>
      <c r="U199" s="72"/>
      <c r="V199" s="72"/>
      <c r="W199" s="72"/>
      <c r="X199" s="141"/>
      <c r="Y199" s="190">
        <f t="shared" si="0"/>
        <v>97</v>
      </c>
      <c r="Z199" s="154"/>
      <c r="AA199" s="263">
        <f t="shared" si="42"/>
        <v>-97</v>
      </c>
      <c r="AB199" s="73"/>
    </row>
    <row r="200" spans="1:28" ht="30">
      <c r="A200" s="11"/>
      <c r="B200" s="246"/>
      <c r="C200" s="246"/>
      <c r="D200" s="241"/>
      <c r="E200" s="300"/>
      <c r="F200" s="275"/>
      <c r="G200" s="25"/>
      <c r="H200" s="91"/>
      <c r="I200" s="170" t="s">
        <v>908</v>
      </c>
      <c r="J200" s="155" t="s">
        <v>294</v>
      </c>
      <c r="K200" s="192">
        <v>34</v>
      </c>
      <c r="L200" s="106"/>
      <c r="M200" s="25"/>
      <c r="N200" s="25"/>
      <c r="O200" s="25"/>
      <c r="P200" s="25"/>
      <c r="Q200" s="25"/>
      <c r="R200" s="72"/>
      <c r="S200" s="72"/>
      <c r="T200" s="72"/>
      <c r="U200" s="72"/>
      <c r="V200" s="72"/>
      <c r="W200" s="72"/>
      <c r="X200" s="141"/>
      <c r="Y200" s="190">
        <f t="shared" si="0"/>
        <v>0</v>
      </c>
      <c r="Z200" s="154">
        <f t="shared" ref="Z200" si="47">H200-Y200</f>
        <v>0</v>
      </c>
      <c r="AA200" s="263">
        <f t="shared" si="42"/>
        <v>0</v>
      </c>
      <c r="AB200" s="73"/>
    </row>
    <row r="201" spans="1:28">
      <c r="A201" s="11"/>
      <c r="B201" s="246"/>
      <c r="C201" s="246"/>
      <c r="D201" s="241"/>
      <c r="E201" s="300"/>
      <c r="F201" s="275"/>
      <c r="G201" s="25"/>
      <c r="H201" s="91"/>
      <c r="I201" s="170" t="s">
        <v>909</v>
      </c>
      <c r="J201" s="155" t="s">
        <v>294</v>
      </c>
      <c r="K201" s="192">
        <v>15</v>
      </c>
      <c r="L201" s="106"/>
      <c r="M201" s="25"/>
      <c r="N201" s="25"/>
      <c r="O201" s="25"/>
      <c r="P201" s="25"/>
      <c r="Q201" s="25"/>
      <c r="R201" s="72"/>
      <c r="S201" s="72"/>
      <c r="T201" s="72"/>
      <c r="U201" s="72"/>
      <c r="V201" s="72"/>
      <c r="W201" s="72"/>
      <c r="X201" s="141"/>
      <c r="Y201" s="190">
        <f t="shared" si="0"/>
        <v>0</v>
      </c>
      <c r="Z201" s="154">
        <f t="shared" ref="Z201:Z202" si="48">H201-Y201</f>
        <v>0</v>
      </c>
      <c r="AA201" s="263">
        <f t="shared" si="42"/>
        <v>0</v>
      </c>
      <c r="AB201" s="73"/>
    </row>
    <row r="202" spans="1:28">
      <c r="A202" s="11"/>
      <c r="B202" s="246"/>
      <c r="C202" s="246"/>
      <c r="D202" s="241"/>
      <c r="E202" s="300"/>
      <c r="F202" s="275"/>
      <c r="G202" s="25"/>
      <c r="H202" s="91"/>
      <c r="I202" s="170" t="s">
        <v>910</v>
      </c>
      <c r="J202" s="155" t="s">
        <v>291</v>
      </c>
      <c r="K202" s="192">
        <f>K198</f>
        <v>382</v>
      </c>
      <c r="L202" s="106"/>
      <c r="M202" s="25"/>
      <c r="N202" s="25"/>
      <c r="O202" s="25"/>
      <c r="P202" s="25"/>
      <c r="Q202" s="25"/>
      <c r="R202" s="72"/>
      <c r="S202" s="72"/>
      <c r="T202" s="72"/>
      <c r="U202" s="72"/>
      <c r="V202" s="72"/>
      <c r="W202" s="72"/>
      <c r="X202" s="141"/>
      <c r="Y202" s="190">
        <f t="shared" si="0"/>
        <v>0</v>
      </c>
      <c r="Z202" s="154">
        <f t="shared" si="48"/>
        <v>0</v>
      </c>
      <c r="AA202" s="263">
        <f t="shared" si="42"/>
        <v>0</v>
      </c>
      <c r="AB202" s="73"/>
    </row>
    <row r="203" spans="1:28" ht="60">
      <c r="A203" s="11"/>
      <c r="B203" s="246"/>
      <c r="C203" s="246"/>
      <c r="D203" s="241"/>
      <c r="E203" s="300"/>
      <c r="F203" s="275" t="s">
        <v>15</v>
      </c>
      <c r="G203" s="25" t="s">
        <v>289</v>
      </c>
      <c r="H203" s="91">
        <v>0</v>
      </c>
      <c r="I203" s="170"/>
      <c r="J203" s="155"/>
      <c r="K203" s="192"/>
      <c r="L203" s="106"/>
      <c r="M203" s="25"/>
      <c r="N203" s="25"/>
      <c r="O203" s="25"/>
      <c r="P203" s="25"/>
      <c r="Q203" s="173">
        <f>6.73+5.94+90.36</f>
        <v>103.03</v>
      </c>
      <c r="R203" s="369">
        <f>233*0.6*0.6</f>
        <v>83.879999999999981</v>
      </c>
      <c r="S203" s="369">
        <f>2.04+1.8+70.92</f>
        <v>74.760000000000005</v>
      </c>
      <c r="T203" s="369">
        <f>130.68</f>
        <v>130.68</v>
      </c>
      <c r="U203" s="72"/>
      <c r="V203" s="72"/>
      <c r="W203" s="72"/>
      <c r="X203" s="141"/>
      <c r="Y203" s="190">
        <f t="shared" si="0"/>
        <v>392.34999999999997</v>
      </c>
      <c r="Z203" s="154">
        <f t="shared" si="41"/>
        <v>-392.34999999999997</v>
      </c>
      <c r="AA203" s="263">
        <f t="shared" si="42"/>
        <v>-392.34999999999997</v>
      </c>
      <c r="AB203" s="73"/>
    </row>
    <row r="204" spans="1:28" ht="30">
      <c r="A204" s="11"/>
      <c r="B204" s="246"/>
      <c r="C204" s="246"/>
      <c r="D204" s="241"/>
      <c r="E204" s="300"/>
      <c r="F204" s="275" t="s">
        <v>19</v>
      </c>
      <c r="G204" s="25" t="s">
        <v>289</v>
      </c>
      <c r="H204" s="91">
        <v>0</v>
      </c>
      <c r="I204" s="170"/>
      <c r="J204" s="155"/>
      <c r="K204" s="192"/>
      <c r="L204" s="106"/>
      <c r="M204" s="25"/>
      <c r="N204" s="25"/>
      <c r="O204" s="25"/>
      <c r="P204" s="25"/>
      <c r="Q204" s="173">
        <v>16.57</v>
      </c>
      <c r="R204" s="369">
        <f>233*0.6*0.1*1.1</f>
        <v>15.378</v>
      </c>
      <c r="S204" s="369">
        <v>13</v>
      </c>
      <c r="T204" s="369">
        <f>23.96</f>
        <v>23.96</v>
      </c>
      <c r="U204" s="72"/>
      <c r="V204" s="72"/>
      <c r="W204" s="72"/>
      <c r="X204" s="141"/>
      <c r="Y204" s="190">
        <f t="shared" si="0"/>
        <v>68.908000000000001</v>
      </c>
      <c r="Z204" s="154">
        <f t="shared" si="41"/>
        <v>-68.908000000000001</v>
      </c>
      <c r="AA204" s="263">
        <f t="shared" si="42"/>
        <v>-68.908000000000001</v>
      </c>
      <c r="AB204" s="73"/>
    </row>
    <row r="205" spans="1:28" ht="60">
      <c r="A205" s="11"/>
      <c r="B205" s="246"/>
      <c r="C205" s="246"/>
      <c r="D205" s="241"/>
      <c r="E205" s="300"/>
      <c r="F205" s="275" t="s">
        <v>59</v>
      </c>
      <c r="G205" s="25" t="s">
        <v>289</v>
      </c>
      <c r="H205" s="91">
        <v>0</v>
      </c>
      <c r="I205" s="170"/>
      <c r="J205" s="155"/>
      <c r="K205" s="192"/>
      <c r="L205" s="106"/>
      <c r="M205" s="25"/>
      <c r="N205" s="25"/>
      <c r="O205" s="25"/>
      <c r="P205" s="25"/>
      <c r="Q205" s="173">
        <v>56.23</v>
      </c>
      <c r="R205" s="369"/>
      <c r="S205" s="369">
        <v>40.99</v>
      </c>
      <c r="T205" s="369"/>
      <c r="U205" s="72"/>
      <c r="V205" s="72"/>
      <c r="W205" s="72"/>
      <c r="X205" s="141"/>
      <c r="Y205" s="190">
        <f t="shared" si="0"/>
        <v>97.22</v>
      </c>
      <c r="Z205" s="154">
        <f t="shared" si="41"/>
        <v>-97.22</v>
      </c>
      <c r="AA205" s="263">
        <f t="shared" si="42"/>
        <v>-97.22</v>
      </c>
      <c r="AB205" s="73"/>
    </row>
    <row r="206" spans="1:28" ht="30">
      <c r="A206" s="11"/>
      <c r="B206" s="246"/>
      <c r="C206" s="246"/>
      <c r="D206" s="241"/>
      <c r="E206" s="300"/>
      <c r="F206" s="275" t="s">
        <v>63</v>
      </c>
      <c r="G206" s="25" t="s">
        <v>289</v>
      </c>
      <c r="H206" s="91">
        <v>0.29499999999999998</v>
      </c>
      <c r="I206" s="170" t="s">
        <v>896</v>
      </c>
      <c r="J206" s="155" t="s">
        <v>291</v>
      </c>
      <c r="K206" s="209">
        <v>95</v>
      </c>
      <c r="L206" s="106"/>
      <c r="M206" s="25"/>
      <c r="N206" s="25"/>
      <c r="O206" s="25"/>
      <c r="P206" s="25"/>
      <c r="Q206" s="173">
        <f>30.12</f>
        <v>30.12</v>
      </c>
      <c r="R206" s="369"/>
      <c r="S206" s="369">
        <v>23.64</v>
      </c>
      <c r="T206" s="369"/>
      <c r="U206" s="72"/>
      <c r="V206" s="72"/>
      <c r="W206" s="72"/>
      <c r="X206" s="141"/>
      <c r="Y206" s="190">
        <f t="shared" si="0"/>
        <v>53.760000000000005</v>
      </c>
      <c r="Z206" s="154">
        <f t="shared" si="41"/>
        <v>-53.465000000000003</v>
      </c>
      <c r="AA206" s="263">
        <f t="shared" si="42"/>
        <v>-53.760000000000005</v>
      </c>
      <c r="AB206" s="73"/>
    </row>
    <row r="207" spans="1:28">
      <c r="A207" s="11"/>
      <c r="B207" s="246"/>
      <c r="C207" s="246"/>
      <c r="D207" s="241"/>
      <c r="E207" s="300"/>
      <c r="F207" s="275" t="s">
        <v>895</v>
      </c>
      <c r="G207" s="25"/>
      <c r="H207" s="91"/>
      <c r="I207" s="170" t="s">
        <v>897</v>
      </c>
      <c r="J207" s="155" t="s">
        <v>294</v>
      </c>
      <c r="K207" s="209">
        <v>3</v>
      </c>
      <c r="L207" s="106"/>
      <c r="M207" s="25"/>
      <c r="N207" s="25"/>
      <c r="O207" s="25"/>
      <c r="P207" s="25"/>
      <c r="Q207" s="25"/>
      <c r="R207" s="72"/>
      <c r="S207" s="72"/>
      <c r="T207" s="72"/>
      <c r="U207" s="72"/>
      <c r="V207" s="72"/>
      <c r="W207" s="72"/>
      <c r="X207" s="141"/>
      <c r="Y207" s="190">
        <f t="shared" si="0"/>
        <v>0</v>
      </c>
      <c r="Z207" s="154">
        <f t="shared" ref="Z207:Z210" si="49">H207-Y207</f>
        <v>0</v>
      </c>
      <c r="AA207" s="263">
        <f t="shared" si="42"/>
        <v>0</v>
      </c>
      <c r="AB207" s="73"/>
    </row>
    <row r="208" spans="1:28">
      <c r="A208" s="11"/>
      <c r="B208" s="246"/>
      <c r="C208" s="246"/>
      <c r="D208" s="241"/>
      <c r="E208" s="300"/>
      <c r="F208" s="275"/>
      <c r="G208" s="25"/>
      <c r="H208" s="91"/>
      <c r="I208" s="170" t="s">
        <v>898</v>
      </c>
      <c r="J208" s="155" t="s">
        <v>294</v>
      </c>
      <c r="K208" s="209">
        <v>6</v>
      </c>
      <c r="L208" s="106"/>
      <c r="M208" s="25"/>
      <c r="N208" s="25"/>
      <c r="O208" s="25"/>
      <c r="P208" s="25"/>
      <c r="Q208" s="25"/>
      <c r="R208" s="72"/>
      <c r="S208" s="72"/>
      <c r="T208" s="72"/>
      <c r="U208" s="72"/>
      <c r="V208" s="72"/>
      <c r="W208" s="72"/>
      <c r="X208" s="141"/>
      <c r="Y208" s="190">
        <f t="shared" si="0"/>
        <v>0</v>
      </c>
      <c r="Z208" s="154">
        <f t="shared" si="49"/>
        <v>0</v>
      </c>
      <c r="AA208" s="263">
        <f t="shared" si="42"/>
        <v>0</v>
      </c>
      <c r="AB208" s="73"/>
    </row>
    <row r="209" spans="1:28">
      <c r="A209" s="11"/>
      <c r="B209" s="246"/>
      <c r="C209" s="246"/>
      <c r="D209" s="241"/>
      <c r="E209" s="300"/>
      <c r="F209" s="275"/>
      <c r="G209" s="25"/>
      <c r="H209" s="91"/>
      <c r="I209" s="170" t="s">
        <v>899</v>
      </c>
      <c r="J209" s="155" t="s">
        <v>600</v>
      </c>
      <c r="K209" s="209">
        <v>4</v>
      </c>
      <c r="L209" s="106"/>
      <c r="M209" s="25"/>
      <c r="N209" s="25"/>
      <c r="O209" s="25"/>
      <c r="P209" s="25"/>
      <c r="Q209" s="25"/>
      <c r="R209" s="72"/>
      <c r="S209" s="72"/>
      <c r="T209" s="72"/>
      <c r="U209" s="72"/>
      <c r="V209" s="72"/>
      <c r="W209" s="72"/>
      <c r="X209" s="141"/>
      <c r="Y209" s="190">
        <f t="shared" si="0"/>
        <v>0</v>
      </c>
      <c r="Z209" s="154">
        <f t="shared" si="49"/>
        <v>0</v>
      </c>
      <c r="AA209" s="263">
        <f t="shared" si="42"/>
        <v>0</v>
      </c>
      <c r="AB209" s="73"/>
    </row>
    <row r="210" spans="1:28">
      <c r="A210" s="11"/>
      <c r="B210" s="246"/>
      <c r="C210" s="246"/>
      <c r="D210" s="241"/>
      <c r="E210" s="300"/>
      <c r="F210" s="275"/>
      <c r="G210" s="25"/>
      <c r="H210" s="91"/>
      <c r="I210" s="170" t="s">
        <v>900</v>
      </c>
      <c r="J210" s="155" t="s">
        <v>294</v>
      </c>
      <c r="K210" s="209">
        <v>4</v>
      </c>
      <c r="L210" s="106"/>
      <c r="M210" s="25"/>
      <c r="N210" s="25"/>
      <c r="O210" s="25"/>
      <c r="P210" s="25"/>
      <c r="Q210" s="25"/>
      <c r="R210" s="72"/>
      <c r="S210" s="72"/>
      <c r="T210" s="72"/>
      <c r="U210" s="72"/>
      <c r="V210" s="72"/>
      <c r="W210" s="72"/>
      <c r="X210" s="141"/>
      <c r="Y210" s="190">
        <f t="shared" si="0"/>
        <v>0</v>
      </c>
      <c r="Z210" s="154">
        <f t="shared" si="49"/>
        <v>0</v>
      </c>
      <c r="AA210" s="263">
        <f t="shared" si="42"/>
        <v>0</v>
      </c>
      <c r="AB210" s="73"/>
    </row>
    <row r="211" spans="1:28" s="225" customFormat="1" ht="15.75">
      <c r="A211" s="149"/>
      <c r="B211" s="337"/>
      <c r="C211" s="338"/>
      <c r="D211" s="173"/>
      <c r="E211" s="177"/>
      <c r="F211" s="275" t="s">
        <v>1063</v>
      </c>
      <c r="G211" s="25"/>
      <c r="H211" s="91"/>
      <c r="I211" s="170"/>
      <c r="J211" s="25"/>
      <c r="K211" s="155"/>
      <c r="L211" s="106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107"/>
      <c r="Y211" s="349"/>
      <c r="Z211" s="155"/>
      <c r="AA211" s="339"/>
      <c r="AB211" s="73"/>
    </row>
    <row r="212" spans="1:28" s="65" customFormat="1" ht="15.75">
      <c r="A212" s="68"/>
      <c r="B212" s="297"/>
      <c r="C212" s="298" t="s">
        <v>427</v>
      </c>
      <c r="D212" s="297"/>
      <c r="E212" s="299"/>
      <c r="F212" s="279" t="s">
        <v>427</v>
      </c>
      <c r="G212" s="69"/>
      <c r="H212" s="134"/>
      <c r="I212" s="216"/>
      <c r="J212" s="217"/>
      <c r="K212" s="220"/>
      <c r="L212" s="68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70"/>
      <c r="Y212" s="360">
        <f t="shared" si="0"/>
        <v>0</v>
      </c>
      <c r="Z212" s="157"/>
      <c r="AA212" s="157"/>
      <c r="AB212" s="261"/>
    </row>
    <row r="213" spans="1:28">
      <c r="A213" s="11"/>
      <c r="B213" s="246"/>
      <c r="C213" s="246"/>
      <c r="D213" s="241"/>
      <c r="E213" s="284"/>
      <c r="F213" s="275" t="s">
        <v>418</v>
      </c>
      <c r="G213" s="25" t="s">
        <v>289</v>
      </c>
      <c r="H213" s="98">
        <v>0</v>
      </c>
      <c r="I213" s="200"/>
      <c r="J213" s="154"/>
      <c r="K213" s="192"/>
      <c r="L213" s="126"/>
      <c r="M213" s="72"/>
      <c r="N213" s="72"/>
      <c r="O213" s="72">
        <f>80.78+71.28</f>
        <v>152.06</v>
      </c>
      <c r="P213" s="72"/>
      <c r="Q213" s="72"/>
      <c r="R213" s="72"/>
      <c r="S213" s="72"/>
      <c r="T213" s="369">
        <f>70.8+8.4</f>
        <v>79.2</v>
      </c>
      <c r="U213" s="369">
        <f>63+4.08+3.6</f>
        <v>70.679999999999993</v>
      </c>
      <c r="V213" s="72"/>
      <c r="W213" s="72"/>
      <c r="X213" s="141"/>
      <c r="Y213" s="190">
        <f t="shared" si="0"/>
        <v>301.94</v>
      </c>
      <c r="Z213" s="154">
        <f t="shared" ref="Z213:Z221" si="50">H213-Y213</f>
        <v>-301.94</v>
      </c>
      <c r="AA213" s="263">
        <f t="shared" ref="AA213:AA276" si="51">E213-Y213</f>
        <v>-301.94</v>
      </c>
      <c r="AB213" s="48"/>
    </row>
    <row r="214" spans="1:28" ht="30">
      <c r="A214" s="11"/>
      <c r="B214" s="246"/>
      <c r="C214" s="246"/>
      <c r="D214" s="241"/>
      <c r="E214" s="284"/>
      <c r="F214" s="274" t="s">
        <v>19</v>
      </c>
      <c r="G214" s="5" t="s">
        <v>289</v>
      </c>
      <c r="H214" s="99">
        <v>0</v>
      </c>
      <c r="I214" s="200" t="s">
        <v>500</v>
      </c>
      <c r="J214" s="154" t="s">
        <v>289</v>
      </c>
      <c r="K214" s="192"/>
      <c r="L214" s="114"/>
      <c r="M214" s="46"/>
      <c r="N214" s="46"/>
      <c r="O214" s="46"/>
      <c r="P214" s="46"/>
      <c r="Q214" s="46"/>
      <c r="R214" s="46"/>
      <c r="S214" s="46"/>
      <c r="T214" s="369">
        <f>7.8+0.9</f>
        <v>8.6999999999999993</v>
      </c>
      <c r="U214" s="369">
        <f>11.55</f>
        <v>11.55</v>
      </c>
      <c r="V214" s="46"/>
      <c r="W214" s="46"/>
      <c r="X214" s="140"/>
      <c r="Y214" s="190">
        <f t="shared" si="0"/>
        <v>20.25</v>
      </c>
      <c r="Z214" s="152">
        <f t="shared" si="50"/>
        <v>-20.25</v>
      </c>
      <c r="AA214" s="263">
        <f t="shared" si="51"/>
        <v>-20.25</v>
      </c>
      <c r="AB214" s="48"/>
    </row>
    <row r="215" spans="1:28" ht="60">
      <c r="A215" s="11"/>
      <c r="B215" s="246"/>
      <c r="C215" s="246"/>
      <c r="D215" s="241"/>
      <c r="E215" s="284"/>
      <c r="F215" s="274" t="s">
        <v>59</v>
      </c>
      <c r="G215" s="5" t="s">
        <v>289</v>
      </c>
      <c r="H215" s="99">
        <v>0</v>
      </c>
      <c r="I215" s="200" t="s">
        <v>500</v>
      </c>
      <c r="J215" s="154" t="s">
        <v>289</v>
      </c>
      <c r="K215" s="192"/>
      <c r="L215" s="114"/>
      <c r="M215" s="46"/>
      <c r="N215" s="46"/>
      <c r="O215" s="46">
        <v>78.41</v>
      </c>
      <c r="P215" s="46"/>
      <c r="Q215" s="46"/>
      <c r="R215" s="46"/>
      <c r="S215" s="46"/>
      <c r="T215" s="369">
        <f>23.4+2.8</f>
        <v>26.2</v>
      </c>
      <c r="U215" s="369">
        <v>38.61</v>
      </c>
      <c r="V215" s="46"/>
      <c r="W215" s="46"/>
      <c r="X215" s="140"/>
      <c r="Y215" s="190">
        <f t="shared" si="0"/>
        <v>143.22</v>
      </c>
      <c r="Z215" s="152">
        <f t="shared" si="50"/>
        <v>-143.22</v>
      </c>
      <c r="AA215" s="263">
        <f t="shared" si="51"/>
        <v>-143.22</v>
      </c>
      <c r="AB215" s="48"/>
    </row>
    <row r="216" spans="1:28" ht="30">
      <c r="A216" s="11"/>
      <c r="B216" s="246"/>
      <c r="C216" s="246"/>
      <c r="D216" s="241"/>
      <c r="E216" s="284"/>
      <c r="F216" s="274" t="s">
        <v>63</v>
      </c>
      <c r="G216" s="5" t="s">
        <v>289</v>
      </c>
      <c r="H216" s="99">
        <v>0</v>
      </c>
      <c r="I216" s="200"/>
      <c r="J216" s="154"/>
      <c r="K216" s="192"/>
      <c r="L216" s="114"/>
      <c r="M216" s="46"/>
      <c r="N216" s="46"/>
      <c r="O216" s="46">
        <v>80.78</v>
      </c>
      <c r="P216" s="46"/>
      <c r="Q216" s="46"/>
      <c r="R216" s="46"/>
      <c r="S216" s="46"/>
      <c r="T216" s="369">
        <f>23.4+21.2+2.8+2.5</f>
        <v>49.899999999999991</v>
      </c>
      <c r="U216" s="369">
        <v>21</v>
      </c>
      <c r="V216" s="46"/>
      <c r="W216" s="46"/>
      <c r="X216" s="140"/>
      <c r="Y216" s="190">
        <f t="shared" si="0"/>
        <v>151.68</v>
      </c>
      <c r="Z216" s="152">
        <f t="shared" si="50"/>
        <v>-151.68</v>
      </c>
      <c r="AA216" s="263">
        <f t="shared" si="51"/>
        <v>-151.68</v>
      </c>
      <c r="AB216" s="48"/>
    </row>
    <row r="217" spans="1:28">
      <c r="A217" s="11"/>
      <c r="B217" s="246" t="s">
        <v>158</v>
      </c>
      <c r="C217" s="246" t="s">
        <v>357</v>
      </c>
      <c r="D217" s="241" t="s">
        <v>291</v>
      </c>
      <c r="E217" s="284">
        <v>700</v>
      </c>
      <c r="F217" s="274" t="s">
        <v>357</v>
      </c>
      <c r="G217" s="5" t="s">
        <v>291</v>
      </c>
      <c r="H217" s="99">
        <v>700</v>
      </c>
      <c r="I217" s="200" t="s">
        <v>912</v>
      </c>
      <c r="J217" s="154" t="s">
        <v>291</v>
      </c>
      <c r="K217" s="192">
        <v>2</v>
      </c>
      <c r="L217" s="114"/>
      <c r="M217" s="46"/>
      <c r="N217" s="46"/>
      <c r="O217" s="46">
        <v>512</v>
      </c>
      <c r="P217" s="46"/>
      <c r="Q217" s="46"/>
      <c r="R217" s="46"/>
      <c r="S217" s="46"/>
      <c r="T217" s="369"/>
      <c r="U217" s="369"/>
      <c r="V217" s="46"/>
      <c r="W217" s="46"/>
      <c r="X217" s="140"/>
      <c r="Y217" s="190">
        <f t="shared" ref="Y217:Y287" si="52">SUM(L217:X217)</f>
        <v>512</v>
      </c>
      <c r="Z217" s="152">
        <f t="shared" si="50"/>
        <v>188</v>
      </c>
      <c r="AA217" s="263">
        <f t="shared" si="51"/>
        <v>188</v>
      </c>
      <c r="AB217" s="48"/>
    </row>
    <row r="218" spans="1:28" ht="30">
      <c r="A218" s="11"/>
      <c r="B218" s="246"/>
      <c r="C218" s="246"/>
      <c r="D218" s="241"/>
      <c r="E218" s="284"/>
      <c r="F218" s="274" t="s">
        <v>183</v>
      </c>
      <c r="G218" s="5" t="s">
        <v>291</v>
      </c>
      <c r="H218" s="99">
        <v>0</v>
      </c>
      <c r="I218" s="200"/>
      <c r="J218" s="154"/>
      <c r="K218" s="192"/>
      <c r="L218" s="114"/>
      <c r="M218" s="46"/>
      <c r="N218" s="46"/>
      <c r="O218" s="46">
        <f>280+56</f>
        <v>336</v>
      </c>
      <c r="P218" s="46"/>
      <c r="Q218" s="46"/>
      <c r="R218" s="46"/>
      <c r="S218" s="46"/>
      <c r="T218" s="369">
        <v>8</v>
      </c>
      <c r="U218" s="369"/>
      <c r="V218" s="46"/>
      <c r="W218" s="46"/>
      <c r="X218" s="140"/>
      <c r="Y218" s="190">
        <f t="shared" si="52"/>
        <v>344</v>
      </c>
      <c r="Z218" s="152">
        <f t="shared" si="50"/>
        <v>-344</v>
      </c>
      <c r="AA218" s="263">
        <f t="shared" si="51"/>
        <v>-344</v>
      </c>
      <c r="AB218" s="48"/>
    </row>
    <row r="219" spans="1:28" ht="30">
      <c r="A219" s="11"/>
      <c r="B219" s="246"/>
      <c r="C219" s="246"/>
      <c r="D219" s="241"/>
      <c r="E219" s="284"/>
      <c r="F219" s="274" t="s">
        <v>221</v>
      </c>
      <c r="G219" s="5" t="s">
        <v>291</v>
      </c>
      <c r="H219" s="99">
        <v>0</v>
      </c>
      <c r="I219" s="200"/>
      <c r="J219" s="154"/>
      <c r="K219" s="192"/>
      <c r="L219" s="114"/>
      <c r="M219" s="46"/>
      <c r="N219" s="46"/>
      <c r="O219" s="46">
        <f>232+14</f>
        <v>246</v>
      </c>
      <c r="P219" s="46"/>
      <c r="Q219" s="46"/>
      <c r="R219" s="46"/>
      <c r="S219" s="46"/>
      <c r="T219" s="369">
        <f>182+280</f>
        <v>462</v>
      </c>
      <c r="U219" s="369">
        <f>129</f>
        <v>129</v>
      </c>
      <c r="V219" s="46"/>
      <c r="W219" s="46"/>
      <c r="X219" s="140"/>
      <c r="Y219" s="190">
        <f t="shared" si="52"/>
        <v>837</v>
      </c>
      <c r="Z219" s="152">
        <f t="shared" si="50"/>
        <v>-837</v>
      </c>
      <c r="AA219" s="263">
        <f t="shared" si="51"/>
        <v>-837</v>
      </c>
      <c r="AB219" s="48"/>
    </row>
    <row r="220" spans="1:28" ht="30">
      <c r="A220" s="149"/>
      <c r="B220" s="246"/>
      <c r="C220" s="246"/>
      <c r="D220" s="241"/>
      <c r="E220" s="300"/>
      <c r="F220" s="275" t="s">
        <v>460</v>
      </c>
      <c r="G220" s="25" t="s">
        <v>291</v>
      </c>
      <c r="H220" s="91">
        <v>0</v>
      </c>
      <c r="I220" s="170" t="s">
        <v>911</v>
      </c>
      <c r="J220" s="155" t="s">
        <v>291</v>
      </c>
      <c r="K220" s="193">
        <v>26</v>
      </c>
      <c r="L220" s="106"/>
      <c r="M220" s="25"/>
      <c r="N220" s="25"/>
      <c r="O220" s="25"/>
      <c r="P220" s="25"/>
      <c r="Q220" s="25"/>
      <c r="R220" s="72"/>
      <c r="S220" s="72">
        <v>396</v>
      </c>
      <c r="T220" s="369"/>
      <c r="U220" s="369"/>
      <c r="V220" s="72"/>
      <c r="W220" s="72"/>
      <c r="X220" s="141"/>
      <c r="Y220" s="190">
        <f t="shared" si="52"/>
        <v>396</v>
      </c>
      <c r="Z220" s="152">
        <f t="shared" si="50"/>
        <v>-396</v>
      </c>
      <c r="AA220" s="263">
        <f t="shared" si="51"/>
        <v>-396</v>
      </c>
      <c r="AB220" s="73"/>
    </row>
    <row r="221" spans="1:28" ht="60">
      <c r="A221" s="11"/>
      <c r="B221" s="246"/>
      <c r="C221" s="246"/>
      <c r="D221" s="241"/>
      <c r="E221" s="284"/>
      <c r="F221" s="272" t="s">
        <v>352</v>
      </c>
      <c r="G221" s="173" t="s">
        <v>294</v>
      </c>
      <c r="H221" s="229">
        <f>K221+K222+K223+K224</f>
        <v>16</v>
      </c>
      <c r="I221" s="200" t="s">
        <v>913</v>
      </c>
      <c r="J221" s="154" t="s">
        <v>294</v>
      </c>
      <c r="K221" s="192">
        <v>4</v>
      </c>
      <c r="L221" s="126"/>
      <c r="M221" s="72"/>
      <c r="N221" s="72"/>
      <c r="O221" s="72"/>
      <c r="P221" s="72"/>
      <c r="Q221" s="72"/>
      <c r="R221" s="72"/>
      <c r="S221" s="72"/>
      <c r="T221" s="369"/>
      <c r="U221" s="369"/>
      <c r="V221" s="72"/>
      <c r="W221" s="72"/>
      <c r="X221" s="141"/>
      <c r="Y221" s="190">
        <f t="shared" si="52"/>
        <v>0</v>
      </c>
      <c r="Z221" s="154">
        <f t="shared" si="50"/>
        <v>16</v>
      </c>
      <c r="AA221" s="263">
        <f t="shared" si="51"/>
        <v>0</v>
      </c>
      <c r="AB221" s="48"/>
    </row>
    <row r="222" spans="1:28" ht="30">
      <c r="A222" s="11"/>
      <c r="B222" s="246"/>
      <c r="C222" s="246"/>
      <c r="D222" s="241"/>
      <c r="E222" s="284"/>
      <c r="F222" s="272"/>
      <c r="G222" s="173"/>
      <c r="H222" s="229"/>
      <c r="I222" s="200" t="s">
        <v>914</v>
      </c>
      <c r="J222" s="154" t="s">
        <v>294</v>
      </c>
      <c r="K222" s="192">
        <v>8</v>
      </c>
      <c r="L222" s="126"/>
      <c r="M222" s="72"/>
      <c r="N222" s="72"/>
      <c r="O222" s="72"/>
      <c r="P222" s="72"/>
      <c r="Q222" s="72"/>
      <c r="R222" s="72"/>
      <c r="S222" s="72"/>
      <c r="T222" s="369">
        <v>26</v>
      </c>
      <c r="U222" s="369"/>
      <c r="V222" s="72"/>
      <c r="W222" s="72"/>
      <c r="X222" s="141"/>
      <c r="Y222" s="190">
        <f t="shared" si="52"/>
        <v>26</v>
      </c>
      <c r="Z222" s="154">
        <f t="shared" ref="Z222:Z224" si="53">H222-Y222</f>
        <v>-26</v>
      </c>
      <c r="AA222" s="263">
        <f t="shared" si="51"/>
        <v>-26</v>
      </c>
      <c r="AB222" s="48"/>
    </row>
    <row r="223" spans="1:28" ht="30">
      <c r="A223" s="11"/>
      <c r="B223" s="246"/>
      <c r="C223" s="246"/>
      <c r="D223" s="241"/>
      <c r="E223" s="284"/>
      <c r="F223" s="272"/>
      <c r="G223" s="173"/>
      <c r="H223" s="229"/>
      <c r="I223" s="200" t="s">
        <v>915</v>
      </c>
      <c r="J223" s="154" t="s">
        <v>294</v>
      </c>
      <c r="K223" s="192">
        <v>2</v>
      </c>
      <c r="L223" s="126"/>
      <c r="M223" s="72"/>
      <c r="N223" s="72"/>
      <c r="O223" s="72"/>
      <c r="P223" s="72"/>
      <c r="Q223" s="72"/>
      <c r="R223" s="72"/>
      <c r="S223" s="72"/>
      <c r="T223" s="369">
        <v>4</v>
      </c>
      <c r="U223" s="369"/>
      <c r="V223" s="72"/>
      <c r="W223" s="72"/>
      <c r="X223" s="141"/>
      <c r="Y223" s="190">
        <f t="shared" si="52"/>
        <v>4</v>
      </c>
      <c r="Z223" s="154">
        <f t="shared" si="53"/>
        <v>-4</v>
      </c>
      <c r="AA223" s="263">
        <f t="shared" si="51"/>
        <v>-4</v>
      </c>
      <c r="AB223" s="48"/>
    </row>
    <row r="224" spans="1:28" ht="30">
      <c r="A224" s="11"/>
      <c r="B224" s="246"/>
      <c r="C224" s="246"/>
      <c r="D224" s="241"/>
      <c r="E224" s="284"/>
      <c r="F224" s="272"/>
      <c r="G224" s="173"/>
      <c r="H224" s="229"/>
      <c r="I224" s="200" t="s">
        <v>916</v>
      </c>
      <c r="J224" s="154" t="s">
        <v>294</v>
      </c>
      <c r="K224" s="192">
        <v>2</v>
      </c>
      <c r="L224" s="126"/>
      <c r="M224" s="72"/>
      <c r="N224" s="72"/>
      <c r="O224" s="72"/>
      <c r="P224" s="72"/>
      <c r="Q224" s="72"/>
      <c r="R224" s="72"/>
      <c r="S224" s="72"/>
      <c r="T224" s="369"/>
      <c r="U224" s="369"/>
      <c r="V224" s="72"/>
      <c r="W224" s="72"/>
      <c r="X224" s="141"/>
      <c r="Y224" s="190">
        <f t="shared" si="52"/>
        <v>0</v>
      </c>
      <c r="Z224" s="154">
        <f t="shared" si="53"/>
        <v>0</v>
      </c>
      <c r="AA224" s="263">
        <f t="shared" si="51"/>
        <v>0</v>
      </c>
      <c r="AB224" s="48"/>
    </row>
    <row r="225" spans="1:28" ht="45">
      <c r="A225" s="11"/>
      <c r="B225" s="246"/>
      <c r="C225" s="246"/>
      <c r="D225" s="241"/>
      <c r="E225" s="284"/>
      <c r="F225" s="272" t="s">
        <v>350</v>
      </c>
      <c r="G225" s="173" t="s">
        <v>294</v>
      </c>
      <c r="H225" s="229">
        <f>K225+K226+K227</f>
        <v>8</v>
      </c>
      <c r="I225" s="200" t="s">
        <v>917</v>
      </c>
      <c r="J225" s="154" t="s">
        <v>294</v>
      </c>
      <c r="K225" s="192">
        <v>4</v>
      </c>
      <c r="L225" s="114"/>
      <c r="M225" s="46"/>
      <c r="N225" s="46"/>
      <c r="O225" s="46"/>
      <c r="P225" s="46"/>
      <c r="Q225" s="46"/>
      <c r="R225" s="46"/>
      <c r="S225" s="46"/>
      <c r="T225" s="369"/>
      <c r="U225" s="369"/>
      <c r="V225" s="46"/>
      <c r="W225" s="46"/>
      <c r="X225" s="140"/>
      <c r="Y225" s="190">
        <f t="shared" si="52"/>
        <v>0</v>
      </c>
      <c r="Z225" s="154">
        <f t="shared" ref="Z225:Z232" si="54">H225-Y225</f>
        <v>8</v>
      </c>
      <c r="AA225" s="263">
        <f t="shared" si="51"/>
        <v>0</v>
      </c>
      <c r="AB225" s="48"/>
    </row>
    <row r="226" spans="1:28" ht="30">
      <c r="A226" s="11"/>
      <c r="B226" s="246"/>
      <c r="C226" s="246"/>
      <c r="D226" s="241"/>
      <c r="E226" s="284"/>
      <c r="F226" s="270"/>
      <c r="G226" s="26"/>
      <c r="H226" s="198"/>
      <c r="I226" s="200" t="s">
        <v>918</v>
      </c>
      <c r="J226" s="154" t="s">
        <v>294</v>
      </c>
      <c r="K226" s="192">
        <v>2</v>
      </c>
      <c r="L226" s="114"/>
      <c r="M226" s="46"/>
      <c r="N226" s="46"/>
      <c r="O226" s="46"/>
      <c r="P226" s="46"/>
      <c r="Q226" s="46"/>
      <c r="R226" s="46"/>
      <c r="S226" s="46"/>
      <c r="T226" s="369"/>
      <c r="U226" s="369"/>
      <c r="V226" s="46"/>
      <c r="W226" s="46"/>
      <c r="X226" s="140"/>
      <c r="Y226" s="190">
        <f t="shared" si="52"/>
        <v>0</v>
      </c>
      <c r="Z226" s="154">
        <f t="shared" si="54"/>
        <v>0</v>
      </c>
      <c r="AA226" s="263">
        <f t="shared" si="51"/>
        <v>0</v>
      </c>
      <c r="AB226" s="48"/>
    </row>
    <row r="227" spans="1:28" ht="30">
      <c r="A227" s="11"/>
      <c r="B227" s="246"/>
      <c r="C227" s="246"/>
      <c r="D227" s="241"/>
      <c r="E227" s="284"/>
      <c r="F227" s="270"/>
      <c r="G227" s="26"/>
      <c r="H227" s="198"/>
      <c r="I227" s="200" t="s">
        <v>919</v>
      </c>
      <c r="J227" s="154" t="s">
        <v>294</v>
      </c>
      <c r="K227" s="192">
        <v>2</v>
      </c>
      <c r="L227" s="114"/>
      <c r="M227" s="46"/>
      <c r="N227" s="46"/>
      <c r="O227" s="46"/>
      <c r="P227" s="46"/>
      <c r="Q227" s="46"/>
      <c r="R227" s="46"/>
      <c r="S227" s="46"/>
      <c r="T227" s="369">
        <v>4</v>
      </c>
      <c r="U227" s="369"/>
      <c r="V227" s="46"/>
      <c r="W227" s="46"/>
      <c r="X227" s="140"/>
      <c r="Y227" s="190">
        <f t="shared" si="52"/>
        <v>4</v>
      </c>
      <c r="Z227" s="154">
        <f t="shared" si="54"/>
        <v>-4</v>
      </c>
      <c r="AA227" s="263">
        <f t="shared" si="51"/>
        <v>-4</v>
      </c>
      <c r="AB227" s="48"/>
    </row>
    <row r="228" spans="1:28">
      <c r="A228" s="11"/>
      <c r="B228" s="246"/>
      <c r="C228" s="246"/>
      <c r="D228" s="241"/>
      <c r="E228" s="284"/>
      <c r="F228" s="270"/>
      <c r="G228" s="26"/>
      <c r="H228" s="198"/>
      <c r="I228" s="200" t="s">
        <v>893</v>
      </c>
      <c r="J228" s="154" t="s">
        <v>294</v>
      </c>
      <c r="K228" s="192">
        <v>6</v>
      </c>
      <c r="L228" s="114"/>
      <c r="M228" s="46"/>
      <c r="N228" s="46"/>
      <c r="O228" s="46"/>
      <c r="P228" s="46"/>
      <c r="Q228" s="46"/>
      <c r="R228" s="46"/>
      <c r="S228" s="46"/>
      <c r="T228" s="369"/>
      <c r="U228" s="369"/>
      <c r="V228" s="46"/>
      <c r="W228" s="46"/>
      <c r="X228" s="140"/>
      <c r="Y228" s="190">
        <f t="shared" si="52"/>
        <v>0</v>
      </c>
      <c r="Z228" s="154">
        <f t="shared" si="54"/>
        <v>0</v>
      </c>
      <c r="AA228" s="263">
        <f t="shared" si="51"/>
        <v>0</v>
      </c>
      <c r="AB228" s="48"/>
    </row>
    <row r="229" spans="1:28" ht="30">
      <c r="A229" s="11"/>
      <c r="B229" s="246"/>
      <c r="C229" s="246"/>
      <c r="D229" s="241"/>
      <c r="E229" s="284"/>
      <c r="F229" s="270"/>
      <c r="G229" s="26"/>
      <c r="H229" s="198"/>
      <c r="I229" s="200" t="s">
        <v>920</v>
      </c>
      <c r="J229" s="154" t="s">
        <v>294</v>
      </c>
      <c r="K229" s="192">
        <v>10</v>
      </c>
      <c r="L229" s="114"/>
      <c r="M229" s="46"/>
      <c r="N229" s="46"/>
      <c r="O229" s="46"/>
      <c r="P229" s="46"/>
      <c r="Q229" s="46"/>
      <c r="R229" s="46"/>
      <c r="S229" s="46"/>
      <c r="T229" s="369"/>
      <c r="U229" s="369"/>
      <c r="V229" s="46"/>
      <c r="W229" s="46"/>
      <c r="X229" s="140"/>
      <c r="Y229" s="190">
        <f t="shared" si="52"/>
        <v>0</v>
      </c>
      <c r="Z229" s="154">
        <f t="shared" si="54"/>
        <v>0</v>
      </c>
      <c r="AA229" s="263">
        <f t="shared" si="51"/>
        <v>0</v>
      </c>
      <c r="AB229" s="48"/>
    </row>
    <row r="230" spans="1:28" ht="30">
      <c r="A230" s="11"/>
      <c r="B230" s="246"/>
      <c r="C230" s="246"/>
      <c r="D230" s="241"/>
      <c r="E230" s="284"/>
      <c r="F230" s="270"/>
      <c r="G230" s="26"/>
      <c r="H230" s="198"/>
      <c r="I230" s="200" t="s">
        <v>921</v>
      </c>
      <c r="J230" s="154" t="s">
        <v>294</v>
      </c>
      <c r="K230" s="192">
        <v>1</v>
      </c>
      <c r="L230" s="114"/>
      <c r="M230" s="46"/>
      <c r="N230" s="46"/>
      <c r="O230" s="46"/>
      <c r="P230" s="46"/>
      <c r="Q230" s="46"/>
      <c r="R230" s="46"/>
      <c r="S230" s="46"/>
      <c r="T230" s="369">
        <f>6</f>
        <v>6</v>
      </c>
      <c r="U230" s="369"/>
      <c r="V230" s="46"/>
      <c r="W230" s="46"/>
      <c r="X230" s="140"/>
      <c r="Y230" s="190">
        <f t="shared" si="52"/>
        <v>6</v>
      </c>
      <c r="Z230" s="154">
        <f t="shared" si="54"/>
        <v>-6</v>
      </c>
      <c r="AA230" s="263">
        <f t="shared" si="51"/>
        <v>-6</v>
      </c>
      <c r="AB230" s="48"/>
    </row>
    <row r="231" spans="1:28">
      <c r="A231" s="11"/>
      <c r="B231" s="246"/>
      <c r="C231" s="246"/>
      <c r="D231" s="241"/>
      <c r="E231" s="284"/>
      <c r="F231" s="270"/>
      <c r="G231" s="26"/>
      <c r="H231" s="198"/>
      <c r="I231" s="200" t="s">
        <v>922</v>
      </c>
      <c r="J231" s="154" t="s">
        <v>294</v>
      </c>
      <c r="K231" s="192">
        <v>6</v>
      </c>
      <c r="L231" s="114"/>
      <c r="M231" s="46"/>
      <c r="N231" s="46"/>
      <c r="O231" s="46"/>
      <c r="P231" s="46"/>
      <c r="Q231" s="46"/>
      <c r="R231" s="46"/>
      <c r="S231" s="46"/>
      <c r="T231" s="369">
        <f>10</f>
        <v>10</v>
      </c>
      <c r="U231" s="369"/>
      <c r="V231" s="46"/>
      <c r="W231" s="46"/>
      <c r="X231" s="140"/>
      <c r="Y231" s="190">
        <f t="shared" si="52"/>
        <v>10</v>
      </c>
      <c r="Z231" s="154">
        <f t="shared" si="54"/>
        <v>-10</v>
      </c>
      <c r="AA231" s="263">
        <f t="shared" si="51"/>
        <v>-10</v>
      </c>
      <c r="AB231" s="48"/>
    </row>
    <row r="232" spans="1:28" ht="30">
      <c r="A232" s="11"/>
      <c r="B232" s="246"/>
      <c r="C232" s="246"/>
      <c r="D232" s="241"/>
      <c r="E232" s="284"/>
      <c r="F232" s="270"/>
      <c r="G232" s="26"/>
      <c r="H232" s="198"/>
      <c r="I232" s="200" t="s">
        <v>929</v>
      </c>
      <c r="J232" s="154" t="s">
        <v>294</v>
      </c>
      <c r="K232" s="192">
        <v>2</v>
      </c>
      <c r="L232" s="114"/>
      <c r="M232" s="46"/>
      <c r="N232" s="46"/>
      <c r="O232" s="46"/>
      <c r="P232" s="46"/>
      <c r="Q232" s="46"/>
      <c r="R232" s="46"/>
      <c r="S232" s="46"/>
      <c r="T232" s="369">
        <v>1</v>
      </c>
      <c r="U232" s="369"/>
      <c r="V232" s="46"/>
      <c r="W232" s="46"/>
      <c r="X232" s="140"/>
      <c r="Y232" s="190">
        <f t="shared" si="52"/>
        <v>1</v>
      </c>
      <c r="Z232" s="154">
        <f t="shared" si="54"/>
        <v>-1</v>
      </c>
      <c r="AA232" s="263">
        <f t="shared" si="51"/>
        <v>-1</v>
      </c>
      <c r="AB232" s="48"/>
    </row>
    <row r="233" spans="1:28" ht="30">
      <c r="A233" s="149"/>
      <c r="B233" s="246"/>
      <c r="C233" s="246"/>
      <c r="D233" s="241"/>
      <c r="E233" s="284"/>
      <c r="F233" s="272" t="s">
        <v>923</v>
      </c>
      <c r="G233" s="173" t="s">
        <v>291</v>
      </c>
      <c r="H233" s="229">
        <f>K233+K234</f>
        <v>231</v>
      </c>
      <c r="I233" s="200" t="s">
        <v>924</v>
      </c>
      <c r="J233" s="154" t="s">
        <v>291</v>
      </c>
      <c r="K233" s="192">
        <v>165</v>
      </c>
      <c r="L233" s="126"/>
      <c r="M233" s="72"/>
      <c r="N233" s="72"/>
      <c r="O233" s="72"/>
      <c r="P233" s="72"/>
      <c r="Q233" s="72"/>
      <c r="R233" s="72"/>
      <c r="S233" s="72"/>
      <c r="T233" s="369">
        <v>6</v>
      </c>
      <c r="U233" s="369"/>
      <c r="V233" s="72"/>
      <c r="W233" s="72"/>
      <c r="X233" s="141"/>
      <c r="Y233" s="190">
        <f t="shared" si="52"/>
        <v>6</v>
      </c>
      <c r="Z233" s="154">
        <f t="shared" ref="Z233:Z236" si="55">H233-Y233</f>
        <v>225</v>
      </c>
      <c r="AA233" s="263">
        <f t="shared" si="51"/>
        <v>-6</v>
      </c>
      <c r="AB233" s="48"/>
    </row>
    <row r="234" spans="1:28" ht="30">
      <c r="A234" s="149"/>
      <c r="B234" s="246"/>
      <c r="C234" s="246"/>
      <c r="D234" s="241"/>
      <c r="E234" s="284"/>
      <c r="F234" s="272"/>
      <c r="G234" s="173"/>
      <c r="H234" s="229"/>
      <c r="I234" s="200" t="s">
        <v>925</v>
      </c>
      <c r="J234" s="154" t="s">
        <v>291</v>
      </c>
      <c r="K234" s="192">
        <v>66</v>
      </c>
      <c r="L234" s="126"/>
      <c r="M234" s="72"/>
      <c r="N234" s="72"/>
      <c r="O234" s="72"/>
      <c r="P234" s="72"/>
      <c r="Q234" s="72"/>
      <c r="R234" s="72"/>
      <c r="S234" s="72"/>
      <c r="T234" s="369">
        <v>2</v>
      </c>
      <c r="U234" s="369"/>
      <c r="V234" s="72"/>
      <c r="W234" s="72"/>
      <c r="X234" s="141"/>
      <c r="Y234" s="190">
        <f t="shared" si="52"/>
        <v>2</v>
      </c>
      <c r="Z234" s="154">
        <f t="shared" si="55"/>
        <v>-2</v>
      </c>
      <c r="AA234" s="263">
        <f t="shared" si="51"/>
        <v>-2</v>
      </c>
      <c r="AB234" s="48"/>
    </row>
    <row r="235" spans="1:28" ht="30">
      <c r="A235" s="149"/>
      <c r="B235" s="246"/>
      <c r="C235" s="246"/>
      <c r="D235" s="241"/>
      <c r="E235" s="284"/>
      <c r="F235" s="272" t="s">
        <v>926</v>
      </c>
      <c r="G235" s="173" t="s">
        <v>291</v>
      </c>
      <c r="H235" s="229">
        <f>K235+K236</f>
        <v>738</v>
      </c>
      <c r="I235" s="200" t="s">
        <v>927</v>
      </c>
      <c r="J235" s="154" t="s">
        <v>291</v>
      </c>
      <c r="K235" s="192">
        <v>544</v>
      </c>
      <c r="L235" s="126"/>
      <c r="M235" s="72"/>
      <c r="N235" s="72"/>
      <c r="O235" s="72"/>
      <c r="P235" s="72"/>
      <c r="Q235" s="72"/>
      <c r="R235" s="72"/>
      <c r="S235" s="72"/>
      <c r="T235" s="369"/>
      <c r="U235" s="369"/>
      <c r="V235" s="72"/>
      <c r="W235" s="72"/>
      <c r="X235" s="141"/>
      <c r="Y235" s="190">
        <f t="shared" si="52"/>
        <v>0</v>
      </c>
      <c r="Z235" s="154">
        <f t="shared" si="55"/>
        <v>738</v>
      </c>
      <c r="AA235" s="263">
        <f t="shared" si="51"/>
        <v>0</v>
      </c>
      <c r="AB235" s="48"/>
    </row>
    <row r="236" spans="1:28" ht="30">
      <c r="A236" s="149"/>
      <c r="B236" s="246"/>
      <c r="C236" s="246"/>
      <c r="D236" s="241"/>
      <c r="E236" s="284"/>
      <c r="F236" s="272"/>
      <c r="G236" s="173"/>
      <c r="H236" s="229"/>
      <c r="I236" s="200" t="s">
        <v>928</v>
      </c>
      <c r="J236" s="154" t="s">
        <v>291</v>
      </c>
      <c r="K236" s="192">
        <v>194</v>
      </c>
      <c r="L236" s="126"/>
      <c r="M236" s="72"/>
      <c r="N236" s="72"/>
      <c r="O236" s="72"/>
      <c r="P236" s="72"/>
      <c r="Q236" s="72"/>
      <c r="R236" s="72"/>
      <c r="S236" s="72"/>
      <c r="T236" s="369"/>
      <c r="U236" s="369"/>
      <c r="V236" s="72"/>
      <c r="W236" s="72"/>
      <c r="X236" s="141"/>
      <c r="Y236" s="190">
        <f t="shared" si="52"/>
        <v>0</v>
      </c>
      <c r="Z236" s="154">
        <f t="shared" si="55"/>
        <v>0</v>
      </c>
      <c r="AA236" s="263">
        <f t="shared" si="51"/>
        <v>0</v>
      </c>
      <c r="AB236" s="48"/>
    </row>
    <row r="237" spans="1:28">
      <c r="A237" s="149"/>
      <c r="B237" s="246"/>
      <c r="C237" s="246"/>
      <c r="D237" s="241"/>
      <c r="E237" s="284"/>
      <c r="F237" s="272" t="s">
        <v>930</v>
      </c>
      <c r="G237" s="173" t="s">
        <v>477</v>
      </c>
      <c r="H237" s="229">
        <v>1</v>
      </c>
      <c r="I237" s="200" t="s">
        <v>932</v>
      </c>
      <c r="J237" s="154" t="s">
        <v>294</v>
      </c>
      <c r="K237" s="192">
        <v>1</v>
      </c>
      <c r="L237" s="126"/>
      <c r="M237" s="72"/>
      <c r="N237" s="72"/>
      <c r="O237" s="72"/>
      <c r="P237" s="72"/>
      <c r="Q237" s="72"/>
      <c r="R237" s="72"/>
      <c r="S237" s="72"/>
      <c r="T237" s="369"/>
      <c r="U237" s="369"/>
      <c r="V237" s="72"/>
      <c r="W237" s="72"/>
      <c r="X237" s="141"/>
      <c r="Y237" s="190">
        <f t="shared" si="52"/>
        <v>0</v>
      </c>
      <c r="Z237" s="154">
        <f t="shared" ref="Z237:Z278" si="56">H237-Y237</f>
        <v>1</v>
      </c>
      <c r="AA237" s="263">
        <f t="shared" si="51"/>
        <v>0</v>
      </c>
      <c r="AB237" s="48"/>
    </row>
    <row r="238" spans="1:28">
      <c r="A238" s="149"/>
      <c r="B238" s="246"/>
      <c r="C238" s="246"/>
      <c r="D238" s="241"/>
      <c r="E238" s="284"/>
      <c r="F238" s="272"/>
      <c r="G238" s="173"/>
      <c r="H238" s="229"/>
      <c r="I238" s="200" t="s">
        <v>933</v>
      </c>
      <c r="J238" s="154" t="s">
        <v>294</v>
      </c>
      <c r="K238" s="192">
        <v>1</v>
      </c>
      <c r="L238" s="126"/>
      <c r="M238" s="72"/>
      <c r="N238" s="72"/>
      <c r="O238" s="72"/>
      <c r="P238" s="72"/>
      <c r="Q238" s="72"/>
      <c r="R238" s="72"/>
      <c r="S238" s="72"/>
      <c r="T238" s="369"/>
      <c r="U238" s="369"/>
      <c r="V238" s="72"/>
      <c r="W238" s="72"/>
      <c r="X238" s="141"/>
      <c r="Y238" s="190">
        <f t="shared" si="52"/>
        <v>0</v>
      </c>
      <c r="Z238" s="154">
        <f t="shared" si="56"/>
        <v>0</v>
      </c>
      <c r="AA238" s="263">
        <f t="shared" si="51"/>
        <v>0</v>
      </c>
      <c r="AB238" s="48"/>
    </row>
    <row r="239" spans="1:28">
      <c r="A239" s="149"/>
      <c r="B239" s="246"/>
      <c r="C239" s="246"/>
      <c r="D239" s="241"/>
      <c r="E239" s="284"/>
      <c r="F239" s="272"/>
      <c r="G239" s="173"/>
      <c r="H239" s="229"/>
      <c r="I239" s="200" t="s">
        <v>934</v>
      </c>
      <c r="J239" s="154" t="s">
        <v>294</v>
      </c>
      <c r="K239" s="192">
        <v>1</v>
      </c>
      <c r="L239" s="126"/>
      <c r="M239" s="72"/>
      <c r="N239" s="72"/>
      <c r="O239" s="72"/>
      <c r="P239" s="72"/>
      <c r="Q239" s="72"/>
      <c r="R239" s="72"/>
      <c r="S239" s="72"/>
      <c r="T239" s="369">
        <v>1</v>
      </c>
      <c r="U239" s="369"/>
      <c r="V239" s="72"/>
      <c r="W239" s="72"/>
      <c r="X239" s="141"/>
      <c r="Y239" s="190">
        <f t="shared" si="52"/>
        <v>1</v>
      </c>
      <c r="Z239" s="154">
        <f t="shared" si="56"/>
        <v>-1</v>
      </c>
      <c r="AA239" s="263">
        <f t="shared" si="51"/>
        <v>-1</v>
      </c>
      <c r="AB239" s="48"/>
    </row>
    <row r="240" spans="1:28">
      <c r="A240" s="149"/>
      <c r="B240" s="246"/>
      <c r="C240" s="246"/>
      <c r="D240" s="241"/>
      <c r="E240" s="284"/>
      <c r="F240" s="272"/>
      <c r="G240" s="173"/>
      <c r="H240" s="229"/>
      <c r="I240" s="200" t="s">
        <v>806</v>
      </c>
      <c r="J240" s="154" t="s">
        <v>294</v>
      </c>
      <c r="K240" s="192">
        <v>3</v>
      </c>
      <c r="L240" s="126"/>
      <c r="M240" s="72"/>
      <c r="N240" s="72"/>
      <c r="O240" s="72"/>
      <c r="P240" s="72"/>
      <c r="Q240" s="72"/>
      <c r="R240" s="72"/>
      <c r="S240" s="72"/>
      <c r="T240" s="369">
        <v>1</v>
      </c>
      <c r="U240" s="369"/>
      <c r="V240" s="72"/>
      <c r="W240" s="72"/>
      <c r="X240" s="141"/>
      <c r="Y240" s="190">
        <f t="shared" si="52"/>
        <v>1</v>
      </c>
      <c r="Z240" s="154">
        <f t="shared" si="56"/>
        <v>-1</v>
      </c>
      <c r="AA240" s="263">
        <f t="shared" si="51"/>
        <v>-1</v>
      </c>
      <c r="AB240" s="48"/>
    </row>
    <row r="241" spans="1:28">
      <c r="A241" s="149"/>
      <c r="B241" s="246"/>
      <c r="C241" s="246"/>
      <c r="D241" s="241"/>
      <c r="E241" s="284"/>
      <c r="F241" s="272"/>
      <c r="G241" s="173"/>
      <c r="H241" s="229"/>
      <c r="I241" s="200" t="s">
        <v>931</v>
      </c>
      <c r="J241" s="154" t="s">
        <v>936</v>
      </c>
      <c r="K241" s="192">
        <v>1</v>
      </c>
      <c r="L241" s="126"/>
      <c r="M241" s="72"/>
      <c r="N241" s="72"/>
      <c r="O241" s="72"/>
      <c r="P241" s="72"/>
      <c r="Q241" s="72"/>
      <c r="R241" s="72"/>
      <c r="S241" s="72"/>
      <c r="T241" s="369">
        <v>1</v>
      </c>
      <c r="U241" s="369"/>
      <c r="V241" s="72"/>
      <c r="W241" s="72"/>
      <c r="X241" s="141"/>
      <c r="Y241" s="190">
        <f t="shared" si="52"/>
        <v>1</v>
      </c>
      <c r="Z241" s="154">
        <f t="shared" si="56"/>
        <v>-1</v>
      </c>
      <c r="AA241" s="263">
        <f t="shared" si="51"/>
        <v>-1</v>
      </c>
      <c r="AB241" s="48"/>
    </row>
    <row r="242" spans="1:28" ht="30">
      <c r="A242" s="149"/>
      <c r="B242" s="246"/>
      <c r="C242" s="246"/>
      <c r="D242" s="241"/>
      <c r="E242" s="284"/>
      <c r="F242" s="272"/>
      <c r="G242" s="173"/>
      <c r="H242" s="229"/>
      <c r="I242" s="200" t="s">
        <v>807</v>
      </c>
      <c r="J242" s="154" t="s">
        <v>294</v>
      </c>
      <c r="K242" s="192">
        <v>1</v>
      </c>
      <c r="L242" s="126"/>
      <c r="M242" s="72"/>
      <c r="N242" s="72"/>
      <c r="O242" s="72"/>
      <c r="P242" s="72"/>
      <c r="Q242" s="72"/>
      <c r="R242" s="72"/>
      <c r="S242" s="72"/>
      <c r="T242" s="369">
        <v>3</v>
      </c>
      <c r="U242" s="369">
        <v>1</v>
      </c>
      <c r="V242" s="72"/>
      <c r="W242" s="72"/>
      <c r="X242" s="141"/>
      <c r="Y242" s="190">
        <f t="shared" si="52"/>
        <v>4</v>
      </c>
      <c r="Z242" s="154">
        <f t="shared" si="56"/>
        <v>-4</v>
      </c>
      <c r="AA242" s="263">
        <f t="shared" si="51"/>
        <v>-4</v>
      </c>
      <c r="AB242" s="48"/>
    </row>
    <row r="243" spans="1:28">
      <c r="A243" s="149"/>
      <c r="B243" s="246"/>
      <c r="C243" s="246"/>
      <c r="D243" s="241"/>
      <c r="E243" s="284"/>
      <c r="F243" s="272" t="s">
        <v>935</v>
      </c>
      <c r="G243" s="173" t="s">
        <v>294</v>
      </c>
      <c r="H243" s="229">
        <v>2</v>
      </c>
      <c r="I243" s="200" t="s">
        <v>862</v>
      </c>
      <c r="J243" s="154" t="s">
        <v>294</v>
      </c>
      <c r="K243" s="192">
        <v>2</v>
      </c>
      <c r="L243" s="126"/>
      <c r="M243" s="72"/>
      <c r="N243" s="72"/>
      <c r="O243" s="72"/>
      <c r="P243" s="72"/>
      <c r="Q243" s="72"/>
      <c r="R243" s="72"/>
      <c r="S243" s="72"/>
      <c r="T243" s="369">
        <v>3</v>
      </c>
      <c r="U243" s="369">
        <v>1</v>
      </c>
      <c r="V243" s="72"/>
      <c r="W243" s="72"/>
      <c r="X243" s="141"/>
      <c r="Y243" s="190">
        <f t="shared" si="52"/>
        <v>4</v>
      </c>
      <c r="Z243" s="154">
        <f t="shared" si="56"/>
        <v>-2</v>
      </c>
      <c r="AA243" s="263">
        <f t="shared" si="51"/>
        <v>-4</v>
      </c>
      <c r="AB243" s="48"/>
    </row>
    <row r="244" spans="1:28" ht="30">
      <c r="A244" s="149"/>
      <c r="B244" s="246"/>
      <c r="C244" s="246"/>
      <c r="D244" s="241"/>
      <c r="E244" s="284"/>
      <c r="F244" s="272" t="s">
        <v>937</v>
      </c>
      <c r="G244" s="173" t="s">
        <v>294</v>
      </c>
      <c r="H244" s="229">
        <v>2</v>
      </c>
      <c r="I244" s="200" t="s">
        <v>938</v>
      </c>
      <c r="J244" s="154" t="s">
        <v>294</v>
      </c>
      <c r="K244" s="192">
        <v>20</v>
      </c>
      <c r="L244" s="126"/>
      <c r="M244" s="72"/>
      <c r="N244" s="72"/>
      <c r="O244" s="72"/>
      <c r="P244" s="72"/>
      <c r="Q244" s="72"/>
      <c r="R244" s="72"/>
      <c r="S244" s="72"/>
      <c r="T244" s="369">
        <v>3</v>
      </c>
      <c r="U244" s="369">
        <v>1</v>
      </c>
      <c r="V244" s="72"/>
      <c r="W244" s="72"/>
      <c r="X244" s="141"/>
      <c r="Y244" s="190">
        <f t="shared" si="52"/>
        <v>4</v>
      </c>
      <c r="Z244" s="154">
        <f t="shared" si="56"/>
        <v>-2</v>
      </c>
      <c r="AA244" s="263">
        <f t="shared" si="51"/>
        <v>-4</v>
      </c>
      <c r="AB244" s="48"/>
    </row>
    <row r="245" spans="1:28">
      <c r="A245" s="149"/>
      <c r="B245" s="246"/>
      <c r="C245" s="246"/>
      <c r="D245" s="241"/>
      <c r="E245" s="284"/>
      <c r="F245" s="272"/>
      <c r="G245" s="173"/>
      <c r="H245" s="229"/>
      <c r="I245" s="200" t="s">
        <v>939</v>
      </c>
      <c r="J245" s="154" t="s">
        <v>294</v>
      </c>
      <c r="K245" s="192">
        <v>6</v>
      </c>
      <c r="L245" s="126"/>
      <c r="M245" s="72"/>
      <c r="N245" s="72"/>
      <c r="O245" s="72"/>
      <c r="P245" s="72"/>
      <c r="Q245" s="72"/>
      <c r="R245" s="72"/>
      <c r="S245" s="72"/>
      <c r="T245" s="369">
        <v>3</v>
      </c>
      <c r="U245" s="369">
        <v>1</v>
      </c>
      <c r="V245" s="72"/>
      <c r="W245" s="72"/>
      <c r="X245" s="141"/>
      <c r="Y245" s="190">
        <f t="shared" si="52"/>
        <v>4</v>
      </c>
      <c r="Z245" s="154">
        <f t="shared" ref="Z245:Z265" si="57">H245-Y245</f>
        <v>-4</v>
      </c>
      <c r="AA245" s="263">
        <f t="shared" si="51"/>
        <v>-4</v>
      </c>
      <c r="AB245" s="48"/>
    </row>
    <row r="246" spans="1:28">
      <c r="A246" s="149"/>
      <c r="B246" s="246"/>
      <c r="C246" s="246"/>
      <c r="D246" s="241"/>
      <c r="E246" s="284"/>
      <c r="F246" s="272"/>
      <c r="G246" s="173"/>
      <c r="H246" s="229"/>
      <c r="I246" s="200" t="s">
        <v>940</v>
      </c>
      <c r="J246" s="154" t="s">
        <v>294</v>
      </c>
      <c r="K246" s="192">
        <v>6</v>
      </c>
      <c r="L246" s="126"/>
      <c r="M246" s="72"/>
      <c r="N246" s="72"/>
      <c r="O246" s="72"/>
      <c r="P246" s="72"/>
      <c r="Q246" s="72"/>
      <c r="R246" s="72"/>
      <c r="S246" s="72"/>
      <c r="T246" s="369">
        <f>3+3*4</f>
        <v>15</v>
      </c>
      <c r="U246" s="369">
        <v>4</v>
      </c>
      <c r="V246" s="72"/>
      <c r="W246" s="72"/>
      <c r="X246" s="141"/>
      <c r="Y246" s="190">
        <f t="shared" si="52"/>
        <v>19</v>
      </c>
      <c r="Z246" s="154">
        <f t="shared" si="57"/>
        <v>-19</v>
      </c>
      <c r="AA246" s="263">
        <f t="shared" si="51"/>
        <v>-19</v>
      </c>
      <c r="AB246" s="48"/>
    </row>
    <row r="247" spans="1:28">
      <c r="A247" s="149"/>
      <c r="B247" s="246"/>
      <c r="C247" s="246"/>
      <c r="D247" s="241"/>
      <c r="E247" s="284"/>
      <c r="F247" s="272"/>
      <c r="G247" s="173"/>
      <c r="H247" s="229"/>
      <c r="I247" s="200" t="s">
        <v>912</v>
      </c>
      <c r="J247" s="154" t="s">
        <v>291</v>
      </c>
      <c r="K247" s="192">
        <v>2</v>
      </c>
      <c r="L247" s="126"/>
      <c r="M247" s="72"/>
      <c r="N247" s="72"/>
      <c r="O247" s="72"/>
      <c r="P247" s="72"/>
      <c r="Q247" s="72"/>
      <c r="R247" s="72"/>
      <c r="S247" s="72"/>
      <c r="T247" s="369"/>
      <c r="U247" s="369"/>
      <c r="V247" s="72"/>
      <c r="W247" s="72"/>
      <c r="X247" s="141"/>
      <c r="Y247" s="190">
        <f t="shared" si="52"/>
        <v>0</v>
      </c>
      <c r="Z247" s="154">
        <f t="shared" si="57"/>
        <v>0</v>
      </c>
      <c r="AA247" s="263">
        <f t="shared" si="51"/>
        <v>0</v>
      </c>
      <c r="AB247" s="48"/>
    </row>
    <row r="248" spans="1:28">
      <c r="A248" s="149"/>
      <c r="B248" s="246"/>
      <c r="C248" s="246"/>
      <c r="D248" s="241"/>
      <c r="E248" s="284"/>
      <c r="F248" s="272"/>
      <c r="G248" s="173"/>
      <c r="H248" s="229"/>
      <c r="I248" s="200" t="s">
        <v>941</v>
      </c>
      <c r="J248" s="154" t="s">
        <v>289</v>
      </c>
      <c r="K248" s="192">
        <v>0.42</v>
      </c>
      <c r="L248" s="126"/>
      <c r="M248" s="72"/>
      <c r="N248" s="72"/>
      <c r="O248" s="72"/>
      <c r="P248" s="72"/>
      <c r="Q248" s="72"/>
      <c r="R248" s="72"/>
      <c r="S248" s="72"/>
      <c r="T248" s="369">
        <v>4</v>
      </c>
      <c r="U248" s="369">
        <v>1</v>
      </c>
      <c r="V248" s="72"/>
      <c r="W248" s="72"/>
      <c r="X248" s="141"/>
      <c r="Y248" s="190">
        <f t="shared" si="52"/>
        <v>5</v>
      </c>
      <c r="Z248" s="154">
        <f t="shared" si="57"/>
        <v>-5</v>
      </c>
      <c r="AA248" s="263">
        <f t="shared" si="51"/>
        <v>-5</v>
      </c>
      <c r="AB248" s="48"/>
    </row>
    <row r="249" spans="1:28">
      <c r="A249" s="149"/>
      <c r="B249" s="246"/>
      <c r="C249" s="246"/>
      <c r="D249" s="241"/>
      <c r="E249" s="284"/>
      <c r="F249" s="272"/>
      <c r="G249" s="173"/>
      <c r="H249" s="229"/>
      <c r="I249" s="200" t="s">
        <v>942</v>
      </c>
      <c r="J249" s="154" t="s">
        <v>289</v>
      </c>
      <c r="K249" s="192">
        <v>0.12</v>
      </c>
      <c r="L249" s="126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141"/>
      <c r="Y249" s="190">
        <f t="shared" si="52"/>
        <v>0</v>
      </c>
      <c r="Z249" s="154">
        <f t="shared" si="57"/>
        <v>0</v>
      </c>
      <c r="AA249" s="263">
        <f t="shared" si="51"/>
        <v>0</v>
      </c>
      <c r="AB249" s="48"/>
    </row>
    <row r="250" spans="1:28">
      <c r="A250" s="149"/>
      <c r="B250" s="246"/>
      <c r="C250" s="246"/>
      <c r="D250" s="241"/>
      <c r="E250" s="284"/>
      <c r="F250" s="272"/>
      <c r="G250" s="173"/>
      <c r="H250" s="229"/>
      <c r="I250" s="200" t="s">
        <v>943</v>
      </c>
      <c r="J250" s="154" t="s">
        <v>293</v>
      </c>
      <c r="K250" s="192">
        <v>2.8</v>
      </c>
      <c r="L250" s="126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141"/>
      <c r="Y250" s="190">
        <f t="shared" si="52"/>
        <v>0</v>
      </c>
      <c r="Z250" s="154">
        <f t="shared" si="57"/>
        <v>0</v>
      </c>
      <c r="AA250" s="263">
        <f t="shared" si="51"/>
        <v>0</v>
      </c>
      <c r="AB250" s="48"/>
    </row>
    <row r="251" spans="1:28">
      <c r="A251" s="149"/>
      <c r="B251" s="246"/>
      <c r="C251" s="246"/>
      <c r="D251" s="241"/>
      <c r="E251" s="284"/>
      <c r="F251" s="272" t="s">
        <v>944</v>
      </c>
      <c r="G251" s="173" t="s">
        <v>294</v>
      </c>
      <c r="H251" s="229">
        <f>K251+K252+K253+K254</f>
        <v>4</v>
      </c>
      <c r="I251" s="200" t="s">
        <v>946</v>
      </c>
      <c r="J251" s="154" t="s">
        <v>294</v>
      </c>
      <c r="K251" s="192">
        <v>1</v>
      </c>
      <c r="L251" s="126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141"/>
      <c r="Y251" s="190">
        <f t="shared" si="52"/>
        <v>0</v>
      </c>
      <c r="Z251" s="154">
        <f t="shared" si="57"/>
        <v>4</v>
      </c>
      <c r="AA251" s="263">
        <f t="shared" si="51"/>
        <v>0</v>
      </c>
      <c r="AB251" s="48"/>
    </row>
    <row r="252" spans="1:28">
      <c r="A252" s="149"/>
      <c r="B252" s="246"/>
      <c r="C252" s="246"/>
      <c r="D252" s="241"/>
      <c r="E252" s="284"/>
      <c r="F252" s="272"/>
      <c r="G252" s="173"/>
      <c r="H252" s="229"/>
      <c r="I252" s="200" t="s">
        <v>945</v>
      </c>
      <c r="J252" s="154" t="s">
        <v>294</v>
      </c>
      <c r="K252" s="192">
        <v>1</v>
      </c>
      <c r="L252" s="126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141"/>
      <c r="Y252" s="190">
        <f t="shared" si="52"/>
        <v>0</v>
      </c>
      <c r="Z252" s="154">
        <f t="shared" si="57"/>
        <v>0</v>
      </c>
      <c r="AA252" s="263">
        <f t="shared" si="51"/>
        <v>0</v>
      </c>
      <c r="AB252" s="48"/>
    </row>
    <row r="253" spans="1:28">
      <c r="A253" s="149"/>
      <c r="B253" s="246"/>
      <c r="C253" s="246"/>
      <c r="D253" s="241"/>
      <c r="E253" s="284"/>
      <c r="F253" s="272"/>
      <c r="G253" s="173"/>
      <c r="H253" s="229"/>
      <c r="I253" s="200" t="s">
        <v>947</v>
      </c>
      <c r="J253" s="154" t="s">
        <v>294</v>
      </c>
      <c r="K253" s="192">
        <v>1</v>
      </c>
      <c r="L253" s="126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141"/>
      <c r="Y253" s="190">
        <f t="shared" si="52"/>
        <v>0</v>
      </c>
      <c r="Z253" s="154">
        <f t="shared" si="57"/>
        <v>0</v>
      </c>
      <c r="AA253" s="263">
        <f t="shared" si="51"/>
        <v>0</v>
      </c>
      <c r="AB253" s="48"/>
    </row>
    <row r="254" spans="1:28">
      <c r="A254" s="149"/>
      <c r="B254" s="246"/>
      <c r="C254" s="246"/>
      <c r="D254" s="241"/>
      <c r="E254" s="284"/>
      <c r="F254" s="272"/>
      <c r="G254" s="173"/>
      <c r="H254" s="229"/>
      <c r="I254" s="200" t="s">
        <v>948</v>
      </c>
      <c r="J254" s="154" t="s">
        <v>294</v>
      </c>
      <c r="K254" s="192">
        <v>1</v>
      </c>
      <c r="L254" s="126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141"/>
      <c r="Y254" s="190">
        <f t="shared" si="52"/>
        <v>0</v>
      </c>
      <c r="Z254" s="154">
        <f t="shared" si="57"/>
        <v>0</v>
      </c>
      <c r="AA254" s="263">
        <f t="shared" si="51"/>
        <v>0</v>
      </c>
      <c r="AB254" s="48"/>
    </row>
    <row r="255" spans="1:28">
      <c r="A255" s="149"/>
      <c r="B255" s="246"/>
      <c r="C255" s="246"/>
      <c r="D255" s="241"/>
      <c r="E255" s="284"/>
      <c r="F255" s="272" t="s">
        <v>1044</v>
      </c>
      <c r="G255" s="173" t="s">
        <v>600</v>
      </c>
      <c r="H255" s="229">
        <f>K258+K259+K260+K261+K262+K264</f>
        <v>3009</v>
      </c>
      <c r="I255" s="200" t="s">
        <v>950</v>
      </c>
      <c r="J255" s="154" t="s">
        <v>291</v>
      </c>
      <c r="K255" s="192">
        <v>957</v>
      </c>
      <c r="L255" s="126"/>
      <c r="M255" s="72"/>
      <c r="N255" s="72"/>
      <c r="O255" s="72"/>
      <c r="P255" s="72"/>
      <c r="Q255" s="72"/>
      <c r="R255" s="72"/>
      <c r="S255" s="72"/>
      <c r="T255" s="72">
        <v>585</v>
      </c>
      <c r="U255" s="72"/>
      <c r="V255" s="72"/>
      <c r="W255" s="72"/>
      <c r="X255" s="141"/>
      <c r="Y255" s="190">
        <f t="shared" si="52"/>
        <v>585</v>
      </c>
      <c r="Z255" s="154">
        <f t="shared" ref="Z255:Z264" si="58">H255-Y255</f>
        <v>2424</v>
      </c>
      <c r="AA255" s="263">
        <f t="shared" si="51"/>
        <v>-585</v>
      </c>
      <c r="AB255" s="48"/>
    </row>
    <row r="256" spans="1:28">
      <c r="A256" s="149"/>
      <c r="B256" s="246"/>
      <c r="C256" s="246"/>
      <c r="D256" s="241"/>
      <c r="E256" s="284"/>
      <c r="F256" s="272"/>
      <c r="G256" s="173"/>
      <c r="H256" s="229"/>
      <c r="I256" s="200" t="s">
        <v>951</v>
      </c>
      <c r="J256" s="154" t="s">
        <v>291</v>
      </c>
      <c r="K256" s="192">
        <v>957</v>
      </c>
      <c r="L256" s="126"/>
      <c r="M256" s="72"/>
      <c r="N256" s="72"/>
      <c r="O256" s="72"/>
      <c r="P256" s="72"/>
      <c r="Q256" s="72"/>
      <c r="R256" s="72"/>
      <c r="S256" s="72"/>
      <c r="T256" s="72">
        <v>585</v>
      </c>
      <c r="U256" s="72"/>
      <c r="V256" s="72"/>
      <c r="W256" s="72"/>
      <c r="X256" s="141"/>
      <c r="Y256" s="190">
        <f t="shared" si="52"/>
        <v>585</v>
      </c>
      <c r="Z256" s="154">
        <f t="shared" si="58"/>
        <v>-585</v>
      </c>
      <c r="AA256" s="263">
        <f t="shared" si="51"/>
        <v>-585</v>
      </c>
      <c r="AB256" s="48"/>
    </row>
    <row r="257" spans="1:28">
      <c r="A257" s="149"/>
      <c r="B257" s="246"/>
      <c r="C257" s="246"/>
      <c r="D257" s="241"/>
      <c r="E257" s="284"/>
      <c r="F257" s="272"/>
      <c r="G257" s="173"/>
      <c r="H257" s="229"/>
      <c r="I257" s="200" t="s">
        <v>949</v>
      </c>
      <c r="J257" s="154" t="s">
        <v>294</v>
      </c>
      <c r="K257" s="192">
        <v>266</v>
      </c>
      <c r="L257" s="126"/>
      <c r="M257" s="72"/>
      <c r="N257" s="72"/>
      <c r="O257" s="72"/>
      <c r="P257" s="72"/>
      <c r="Q257" s="72"/>
      <c r="R257" s="72"/>
      <c r="S257" s="72"/>
      <c r="T257" s="72">
        <v>160</v>
      </c>
      <c r="U257" s="72"/>
      <c r="V257" s="72"/>
      <c r="W257" s="72"/>
      <c r="X257" s="141"/>
      <c r="Y257" s="190">
        <f t="shared" si="52"/>
        <v>160</v>
      </c>
      <c r="Z257" s="154">
        <f t="shared" si="58"/>
        <v>-160</v>
      </c>
      <c r="AA257" s="263">
        <f t="shared" si="51"/>
        <v>-160</v>
      </c>
      <c r="AB257" s="48"/>
    </row>
    <row r="258" spans="1:28">
      <c r="A258" s="149"/>
      <c r="B258" s="246"/>
      <c r="C258" s="246"/>
      <c r="D258" s="241"/>
      <c r="E258" s="284"/>
      <c r="F258" s="272"/>
      <c r="G258" s="173"/>
      <c r="H258" s="229"/>
      <c r="I258" s="200" t="s">
        <v>952</v>
      </c>
      <c r="J258" s="154" t="s">
        <v>291</v>
      </c>
      <c r="K258" s="192">
        <v>638</v>
      </c>
      <c r="L258" s="126"/>
      <c r="M258" s="72"/>
      <c r="N258" s="72"/>
      <c r="O258" s="72"/>
      <c r="P258" s="72"/>
      <c r="Q258" s="72"/>
      <c r="R258" s="72"/>
      <c r="S258" s="72"/>
      <c r="T258" s="72">
        <v>390</v>
      </c>
      <c r="U258" s="72"/>
      <c r="V258" s="72"/>
      <c r="W258" s="72"/>
      <c r="X258" s="141"/>
      <c r="Y258" s="190">
        <f t="shared" si="52"/>
        <v>390</v>
      </c>
      <c r="Z258" s="154">
        <f t="shared" si="58"/>
        <v>-390</v>
      </c>
      <c r="AA258" s="263">
        <f t="shared" si="51"/>
        <v>-390</v>
      </c>
      <c r="AB258" s="48"/>
    </row>
    <row r="259" spans="1:28">
      <c r="A259" s="149"/>
      <c r="B259" s="246"/>
      <c r="C259" s="246"/>
      <c r="D259" s="241"/>
      <c r="E259" s="284"/>
      <c r="F259" s="272"/>
      <c r="G259" s="173"/>
      <c r="H259" s="229"/>
      <c r="I259" s="200" t="s">
        <v>954</v>
      </c>
      <c r="J259" s="154" t="s">
        <v>291</v>
      </c>
      <c r="K259" s="192">
        <v>638</v>
      </c>
      <c r="L259" s="126"/>
      <c r="M259" s="72"/>
      <c r="N259" s="72"/>
      <c r="O259" s="72"/>
      <c r="P259" s="72"/>
      <c r="Q259" s="72"/>
      <c r="R259" s="72"/>
      <c r="S259" s="72"/>
      <c r="T259" s="72">
        <v>390</v>
      </c>
      <c r="U259" s="72"/>
      <c r="V259" s="72"/>
      <c r="W259" s="72"/>
      <c r="X259" s="141"/>
      <c r="Y259" s="190">
        <f t="shared" si="52"/>
        <v>390</v>
      </c>
      <c r="Z259" s="154">
        <f t="shared" si="58"/>
        <v>-390</v>
      </c>
      <c r="AA259" s="263">
        <f t="shared" si="51"/>
        <v>-390</v>
      </c>
      <c r="AB259" s="48"/>
    </row>
    <row r="260" spans="1:28">
      <c r="A260" s="149"/>
      <c r="B260" s="246"/>
      <c r="C260" s="246"/>
      <c r="D260" s="241"/>
      <c r="E260" s="284"/>
      <c r="F260" s="272"/>
      <c r="G260" s="173"/>
      <c r="H260" s="229"/>
      <c r="I260" s="200" t="s">
        <v>953</v>
      </c>
      <c r="J260" s="154" t="s">
        <v>291</v>
      </c>
      <c r="K260" s="192">
        <v>319</v>
      </c>
      <c r="L260" s="126"/>
      <c r="M260" s="72"/>
      <c r="N260" s="72"/>
      <c r="O260" s="72"/>
      <c r="P260" s="72"/>
      <c r="Q260" s="72"/>
      <c r="R260" s="72"/>
      <c r="S260" s="72"/>
      <c r="T260" s="72">
        <v>195</v>
      </c>
      <c r="U260" s="72"/>
      <c r="V260" s="72"/>
      <c r="W260" s="72"/>
      <c r="X260" s="141"/>
      <c r="Y260" s="190">
        <f t="shared" si="52"/>
        <v>195</v>
      </c>
      <c r="Z260" s="154">
        <f t="shared" si="58"/>
        <v>-195</v>
      </c>
      <c r="AA260" s="263">
        <f t="shared" si="51"/>
        <v>-195</v>
      </c>
      <c r="AB260" s="48"/>
    </row>
    <row r="261" spans="1:28">
      <c r="A261" s="149"/>
      <c r="B261" s="246"/>
      <c r="C261" s="246"/>
      <c r="D261" s="241"/>
      <c r="E261" s="284"/>
      <c r="F261" s="272"/>
      <c r="G261" s="173"/>
      <c r="H261" s="229"/>
      <c r="I261" s="200" t="s">
        <v>955</v>
      </c>
      <c r="J261" s="154" t="s">
        <v>291</v>
      </c>
      <c r="K261" s="192">
        <v>319</v>
      </c>
      <c r="L261" s="126"/>
      <c r="M261" s="72"/>
      <c r="N261" s="72"/>
      <c r="O261" s="72"/>
      <c r="P261" s="72"/>
      <c r="Q261" s="72"/>
      <c r="R261" s="72"/>
      <c r="S261" s="72"/>
      <c r="T261" s="72">
        <v>192</v>
      </c>
      <c r="U261" s="72"/>
      <c r="V261" s="72"/>
      <c r="W261" s="72"/>
      <c r="X261" s="141"/>
      <c r="Y261" s="190">
        <f t="shared" si="52"/>
        <v>192</v>
      </c>
      <c r="Z261" s="154">
        <f t="shared" si="58"/>
        <v>-192</v>
      </c>
      <c r="AA261" s="263">
        <f t="shared" si="51"/>
        <v>-192</v>
      </c>
      <c r="AB261" s="48"/>
    </row>
    <row r="262" spans="1:28">
      <c r="A262" s="149"/>
      <c r="B262" s="246"/>
      <c r="C262" s="246"/>
      <c r="D262" s="241"/>
      <c r="E262" s="284"/>
      <c r="F262" s="272"/>
      <c r="G262" s="173"/>
      <c r="H262" s="229"/>
      <c r="I262" s="200" t="s">
        <v>956</v>
      </c>
      <c r="J262" s="154" t="s">
        <v>291</v>
      </c>
      <c r="K262" s="192">
        <v>593</v>
      </c>
      <c r="L262" s="126"/>
      <c r="M262" s="72"/>
      <c r="N262" s="72"/>
      <c r="O262" s="72"/>
      <c r="P262" s="72"/>
      <c r="Q262" s="72"/>
      <c r="R262" s="72"/>
      <c r="S262" s="72"/>
      <c r="T262" s="72">
        <v>282</v>
      </c>
      <c r="U262" s="72"/>
      <c r="V262" s="72"/>
      <c r="W262" s="72"/>
      <c r="X262" s="141"/>
      <c r="Y262" s="190">
        <f t="shared" si="52"/>
        <v>282</v>
      </c>
      <c r="Z262" s="154">
        <f t="shared" si="58"/>
        <v>-282</v>
      </c>
      <c r="AA262" s="263">
        <f t="shared" si="51"/>
        <v>-282</v>
      </c>
      <c r="AB262" s="48"/>
    </row>
    <row r="263" spans="1:28">
      <c r="A263" s="149"/>
      <c r="B263" s="246"/>
      <c r="C263" s="246"/>
      <c r="D263" s="241"/>
      <c r="E263" s="284"/>
      <c r="F263" s="272"/>
      <c r="G263" s="173"/>
      <c r="H263" s="229"/>
      <c r="I263" s="200" t="s">
        <v>957</v>
      </c>
      <c r="J263" s="154" t="s">
        <v>477</v>
      </c>
      <c r="K263" s="192">
        <v>21</v>
      </c>
      <c r="L263" s="126"/>
      <c r="M263" s="72"/>
      <c r="N263" s="72"/>
      <c r="O263" s="72"/>
      <c r="P263" s="72"/>
      <c r="Q263" s="72"/>
      <c r="R263" s="72"/>
      <c r="S263" s="72"/>
      <c r="T263" s="72">
        <v>21</v>
      </c>
      <c r="U263" s="72"/>
      <c r="V263" s="72"/>
      <c r="W263" s="72"/>
      <c r="X263" s="141"/>
      <c r="Y263" s="190">
        <f t="shared" si="52"/>
        <v>21</v>
      </c>
      <c r="Z263" s="154">
        <f t="shared" si="58"/>
        <v>-21</v>
      </c>
      <c r="AA263" s="263">
        <f t="shared" si="51"/>
        <v>-21</v>
      </c>
      <c r="AB263" s="48"/>
    </row>
    <row r="264" spans="1:28">
      <c r="A264" s="149"/>
      <c r="B264" s="246"/>
      <c r="C264" s="246"/>
      <c r="D264" s="241"/>
      <c r="E264" s="284"/>
      <c r="F264" s="272"/>
      <c r="G264" s="173"/>
      <c r="H264" s="229"/>
      <c r="I264" s="200" t="s">
        <v>958</v>
      </c>
      <c r="J264" s="154" t="s">
        <v>291</v>
      </c>
      <c r="K264" s="192">
        <v>502</v>
      </c>
      <c r="L264" s="126"/>
      <c r="M264" s="72"/>
      <c r="N264" s="72"/>
      <c r="O264" s="72"/>
      <c r="P264" s="72"/>
      <c r="Q264" s="72"/>
      <c r="R264" s="72"/>
      <c r="S264" s="72"/>
      <c r="T264" s="72">
        <v>188</v>
      </c>
      <c r="U264" s="72"/>
      <c r="V264" s="72"/>
      <c r="W264" s="72"/>
      <c r="X264" s="141"/>
      <c r="Y264" s="190">
        <f t="shared" si="52"/>
        <v>188</v>
      </c>
      <c r="Z264" s="154">
        <f t="shared" si="58"/>
        <v>-188</v>
      </c>
      <c r="AA264" s="263">
        <f t="shared" si="51"/>
        <v>-188</v>
      </c>
      <c r="AB264" s="48"/>
    </row>
    <row r="265" spans="1:28">
      <c r="A265" s="149"/>
      <c r="B265" s="246"/>
      <c r="C265" s="246"/>
      <c r="D265" s="241"/>
      <c r="E265" s="284"/>
      <c r="F265" s="272"/>
      <c r="G265" s="173"/>
      <c r="H265" s="229"/>
      <c r="I265" s="200" t="s">
        <v>959</v>
      </c>
      <c r="J265" s="154" t="s">
        <v>291</v>
      </c>
      <c r="K265" s="192">
        <v>502</v>
      </c>
      <c r="L265" s="126"/>
      <c r="M265" s="72"/>
      <c r="N265" s="72"/>
      <c r="O265" s="72"/>
      <c r="P265" s="72"/>
      <c r="Q265" s="72"/>
      <c r="R265" s="72"/>
      <c r="S265" s="72"/>
      <c r="T265" s="72">
        <v>188</v>
      </c>
      <c r="U265" s="72"/>
      <c r="V265" s="72"/>
      <c r="W265" s="72"/>
      <c r="X265" s="141"/>
      <c r="Y265" s="190">
        <f t="shared" si="52"/>
        <v>188</v>
      </c>
      <c r="Z265" s="154">
        <f t="shared" si="57"/>
        <v>-188</v>
      </c>
      <c r="AA265" s="263">
        <f t="shared" si="51"/>
        <v>-188</v>
      </c>
      <c r="AB265" s="48"/>
    </row>
    <row r="266" spans="1:28">
      <c r="A266" s="149"/>
      <c r="B266" s="246"/>
      <c r="C266" s="246"/>
      <c r="D266" s="241"/>
      <c r="E266" s="284"/>
      <c r="F266" s="272"/>
      <c r="G266" s="173"/>
      <c r="H266" s="229"/>
      <c r="I266" s="200" t="s">
        <v>960</v>
      </c>
      <c r="J266" s="154" t="s">
        <v>294</v>
      </c>
      <c r="K266" s="192">
        <v>23</v>
      </c>
      <c r="L266" s="126"/>
      <c r="M266" s="72"/>
      <c r="N266" s="72"/>
      <c r="O266" s="72"/>
      <c r="P266" s="72"/>
      <c r="Q266" s="72"/>
      <c r="R266" s="72"/>
      <c r="S266" s="72"/>
      <c r="T266" s="72">
        <v>14</v>
      </c>
      <c r="U266" s="72"/>
      <c r="V266" s="72"/>
      <c r="W266" s="72"/>
      <c r="X266" s="141"/>
      <c r="Y266" s="190">
        <f t="shared" si="52"/>
        <v>14</v>
      </c>
      <c r="Z266" s="154">
        <f t="shared" si="56"/>
        <v>-14</v>
      </c>
      <c r="AA266" s="263">
        <f t="shared" si="51"/>
        <v>-14</v>
      </c>
      <c r="AB266" s="48"/>
    </row>
    <row r="267" spans="1:28">
      <c r="A267" s="149"/>
      <c r="B267" s="246"/>
      <c r="C267" s="246"/>
      <c r="D267" s="241"/>
      <c r="E267" s="284"/>
      <c r="F267" s="272"/>
      <c r="G267" s="173"/>
      <c r="H267" s="229"/>
      <c r="I267" s="200" t="s">
        <v>961</v>
      </c>
      <c r="J267" s="154" t="s">
        <v>477</v>
      </c>
      <c r="K267" s="192">
        <v>9</v>
      </c>
      <c r="L267" s="126"/>
      <c r="M267" s="72"/>
      <c r="N267" s="72"/>
      <c r="O267" s="72"/>
      <c r="P267" s="72"/>
      <c r="Q267" s="72"/>
      <c r="R267" s="72"/>
      <c r="S267" s="72"/>
      <c r="T267" s="72">
        <v>9</v>
      </c>
      <c r="U267" s="72"/>
      <c r="V267" s="72"/>
      <c r="W267" s="72"/>
      <c r="X267" s="141"/>
      <c r="Y267" s="190">
        <f t="shared" si="52"/>
        <v>9</v>
      </c>
      <c r="Z267" s="154">
        <f t="shared" si="56"/>
        <v>-9</v>
      </c>
      <c r="AA267" s="263">
        <f t="shared" si="51"/>
        <v>-9</v>
      </c>
      <c r="AB267" s="48"/>
    </row>
    <row r="268" spans="1:28">
      <c r="A268" s="149"/>
      <c r="B268" s="246"/>
      <c r="C268" s="246"/>
      <c r="D268" s="241"/>
      <c r="E268" s="284"/>
      <c r="F268" s="272"/>
      <c r="G268" s="173"/>
      <c r="H268" s="229"/>
      <c r="I268" s="200" t="s">
        <v>962</v>
      </c>
      <c r="J268" s="154" t="s">
        <v>477</v>
      </c>
      <c r="K268" s="192">
        <v>5</v>
      </c>
      <c r="L268" s="126"/>
      <c r="M268" s="72"/>
      <c r="N268" s="72"/>
      <c r="O268" s="72"/>
      <c r="P268" s="72"/>
      <c r="Q268" s="72"/>
      <c r="R268" s="72"/>
      <c r="S268" s="72"/>
      <c r="T268" s="72">
        <v>5</v>
      </c>
      <c r="U268" s="72"/>
      <c r="V268" s="72"/>
      <c r="W268" s="72"/>
      <c r="X268" s="141"/>
      <c r="Y268" s="190">
        <f t="shared" si="52"/>
        <v>5</v>
      </c>
      <c r="Z268" s="154">
        <f t="shared" si="56"/>
        <v>-5</v>
      </c>
      <c r="AA268" s="263">
        <f t="shared" si="51"/>
        <v>-5</v>
      </c>
      <c r="AB268" s="48"/>
    </row>
    <row r="269" spans="1:28" ht="30">
      <c r="A269" s="149"/>
      <c r="B269" s="246"/>
      <c r="C269" s="246"/>
      <c r="D269" s="241"/>
      <c r="E269" s="284"/>
      <c r="F269" s="272" t="s">
        <v>963</v>
      </c>
      <c r="G269" s="173" t="s">
        <v>291</v>
      </c>
      <c r="H269" s="229">
        <f>K269+K270+K271+K272+K273+K274+K275+K276+K277</f>
        <v>2032</v>
      </c>
      <c r="I269" s="200" t="s">
        <v>964</v>
      </c>
      <c r="J269" s="154" t="s">
        <v>291</v>
      </c>
      <c r="K269" s="192">
        <v>524</v>
      </c>
      <c r="L269" s="126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141"/>
      <c r="Y269" s="190">
        <f t="shared" si="52"/>
        <v>0</v>
      </c>
      <c r="Z269" s="154">
        <f t="shared" ref="Z269:Z277" si="59">H269-Y269</f>
        <v>2032</v>
      </c>
      <c r="AA269" s="263">
        <f t="shared" si="51"/>
        <v>0</v>
      </c>
      <c r="AB269" s="48"/>
    </row>
    <row r="270" spans="1:28" ht="30">
      <c r="A270" s="149"/>
      <c r="B270" s="246"/>
      <c r="C270" s="246"/>
      <c r="D270" s="241"/>
      <c r="E270" s="284"/>
      <c r="F270" s="272"/>
      <c r="G270" s="173"/>
      <c r="H270" s="229"/>
      <c r="I270" s="200" t="s">
        <v>965</v>
      </c>
      <c r="J270" s="154" t="s">
        <v>291</v>
      </c>
      <c r="K270" s="192">
        <v>334</v>
      </c>
      <c r="L270" s="126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141"/>
      <c r="Y270" s="190">
        <f t="shared" si="52"/>
        <v>0</v>
      </c>
      <c r="Z270" s="154">
        <f t="shared" si="59"/>
        <v>0</v>
      </c>
      <c r="AA270" s="263">
        <f t="shared" si="51"/>
        <v>0</v>
      </c>
      <c r="AB270" s="48"/>
    </row>
    <row r="271" spans="1:28" ht="30">
      <c r="A271" s="149"/>
      <c r="B271" s="246"/>
      <c r="C271" s="246"/>
      <c r="D271" s="241"/>
      <c r="E271" s="284"/>
      <c r="F271" s="272"/>
      <c r="G271" s="173"/>
      <c r="H271" s="229"/>
      <c r="I271" s="200" t="s">
        <v>966</v>
      </c>
      <c r="J271" s="154" t="s">
        <v>291</v>
      </c>
      <c r="K271" s="192">
        <v>117</v>
      </c>
      <c r="L271" s="126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141"/>
      <c r="Y271" s="190">
        <f t="shared" si="52"/>
        <v>0</v>
      </c>
      <c r="Z271" s="154">
        <f t="shared" si="59"/>
        <v>0</v>
      </c>
      <c r="AA271" s="263">
        <f t="shared" si="51"/>
        <v>0</v>
      </c>
      <c r="AB271" s="48"/>
    </row>
    <row r="272" spans="1:28" ht="60">
      <c r="A272" s="149"/>
      <c r="B272" s="246"/>
      <c r="C272" s="246"/>
      <c r="D272" s="241"/>
      <c r="E272" s="284"/>
      <c r="F272" s="272"/>
      <c r="G272" s="173"/>
      <c r="H272" s="229"/>
      <c r="I272" s="200" t="s">
        <v>967</v>
      </c>
      <c r="J272" s="154" t="s">
        <v>291</v>
      </c>
      <c r="K272" s="192">
        <v>128</v>
      </c>
      <c r="L272" s="126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141"/>
      <c r="Y272" s="190">
        <f t="shared" si="52"/>
        <v>0</v>
      </c>
      <c r="Z272" s="154">
        <f t="shared" ref="Z272:Z274" si="60">H272-Y272</f>
        <v>0</v>
      </c>
      <c r="AA272" s="263">
        <f t="shared" si="51"/>
        <v>0</v>
      </c>
      <c r="AB272" s="48"/>
    </row>
    <row r="273" spans="1:28" ht="30">
      <c r="A273" s="149"/>
      <c r="B273" s="246"/>
      <c r="C273" s="246"/>
      <c r="D273" s="241"/>
      <c r="E273" s="284"/>
      <c r="F273" s="272"/>
      <c r="G273" s="173"/>
      <c r="H273" s="229"/>
      <c r="I273" s="200" t="s">
        <v>968</v>
      </c>
      <c r="J273" s="154" t="s">
        <v>291</v>
      </c>
      <c r="K273" s="192">
        <v>378</v>
      </c>
      <c r="L273" s="126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141"/>
      <c r="Y273" s="190">
        <f t="shared" si="52"/>
        <v>0</v>
      </c>
      <c r="Z273" s="154">
        <f t="shared" si="60"/>
        <v>0</v>
      </c>
      <c r="AA273" s="263">
        <f t="shared" si="51"/>
        <v>0</v>
      </c>
      <c r="AB273" s="48"/>
    </row>
    <row r="274" spans="1:28" ht="75">
      <c r="A274" s="149"/>
      <c r="B274" s="246"/>
      <c r="C274" s="246"/>
      <c r="D274" s="241"/>
      <c r="E274" s="284"/>
      <c r="F274" s="272"/>
      <c r="G274" s="173"/>
      <c r="H274" s="229"/>
      <c r="I274" s="200" t="s">
        <v>890</v>
      </c>
      <c r="J274" s="154" t="s">
        <v>291</v>
      </c>
      <c r="K274" s="192">
        <v>149</v>
      </c>
      <c r="L274" s="126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141"/>
      <c r="Y274" s="190">
        <f t="shared" si="52"/>
        <v>0</v>
      </c>
      <c r="Z274" s="154">
        <f t="shared" si="60"/>
        <v>0</v>
      </c>
      <c r="AA274" s="263">
        <f t="shared" si="51"/>
        <v>0</v>
      </c>
      <c r="AB274" s="48"/>
    </row>
    <row r="275" spans="1:28" ht="75">
      <c r="A275" s="149"/>
      <c r="B275" s="246"/>
      <c r="C275" s="246"/>
      <c r="D275" s="241"/>
      <c r="E275" s="284"/>
      <c r="F275" s="272"/>
      <c r="G275" s="173"/>
      <c r="H275" s="229"/>
      <c r="I275" s="200" t="s">
        <v>969</v>
      </c>
      <c r="J275" s="154" t="s">
        <v>291</v>
      </c>
      <c r="K275" s="192">
        <v>281</v>
      </c>
      <c r="L275" s="126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141"/>
      <c r="Y275" s="190">
        <f t="shared" si="52"/>
        <v>0</v>
      </c>
      <c r="Z275" s="154">
        <f t="shared" si="59"/>
        <v>0</v>
      </c>
      <c r="AA275" s="263">
        <f t="shared" si="51"/>
        <v>0</v>
      </c>
      <c r="AB275" s="48"/>
    </row>
    <row r="276" spans="1:28" ht="75">
      <c r="A276" s="149"/>
      <c r="B276" s="246"/>
      <c r="C276" s="246"/>
      <c r="D276" s="241"/>
      <c r="E276" s="284"/>
      <c r="F276" s="272"/>
      <c r="G276" s="173"/>
      <c r="H276" s="229"/>
      <c r="I276" s="200" t="s">
        <v>970</v>
      </c>
      <c r="J276" s="154" t="s">
        <v>291</v>
      </c>
      <c r="K276" s="192">
        <v>71</v>
      </c>
      <c r="L276" s="126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141"/>
      <c r="Y276" s="190">
        <f t="shared" si="52"/>
        <v>0</v>
      </c>
      <c r="Z276" s="154">
        <f t="shared" si="59"/>
        <v>0</v>
      </c>
      <c r="AA276" s="263">
        <f t="shared" si="51"/>
        <v>0</v>
      </c>
      <c r="AB276" s="48"/>
    </row>
    <row r="277" spans="1:28" ht="75">
      <c r="A277" s="149"/>
      <c r="B277" s="246"/>
      <c r="C277" s="246"/>
      <c r="D277" s="241"/>
      <c r="E277" s="284"/>
      <c r="F277" s="272"/>
      <c r="G277" s="173"/>
      <c r="H277" s="229"/>
      <c r="I277" s="200" t="s">
        <v>971</v>
      </c>
      <c r="J277" s="154" t="s">
        <v>291</v>
      </c>
      <c r="K277" s="192">
        <v>50</v>
      </c>
      <c r="L277" s="126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141"/>
      <c r="Y277" s="190">
        <f t="shared" si="52"/>
        <v>0</v>
      </c>
      <c r="Z277" s="154">
        <f t="shared" si="59"/>
        <v>0</v>
      </c>
      <c r="AA277" s="263">
        <f t="shared" ref="AA277:AA278" si="61">E277-Y277</f>
        <v>0</v>
      </c>
      <c r="AB277" s="48"/>
    </row>
    <row r="278" spans="1:28" ht="30">
      <c r="A278" s="149"/>
      <c r="B278" s="246"/>
      <c r="C278" s="246"/>
      <c r="D278" s="241"/>
      <c r="E278" s="284"/>
      <c r="F278" s="272"/>
      <c r="G278" s="173"/>
      <c r="H278" s="229"/>
      <c r="I278" s="200" t="s">
        <v>972</v>
      </c>
      <c r="J278" s="154" t="s">
        <v>291</v>
      </c>
      <c r="K278" s="215"/>
      <c r="L278" s="126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141"/>
      <c r="Y278" s="190">
        <f t="shared" si="52"/>
        <v>0</v>
      </c>
      <c r="Z278" s="154">
        <f t="shared" si="56"/>
        <v>0</v>
      </c>
      <c r="AA278" s="263">
        <f t="shared" si="61"/>
        <v>0</v>
      </c>
      <c r="AB278" s="48"/>
    </row>
    <row r="279" spans="1:28" s="1" customFormat="1" ht="15.75">
      <c r="A279" s="68">
        <v>4</v>
      </c>
      <c r="B279" s="297"/>
      <c r="C279" s="298" t="s">
        <v>424</v>
      </c>
      <c r="D279" s="297"/>
      <c r="E279" s="299"/>
      <c r="F279" s="279" t="s">
        <v>1091</v>
      </c>
      <c r="G279" s="69"/>
      <c r="H279" s="134"/>
      <c r="I279" s="217"/>
      <c r="J279" s="217"/>
      <c r="K279" s="220"/>
      <c r="L279" s="68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70"/>
      <c r="Y279" s="360">
        <f t="shared" ref="Y279" si="62">SUM(L279:X279)</f>
        <v>0</v>
      </c>
      <c r="Z279" s="157"/>
      <c r="AA279" s="157"/>
      <c r="AB279" s="261"/>
    </row>
    <row r="280" spans="1:28" ht="60">
      <c r="A280" s="149"/>
      <c r="B280" s="246"/>
      <c r="C280" s="246"/>
      <c r="D280" s="241"/>
      <c r="E280" s="284"/>
      <c r="F280" s="275" t="s">
        <v>15</v>
      </c>
      <c r="G280" s="25" t="s">
        <v>289</v>
      </c>
      <c r="H280" s="91">
        <v>0</v>
      </c>
      <c r="I280" s="200"/>
      <c r="J280" s="154"/>
      <c r="K280" s="215"/>
      <c r="L280" s="126"/>
      <c r="M280" s="72"/>
      <c r="N280" s="72"/>
      <c r="O280" s="72"/>
      <c r="P280" s="72"/>
      <c r="Q280" s="72"/>
      <c r="R280" s="72"/>
      <c r="S280" s="72"/>
      <c r="T280" s="72">
        <f>2.65+2.34+6.12</f>
        <v>11.11</v>
      </c>
      <c r="U280" s="369"/>
      <c r="V280" s="72"/>
      <c r="W280" s="72"/>
      <c r="X280" s="141"/>
      <c r="Y280" s="190"/>
      <c r="Z280" s="154"/>
      <c r="AA280" s="263"/>
      <c r="AB280" s="48"/>
    </row>
    <row r="281" spans="1:28" ht="30">
      <c r="A281" s="149"/>
      <c r="B281" s="246"/>
      <c r="C281" s="246"/>
      <c r="D281" s="241"/>
      <c r="E281" s="284"/>
      <c r="F281" s="275" t="s">
        <v>19</v>
      </c>
      <c r="G281" s="25" t="s">
        <v>289</v>
      </c>
      <c r="H281" s="91">
        <v>0</v>
      </c>
      <c r="I281" s="200"/>
      <c r="J281" s="154"/>
      <c r="K281" s="215"/>
      <c r="L281" s="126"/>
      <c r="M281" s="72"/>
      <c r="N281" s="72"/>
      <c r="O281" s="72"/>
      <c r="P281" s="72"/>
      <c r="Q281" s="72"/>
      <c r="R281" s="72"/>
      <c r="S281" s="72"/>
      <c r="T281" s="72">
        <f>1.12</f>
        <v>1.1200000000000001</v>
      </c>
      <c r="U281" s="369"/>
      <c r="V281" s="72"/>
      <c r="W281" s="72"/>
      <c r="X281" s="141"/>
      <c r="Y281" s="190"/>
      <c r="Z281" s="154"/>
      <c r="AA281" s="263"/>
      <c r="AB281" s="48"/>
    </row>
    <row r="282" spans="1:28" ht="60">
      <c r="A282" s="149"/>
      <c r="B282" s="246"/>
      <c r="C282" s="246"/>
      <c r="D282" s="241"/>
      <c r="E282" s="284"/>
      <c r="F282" s="275" t="s">
        <v>59</v>
      </c>
      <c r="G282" s="25" t="s">
        <v>289</v>
      </c>
      <c r="H282" s="91">
        <v>0</v>
      </c>
      <c r="I282" s="200"/>
      <c r="J282" s="154"/>
      <c r="K282" s="215"/>
      <c r="L282" s="126"/>
      <c r="M282" s="72"/>
      <c r="N282" s="72"/>
      <c r="O282" s="72"/>
      <c r="P282" s="72"/>
      <c r="Q282" s="72"/>
      <c r="R282" s="72"/>
      <c r="S282" s="72"/>
      <c r="T282" s="72">
        <f>5.94</f>
        <v>5.94</v>
      </c>
      <c r="U282" s="369"/>
      <c r="V282" s="72"/>
      <c r="W282" s="72"/>
      <c r="X282" s="141"/>
      <c r="Y282" s="190"/>
      <c r="Z282" s="154"/>
      <c r="AA282" s="263"/>
      <c r="AB282" s="48"/>
    </row>
    <row r="283" spans="1:28" ht="30">
      <c r="A283" s="149"/>
      <c r="B283" s="246"/>
      <c r="C283" s="246"/>
      <c r="D283" s="241"/>
      <c r="E283" s="284"/>
      <c r="F283" s="275" t="s">
        <v>63</v>
      </c>
      <c r="G283" s="25" t="s">
        <v>289</v>
      </c>
      <c r="H283" s="91">
        <v>0</v>
      </c>
      <c r="I283" s="200"/>
      <c r="J283" s="154"/>
      <c r="K283" s="215"/>
      <c r="L283" s="126"/>
      <c r="M283" s="72"/>
      <c r="N283" s="72"/>
      <c r="O283" s="72"/>
      <c r="P283" s="72"/>
      <c r="Q283" s="72"/>
      <c r="R283" s="72"/>
      <c r="S283" s="72"/>
      <c r="T283" s="72">
        <f>2.04</f>
        <v>2.04</v>
      </c>
      <c r="U283" s="369"/>
      <c r="V283" s="72"/>
      <c r="W283" s="72"/>
      <c r="X283" s="141"/>
      <c r="Y283" s="190"/>
      <c r="Z283" s="154"/>
      <c r="AA283" s="263"/>
      <c r="AB283" s="48"/>
    </row>
    <row r="284" spans="1:28">
      <c r="A284" s="149"/>
      <c r="B284" s="246"/>
      <c r="C284" s="246"/>
      <c r="D284" s="241"/>
      <c r="E284" s="284"/>
      <c r="F284" s="275" t="s">
        <v>1092</v>
      </c>
      <c r="G284" s="25" t="s">
        <v>291</v>
      </c>
      <c r="H284" s="91">
        <v>0</v>
      </c>
      <c r="I284" s="170" t="s">
        <v>906</v>
      </c>
      <c r="J284" s="154"/>
      <c r="K284" s="215"/>
      <c r="L284" s="126"/>
      <c r="M284" s="72"/>
      <c r="N284" s="72"/>
      <c r="O284" s="72"/>
      <c r="P284" s="72"/>
      <c r="Q284" s="72"/>
      <c r="R284" s="72"/>
      <c r="S284" s="72"/>
      <c r="T284" s="72">
        <v>30</v>
      </c>
      <c r="U284" s="369">
        <f>233</f>
        <v>233</v>
      </c>
      <c r="V284" s="72"/>
      <c r="W284" s="72"/>
      <c r="X284" s="141"/>
      <c r="Y284" s="190"/>
      <c r="Z284" s="154"/>
      <c r="AA284" s="263"/>
      <c r="AB284" s="48"/>
    </row>
    <row r="285" spans="1:28">
      <c r="A285" s="149"/>
      <c r="B285" s="246"/>
      <c r="C285" s="246"/>
      <c r="D285" s="241"/>
      <c r="E285" s="284"/>
      <c r="F285" s="275" t="s">
        <v>1093</v>
      </c>
      <c r="G285" s="25" t="s">
        <v>291</v>
      </c>
      <c r="H285" s="91">
        <v>0</v>
      </c>
      <c r="I285" s="170" t="s">
        <v>1094</v>
      </c>
      <c r="J285" s="154"/>
      <c r="K285" s="215"/>
      <c r="L285" s="126"/>
      <c r="M285" s="72"/>
      <c r="N285" s="72"/>
      <c r="O285" s="72"/>
      <c r="P285" s="72"/>
      <c r="Q285" s="72"/>
      <c r="R285" s="72"/>
      <c r="S285" s="72"/>
      <c r="T285" s="72">
        <v>30</v>
      </c>
      <c r="U285" s="369"/>
      <c r="V285" s="72"/>
      <c r="W285" s="72"/>
      <c r="X285" s="141"/>
      <c r="Y285" s="190"/>
      <c r="Z285" s="154"/>
      <c r="AA285" s="263"/>
      <c r="AB285" s="48"/>
    </row>
    <row r="286" spans="1:28" s="65" customFormat="1" ht="15.75">
      <c r="A286" s="68"/>
      <c r="B286" s="297"/>
      <c r="C286" s="298" t="s">
        <v>424</v>
      </c>
      <c r="D286" s="297"/>
      <c r="E286" s="299"/>
      <c r="F286" s="279" t="s">
        <v>424</v>
      </c>
      <c r="G286" s="69"/>
      <c r="H286" s="134"/>
      <c r="I286" s="217"/>
      <c r="J286" s="217"/>
      <c r="K286" s="220"/>
      <c r="L286" s="68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70"/>
      <c r="Y286" s="360">
        <f t="shared" si="52"/>
        <v>0</v>
      </c>
      <c r="Z286" s="157"/>
      <c r="AA286" s="157"/>
      <c r="AB286" s="261"/>
    </row>
    <row r="287" spans="1:28" ht="45">
      <c r="A287" s="11"/>
      <c r="B287" s="246"/>
      <c r="C287" s="246"/>
      <c r="D287" s="241"/>
      <c r="E287" s="284"/>
      <c r="F287" s="274" t="s">
        <v>407</v>
      </c>
      <c r="G287" s="5" t="s">
        <v>289</v>
      </c>
      <c r="H287" s="99">
        <v>0</v>
      </c>
      <c r="I287" s="154"/>
      <c r="J287" s="154"/>
      <c r="K287" s="192">
        <v>0</v>
      </c>
      <c r="L287" s="142"/>
      <c r="M287" s="47"/>
      <c r="N287" s="49">
        <f>8+38.4</f>
        <v>46.4</v>
      </c>
      <c r="O287" s="47"/>
      <c r="P287" s="47"/>
      <c r="Q287" s="47"/>
      <c r="R287" s="47"/>
      <c r="S287" s="47"/>
      <c r="T287" s="47"/>
      <c r="U287" s="47"/>
      <c r="V287" s="47"/>
      <c r="W287" s="47"/>
      <c r="X287" s="143"/>
      <c r="Y287" s="190">
        <f t="shared" si="52"/>
        <v>46.4</v>
      </c>
      <c r="Z287" s="152">
        <f t="shared" ref="Z287:Z294" si="63">H287-Y287</f>
        <v>-46.4</v>
      </c>
      <c r="AA287" s="263">
        <f t="shared" ref="AA287:AA294" si="64">E287-Y287</f>
        <v>-46.4</v>
      </c>
      <c r="AB287" s="48"/>
    </row>
    <row r="288" spans="1:28" ht="30">
      <c r="A288" s="11"/>
      <c r="B288" s="246"/>
      <c r="C288" s="246"/>
      <c r="D288" s="241"/>
      <c r="E288" s="284"/>
      <c r="F288" s="274" t="s">
        <v>399</v>
      </c>
      <c r="G288" s="5" t="s">
        <v>289</v>
      </c>
      <c r="H288" s="99">
        <v>0</v>
      </c>
      <c r="I288" s="154"/>
      <c r="J288" s="154"/>
      <c r="K288" s="192">
        <v>0</v>
      </c>
      <c r="L288" s="142"/>
      <c r="M288" s="47"/>
      <c r="N288" s="30">
        <f>0.72*2</f>
        <v>1.44</v>
      </c>
      <c r="O288" s="47"/>
      <c r="P288" s="47"/>
      <c r="Q288" s="47"/>
      <c r="R288" s="47"/>
      <c r="S288" s="47"/>
      <c r="T288" s="47"/>
      <c r="U288" s="47"/>
      <c r="V288" s="47"/>
      <c r="W288" s="47"/>
      <c r="X288" s="143"/>
      <c r="Y288" s="190">
        <f t="shared" ref="Y288:Y307" si="65">SUM(L288:X288)</f>
        <v>1.44</v>
      </c>
      <c r="Z288" s="152">
        <f t="shared" si="63"/>
        <v>-1.44</v>
      </c>
      <c r="AA288" s="263">
        <f t="shared" si="64"/>
        <v>-1.44</v>
      </c>
      <c r="AB288" s="48"/>
    </row>
    <row r="289" spans="1:28" ht="30">
      <c r="A289" s="11"/>
      <c r="B289" s="246"/>
      <c r="C289" s="246"/>
      <c r="D289" s="241"/>
      <c r="E289" s="284"/>
      <c r="F289" s="274" t="s">
        <v>401</v>
      </c>
      <c r="G289" s="5" t="s">
        <v>291</v>
      </c>
      <c r="H289" s="99">
        <v>0</v>
      </c>
      <c r="I289" s="154"/>
      <c r="J289" s="154"/>
      <c r="K289" s="192">
        <v>0</v>
      </c>
      <c r="L289" s="142"/>
      <c r="M289" s="47"/>
      <c r="N289" s="30">
        <v>96</v>
      </c>
      <c r="O289" s="47"/>
      <c r="P289" s="47"/>
      <c r="Q289" s="47"/>
      <c r="R289" s="47"/>
      <c r="S289" s="47"/>
      <c r="T289" s="47"/>
      <c r="U289" s="47"/>
      <c r="V289" s="47"/>
      <c r="W289" s="47"/>
      <c r="X289" s="143"/>
      <c r="Y289" s="190">
        <f t="shared" si="65"/>
        <v>96</v>
      </c>
      <c r="Z289" s="152">
        <f t="shared" si="63"/>
        <v>-96</v>
      </c>
      <c r="AA289" s="263">
        <f t="shared" si="64"/>
        <v>-96</v>
      </c>
      <c r="AB289" s="48"/>
    </row>
    <row r="290" spans="1:28" ht="30">
      <c r="A290" s="11"/>
      <c r="B290" s="246"/>
      <c r="C290" s="246"/>
      <c r="D290" s="241"/>
      <c r="E290" s="284"/>
      <c r="F290" s="274" t="s">
        <v>400</v>
      </c>
      <c r="G290" s="5" t="s">
        <v>291</v>
      </c>
      <c r="H290" s="99">
        <v>0</v>
      </c>
      <c r="I290" s="154"/>
      <c r="J290" s="154"/>
      <c r="K290" s="192">
        <v>0</v>
      </c>
      <c r="L290" s="142"/>
      <c r="M290" s="47"/>
      <c r="N290" s="30">
        <v>35</v>
      </c>
      <c r="O290" s="47"/>
      <c r="P290" s="47"/>
      <c r="Q290" s="47"/>
      <c r="R290" s="47"/>
      <c r="S290" s="47"/>
      <c r="T290" s="47"/>
      <c r="U290" s="47"/>
      <c r="V290" s="47"/>
      <c r="W290" s="47"/>
      <c r="X290" s="143"/>
      <c r="Y290" s="190">
        <f t="shared" si="65"/>
        <v>35</v>
      </c>
      <c r="Z290" s="152">
        <f t="shared" si="63"/>
        <v>-35</v>
      </c>
      <c r="AA290" s="263">
        <f t="shared" si="64"/>
        <v>-35</v>
      </c>
      <c r="AB290" s="48"/>
    </row>
    <row r="291" spans="1:28">
      <c r="A291" s="11"/>
      <c r="B291" s="246"/>
      <c r="C291" s="246"/>
      <c r="D291" s="241"/>
      <c r="E291" s="284"/>
      <c r="F291" s="274" t="s">
        <v>408</v>
      </c>
      <c r="G291" s="5" t="s">
        <v>289</v>
      </c>
      <c r="H291" s="99">
        <v>0</v>
      </c>
      <c r="I291" s="154"/>
      <c r="J291" s="154"/>
      <c r="K291" s="192">
        <v>0</v>
      </c>
      <c r="L291" s="142"/>
      <c r="M291" s="47"/>
      <c r="N291" s="49">
        <v>98</v>
      </c>
      <c r="O291" s="47"/>
      <c r="P291" s="47"/>
      <c r="Q291" s="47"/>
      <c r="R291" s="47"/>
      <c r="S291" s="47"/>
      <c r="T291" s="47"/>
      <c r="U291" s="47"/>
      <c r="V291" s="47"/>
      <c r="W291" s="47"/>
      <c r="X291" s="143"/>
      <c r="Y291" s="190">
        <f t="shared" si="65"/>
        <v>98</v>
      </c>
      <c r="Z291" s="152">
        <f t="shared" si="63"/>
        <v>-98</v>
      </c>
      <c r="AA291" s="263">
        <f t="shared" si="64"/>
        <v>-98</v>
      </c>
      <c r="AB291" s="48"/>
    </row>
    <row r="292" spans="1:28">
      <c r="A292" s="11"/>
      <c r="B292" s="246"/>
      <c r="C292" s="246"/>
      <c r="D292" s="241"/>
      <c r="E292" s="284"/>
      <c r="F292" s="274" t="s">
        <v>419</v>
      </c>
      <c r="G292" s="5" t="s">
        <v>291</v>
      </c>
      <c r="H292" s="99">
        <v>0</v>
      </c>
      <c r="I292" s="154"/>
      <c r="J292" s="154"/>
      <c r="K292" s="192">
        <v>0</v>
      </c>
      <c r="L292" s="142"/>
      <c r="M292" s="47"/>
      <c r="N292" s="30">
        <v>350</v>
      </c>
      <c r="O292" s="47"/>
      <c r="P292" s="47"/>
      <c r="Q292" s="47"/>
      <c r="R292" s="47"/>
      <c r="S292" s="47"/>
      <c r="T292" s="47"/>
      <c r="U292" s="47"/>
      <c r="V292" s="47"/>
      <c r="W292" s="47"/>
      <c r="X292" s="143"/>
      <c r="Y292" s="190">
        <f t="shared" si="65"/>
        <v>350</v>
      </c>
      <c r="Z292" s="152">
        <f t="shared" si="63"/>
        <v>-350</v>
      </c>
      <c r="AA292" s="263">
        <f t="shared" si="64"/>
        <v>-350</v>
      </c>
      <c r="AB292" s="48"/>
    </row>
    <row r="293" spans="1:28" ht="30">
      <c r="A293" s="11"/>
      <c r="B293" s="246"/>
      <c r="C293" s="246"/>
      <c r="D293" s="241"/>
      <c r="E293" s="284"/>
      <c r="F293" s="274" t="s">
        <v>402</v>
      </c>
      <c r="G293" s="5" t="s">
        <v>291</v>
      </c>
      <c r="H293" s="99">
        <v>0</v>
      </c>
      <c r="I293" s="154"/>
      <c r="J293" s="154"/>
      <c r="K293" s="192">
        <v>0</v>
      </c>
      <c r="L293" s="142"/>
      <c r="M293" s="47"/>
      <c r="N293" s="30">
        <v>250</v>
      </c>
      <c r="O293" s="47"/>
      <c r="P293" s="47"/>
      <c r="Q293" s="47"/>
      <c r="R293" s="47"/>
      <c r="S293" s="47"/>
      <c r="T293" s="47"/>
      <c r="U293" s="47"/>
      <c r="V293" s="47"/>
      <c r="W293" s="47"/>
      <c r="X293" s="143"/>
      <c r="Y293" s="190">
        <f t="shared" si="65"/>
        <v>250</v>
      </c>
      <c r="Z293" s="152">
        <f t="shared" si="63"/>
        <v>-250</v>
      </c>
      <c r="AA293" s="263">
        <f t="shared" si="64"/>
        <v>-250</v>
      </c>
      <c r="AB293" s="48"/>
    </row>
    <row r="294" spans="1:28" ht="30">
      <c r="A294" s="11"/>
      <c r="B294" s="246"/>
      <c r="C294" s="246"/>
      <c r="D294" s="241"/>
      <c r="E294" s="284"/>
      <c r="F294" s="274" t="s">
        <v>403</v>
      </c>
      <c r="G294" s="5" t="s">
        <v>291</v>
      </c>
      <c r="H294" s="99">
        <v>0</v>
      </c>
      <c r="I294" s="154"/>
      <c r="J294" s="154"/>
      <c r="K294" s="192">
        <v>0</v>
      </c>
      <c r="L294" s="142"/>
      <c r="M294" s="47"/>
      <c r="N294" s="30">
        <v>100</v>
      </c>
      <c r="O294" s="47"/>
      <c r="P294" s="47"/>
      <c r="Q294" s="47"/>
      <c r="R294" s="47"/>
      <c r="S294" s="47"/>
      <c r="T294" s="47"/>
      <c r="U294" s="47"/>
      <c r="V294" s="47"/>
      <c r="W294" s="47"/>
      <c r="X294" s="143"/>
      <c r="Y294" s="190">
        <f t="shared" si="65"/>
        <v>100</v>
      </c>
      <c r="Z294" s="152">
        <f t="shared" si="63"/>
        <v>-100</v>
      </c>
      <c r="AA294" s="263">
        <f t="shared" si="64"/>
        <v>-100</v>
      </c>
      <c r="AB294" s="48"/>
    </row>
    <row r="295" spans="1:28" s="225" customFormat="1" ht="15.75">
      <c r="A295" s="149"/>
      <c r="B295" s="337"/>
      <c r="C295" s="338"/>
      <c r="D295" s="173"/>
      <c r="E295" s="177"/>
      <c r="F295" s="275" t="s">
        <v>1063</v>
      </c>
      <c r="G295" s="25"/>
      <c r="H295" s="91"/>
      <c r="I295" s="170"/>
      <c r="J295" s="25"/>
      <c r="K295" s="155"/>
      <c r="L295" s="106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107"/>
      <c r="Y295" s="349"/>
      <c r="Z295" s="155"/>
      <c r="AA295" s="339"/>
      <c r="AB295" s="73"/>
    </row>
    <row r="296" spans="1:28" s="65" customFormat="1" ht="15.75">
      <c r="A296" s="68"/>
      <c r="B296" s="297"/>
      <c r="C296" s="298" t="s">
        <v>994</v>
      </c>
      <c r="D296" s="297"/>
      <c r="E296" s="299"/>
      <c r="F296" s="279" t="str">
        <f>C296</f>
        <v>Сети ЛК</v>
      </c>
      <c r="G296" s="69"/>
      <c r="H296" s="134"/>
      <c r="I296" s="217"/>
      <c r="J296" s="217"/>
      <c r="K296" s="230"/>
      <c r="L296" s="68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70"/>
      <c r="Y296" s="360">
        <f t="shared" si="65"/>
        <v>0</v>
      </c>
      <c r="Z296" s="157"/>
      <c r="AA296" s="157"/>
      <c r="AB296" s="261"/>
    </row>
    <row r="297" spans="1:28" ht="30">
      <c r="A297" s="11"/>
      <c r="B297" s="246" t="s">
        <v>374</v>
      </c>
      <c r="C297" s="246" t="s">
        <v>375</v>
      </c>
      <c r="D297" s="241" t="s">
        <v>289</v>
      </c>
      <c r="E297" s="284">
        <v>3.98</v>
      </c>
      <c r="F297" s="274" t="s">
        <v>375</v>
      </c>
      <c r="G297" s="5" t="s">
        <v>289</v>
      </c>
      <c r="H297" s="99">
        <v>3.9799999999999995</v>
      </c>
      <c r="I297" s="154"/>
      <c r="J297" s="154"/>
      <c r="K297" s="192">
        <v>3.98</v>
      </c>
      <c r="L297" s="114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140"/>
      <c r="Y297" s="190">
        <f t="shared" si="65"/>
        <v>0</v>
      </c>
      <c r="Z297" s="152">
        <f t="shared" ref="Z297:Z307" si="66">H297-Y297</f>
        <v>3.9799999999999995</v>
      </c>
      <c r="AA297" s="263">
        <f t="shared" ref="AA297:AA307" si="67">E297-Y297</f>
        <v>3.98</v>
      </c>
      <c r="AB297" s="48"/>
    </row>
    <row r="298" spans="1:28" ht="30">
      <c r="A298" s="11"/>
      <c r="B298" s="246" t="s">
        <v>62</v>
      </c>
      <c r="C298" s="246" t="s">
        <v>63</v>
      </c>
      <c r="D298" s="241" t="s">
        <v>289</v>
      </c>
      <c r="E298" s="284">
        <v>49.8</v>
      </c>
      <c r="F298" s="274" t="s">
        <v>63</v>
      </c>
      <c r="G298" s="5" t="s">
        <v>289</v>
      </c>
      <c r="H298" s="99">
        <v>49.8</v>
      </c>
      <c r="I298" s="154"/>
      <c r="J298" s="154"/>
      <c r="K298" s="192">
        <v>49.8</v>
      </c>
      <c r="L298" s="114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140"/>
      <c r="Y298" s="190">
        <f t="shared" si="65"/>
        <v>0</v>
      </c>
      <c r="Z298" s="152">
        <f t="shared" si="66"/>
        <v>49.8</v>
      </c>
      <c r="AA298" s="263">
        <f t="shared" si="67"/>
        <v>49.8</v>
      </c>
      <c r="AB298" s="48"/>
    </row>
    <row r="299" spans="1:28" ht="60">
      <c r="A299" s="11"/>
      <c r="B299" s="246" t="s">
        <v>376</v>
      </c>
      <c r="C299" s="246" t="s">
        <v>377</v>
      </c>
      <c r="D299" s="241" t="s">
        <v>289</v>
      </c>
      <c r="E299" s="284">
        <v>72.7</v>
      </c>
      <c r="F299" s="274" t="s">
        <v>377</v>
      </c>
      <c r="G299" s="5" t="s">
        <v>289</v>
      </c>
      <c r="H299" s="99">
        <v>72.7</v>
      </c>
      <c r="I299" s="154"/>
      <c r="J299" s="154"/>
      <c r="K299" s="192">
        <v>72.7</v>
      </c>
      <c r="L299" s="114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140"/>
      <c r="Y299" s="190">
        <f t="shared" si="65"/>
        <v>0</v>
      </c>
      <c r="Z299" s="152">
        <f t="shared" si="66"/>
        <v>72.7</v>
      </c>
      <c r="AA299" s="263">
        <f t="shared" si="67"/>
        <v>72.7</v>
      </c>
      <c r="AB299" s="48"/>
    </row>
    <row r="300" spans="1:28">
      <c r="A300" s="11"/>
      <c r="B300" s="246" t="s">
        <v>378</v>
      </c>
      <c r="C300" s="246" t="s">
        <v>379</v>
      </c>
      <c r="D300" s="241" t="s">
        <v>292</v>
      </c>
      <c r="E300" s="284">
        <v>0.41</v>
      </c>
      <c r="F300" s="274" t="s">
        <v>379</v>
      </c>
      <c r="G300" s="5" t="s">
        <v>292</v>
      </c>
      <c r="H300" s="99">
        <v>0.41</v>
      </c>
      <c r="I300" s="154"/>
      <c r="J300" s="154"/>
      <c r="K300" s="192">
        <v>0.41</v>
      </c>
      <c r="L300" s="114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140"/>
      <c r="Y300" s="190">
        <f t="shared" si="65"/>
        <v>0</v>
      </c>
      <c r="Z300" s="152">
        <f t="shared" si="66"/>
        <v>0.41</v>
      </c>
      <c r="AA300" s="263">
        <f t="shared" si="67"/>
        <v>0.41</v>
      </c>
      <c r="AB300" s="48"/>
    </row>
    <row r="301" spans="1:28" ht="30">
      <c r="A301" s="11"/>
      <c r="B301" s="246" t="s">
        <v>106</v>
      </c>
      <c r="C301" s="246" t="s">
        <v>107</v>
      </c>
      <c r="D301" s="241" t="s">
        <v>293</v>
      </c>
      <c r="E301" s="284">
        <v>34</v>
      </c>
      <c r="F301" s="274" t="s">
        <v>107</v>
      </c>
      <c r="G301" s="5" t="s">
        <v>293</v>
      </c>
      <c r="H301" s="99">
        <v>34</v>
      </c>
      <c r="I301" s="154"/>
      <c r="J301" s="154"/>
      <c r="K301" s="192">
        <v>34</v>
      </c>
      <c r="L301" s="114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140"/>
      <c r="Y301" s="190">
        <f t="shared" si="65"/>
        <v>0</v>
      </c>
      <c r="Z301" s="152">
        <f t="shared" si="66"/>
        <v>34</v>
      </c>
      <c r="AA301" s="263">
        <f t="shared" si="67"/>
        <v>34</v>
      </c>
      <c r="AB301" s="48"/>
    </row>
    <row r="302" spans="1:28" ht="30">
      <c r="A302" s="11"/>
      <c r="B302" s="246" t="s">
        <v>380</v>
      </c>
      <c r="C302" s="246" t="s">
        <v>381</v>
      </c>
      <c r="D302" s="241" t="s">
        <v>289</v>
      </c>
      <c r="E302" s="284">
        <v>0.6</v>
      </c>
      <c r="F302" s="274" t="s">
        <v>381</v>
      </c>
      <c r="G302" s="5" t="s">
        <v>289</v>
      </c>
      <c r="H302" s="99">
        <v>0.6</v>
      </c>
      <c r="I302" s="154"/>
      <c r="J302" s="154"/>
      <c r="K302" s="192">
        <v>0.6</v>
      </c>
      <c r="L302" s="114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140"/>
      <c r="Y302" s="190">
        <f t="shared" si="65"/>
        <v>0</v>
      </c>
      <c r="Z302" s="152">
        <f t="shared" si="66"/>
        <v>0.6</v>
      </c>
      <c r="AA302" s="263">
        <f t="shared" si="67"/>
        <v>0.6</v>
      </c>
      <c r="AB302" s="48"/>
    </row>
    <row r="303" spans="1:28">
      <c r="A303" s="11"/>
      <c r="B303" s="246" t="s">
        <v>382</v>
      </c>
      <c r="C303" s="246" t="s">
        <v>383</v>
      </c>
      <c r="D303" s="241" t="s">
        <v>294</v>
      </c>
      <c r="E303" s="284">
        <v>2</v>
      </c>
      <c r="F303" s="270" t="s">
        <v>383</v>
      </c>
      <c r="G303" s="5" t="s">
        <v>294</v>
      </c>
      <c r="H303" s="99">
        <v>2</v>
      </c>
      <c r="I303" s="154"/>
      <c r="J303" s="154"/>
      <c r="K303" s="192">
        <v>2</v>
      </c>
      <c r="L303" s="114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140"/>
      <c r="Y303" s="190">
        <f t="shared" si="65"/>
        <v>0</v>
      </c>
      <c r="Z303" s="152">
        <f t="shared" si="66"/>
        <v>2</v>
      </c>
      <c r="AA303" s="263">
        <f t="shared" si="67"/>
        <v>2</v>
      </c>
      <c r="AB303" s="48"/>
    </row>
    <row r="304" spans="1:28">
      <c r="A304" s="11"/>
      <c r="B304" s="246" t="s">
        <v>70</v>
      </c>
      <c r="C304" s="246" t="s">
        <v>71</v>
      </c>
      <c r="D304" s="241" t="s">
        <v>289</v>
      </c>
      <c r="E304" s="284">
        <v>0.9</v>
      </c>
      <c r="F304" s="270" t="s">
        <v>71</v>
      </c>
      <c r="G304" s="5" t="s">
        <v>289</v>
      </c>
      <c r="H304" s="99">
        <v>0.89999999999999991</v>
      </c>
      <c r="I304" s="154"/>
      <c r="J304" s="154"/>
      <c r="K304" s="192">
        <v>0.9</v>
      </c>
      <c r="L304" s="114"/>
      <c r="M304" s="46">
        <f>0.39+0.59+0.265*3+0.39*2</f>
        <v>2.5549999999999997</v>
      </c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140"/>
      <c r="Y304" s="190">
        <f t="shared" si="65"/>
        <v>2.5549999999999997</v>
      </c>
      <c r="Z304" s="152">
        <f t="shared" si="66"/>
        <v>-1.6549999999999998</v>
      </c>
      <c r="AA304" s="263">
        <f t="shared" si="67"/>
        <v>-1.6549999999999998</v>
      </c>
      <c r="AB304" s="48" t="s">
        <v>387</v>
      </c>
    </row>
    <row r="305" spans="1:28">
      <c r="A305" s="11"/>
      <c r="B305" s="246" t="s">
        <v>79</v>
      </c>
      <c r="C305" s="246" t="s">
        <v>80</v>
      </c>
      <c r="D305" s="241" t="s">
        <v>294</v>
      </c>
      <c r="E305" s="284">
        <v>3</v>
      </c>
      <c r="F305" s="270" t="s">
        <v>80</v>
      </c>
      <c r="G305" s="5" t="s">
        <v>294</v>
      </c>
      <c r="H305" s="99">
        <v>3</v>
      </c>
      <c r="I305" s="154"/>
      <c r="J305" s="154"/>
      <c r="K305" s="192">
        <v>3</v>
      </c>
      <c r="L305" s="142"/>
      <c r="M305" s="47"/>
      <c r="N305" s="30">
        <v>1</v>
      </c>
      <c r="O305" s="47"/>
      <c r="P305" s="47"/>
      <c r="Q305" s="47"/>
      <c r="R305" s="47"/>
      <c r="S305" s="47"/>
      <c r="T305" s="47"/>
      <c r="U305" s="47"/>
      <c r="V305" s="47"/>
      <c r="W305" s="47"/>
      <c r="X305" s="143"/>
      <c r="Y305" s="190">
        <f t="shared" si="65"/>
        <v>1</v>
      </c>
      <c r="Z305" s="152">
        <f t="shared" si="66"/>
        <v>2</v>
      </c>
      <c r="AA305" s="263">
        <f t="shared" si="67"/>
        <v>2</v>
      </c>
      <c r="AB305" s="48"/>
    </row>
    <row r="306" spans="1:28">
      <c r="A306" s="11"/>
      <c r="B306" s="246"/>
      <c r="C306" s="246"/>
      <c r="D306" s="241"/>
      <c r="E306" s="284"/>
      <c r="F306" s="274" t="s">
        <v>388</v>
      </c>
      <c r="G306" s="5" t="s">
        <v>289</v>
      </c>
      <c r="H306" s="99">
        <v>0</v>
      </c>
      <c r="I306" s="154"/>
      <c r="J306" s="154"/>
      <c r="K306" s="192">
        <v>0</v>
      </c>
      <c r="L306" s="114"/>
      <c r="M306" s="30">
        <v>5</v>
      </c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115"/>
      <c r="Y306" s="190">
        <f t="shared" si="65"/>
        <v>5</v>
      </c>
      <c r="Z306" s="152">
        <f t="shared" si="66"/>
        <v>-5</v>
      </c>
      <c r="AA306" s="263">
        <f t="shared" si="67"/>
        <v>-5</v>
      </c>
      <c r="AB306" s="48"/>
    </row>
    <row r="307" spans="1:28">
      <c r="A307" s="11"/>
      <c r="B307" s="246" t="s">
        <v>72</v>
      </c>
      <c r="C307" s="246" t="s">
        <v>73</v>
      </c>
      <c r="D307" s="241" t="s">
        <v>294</v>
      </c>
      <c r="E307" s="284">
        <v>3</v>
      </c>
      <c r="F307" s="270" t="s">
        <v>73</v>
      </c>
      <c r="G307" s="5" t="s">
        <v>294</v>
      </c>
      <c r="H307" s="99">
        <v>3</v>
      </c>
      <c r="I307" s="154"/>
      <c r="J307" s="154"/>
      <c r="K307" s="192">
        <v>3</v>
      </c>
      <c r="L307" s="142"/>
      <c r="M307" s="47"/>
      <c r="N307" s="30"/>
      <c r="O307" s="47"/>
      <c r="P307" s="47"/>
      <c r="Q307" s="47"/>
      <c r="R307" s="47"/>
      <c r="S307" s="47"/>
      <c r="T307" s="47"/>
      <c r="U307" s="47"/>
      <c r="V307" s="47"/>
      <c r="W307" s="47"/>
      <c r="X307" s="143"/>
      <c r="Y307" s="190">
        <f t="shared" si="65"/>
        <v>0</v>
      </c>
      <c r="Z307" s="152">
        <f t="shared" si="66"/>
        <v>3</v>
      </c>
      <c r="AA307" s="263">
        <f t="shared" si="67"/>
        <v>3</v>
      </c>
      <c r="AB307" s="48"/>
    </row>
    <row r="308" spans="1:28">
      <c r="A308" s="58"/>
      <c r="B308" s="59"/>
      <c r="C308" s="60"/>
      <c r="D308" s="61"/>
      <c r="E308" s="140"/>
      <c r="F308" s="280"/>
      <c r="G308" s="61"/>
      <c r="H308" s="133"/>
      <c r="I308" s="218"/>
      <c r="J308" s="218"/>
      <c r="K308" s="221"/>
      <c r="L308" s="144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140"/>
      <c r="Y308" s="361"/>
      <c r="Z308" s="156"/>
      <c r="AA308" s="264"/>
      <c r="AB308" s="62"/>
    </row>
    <row r="309" spans="1:28">
      <c r="A309" s="58"/>
      <c r="B309" s="59"/>
      <c r="C309" s="60"/>
      <c r="D309" s="61"/>
      <c r="E309" s="140"/>
      <c r="F309" s="280"/>
      <c r="G309" s="61"/>
      <c r="H309" s="133"/>
      <c r="I309" s="218"/>
      <c r="J309" s="218"/>
      <c r="K309" s="221"/>
      <c r="L309" s="144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140"/>
      <c r="Y309" s="361"/>
      <c r="Z309" s="156"/>
      <c r="AA309" s="264"/>
      <c r="AB309" s="62"/>
    </row>
    <row r="310" spans="1:28">
      <c r="A310" s="52"/>
      <c r="B310" s="53"/>
      <c r="C310" s="54"/>
      <c r="D310" s="55"/>
      <c r="E310" s="146"/>
      <c r="F310" s="281"/>
      <c r="G310" s="55"/>
      <c r="H310" s="135"/>
      <c r="I310" s="219"/>
      <c r="J310" s="219"/>
      <c r="K310" s="222"/>
      <c r="L310" s="145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146"/>
      <c r="Y310" s="362"/>
      <c r="Z310" s="158"/>
      <c r="AA310" s="265"/>
      <c r="AB310" s="57"/>
    </row>
    <row r="311" spans="1:28" ht="15.75" thickBot="1">
      <c r="A311" s="27"/>
      <c r="B311" s="28"/>
      <c r="C311" s="28"/>
      <c r="D311" s="16"/>
      <c r="E311" s="129"/>
      <c r="F311" s="282"/>
      <c r="G311" s="16"/>
      <c r="H311" s="100"/>
      <c r="I311" s="159"/>
      <c r="J311" s="159"/>
      <c r="K311" s="195"/>
      <c r="L311" s="147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148"/>
      <c r="Y311" s="363"/>
      <c r="Z311" s="188"/>
      <c r="AA311" s="266"/>
      <c r="AB311" s="51"/>
    </row>
  </sheetData>
  <autoFilter ref="A5:AB307" xr:uid="{67D0DC6E-1972-4591-A595-966692707F34}"/>
  <mergeCells count="2">
    <mergeCell ref="A1:AB1"/>
    <mergeCell ref="G3:H3"/>
  </mergeCells>
  <phoneticPr fontId="12" type="noConversion"/>
  <pageMargins left="0" right="0" top="0" bottom="0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Парковка 7</vt:lpstr>
      <vt:lpstr>Парковка 435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2024-07-23T12:23:48Z</dcterms:modified>
</cp:coreProperties>
</file>