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Z:\GROUP\SOBO - GRANTS MANAGEMENT\Pre &amp; Post Award by PI\Hamden, Erika\Pre Award\1. Proposals (Pending) Current moved to Award as received\NASA FINESST (Parker) Due 2.6.24\"/>
    </mc:Choice>
  </mc:AlternateContent>
  <xr:revisionPtr revIDLastSave="0" documentId="13_ncr:1_{5F23E71F-D390-48E9-9BCE-C90F5376114C}" xr6:coauthVersionLast="47" xr6:coauthVersionMax="47" xr10:uidLastSave="{00000000-0000-0000-0000-000000000000}"/>
  <bookViews>
    <workbookView xWindow="31395" yWindow="1605" windowWidth="22725" windowHeight="13485" tabRatio="304" xr2:uid="{00000000-000D-0000-FFFF-FFFF00000000}"/>
  </bookViews>
  <sheets>
    <sheet name="Budget Template" sheetId="1" r:id="rId1"/>
  </sheets>
  <definedNames>
    <definedName name="_xlnm.Print_Area" localSheetId="0">'Budget Template'!$A$1:$O$66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7" i="1" l="1"/>
  <c r="S45" i="1"/>
  <c r="S43" i="1"/>
  <c r="T67" i="1"/>
  <c r="T65" i="1"/>
  <c r="J46" i="1"/>
  <c r="J47" i="1"/>
  <c r="H41" i="1"/>
  <c r="K72" i="1" l="1"/>
  <c r="K74" i="1" s="1"/>
  <c r="H72" i="1"/>
  <c r="N38" i="1"/>
  <c r="N77" i="1" s="1"/>
  <c r="K38" i="1"/>
  <c r="O38" i="1" s="1"/>
  <c r="O68" i="1"/>
  <c r="G49" i="1"/>
  <c r="F12" i="1"/>
  <c r="F13" i="1"/>
  <c r="H13" i="1" s="1"/>
  <c r="L23" i="1"/>
  <c r="L22" i="1"/>
  <c r="I23" i="1"/>
  <c r="I22" i="1"/>
  <c r="F23" i="1"/>
  <c r="F22" i="1"/>
  <c r="N72" i="1" l="1"/>
  <c r="K77" i="1"/>
  <c r="O39" i="1"/>
  <c r="I13" i="1"/>
  <c r="N74" i="1" l="1"/>
  <c r="O72" i="1"/>
  <c r="L13" i="1"/>
  <c r="N13" i="1" s="1"/>
  <c r="K13" i="1"/>
  <c r="O13" i="1" l="1"/>
  <c r="F14" i="1"/>
  <c r="I25" i="1" l="1"/>
  <c r="L25" i="1" s="1"/>
  <c r="I20" i="1"/>
  <c r="L20" i="1" s="1"/>
  <c r="I18" i="1"/>
  <c r="L18" i="1" s="1"/>
  <c r="I16" i="1"/>
  <c r="L16" i="1" s="1"/>
  <c r="I12" i="1"/>
  <c r="L12" i="1" s="1"/>
  <c r="J49" i="1" l="1"/>
  <c r="H25" i="1"/>
  <c r="H31" i="1" s="1"/>
  <c r="I14" i="1"/>
  <c r="L14" i="1" s="1"/>
  <c r="I28" i="1"/>
  <c r="I29" i="1"/>
  <c r="N20" i="1"/>
  <c r="I30" i="1"/>
  <c r="K22" i="1"/>
  <c r="K23" i="1"/>
  <c r="I31" i="1"/>
  <c r="L28" i="1"/>
  <c r="L29" i="1"/>
  <c r="L30" i="1"/>
  <c r="N23" i="1"/>
  <c r="L31" i="1"/>
  <c r="K58" i="1"/>
  <c r="K54" i="1"/>
  <c r="N49" i="1"/>
  <c r="O40" i="1"/>
  <c r="H22" i="1"/>
  <c r="H23" i="1"/>
  <c r="K12" i="1"/>
  <c r="K16" i="1"/>
  <c r="K18" i="1"/>
  <c r="K25" i="1"/>
  <c r="J26" i="1"/>
  <c r="G26" i="1"/>
  <c r="N18" i="1"/>
  <c r="H20" i="1"/>
  <c r="H29" i="1" s="1"/>
  <c r="H12" i="1"/>
  <c r="H16" i="1"/>
  <c r="H18" i="1"/>
  <c r="N42" i="1"/>
  <c r="K42" i="1"/>
  <c r="O63" i="1"/>
  <c r="N61" i="1"/>
  <c r="K61" i="1"/>
  <c r="O37" i="1"/>
  <c r="O36" i="1"/>
  <c r="O35" i="1"/>
  <c r="N58" i="1"/>
  <c r="H58" i="1"/>
  <c r="O57" i="1"/>
  <c r="O56" i="1"/>
  <c r="N54" i="1"/>
  <c r="H54" i="1"/>
  <c r="O53" i="1"/>
  <c r="O52" i="1"/>
  <c r="M26" i="1"/>
  <c r="K49" i="1"/>
  <c r="H49" i="1"/>
  <c r="K62" i="1" l="1"/>
  <c r="H62" i="1"/>
  <c r="J50" i="1"/>
  <c r="N16" i="1"/>
  <c r="O16" i="1" s="1"/>
  <c r="O18" i="1"/>
  <c r="N62" i="1"/>
  <c r="G50" i="1"/>
  <c r="N12" i="1"/>
  <c r="O54" i="1"/>
  <c r="O23" i="1"/>
  <c r="O58" i="1"/>
  <c r="K20" i="1"/>
  <c r="K29" i="1" s="1"/>
  <c r="N14" i="1"/>
  <c r="K14" i="1"/>
  <c r="K28" i="1" s="1"/>
  <c r="K30" i="1"/>
  <c r="H14" i="1"/>
  <c r="H28" i="1" s="1"/>
  <c r="N25" i="1"/>
  <c r="N31" i="1" s="1"/>
  <c r="O47" i="1"/>
  <c r="M49" i="1"/>
  <c r="M50" i="1" s="1"/>
  <c r="N29" i="1"/>
  <c r="O46" i="1"/>
  <c r="H30" i="1"/>
  <c r="N22" i="1"/>
  <c r="N30" i="1" s="1"/>
  <c r="K31" i="1"/>
  <c r="O48" i="1"/>
  <c r="O62" i="1" l="1"/>
  <c r="H32" i="1"/>
  <c r="O20" i="1"/>
  <c r="N26" i="1"/>
  <c r="N28" i="1"/>
  <c r="N32" i="1" s="1"/>
  <c r="O12" i="1"/>
  <c r="O29" i="1"/>
  <c r="K32" i="1"/>
  <c r="K26" i="1"/>
  <c r="O50" i="1"/>
  <c r="O31" i="1"/>
  <c r="O22" i="1"/>
  <c r="H26" i="1"/>
  <c r="O14" i="1"/>
  <c r="O45" i="1"/>
  <c r="O25" i="1"/>
  <c r="O30" i="1"/>
  <c r="N33" i="1" l="1"/>
  <c r="N60" i="1" s="1"/>
  <c r="N64" i="1" s="1"/>
  <c r="K33" i="1"/>
  <c r="K60" i="1" s="1"/>
  <c r="K64" i="1" s="1"/>
  <c r="O32" i="1"/>
  <c r="O28" i="1"/>
  <c r="O26" i="1"/>
  <c r="H33" i="1"/>
  <c r="N65" i="1" l="1"/>
  <c r="N66" i="1" s="1"/>
  <c r="N69" i="1" s="1"/>
  <c r="K65" i="1"/>
  <c r="K66" i="1" s="1"/>
  <c r="K69" i="1" s="1"/>
  <c r="O33" i="1"/>
  <c r="O41" i="1"/>
  <c r="H61" i="1"/>
  <c r="O61" i="1" s="1"/>
  <c r="H74" i="1"/>
  <c r="O74" i="1" s="1"/>
  <c r="H42" i="1"/>
  <c r="O42" i="1" s="1"/>
  <c r="H77" i="1"/>
  <c r="H60" i="1" l="1"/>
  <c r="O60" i="1" s="1"/>
  <c r="H64" i="1"/>
  <c r="O64" i="1" l="1"/>
  <c r="H65" i="1"/>
  <c r="O65" i="1" l="1"/>
  <c r="H66" i="1"/>
  <c r="H69" i="1" s="1"/>
  <c r="O66" i="1" l="1"/>
</calcChain>
</file>

<file path=xl/sharedStrings.xml><?xml version="1.0" encoding="utf-8"?>
<sst xmlns="http://schemas.openxmlformats.org/spreadsheetml/2006/main" count="122" uniqueCount="79">
  <si>
    <t>Rate</t>
  </si>
  <si>
    <t>Hrs.</t>
  </si>
  <si>
    <t>Subtotal</t>
  </si>
  <si>
    <t>Senior Personnel</t>
  </si>
  <si>
    <t>LABOR SUBTOTAL:</t>
  </si>
  <si>
    <t>YEAR 1</t>
  </si>
  <si>
    <t>YEAR 2</t>
  </si>
  <si>
    <t>FRINGE BENEFITS (ERE) SUBTOTAL:</t>
  </si>
  <si>
    <t>LABOR + ERE TOTAL</t>
  </si>
  <si>
    <t>Domestic</t>
  </si>
  <si>
    <t>Per Diem:</t>
  </si>
  <si>
    <t>Ground Transportation:</t>
  </si>
  <si>
    <t>TOTAL PROJECT COSTS</t>
  </si>
  <si>
    <t>Principal Investigator</t>
  </si>
  <si>
    <t>Postdoctoral Scholar</t>
  </si>
  <si>
    <t xml:space="preserve"> </t>
  </si>
  <si>
    <t>CAPITAL EQUIPMENT</t>
  </si>
  <si>
    <t>YEAR 3</t>
  </si>
  <si>
    <t>SUBTOTAL CAPITAL EQUIPMENT:</t>
  </si>
  <si>
    <t>Program Coordinator</t>
  </si>
  <si>
    <t>Conference Registration Fees</t>
  </si>
  <si>
    <t xml:space="preserve">Lodging: </t>
  </si>
  <si>
    <t>SUBAWARDS</t>
  </si>
  <si>
    <t>SUBTOTAL SUBAWARDS:</t>
  </si>
  <si>
    <t>Employee Full-Benefit</t>
  </si>
  <si>
    <t>Graduate Assistants</t>
  </si>
  <si>
    <t>Undergraduate Student Employees</t>
  </si>
  <si>
    <t>MTDC</t>
  </si>
  <si>
    <t xml:space="preserve">Other </t>
  </si>
  <si>
    <t>DIRECT COSTS</t>
  </si>
  <si>
    <t>Less Tuition Remission</t>
  </si>
  <si>
    <t>Undergraduate Student Employee</t>
  </si>
  <si>
    <t xml:space="preserve">Airfare: </t>
  </si>
  <si>
    <t>Research Technician</t>
  </si>
  <si>
    <t>Postdoctoral Fellows</t>
  </si>
  <si>
    <t>Faculty Ancillary (Postdocs)</t>
  </si>
  <si>
    <t>Key Personnel</t>
  </si>
  <si>
    <t>Other Personnel</t>
  </si>
  <si>
    <t>Project Title:</t>
  </si>
  <si>
    <t>Principal Investigator:</t>
  </si>
  <si>
    <t>Sponsor:</t>
  </si>
  <si>
    <t>Project Period:</t>
  </si>
  <si>
    <t>TOTALS</t>
  </si>
  <si>
    <t>Publications</t>
  </si>
  <si>
    <t>Less Capital Equipment and Subawards*</t>
  </si>
  <si>
    <t>*Subawards: 1st 25K of each sub are subject to IDC - Must Add In</t>
  </si>
  <si>
    <t>(1) Graduate Research Assistant- AY (9 mos) @ 0.50 FTE or 800 hrs</t>
  </si>
  <si>
    <t>Principal Investigator, Summer (456 hrs max)</t>
  </si>
  <si>
    <t>Co-Investigator, Summer (456 hrs max)</t>
  </si>
  <si>
    <t xml:space="preserve">(1) Graduate Research Assistant-summer (3mos) @ 420 hrs max </t>
  </si>
  <si>
    <r>
      <t>FRINGE BENEFITS (ERE)</t>
    </r>
    <r>
      <rPr>
        <sz val="10"/>
        <color rgb="FF000082"/>
        <rFont val="Calibri"/>
        <family val="2"/>
      </rPr>
      <t xml:space="preserve"> - Rates effective 7/1/23 and beyond</t>
    </r>
  </si>
  <si>
    <t>Foreign</t>
  </si>
  <si>
    <t>TOTAL PER TYPE:</t>
  </si>
  <si>
    <t>NASA (FINESST)</t>
  </si>
  <si>
    <t>Allowed:</t>
  </si>
  <si>
    <t>Stipends</t>
  </si>
  <si>
    <t>Subsistence Allowances</t>
  </si>
  <si>
    <t>Travel Allowances</t>
  </si>
  <si>
    <t>Registrations Fees in connection with conferences.</t>
  </si>
  <si>
    <t>Tuition, Fees, Health Insurance</t>
  </si>
  <si>
    <t>Health Insurance</t>
  </si>
  <si>
    <t>Student Stipend</t>
  </si>
  <si>
    <t>Cost Share, 1111370</t>
  </si>
  <si>
    <t>PARTICIPANT SUPPORT COSTS</t>
  </si>
  <si>
    <t>PARTICIPANT SUPPORT COSTS:</t>
  </si>
  <si>
    <t>PARTICIPANT SUPPORT COSTS - TRAVEL</t>
  </si>
  <si>
    <t>PARTICIPANT SUPPORT COSTS - TRAVEL:</t>
  </si>
  <si>
    <t>INDIRECT COSTS (0% based on Participant Support coding)</t>
  </si>
  <si>
    <t>Fees/Tuition</t>
  </si>
  <si>
    <t>Computer</t>
  </si>
  <si>
    <t>MAX</t>
  </si>
  <si>
    <t>Diff</t>
  </si>
  <si>
    <t>Actual Tuition</t>
  </si>
  <si>
    <t>Difference-to be covered by COS</t>
  </si>
  <si>
    <t>Graduate Student Tuition Remission</t>
  </si>
  <si>
    <t>Reduce Tuition as needed.</t>
  </si>
  <si>
    <t>Erika Hamden (Brock Parker)</t>
  </si>
  <si>
    <t>12/1/2024-11/30/2027</t>
  </si>
  <si>
    <t>Development of fast readout Skipper CCDs for Astrophysical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</si>
</sst>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\$* #,##0_);_(\$* \(#,##0\);_(\$* \-_);_(@_)"/>
    <numFmt numFmtId="166" formatCode="0.00_);\(0.00\)"/>
    <numFmt numFmtId="167" formatCode="_(\$* #,##0_);_(\$* \(#,##0\);_(\$* \-??_);_(@_)"/>
    <numFmt numFmtId="168" formatCode="&quot;$&quot;#,##0"/>
    <numFmt numFmtId="169" formatCode="_(&quot;$&quot;* #,##0_);_(&quot;$&quot;* \(#,##0\);_(&quot;$&quot;* &quot;-&quot;??_);_(@_)"/>
  </numFmts>
  <fonts count="18" x14ac:knownFonts="1">
    <font>
      <sz val="11"/>
      <color rgb="FF000000"/>
      <name val="Calibri"/>
      <family val="2"/>
      <charset val="1"/>
    </font>
    <font>
      <b/>
      <sz val="11"/>
      <color rgb="FF000082"/>
      <name val="Calibri"/>
      <family val="2"/>
      <charset val="1"/>
    </font>
    <font>
      <b/>
      <sz val="10"/>
      <color rgb="FF000082"/>
      <name val="Calibri"/>
      <family val="2"/>
      <charset val="1"/>
    </font>
    <font>
      <sz val="8"/>
      <color rgb="FF000082"/>
      <name val="Calibri"/>
      <family val="2"/>
      <charset val="1"/>
    </font>
    <font>
      <sz val="11"/>
      <color rgb="FF000082"/>
      <name val="Calibri"/>
      <family val="2"/>
      <charset val="1"/>
    </font>
    <font>
      <b/>
      <sz val="10"/>
      <color rgb="FF000082"/>
      <name val="Tahoma"/>
      <family val="2"/>
      <charset val="1"/>
    </font>
    <font>
      <i/>
      <sz val="1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82"/>
      <name val="Calibri"/>
      <family val="2"/>
    </font>
    <font>
      <sz val="10"/>
      <color rgb="FF000082"/>
      <name val="Calibri"/>
      <family val="2"/>
    </font>
    <font>
      <b/>
      <sz val="10"/>
      <color theme="8" tint="-0.499984740745262"/>
      <name val="Calibri"/>
      <family val="2"/>
    </font>
    <font>
      <sz val="10"/>
      <color theme="8" tint="-0.499984740745262"/>
      <name val="Calibri"/>
      <family val="2"/>
    </font>
    <font>
      <sz val="11"/>
      <color theme="4" tint="-0.249977111117893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B4C7E7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lightUp">
        <fgColor theme="0" tint="-0.24994659260841701"/>
        <bgColor theme="8" tint="0.79998168889431442"/>
      </patternFill>
    </fill>
    <fill>
      <patternFill patternType="solid">
        <fgColor theme="0" tint="-0.14999847407452621"/>
        <bgColor rgb="FFB4C7E7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172">
    <xf numFmtId="0" fontId="0" fillId="0" borderId="0" xfId="0"/>
    <xf numFmtId="0" fontId="4" fillId="0" borderId="0" xfId="0" applyFont="1" applyAlignment="1">
      <alignment horizontal="left"/>
    </xf>
    <xf numFmtId="165" fontId="5" fillId="0" borderId="0" xfId="0" applyNumberFormat="1" applyFont="1"/>
    <xf numFmtId="165" fontId="2" fillId="4" borderId="2" xfId="0" applyNumberFormat="1" applyFont="1" applyFill="1" applyBorder="1" applyAlignment="1">
      <alignment wrapText="1"/>
    </xf>
    <xf numFmtId="164" fontId="3" fillId="4" borderId="14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165" fontId="3" fillId="4" borderId="9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 wrapText="1"/>
    </xf>
    <xf numFmtId="164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0" fontId="9" fillId="0" borderId="4" xfId="0" applyFont="1" applyBorder="1"/>
    <xf numFmtId="44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center"/>
    </xf>
    <xf numFmtId="42" fontId="9" fillId="0" borderId="4" xfId="0" applyNumberFormat="1" applyFont="1" applyBorder="1"/>
    <xf numFmtId="42" fontId="9" fillId="0" borderId="4" xfId="0" applyNumberFormat="1" applyFont="1" applyBorder="1" applyAlignment="1">
      <alignment horizontal="center"/>
    </xf>
    <xf numFmtId="42" fontId="9" fillId="0" borderId="9" xfId="0" applyNumberFormat="1" applyFont="1" applyBorder="1"/>
    <xf numFmtId="164" fontId="10" fillId="7" borderId="12" xfId="0" applyNumberFormat="1" applyFont="1" applyFill="1" applyBorder="1" applyAlignment="1">
      <alignment horizontal="center"/>
    </xf>
    <xf numFmtId="41" fontId="10" fillId="7" borderId="13" xfId="0" applyNumberFormat="1" applyFont="1" applyFill="1" applyBorder="1" applyAlignment="1">
      <alignment horizontal="center"/>
    </xf>
    <xf numFmtId="42" fontId="10" fillId="7" borderId="11" xfId="0" applyNumberFormat="1" applyFont="1" applyFill="1" applyBorder="1"/>
    <xf numFmtId="164" fontId="10" fillId="7" borderId="13" xfId="0" applyNumberFormat="1" applyFont="1" applyFill="1" applyBorder="1" applyAlignment="1">
      <alignment horizontal="center"/>
    </xf>
    <xf numFmtId="167" fontId="10" fillId="0" borderId="4" xfId="0" applyNumberFormat="1" applyFont="1" applyBorder="1"/>
    <xf numFmtId="10" fontId="9" fillId="0" borderId="3" xfId="0" applyNumberFormat="1" applyFont="1" applyBorder="1"/>
    <xf numFmtId="0" fontId="8" fillId="3" borderId="0" xfId="0" applyFont="1" applyFill="1"/>
    <xf numFmtId="10" fontId="9" fillId="0" borderId="0" xfId="0" applyNumberFormat="1" applyFont="1"/>
    <xf numFmtId="167" fontId="8" fillId="3" borderId="0" xfId="0" applyNumberFormat="1" applyFont="1" applyFill="1"/>
    <xf numFmtId="0" fontId="9" fillId="3" borderId="0" xfId="0" applyFont="1" applyFill="1" applyAlignment="1">
      <alignment horizontal="center"/>
    </xf>
    <xf numFmtId="10" fontId="9" fillId="0" borderId="14" xfId="0" applyNumberFormat="1" applyFont="1" applyBorder="1"/>
    <xf numFmtId="0" fontId="9" fillId="3" borderId="8" xfId="0" applyFont="1" applyFill="1" applyBorder="1" applyAlignment="1">
      <alignment horizontal="center"/>
    </xf>
    <xf numFmtId="164" fontId="11" fillId="2" borderId="12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42" fontId="10" fillId="2" borderId="11" xfId="0" applyNumberFormat="1" applyFont="1" applyFill="1" applyBorder="1"/>
    <xf numFmtId="168" fontId="11" fillId="2" borderId="13" xfId="0" applyNumberFormat="1" applyFont="1" applyFill="1" applyBorder="1" applyAlignment="1">
      <alignment horizontal="center"/>
    </xf>
    <xf numFmtId="42" fontId="10" fillId="2" borderId="13" xfId="0" applyNumberFormat="1" applyFont="1" applyFill="1" applyBorder="1"/>
    <xf numFmtId="168" fontId="11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/>
    <xf numFmtId="0" fontId="10" fillId="2" borderId="13" xfId="0" applyFont="1" applyFill="1" applyBorder="1"/>
    <xf numFmtId="168" fontId="10" fillId="2" borderId="13" xfId="0" applyNumberFormat="1" applyFont="1" applyFill="1" applyBorder="1"/>
    <xf numFmtId="168" fontId="10" fillId="2" borderId="12" xfId="0" applyNumberFormat="1" applyFont="1" applyFill="1" applyBorder="1"/>
    <xf numFmtId="42" fontId="10" fillId="2" borderId="11" xfId="0" applyNumberFormat="1" applyFont="1" applyFill="1" applyBorder="1" applyAlignment="1">
      <alignment horizontal="right"/>
    </xf>
    <xf numFmtId="0" fontId="11" fillId="0" borderId="4" xfId="0" applyFont="1" applyBorder="1"/>
    <xf numFmtId="0" fontId="9" fillId="3" borderId="3" xfId="0" applyFont="1" applyFill="1" applyBorder="1"/>
    <xf numFmtId="167" fontId="9" fillId="3" borderId="0" xfId="0" applyNumberFormat="1" applyFont="1" applyFill="1" applyAlignment="1">
      <alignment vertical="center"/>
    </xf>
    <xf numFmtId="167" fontId="9" fillId="3" borderId="0" xfId="0" applyNumberFormat="1" applyFont="1" applyFill="1"/>
    <xf numFmtId="42" fontId="9" fillId="0" borderId="0" xfId="0" applyNumberFormat="1" applyFont="1" applyAlignment="1">
      <alignment horizontal="center"/>
    </xf>
    <xf numFmtId="167" fontId="9" fillId="3" borderId="3" xfId="0" applyNumberFormat="1" applyFont="1" applyFill="1" applyBorder="1"/>
    <xf numFmtId="167" fontId="8" fillId="3" borderId="3" xfId="0" applyNumberFormat="1" applyFont="1" applyFill="1" applyBorder="1"/>
    <xf numFmtId="167" fontId="9" fillId="3" borderId="0" xfId="0" applyNumberFormat="1" applyFont="1" applyFill="1" applyAlignment="1">
      <alignment horizontal="right"/>
    </xf>
    <xf numFmtId="167" fontId="9" fillId="3" borderId="0" xfId="0" applyNumberFormat="1" applyFont="1" applyFill="1" applyAlignment="1">
      <alignment horizontal="right" vertical="center"/>
    </xf>
    <xf numFmtId="167" fontId="8" fillId="3" borderId="3" xfId="0" applyNumberFormat="1" applyFont="1" applyFill="1" applyBorder="1" applyAlignment="1">
      <alignment horizontal="left" vertical="center"/>
    </xf>
    <xf numFmtId="165" fontId="9" fillId="3" borderId="0" xfId="0" applyNumberFormat="1" applyFont="1" applyFill="1"/>
    <xf numFmtId="42" fontId="9" fillId="0" borderId="0" xfId="0" applyNumberFormat="1" applyFont="1"/>
    <xf numFmtId="167" fontId="10" fillId="2" borderId="12" xfId="0" applyNumberFormat="1" applyFont="1" applyFill="1" applyBorder="1" applyAlignment="1">
      <alignment horizontal="right" vertical="center"/>
    </xf>
    <xf numFmtId="167" fontId="10" fillId="2" borderId="13" xfId="0" applyNumberFormat="1" applyFont="1" applyFill="1" applyBorder="1" applyAlignment="1">
      <alignment horizontal="right"/>
    </xf>
    <xf numFmtId="42" fontId="10" fillId="2" borderId="13" xfId="0" applyNumberFormat="1" applyFont="1" applyFill="1" applyBorder="1" applyAlignment="1">
      <alignment horizontal="right"/>
    </xf>
    <xf numFmtId="167" fontId="10" fillId="2" borderId="12" xfId="0" applyNumberFormat="1" applyFont="1" applyFill="1" applyBorder="1" applyAlignment="1">
      <alignment horizontal="right"/>
    </xf>
    <xf numFmtId="0" fontId="9" fillId="0" borderId="12" xfId="0" applyFont="1" applyBorder="1"/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3" xfId="0" applyFont="1" applyBorder="1"/>
    <xf numFmtId="0" fontId="9" fillId="0" borderId="12" xfId="0" applyFont="1" applyBorder="1" applyAlignment="1">
      <alignment horizontal="center"/>
    </xf>
    <xf numFmtId="167" fontId="8" fillId="0" borderId="4" xfId="0" applyNumberFormat="1" applyFont="1" applyBorder="1"/>
    <xf numFmtId="0" fontId="9" fillId="0" borderId="3" xfId="0" applyFont="1" applyBorder="1"/>
    <xf numFmtId="0" fontId="9" fillId="0" borderId="0" xfId="0" applyFont="1"/>
    <xf numFmtId="167" fontId="9" fillId="0" borderId="3" xfId="0" applyNumberFormat="1" applyFont="1" applyBorder="1" applyAlignment="1">
      <alignment horizontal="center"/>
    </xf>
    <xf numFmtId="42" fontId="8" fillId="0" borderId="4" xfId="0" applyNumberFormat="1" applyFont="1" applyBorder="1"/>
    <xf numFmtId="42" fontId="9" fillId="0" borderId="8" xfId="0" applyNumberFormat="1" applyFont="1" applyBorder="1" applyAlignment="1">
      <alignment horizontal="center"/>
    </xf>
    <xf numFmtId="42" fontId="9" fillId="0" borderId="9" xfId="0" applyNumberFormat="1" applyFont="1" applyBorder="1" applyAlignment="1">
      <alignment horizontal="center"/>
    </xf>
    <xf numFmtId="167" fontId="9" fillId="0" borderId="14" xfId="0" applyNumberFormat="1" applyFont="1" applyBorder="1" applyAlignment="1">
      <alignment horizontal="center"/>
    </xf>
    <xf numFmtId="42" fontId="8" fillId="0" borderId="9" xfId="0" applyNumberFormat="1" applyFont="1" applyBorder="1"/>
    <xf numFmtId="0" fontId="10" fillId="2" borderId="12" xfId="0" applyFont="1" applyFill="1" applyBorder="1" applyAlignment="1">
      <alignment horizontal="left"/>
    </xf>
    <xf numFmtId="42" fontId="10" fillId="2" borderId="13" xfId="0" applyNumberFormat="1" applyFont="1" applyFill="1" applyBorder="1" applyAlignment="1">
      <alignment horizontal="center"/>
    </xf>
    <xf numFmtId="42" fontId="10" fillId="2" borderId="12" xfId="0" applyNumberFormat="1" applyFont="1" applyFill="1" applyBorder="1" applyAlignment="1">
      <alignment horizontal="center"/>
    </xf>
    <xf numFmtId="42" fontId="10" fillId="2" borderId="12" xfId="0" applyNumberFormat="1" applyFont="1" applyFill="1" applyBorder="1" applyAlignment="1">
      <alignment horizontal="right" vertical="center"/>
    </xf>
    <xf numFmtId="42" fontId="10" fillId="2" borderId="12" xfId="0" applyNumberFormat="1" applyFont="1" applyFill="1" applyBorder="1" applyAlignment="1">
      <alignment horizontal="right"/>
    </xf>
    <xf numFmtId="165" fontId="10" fillId="0" borderId="4" xfId="0" applyNumberFormat="1" applyFont="1" applyBorder="1"/>
    <xf numFmtId="165" fontId="8" fillId="3" borderId="12" xfId="0" applyNumberFormat="1" applyFont="1" applyFill="1" applyBorder="1"/>
    <xf numFmtId="2" fontId="8" fillId="3" borderId="13" xfId="0" applyNumberFormat="1" applyFont="1" applyFill="1" applyBorder="1"/>
    <xf numFmtId="42" fontId="8" fillId="0" borderId="11" xfId="0" applyNumberFormat="1" applyFont="1" applyBorder="1"/>
    <xf numFmtId="42" fontId="8" fillId="3" borderId="13" xfId="0" applyNumberFormat="1" applyFont="1" applyFill="1" applyBorder="1"/>
    <xf numFmtId="42" fontId="8" fillId="3" borderId="12" xfId="0" applyNumberFormat="1" applyFont="1" applyFill="1" applyBorder="1"/>
    <xf numFmtId="165" fontId="8" fillId="3" borderId="3" xfId="0" applyNumberFormat="1" applyFont="1" applyFill="1" applyBorder="1"/>
    <xf numFmtId="2" fontId="8" fillId="3" borderId="0" xfId="0" applyNumberFormat="1" applyFont="1" applyFill="1"/>
    <xf numFmtId="42" fontId="8" fillId="3" borderId="0" xfId="0" applyNumberFormat="1" applyFont="1" applyFill="1"/>
    <xf numFmtId="42" fontId="8" fillId="3" borderId="3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42" fontId="8" fillId="0" borderId="4" xfId="0" applyNumberFormat="1" applyFont="1" applyBorder="1" applyAlignment="1">
      <alignment horizontal="center"/>
    </xf>
    <xf numFmtId="42" fontId="8" fillId="3" borderId="0" xfId="0" applyNumberFormat="1" applyFont="1" applyFill="1" applyAlignment="1">
      <alignment horizontal="center"/>
    </xf>
    <xf numFmtId="0" fontId="9" fillId="3" borderId="3" xfId="0" applyFont="1" applyFill="1" applyBorder="1" applyAlignment="1">
      <alignment horizontal="right"/>
    </xf>
    <xf numFmtId="167" fontId="8" fillId="3" borderId="0" xfId="0" applyNumberFormat="1" applyFont="1" applyFill="1" applyAlignment="1">
      <alignment horizontal="right"/>
    </xf>
    <xf numFmtId="42" fontId="8" fillId="0" borderId="4" xfId="0" applyNumberFormat="1" applyFont="1" applyBorder="1" applyAlignment="1">
      <alignment horizontal="right"/>
    </xf>
    <xf numFmtId="42" fontId="8" fillId="3" borderId="0" xfId="0" applyNumberFormat="1" applyFont="1" applyFill="1" applyAlignment="1">
      <alignment horizontal="right"/>
    </xf>
    <xf numFmtId="0" fontId="13" fillId="6" borderId="12" xfId="0" applyFont="1" applyFill="1" applyBorder="1" applyAlignment="1">
      <alignment horizontal="right"/>
    </xf>
    <xf numFmtId="1" fontId="13" fillId="6" borderId="13" xfId="0" applyNumberFormat="1" applyFont="1" applyFill="1" applyBorder="1" applyAlignment="1">
      <alignment horizontal="right"/>
    </xf>
    <xf numFmtId="42" fontId="13" fillId="5" borderId="11" xfId="0" applyNumberFormat="1" applyFont="1" applyFill="1" applyBorder="1" applyAlignment="1">
      <alignment horizontal="right"/>
    </xf>
    <xf numFmtId="42" fontId="13" fillId="6" borderId="13" xfId="0" applyNumberFormat="1" applyFont="1" applyFill="1" applyBorder="1" applyAlignment="1">
      <alignment horizontal="right"/>
    </xf>
    <xf numFmtId="42" fontId="13" fillId="6" borderId="12" xfId="0" applyNumberFormat="1" applyFont="1" applyFill="1" applyBorder="1" applyAlignment="1">
      <alignment horizontal="right"/>
    </xf>
    <xf numFmtId="42" fontId="12" fillId="5" borderId="11" xfId="0" applyNumberFormat="1" applyFont="1" applyFill="1" applyBorder="1"/>
    <xf numFmtId="0" fontId="10" fillId="2" borderId="12" xfId="0" applyFont="1" applyFill="1" applyBorder="1" applyAlignment="1">
      <alignment horizontal="right"/>
    </xf>
    <xf numFmtId="167" fontId="10" fillId="2" borderId="13" xfId="0" applyNumberFormat="1" applyFont="1" applyFill="1" applyBorder="1"/>
    <xf numFmtId="0" fontId="14" fillId="0" borderId="0" xfId="0" applyFont="1"/>
    <xf numFmtId="0" fontId="14" fillId="0" borderId="0" xfId="0" applyFont="1" applyAlignment="1">
      <alignment horizontal="left"/>
    </xf>
    <xf numFmtId="169" fontId="0" fillId="0" borderId="0" xfId="1" applyNumberFormat="1" applyFont="1"/>
    <xf numFmtId="42" fontId="0" fillId="8" borderId="0" xfId="0" applyNumberFormat="1" applyFill="1"/>
    <xf numFmtId="0" fontId="0" fillId="8" borderId="0" xfId="0" applyFill="1"/>
    <xf numFmtId="42" fontId="0" fillId="0" borderId="0" xfId="0" applyNumberFormat="1"/>
    <xf numFmtId="0" fontId="16" fillId="0" borderId="0" xfId="0" applyFont="1"/>
    <xf numFmtId="169" fontId="16" fillId="0" borderId="0" xfId="1" applyNumberFormat="1" applyFont="1"/>
    <xf numFmtId="16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9" fillId="0" borderId="6" xfId="0" applyFont="1" applyBorder="1" applyAlignment="1">
      <alignment horizontal="left"/>
    </xf>
    <xf numFmtId="164" fontId="10" fillId="4" borderId="5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9" fillId="0" borderId="6" xfId="0" applyFont="1" applyBorder="1" applyAlignment="1">
      <alignment horizontal="left" indent="2"/>
    </xf>
    <xf numFmtId="0" fontId="8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 indent="2"/>
    </xf>
    <xf numFmtId="0" fontId="9" fillId="0" borderId="0" xfId="0" applyFont="1" applyAlignment="1">
      <alignment horizontal="left" indent="2"/>
    </xf>
    <xf numFmtId="0" fontId="9" fillId="0" borderId="4" xfId="0" applyFont="1" applyBorder="1" applyAlignment="1">
      <alignment horizontal="left" indent="2"/>
    </xf>
    <xf numFmtId="0" fontId="12" fillId="5" borderId="12" xfId="0" applyFont="1" applyFill="1" applyBorder="1" applyAlignment="1">
      <alignment horizontal="left"/>
    </xf>
    <xf numFmtId="0" fontId="12" fillId="5" borderId="13" xfId="0" applyFont="1" applyFill="1" applyBorder="1" applyAlignment="1">
      <alignment horizontal="left"/>
    </xf>
    <xf numFmtId="0" fontId="12" fillId="5" borderId="11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164" fontId="10" fillId="4" borderId="2" xfId="0" applyNumberFormat="1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right" wrapText="1"/>
    </xf>
    <xf numFmtId="0" fontId="9" fillId="0" borderId="6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0" fillId="4" borderId="12" xfId="0" applyFont="1" applyFill="1" applyBorder="1" applyAlignment="1">
      <alignment horizontal="left"/>
    </xf>
    <xf numFmtId="0" fontId="10" fillId="4" borderId="10" xfId="0" applyFont="1" applyFill="1" applyBorder="1" applyAlignment="1">
      <alignment horizontal="left"/>
    </xf>
    <xf numFmtId="164" fontId="10" fillId="4" borderId="11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164" fontId="10" fillId="4" borderId="12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left" wrapText="1"/>
    </xf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 wrapText="1"/>
    </xf>
    <xf numFmtId="0" fontId="10" fillId="7" borderId="10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9" fillId="0" borderId="3" xfId="0" applyFont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0" borderId="4" xfId="0" applyFont="1" applyBorder="1" applyAlignment="1">
      <alignment horizontal="left" indent="1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4" fontId="2" fillId="4" borderId="10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164" fontId="2" fillId="4" borderId="12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42" fontId="10" fillId="2" borderId="13" xfId="0" applyNumberFormat="1" applyFont="1" applyFill="1" applyBorder="1" applyAlignment="1">
      <alignment horizontal="center"/>
    </xf>
    <xf numFmtId="42" fontId="10" fillId="2" borderId="1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2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161924</xdr:colOff>
      <xdr:row>0</xdr:row>
      <xdr:rowOff>47626</xdr:rowOff>
    </xdr:from>
    <xdr:to>
      <xdr:col>9</xdr:col>
      <xdr:colOff>654050</xdr:colOff>
      <xdr:row>3</xdr:row>
      <xdr:rowOff>67333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4" y="47626"/>
          <a:ext cx="3429001" cy="588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7"/>
  <sheetViews>
    <sheetView tabSelected="1" zoomScaleNormal="100" workbookViewId="0">
      <pane ySplit="10" topLeftCell="A34" activePane="bottomLeft" state="frozen"/>
      <selection pane="bottomLeft" activeCell="C7" sqref="C7:O7"/>
    </sheetView>
  </sheetViews>
  <sheetFormatPr defaultRowHeight="15" x14ac:dyDescent="0.25"/>
  <cols>
    <col min="1" max="1" width="12.140625" customWidth="1"/>
    <col min="3" max="3" width="12.5703125"/>
    <col min="5" max="5" width="14.85546875" customWidth="1"/>
    <col min="6" max="6" width="10.5703125" customWidth="1"/>
    <col min="7" max="7" width="11.5703125" customWidth="1"/>
    <col min="8" max="8" width="11.28515625" customWidth="1"/>
    <col min="9" max="9" width="10.5703125" customWidth="1"/>
    <col min="10" max="10" width="10.7109375" customWidth="1"/>
    <col min="11" max="11" width="11" customWidth="1"/>
    <col min="12" max="12" width="10.140625" customWidth="1"/>
    <col min="13" max="13" width="10.28515625" customWidth="1"/>
    <col min="14" max="14" width="11.28515625" customWidth="1"/>
    <col min="15" max="15" width="14"/>
  </cols>
  <sheetData>
    <row r="1" spans="1:15" x14ac:dyDescent="0.2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 x14ac:dyDescent="0.25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5" ht="8.25" customHeight="1" x14ac:dyDescent="0.25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</row>
    <row r="5" spans="1:15" ht="15" customHeight="1" x14ac:dyDescent="0.25">
      <c r="A5" s="168" t="s">
        <v>38</v>
      </c>
      <c r="B5" s="169"/>
      <c r="C5" s="162" t="s">
        <v>78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3"/>
    </row>
    <row r="6" spans="1:15" ht="15" customHeight="1" x14ac:dyDescent="0.25">
      <c r="A6" s="157" t="s">
        <v>39</v>
      </c>
      <c r="B6" s="158"/>
      <c r="C6" s="164" t="s">
        <v>76</v>
      </c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1:15" ht="15" customHeight="1" x14ac:dyDescent="0.25">
      <c r="A7" s="157" t="s">
        <v>40</v>
      </c>
      <c r="B7" s="158"/>
      <c r="C7" s="164" t="s">
        <v>53</v>
      </c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</row>
    <row r="8" spans="1:15" ht="13.5" customHeight="1" x14ac:dyDescent="0.25">
      <c r="A8" s="159" t="s">
        <v>41</v>
      </c>
      <c r="B8" s="160"/>
      <c r="C8" s="166" t="s">
        <v>77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7"/>
    </row>
    <row r="9" spans="1:15" ht="15" hidden="1" customHeight="1" x14ac:dyDescent="0.25">
      <c r="A9" s="149" t="s">
        <v>15</v>
      </c>
      <c r="B9" s="149"/>
      <c r="C9" s="149"/>
      <c r="D9" s="149"/>
      <c r="E9" s="150"/>
      <c r="F9" s="151" t="s">
        <v>5</v>
      </c>
      <c r="G9" s="152"/>
      <c r="H9" s="152"/>
      <c r="I9" s="152" t="s">
        <v>6</v>
      </c>
      <c r="J9" s="151"/>
      <c r="K9" s="153"/>
      <c r="L9" s="151" t="s">
        <v>17</v>
      </c>
      <c r="M9" s="151"/>
      <c r="N9" s="151"/>
      <c r="O9" s="3"/>
    </row>
    <row r="10" spans="1:15" hidden="1" x14ac:dyDescent="0.25">
      <c r="A10" s="154" t="s">
        <v>15</v>
      </c>
      <c r="B10" s="154"/>
      <c r="C10" s="154"/>
      <c r="D10" s="154"/>
      <c r="E10" s="155"/>
      <c r="F10" s="4" t="s">
        <v>0</v>
      </c>
      <c r="G10" s="5" t="s">
        <v>1</v>
      </c>
      <c r="H10" s="6" t="s">
        <v>2</v>
      </c>
      <c r="I10" s="7" t="s">
        <v>0</v>
      </c>
      <c r="J10" s="5" t="s">
        <v>1</v>
      </c>
      <c r="K10" s="8" t="s">
        <v>2</v>
      </c>
      <c r="L10" s="4" t="s">
        <v>0</v>
      </c>
      <c r="M10" s="5" t="s">
        <v>1</v>
      </c>
      <c r="N10" s="6" t="s">
        <v>2</v>
      </c>
      <c r="O10" s="9" t="s">
        <v>42</v>
      </c>
    </row>
    <row r="11" spans="1:15" hidden="1" x14ac:dyDescent="0.25">
      <c r="A11" s="142" t="s">
        <v>3</v>
      </c>
      <c r="B11" s="142"/>
      <c r="C11" s="142"/>
      <c r="D11" s="142"/>
      <c r="E11" s="142"/>
      <c r="F11" s="10"/>
      <c r="G11" s="11"/>
      <c r="H11" s="12"/>
      <c r="I11" s="10"/>
      <c r="J11" s="11"/>
      <c r="K11" s="13"/>
      <c r="L11" s="10"/>
      <c r="M11" s="11"/>
      <c r="N11" s="12"/>
      <c r="O11" s="14"/>
    </row>
    <row r="12" spans="1:15" hidden="1" x14ac:dyDescent="0.25">
      <c r="A12" s="143" t="s">
        <v>13</v>
      </c>
      <c r="B12" s="144"/>
      <c r="C12" s="144"/>
      <c r="D12" s="144"/>
      <c r="E12" s="145"/>
      <c r="F12" s="15">
        <f>123640/1600</f>
        <v>77.275000000000006</v>
      </c>
      <c r="G12" s="16">
        <v>0</v>
      </c>
      <c r="H12" s="17">
        <f>ROUND(G12*F12,0)</f>
        <v>0</v>
      </c>
      <c r="I12" s="15">
        <f>ROUND(F12*1.03,2)</f>
        <v>79.59</v>
      </c>
      <c r="J12" s="16">
        <v>0</v>
      </c>
      <c r="K12" s="17">
        <f>ROUND(J12*I12,0)</f>
        <v>0</v>
      </c>
      <c r="L12" s="15">
        <f>ROUND(I12*1.03,2)</f>
        <v>81.98</v>
      </c>
      <c r="M12" s="16">
        <v>0</v>
      </c>
      <c r="N12" s="17">
        <f>ROUND(L12*M12,0)</f>
        <v>0</v>
      </c>
      <c r="O12" s="17">
        <f>H12+K12+N12</f>
        <v>0</v>
      </c>
    </row>
    <row r="13" spans="1:15" hidden="1" x14ac:dyDescent="0.25">
      <c r="A13" s="143" t="s">
        <v>47</v>
      </c>
      <c r="B13" s="144"/>
      <c r="C13" s="144"/>
      <c r="D13" s="144"/>
      <c r="E13" s="145"/>
      <c r="F13" s="15">
        <f>0*0.000731</f>
        <v>0</v>
      </c>
      <c r="G13" s="16">
        <v>0</v>
      </c>
      <c r="H13" s="17">
        <f>ROUND(G13*F13,0)</f>
        <v>0</v>
      </c>
      <c r="I13" s="15">
        <f>ROUND(F13*1.03,2)</f>
        <v>0</v>
      </c>
      <c r="J13" s="16">
        <v>0</v>
      </c>
      <c r="K13" s="17">
        <f>ROUND(J13*I13,0)</f>
        <v>0</v>
      </c>
      <c r="L13" s="15">
        <f>ROUND(I13*1.03,2)</f>
        <v>0</v>
      </c>
      <c r="M13" s="16">
        <v>0</v>
      </c>
      <c r="N13" s="17">
        <f>ROUND(L13*M13,0)</f>
        <v>0</v>
      </c>
      <c r="O13" s="17">
        <f>H13+K13+N13</f>
        <v>0</v>
      </c>
    </row>
    <row r="14" spans="1:15" hidden="1" x14ac:dyDescent="0.25">
      <c r="A14" s="143" t="s">
        <v>48</v>
      </c>
      <c r="B14" s="144"/>
      <c r="C14" s="144"/>
      <c r="D14" s="144"/>
      <c r="E14" s="145"/>
      <c r="F14" s="15">
        <f>0*0.000731</f>
        <v>0</v>
      </c>
      <c r="G14" s="16">
        <v>0</v>
      </c>
      <c r="H14" s="17">
        <f>ROUND(G14*F14,0)</f>
        <v>0</v>
      </c>
      <c r="I14" s="15">
        <f>ROUND(F14*1.03,2)</f>
        <v>0</v>
      </c>
      <c r="J14" s="16">
        <v>0</v>
      </c>
      <c r="K14" s="17">
        <f>ROUND(J14*I14,0)</f>
        <v>0</v>
      </c>
      <c r="L14" s="15">
        <f>ROUND(I14*1.03,2)</f>
        <v>0</v>
      </c>
      <c r="M14" s="16">
        <v>0</v>
      </c>
      <c r="N14" s="17">
        <f>ROUND(L14*M14,0)</f>
        <v>0</v>
      </c>
      <c r="O14" s="17">
        <f>H14+K14+N14</f>
        <v>0</v>
      </c>
    </row>
    <row r="15" spans="1:15" hidden="1" x14ac:dyDescent="0.25">
      <c r="A15" s="146" t="s">
        <v>36</v>
      </c>
      <c r="B15" s="147"/>
      <c r="C15" s="147"/>
      <c r="D15" s="147"/>
      <c r="E15" s="148"/>
      <c r="F15" s="15"/>
      <c r="G15" s="16"/>
      <c r="H15" s="18"/>
      <c r="I15" s="15"/>
      <c r="J15" s="16"/>
      <c r="K15" s="18"/>
      <c r="L15" s="15"/>
      <c r="M15" s="16"/>
      <c r="N15" s="18"/>
      <c r="O15" s="17"/>
    </row>
    <row r="16" spans="1:15" hidden="1" x14ac:dyDescent="0.25">
      <c r="A16" s="143" t="s">
        <v>33</v>
      </c>
      <c r="B16" s="144"/>
      <c r="C16" s="144"/>
      <c r="D16" s="144"/>
      <c r="E16" s="145"/>
      <c r="F16" s="15">
        <v>0</v>
      </c>
      <c r="G16" s="16">
        <v>0</v>
      </c>
      <c r="H16" s="17">
        <f>ROUND(G16*F16,0)</f>
        <v>0</v>
      </c>
      <c r="I16" s="15">
        <f>ROUND(F16*1.03,2)</f>
        <v>0</v>
      </c>
      <c r="J16" s="16">
        <v>0</v>
      </c>
      <c r="K16" s="17">
        <f>ROUND(J16*I16,0)</f>
        <v>0</v>
      </c>
      <c r="L16" s="15">
        <f>ROUND(I16*1.03,2)</f>
        <v>0</v>
      </c>
      <c r="M16" s="16">
        <v>0</v>
      </c>
      <c r="N16" s="17">
        <f>ROUND(L16*M16,0)</f>
        <v>0</v>
      </c>
      <c r="O16" s="17">
        <f>H16+K16+N16</f>
        <v>0</v>
      </c>
    </row>
    <row r="17" spans="1:17" hidden="1" x14ac:dyDescent="0.25">
      <c r="A17" s="146" t="s">
        <v>37</v>
      </c>
      <c r="B17" s="147"/>
      <c r="C17" s="147"/>
      <c r="D17" s="147"/>
      <c r="E17" s="148"/>
      <c r="F17" s="15"/>
      <c r="G17" s="16"/>
      <c r="H17" s="18"/>
      <c r="I17" s="15"/>
      <c r="J17" s="16"/>
      <c r="K17" s="18"/>
      <c r="L17" s="15"/>
      <c r="M17" s="16"/>
      <c r="N17" s="18"/>
      <c r="O17" s="17"/>
    </row>
    <row r="18" spans="1:17" hidden="1" x14ac:dyDescent="0.25">
      <c r="A18" s="143" t="s">
        <v>19</v>
      </c>
      <c r="B18" s="144"/>
      <c r="C18" s="144"/>
      <c r="D18" s="144"/>
      <c r="E18" s="145"/>
      <c r="F18" s="15">
        <v>0</v>
      </c>
      <c r="G18" s="16">
        <v>0</v>
      </c>
      <c r="H18" s="17">
        <f>ROUND(G18*F18,0)</f>
        <v>0</v>
      </c>
      <c r="I18" s="15">
        <f>ROUND(F18*1.03,2)</f>
        <v>0</v>
      </c>
      <c r="J18" s="16">
        <v>0</v>
      </c>
      <c r="K18" s="17">
        <f>ROUND(J18*I18,0)</f>
        <v>0</v>
      </c>
      <c r="L18" s="15">
        <f>ROUND(I18*1.03,2)</f>
        <v>0</v>
      </c>
      <c r="M18" s="16">
        <v>0</v>
      </c>
      <c r="N18" s="17">
        <f>ROUND(L18*M18,0)</f>
        <v>0</v>
      </c>
      <c r="O18" s="17">
        <f>H18+K18+N18</f>
        <v>0</v>
      </c>
    </row>
    <row r="19" spans="1:17" hidden="1" x14ac:dyDescent="0.25">
      <c r="A19" s="146" t="s">
        <v>34</v>
      </c>
      <c r="B19" s="147"/>
      <c r="C19" s="147"/>
      <c r="D19" s="147"/>
      <c r="E19" s="148"/>
      <c r="F19" s="15"/>
      <c r="G19" s="16"/>
      <c r="H19" s="18"/>
      <c r="I19" s="15"/>
      <c r="J19" s="16"/>
      <c r="K19" s="18"/>
      <c r="L19" s="15"/>
      <c r="M19" s="16"/>
      <c r="N19" s="18"/>
      <c r="O19" s="17"/>
    </row>
    <row r="20" spans="1:17" hidden="1" x14ac:dyDescent="0.25">
      <c r="A20" s="143" t="s">
        <v>14</v>
      </c>
      <c r="B20" s="144"/>
      <c r="C20" s="144"/>
      <c r="D20" s="144"/>
      <c r="E20" s="145"/>
      <c r="F20" s="15">
        <v>0</v>
      </c>
      <c r="G20" s="16">
        <v>0</v>
      </c>
      <c r="H20" s="17">
        <f>ROUND(G20*F20,0)</f>
        <v>0</v>
      </c>
      <c r="I20" s="15">
        <f>ROUND(F20*1.03,2)</f>
        <v>0</v>
      </c>
      <c r="J20" s="16">
        <v>0</v>
      </c>
      <c r="K20" s="17">
        <f>ROUND(J20*I20,0)</f>
        <v>0</v>
      </c>
      <c r="L20" s="15">
        <f>ROUND(I20*1.03,2)</f>
        <v>0</v>
      </c>
      <c r="M20" s="16">
        <v>0</v>
      </c>
      <c r="N20" s="17">
        <f>ROUND(L20*M20,0)</f>
        <v>0</v>
      </c>
      <c r="O20" s="17">
        <f>H20+K20+N20</f>
        <v>0</v>
      </c>
    </row>
    <row r="21" spans="1:17" hidden="1" x14ac:dyDescent="0.25">
      <c r="A21" s="146" t="s">
        <v>25</v>
      </c>
      <c r="B21" s="147"/>
      <c r="C21" s="147"/>
      <c r="D21" s="147"/>
      <c r="E21" s="148"/>
      <c r="F21" s="15"/>
      <c r="G21" s="16"/>
      <c r="H21" s="17"/>
      <c r="I21" s="15"/>
      <c r="J21" s="16"/>
      <c r="K21" s="17"/>
      <c r="L21" s="15"/>
      <c r="M21" s="16"/>
      <c r="N21" s="17"/>
      <c r="O21" s="17"/>
    </row>
    <row r="22" spans="1:17" hidden="1" x14ac:dyDescent="0.25">
      <c r="A22" s="143" t="s">
        <v>46</v>
      </c>
      <c r="B22" s="144"/>
      <c r="C22" s="144"/>
      <c r="D22" s="144"/>
      <c r="E22" s="145"/>
      <c r="F22" s="15">
        <f>22000/800</f>
        <v>27.5</v>
      </c>
      <c r="G22" s="16"/>
      <c r="H22" s="17">
        <f>ROUND(G22*F22,0)</f>
        <v>0</v>
      </c>
      <c r="I22" s="15">
        <f>22750/800</f>
        <v>28.4375</v>
      </c>
      <c r="J22" s="16"/>
      <c r="K22" s="17">
        <f>ROUND(J22*I22,0)</f>
        <v>0</v>
      </c>
      <c r="L22" s="15">
        <f>23800/800</f>
        <v>29.75</v>
      </c>
      <c r="M22" s="16"/>
      <c r="N22" s="17">
        <f>ROUND(L22*M22,0)</f>
        <v>0</v>
      </c>
      <c r="O22" s="17">
        <f>H22+K22+N22</f>
        <v>0</v>
      </c>
    </row>
    <row r="23" spans="1:17" hidden="1" x14ac:dyDescent="0.25">
      <c r="A23" s="143" t="s">
        <v>49</v>
      </c>
      <c r="B23" s="144"/>
      <c r="C23" s="144"/>
      <c r="D23" s="144"/>
      <c r="E23" s="145"/>
      <c r="F23" s="15">
        <f>15000/420</f>
        <v>35.714285714285715</v>
      </c>
      <c r="G23" s="16"/>
      <c r="H23" s="17">
        <f>ROUND(G23*F23,0)</f>
        <v>0</v>
      </c>
      <c r="I23" s="15">
        <f>15250/420</f>
        <v>36.30952380952381</v>
      </c>
      <c r="J23" s="16"/>
      <c r="K23" s="17">
        <f>ROUND(J23*I23,0)</f>
        <v>0</v>
      </c>
      <c r="L23" s="15">
        <f>16200/420</f>
        <v>38.571428571428569</v>
      </c>
      <c r="M23" s="16"/>
      <c r="N23" s="17">
        <f>ROUND(L23*M23,0)</f>
        <v>0</v>
      </c>
      <c r="O23" s="17">
        <f>H23+K23+N23</f>
        <v>0</v>
      </c>
      <c r="Q23" s="103" t="s">
        <v>54</v>
      </c>
    </row>
    <row r="24" spans="1:17" hidden="1" x14ac:dyDescent="0.25">
      <c r="A24" s="146" t="s">
        <v>26</v>
      </c>
      <c r="B24" s="147"/>
      <c r="C24" s="147"/>
      <c r="D24" s="147"/>
      <c r="E24" s="148"/>
      <c r="F24" s="15"/>
      <c r="G24" s="16"/>
      <c r="H24" s="17"/>
      <c r="I24" s="15"/>
      <c r="J24" s="16"/>
      <c r="K24" s="17"/>
      <c r="L24" s="15"/>
      <c r="M24" s="16"/>
      <c r="N24" s="17"/>
      <c r="O24" s="17"/>
      <c r="Q24" s="103" t="s">
        <v>55</v>
      </c>
    </row>
    <row r="25" spans="1:17" hidden="1" x14ac:dyDescent="0.25">
      <c r="A25" s="143" t="s">
        <v>31</v>
      </c>
      <c r="B25" s="144"/>
      <c r="C25" s="144"/>
      <c r="D25" s="144"/>
      <c r="E25" s="145"/>
      <c r="F25" s="15">
        <v>14.5</v>
      </c>
      <c r="G25" s="16">
        <v>0</v>
      </c>
      <c r="H25" s="17">
        <f>ROUND(G25*F25,0)</f>
        <v>0</v>
      </c>
      <c r="I25" s="15">
        <f>ROUND(F25*1.03,2)</f>
        <v>14.94</v>
      </c>
      <c r="J25" s="16">
        <v>0</v>
      </c>
      <c r="K25" s="19">
        <f>ROUND(J25*I25,0)</f>
        <v>0</v>
      </c>
      <c r="L25" s="15">
        <f>ROUND(I25*1.03,2)</f>
        <v>15.39</v>
      </c>
      <c r="M25" s="16">
        <v>0</v>
      </c>
      <c r="N25" s="17">
        <f>ROUND(L25*M25,0)</f>
        <v>0</v>
      </c>
      <c r="O25" s="17">
        <f>H25+K25+N25</f>
        <v>0</v>
      </c>
      <c r="Q25" s="103" t="s">
        <v>56</v>
      </c>
    </row>
    <row r="26" spans="1:17" hidden="1" x14ac:dyDescent="0.25">
      <c r="A26" s="141" t="s">
        <v>4</v>
      </c>
      <c r="B26" s="141"/>
      <c r="C26" s="141"/>
      <c r="D26" s="141"/>
      <c r="E26" s="141"/>
      <c r="F26" s="20"/>
      <c r="G26" s="21">
        <f>SUM(G12:G25)</f>
        <v>0</v>
      </c>
      <c r="H26" s="22">
        <f>SUM(H12:H25)</f>
        <v>0</v>
      </c>
      <c r="I26" s="23"/>
      <c r="J26" s="21">
        <f>SUM(J12:J25)</f>
        <v>0</v>
      </c>
      <c r="K26" s="22">
        <f>SUM(K12:K25)</f>
        <v>0</v>
      </c>
      <c r="L26" s="20"/>
      <c r="M26" s="21">
        <f>SUM(M12:M25)</f>
        <v>0</v>
      </c>
      <c r="N26" s="22">
        <f>SUM(N12:N25)</f>
        <v>0</v>
      </c>
      <c r="O26" s="22">
        <f>H26+K26+N26</f>
        <v>0</v>
      </c>
      <c r="Q26" s="103" t="s">
        <v>57</v>
      </c>
    </row>
    <row r="27" spans="1:17" hidden="1" x14ac:dyDescent="0.25">
      <c r="A27" s="133" t="s">
        <v>50</v>
      </c>
      <c r="B27" s="133"/>
      <c r="C27" s="133"/>
      <c r="D27" s="133"/>
      <c r="E27" s="134"/>
      <c r="F27" s="136" t="s">
        <v>5</v>
      </c>
      <c r="G27" s="136"/>
      <c r="H27" s="136"/>
      <c r="I27" s="135" t="s">
        <v>6</v>
      </c>
      <c r="J27" s="136"/>
      <c r="K27" s="137"/>
      <c r="L27" s="136" t="s">
        <v>17</v>
      </c>
      <c r="M27" s="136"/>
      <c r="N27" s="136"/>
      <c r="O27" s="24"/>
      <c r="Q27" s="103" t="s">
        <v>58</v>
      </c>
    </row>
    <row r="28" spans="1:17" hidden="1" x14ac:dyDescent="0.25">
      <c r="A28" s="115" t="s">
        <v>24</v>
      </c>
      <c r="B28" s="115"/>
      <c r="C28" s="115"/>
      <c r="D28" s="115"/>
      <c r="E28" s="115"/>
      <c r="F28" s="25">
        <v>0.32</v>
      </c>
      <c r="G28" s="26"/>
      <c r="H28" s="17">
        <f>ROUND(SUM(H12:H18)*F28,0)</f>
        <v>0</v>
      </c>
      <c r="I28" s="27">
        <f>F28</f>
        <v>0.32</v>
      </c>
      <c r="J28" s="28"/>
      <c r="K28" s="17">
        <f>ROUND(SUM(K12:K18)*I28,0)</f>
        <v>0</v>
      </c>
      <c r="L28" s="25">
        <f>F28</f>
        <v>0.32</v>
      </c>
      <c r="M28" s="28"/>
      <c r="N28" s="17">
        <f>ROUND(SUM(N12:N18)*L28,0)</f>
        <v>0</v>
      </c>
      <c r="O28" s="17">
        <f t="shared" ref="O28:O32" si="0">H28+K28+N28</f>
        <v>0</v>
      </c>
      <c r="Q28" s="103" t="s">
        <v>59</v>
      </c>
    </row>
    <row r="29" spans="1:17" hidden="1" x14ac:dyDescent="0.25">
      <c r="A29" s="115" t="s">
        <v>35</v>
      </c>
      <c r="B29" s="115"/>
      <c r="C29" s="115"/>
      <c r="D29" s="115"/>
      <c r="E29" s="115"/>
      <c r="F29" s="25">
        <v>0.17100000000000001</v>
      </c>
      <c r="G29" s="29"/>
      <c r="H29" s="17">
        <f>ROUND(SUM(H20)*F29,0)</f>
        <v>0</v>
      </c>
      <c r="I29" s="27">
        <f>F29</f>
        <v>0.17100000000000001</v>
      </c>
      <c r="J29" s="29"/>
      <c r="K29" s="17">
        <f>ROUND(SUM(K20)*I29,0)</f>
        <v>0</v>
      </c>
      <c r="L29" s="25">
        <f>F29</f>
        <v>0.17100000000000001</v>
      </c>
      <c r="M29" s="29"/>
      <c r="N29" s="17">
        <f>ROUND(SUM(N20)*L29,0)</f>
        <v>0</v>
      </c>
      <c r="O29" s="17">
        <f t="shared" si="0"/>
        <v>0</v>
      </c>
    </row>
    <row r="30" spans="1:17" hidden="1" x14ac:dyDescent="0.25">
      <c r="A30" s="115" t="s">
        <v>25</v>
      </c>
      <c r="B30" s="115"/>
      <c r="C30" s="115"/>
      <c r="D30" s="115"/>
      <c r="E30" s="115"/>
      <c r="F30" s="25">
        <v>0.13200000000000001</v>
      </c>
      <c r="G30" s="29"/>
      <c r="H30" s="17">
        <f>ROUND(SUM(H22:H23)*F30,0)</f>
        <v>0</v>
      </c>
      <c r="I30" s="27">
        <f>F30</f>
        <v>0.13200000000000001</v>
      </c>
      <c r="J30" s="29"/>
      <c r="K30" s="17">
        <f>ROUND(SUM(K22:K23)*I30,0)</f>
        <v>0</v>
      </c>
      <c r="L30" s="25">
        <f>F30</f>
        <v>0.13200000000000001</v>
      </c>
      <c r="M30" s="29"/>
      <c r="N30" s="17">
        <f>ROUND(SUM(N22:N23)*L30,0)</f>
        <v>0</v>
      </c>
      <c r="O30" s="17">
        <f t="shared" si="0"/>
        <v>0</v>
      </c>
      <c r="Q30" s="103" t="s">
        <v>55</v>
      </c>
    </row>
    <row r="31" spans="1:17" hidden="1" x14ac:dyDescent="0.25">
      <c r="A31" s="115" t="s">
        <v>26</v>
      </c>
      <c r="B31" s="115"/>
      <c r="C31" s="115"/>
      <c r="D31" s="115"/>
      <c r="E31" s="115"/>
      <c r="F31" s="30">
        <v>0.02</v>
      </c>
      <c r="G31" s="31"/>
      <c r="H31" s="17">
        <f>ROUND(SUM(H25)*F31,0)</f>
        <v>0</v>
      </c>
      <c r="I31" s="27">
        <f>F31</f>
        <v>0.02</v>
      </c>
      <c r="J31" s="31"/>
      <c r="K31" s="17">
        <f>ROUND(SUM(K25)*I31,0)</f>
        <v>0</v>
      </c>
      <c r="L31" s="27">
        <f>F31</f>
        <v>0.02</v>
      </c>
      <c r="M31" s="31"/>
      <c r="N31" s="17">
        <f>ROUND(SUM(N25)*L31,0)</f>
        <v>0</v>
      </c>
      <c r="O31" s="17">
        <f t="shared" si="0"/>
        <v>0</v>
      </c>
    </row>
    <row r="32" spans="1:17" hidden="1" x14ac:dyDescent="0.25">
      <c r="A32" s="117" t="s">
        <v>7</v>
      </c>
      <c r="B32" s="117"/>
      <c r="C32" s="117"/>
      <c r="D32" s="117"/>
      <c r="E32" s="117"/>
      <c r="F32" s="32"/>
      <c r="G32" s="33"/>
      <c r="H32" s="34">
        <f>SUM(H28:H31)</f>
        <v>0</v>
      </c>
      <c r="I32" s="35"/>
      <c r="J32" s="35"/>
      <c r="K32" s="36">
        <f>SUM(K28:K31)</f>
        <v>0</v>
      </c>
      <c r="L32" s="37"/>
      <c r="M32" s="35"/>
      <c r="N32" s="34">
        <f>SUM(N28:N31)</f>
        <v>0</v>
      </c>
      <c r="O32" s="34">
        <f t="shared" si="0"/>
        <v>0</v>
      </c>
      <c r="Q32" s="103" t="s">
        <v>56</v>
      </c>
    </row>
    <row r="33" spans="1:19" s="1" customFormat="1" hidden="1" x14ac:dyDescent="0.25">
      <c r="A33" s="117" t="s">
        <v>8</v>
      </c>
      <c r="B33" s="117"/>
      <c r="C33" s="117"/>
      <c r="D33" s="117"/>
      <c r="E33" s="117"/>
      <c r="F33" s="38"/>
      <c r="G33" s="39"/>
      <c r="H33" s="34">
        <f>H26+H32</f>
        <v>0</v>
      </c>
      <c r="I33" s="40"/>
      <c r="J33" s="40"/>
      <c r="K33" s="36">
        <f>K26+K32</f>
        <v>0</v>
      </c>
      <c r="L33" s="41"/>
      <c r="M33" s="40"/>
      <c r="N33" s="34">
        <f>N26+N32</f>
        <v>0</v>
      </c>
      <c r="O33" s="42">
        <f>O26+O32</f>
        <v>0</v>
      </c>
      <c r="Q33" s="104" t="s">
        <v>59</v>
      </c>
    </row>
    <row r="34" spans="1:19" ht="18.95" customHeight="1" x14ac:dyDescent="0.25">
      <c r="A34" s="133" t="s">
        <v>63</v>
      </c>
      <c r="B34" s="133"/>
      <c r="C34" s="133"/>
      <c r="D34" s="133"/>
      <c r="E34" s="134"/>
      <c r="F34" s="136" t="s">
        <v>5</v>
      </c>
      <c r="G34" s="136"/>
      <c r="H34" s="136"/>
      <c r="I34" s="135" t="s">
        <v>6</v>
      </c>
      <c r="J34" s="136"/>
      <c r="K34" s="137"/>
      <c r="L34" s="136" t="s">
        <v>17</v>
      </c>
      <c r="M34" s="136"/>
      <c r="N34" s="136"/>
      <c r="O34" s="43"/>
    </row>
    <row r="35" spans="1:19" ht="15" customHeight="1" x14ac:dyDescent="0.25">
      <c r="A35" s="140" t="s">
        <v>69</v>
      </c>
      <c r="B35" s="140"/>
      <c r="C35" s="140"/>
      <c r="D35" s="140"/>
      <c r="E35" s="140"/>
      <c r="F35" s="44"/>
      <c r="G35" s="45"/>
      <c r="H35" s="17">
        <v>0</v>
      </c>
      <c r="I35" s="46"/>
      <c r="J35" s="46"/>
      <c r="K35" s="47">
        <v>0</v>
      </c>
      <c r="L35" s="48"/>
      <c r="M35" s="46"/>
      <c r="N35" s="18">
        <v>0</v>
      </c>
      <c r="O35" s="17">
        <f t="shared" ref="O35:O42" si="1">H35+K35+N35</f>
        <v>0</v>
      </c>
    </row>
    <row r="36" spans="1:19" x14ac:dyDescent="0.25">
      <c r="A36" s="131" t="s">
        <v>43</v>
      </c>
      <c r="B36" s="131"/>
      <c r="C36" s="131"/>
      <c r="D36" s="131"/>
      <c r="E36" s="131"/>
      <c r="F36" s="44"/>
      <c r="G36" s="45"/>
      <c r="H36" s="17">
        <v>0</v>
      </c>
      <c r="I36" s="28"/>
      <c r="J36" s="46"/>
      <c r="K36" s="17">
        <v>0</v>
      </c>
      <c r="L36" s="49"/>
      <c r="M36" s="28"/>
      <c r="N36" s="17">
        <v>2000</v>
      </c>
      <c r="O36" s="17">
        <f t="shared" si="1"/>
        <v>2000</v>
      </c>
    </row>
    <row r="37" spans="1:19" ht="13.5" hidden="1" customHeight="1" x14ac:dyDescent="0.25">
      <c r="A37" s="140" t="s">
        <v>20</v>
      </c>
      <c r="B37" s="140"/>
      <c r="C37" s="140"/>
      <c r="D37" s="140"/>
      <c r="E37" s="140"/>
      <c r="F37" s="44"/>
      <c r="G37" s="50"/>
      <c r="H37" s="17">
        <v>0</v>
      </c>
      <c r="I37" s="28"/>
      <c r="J37" s="46"/>
      <c r="K37" s="47">
        <v>0</v>
      </c>
      <c r="L37" s="49"/>
      <c r="M37" s="28"/>
      <c r="N37" s="18">
        <v>0</v>
      </c>
      <c r="O37" s="17">
        <f t="shared" si="1"/>
        <v>0</v>
      </c>
    </row>
    <row r="38" spans="1:19" x14ac:dyDescent="0.25">
      <c r="A38" s="131" t="s">
        <v>60</v>
      </c>
      <c r="B38" s="131"/>
      <c r="C38" s="131"/>
      <c r="D38" s="131"/>
      <c r="E38" s="131"/>
      <c r="F38" s="44"/>
      <c r="G38" s="45"/>
      <c r="H38" s="17">
        <v>2765</v>
      </c>
      <c r="I38" s="28"/>
      <c r="J38" s="46"/>
      <c r="K38" s="17">
        <f>2765*1.03</f>
        <v>2847.9500000000003</v>
      </c>
      <c r="L38" s="49"/>
      <c r="M38" s="28"/>
      <c r="N38" s="17">
        <f>K38*1.03</f>
        <v>2933.3885000000005</v>
      </c>
      <c r="O38" s="17">
        <f t="shared" ref="O38:O39" si="2">H38+K38+N38</f>
        <v>8546.3385000000017</v>
      </c>
    </row>
    <row r="39" spans="1:19" ht="13.5" customHeight="1" x14ac:dyDescent="0.25">
      <c r="A39" s="140" t="s">
        <v>61</v>
      </c>
      <c r="B39" s="140"/>
      <c r="C39" s="140"/>
      <c r="D39" s="140"/>
      <c r="E39" s="140"/>
      <c r="F39" s="44"/>
      <c r="G39" s="50"/>
      <c r="H39" s="17">
        <v>38000</v>
      </c>
      <c r="I39" s="28"/>
      <c r="J39" s="46"/>
      <c r="K39" s="47">
        <v>40000</v>
      </c>
      <c r="L39" s="49"/>
      <c r="M39" s="28"/>
      <c r="N39" s="18">
        <v>41700</v>
      </c>
      <c r="O39" s="17">
        <f t="shared" si="2"/>
        <v>119700</v>
      </c>
    </row>
    <row r="40" spans="1:19" ht="15" hidden="1" customHeight="1" x14ac:dyDescent="0.25">
      <c r="A40" s="131" t="s">
        <v>28</v>
      </c>
      <c r="B40" s="131"/>
      <c r="C40" s="131"/>
      <c r="D40" s="131"/>
      <c r="E40" s="131"/>
      <c r="F40" s="44"/>
      <c r="G40" s="51"/>
      <c r="H40" s="17">
        <v>0</v>
      </c>
      <c r="I40" s="28"/>
      <c r="J40" s="46"/>
      <c r="K40" s="47">
        <v>0</v>
      </c>
      <c r="L40" s="48"/>
      <c r="M40" s="46"/>
      <c r="N40" s="18">
        <v>0</v>
      </c>
      <c r="O40" s="17">
        <f t="shared" si="1"/>
        <v>0</v>
      </c>
    </row>
    <row r="41" spans="1:19" ht="15" customHeight="1" x14ac:dyDescent="0.25">
      <c r="A41" s="131" t="s">
        <v>74</v>
      </c>
      <c r="B41" s="131"/>
      <c r="C41" s="131"/>
      <c r="D41" s="131"/>
      <c r="E41" s="131"/>
      <c r="F41" s="52"/>
      <c r="G41" s="53"/>
      <c r="H41" s="17">
        <f>13735-4500</f>
        <v>9235</v>
      </c>
      <c r="I41" s="28"/>
      <c r="J41" s="46"/>
      <c r="K41" s="17">
        <v>5032</v>
      </c>
      <c r="L41" s="48"/>
      <c r="M41" s="46"/>
      <c r="N41" s="17">
        <v>3367</v>
      </c>
      <c r="O41" s="17">
        <f t="shared" si="1"/>
        <v>17634</v>
      </c>
      <c r="Q41" s="112"/>
      <c r="R41" s="112"/>
      <c r="S41" s="112"/>
    </row>
    <row r="42" spans="1:19" x14ac:dyDescent="0.25">
      <c r="A42" s="117" t="s">
        <v>64</v>
      </c>
      <c r="B42" s="117"/>
      <c r="C42" s="117"/>
      <c r="D42" s="117"/>
      <c r="E42" s="117"/>
      <c r="F42" s="55"/>
      <c r="G42" s="56"/>
      <c r="H42" s="42">
        <f>SUM(H35:H41)</f>
        <v>50000</v>
      </c>
      <c r="I42" s="56"/>
      <c r="J42" s="56"/>
      <c r="K42" s="57">
        <f>SUM(K35:K41)</f>
        <v>47879.95</v>
      </c>
      <c r="L42" s="58"/>
      <c r="M42" s="56"/>
      <c r="N42" s="42">
        <f>SUM(N35:N41)</f>
        <v>50000.388500000001</v>
      </c>
      <c r="O42" s="42">
        <f t="shared" si="1"/>
        <v>147880.33850000001</v>
      </c>
    </row>
    <row r="43" spans="1:19" x14ac:dyDescent="0.25">
      <c r="A43" s="133" t="s">
        <v>65</v>
      </c>
      <c r="B43" s="133"/>
      <c r="C43" s="133"/>
      <c r="D43" s="133"/>
      <c r="E43" s="134"/>
      <c r="F43" s="136" t="s">
        <v>5</v>
      </c>
      <c r="G43" s="136"/>
      <c r="H43" s="136"/>
      <c r="I43" s="135" t="s">
        <v>6</v>
      </c>
      <c r="J43" s="136"/>
      <c r="K43" s="137"/>
      <c r="L43" s="136" t="s">
        <v>17</v>
      </c>
      <c r="M43" s="136"/>
      <c r="N43" s="136"/>
      <c r="O43" s="24"/>
      <c r="S43" s="111">
        <f>H72-H41</f>
        <v>4500.4400000000005</v>
      </c>
    </row>
    <row r="44" spans="1:19" ht="18.75" customHeight="1" x14ac:dyDescent="0.25">
      <c r="A44" s="138" t="s">
        <v>15</v>
      </c>
      <c r="B44" s="138"/>
      <c r="C44" s="138"/>
      <c r="D44" s="138"/>
      <c r="E44" s="138"/>
      <c r="F44" s="59"/>
      <c r="G44" s="60" t="s">
        <v>9</v>
      </c>
      <c r="H44" s="61" t="s">
        <v>51</v>
      </c>
      <c r="I44" s="62"/>
      <c r="J44" s="60" t="s">
        <v>9</v>
      </c>
      <c r="K44" s="60" t="s">
        <v>51</v>
      </c>
      <c r="L44" s="63"/>
      <c r="M44" s="60" t="s">
        <v>9</v>
      </c>
      <c r="N44" s="61" t="s">
        <v>51</v>
      </c>
      <c r="O44" s="64"/>
    </row>
    <row r="45" spans="1:19" x14ac:dyDescent="0.25">
      <c r="A45" s="139" t="s">
        <v>32</v>
      </c>
      <c r="B45" s="139"/>
      <c r="C45" s="139"/>
      <c r="D45" s="139"/>
      <c r="E45" s="139"/>
      <c r="F45" s="65"/>
      <c r="G45" s="47">
        <v>0</v>
      </c>
      <c r="H45" s="18">
        <v>0</v>
      </c>
      <c r="I45" s="66"/>
      <c r="J45" s="47">
        <v>500</v>
      </c>
      <c r="K45" s="47">
        <v>0</v>
      </c>
      <c r="L45" s="67"/>
      <c r="M45" s="47">
        <v>0</v>
      </c>
      <c r="N45" s="18"/>
      <c r="O45" s="68">
        <f>G45+H45+J45+K45+M45+N45</f>
        <v>500</v>
      </c>
      <c r="S45" s="111">
        <f>K72-K41</f>
        <v>9802.2752000000019</v>
      </c>
    </row>
    <row r="46" spans="1:19" x14ac:dyDescent="0.25">
      <c r="A46" s="131" t="s">
        <v>21</v>
      </c>
      <c r="B46" s="131"/>
      <c r="C46" s="131"/>
      <c r="D46" s="131"/>
      <c r="E46" s="131"/>
      <c r="F46" s="65"/>
      <c r="G46" s="47">
        <v>0</v>
      </c>
      <c r="H46" s="18">
        <v>0</v>
      </c>
      <c r="I46" s="66"/>
      <c r="J46" s="47">
        <f>151*7</f>
        <v>1057</v>
      </c>
      <c r="K46" s="47">
        <v>0</v>
      </c>
      <c r="L46" s="67"/>
      <c r="M46" s="47">
        <v>0</v>
      </c>
      <c r="N46" s="18"/>
      <c r="O46" s="68">
        <f>G46+H46+J46+K46+M46+N46</f>
        <v>1057</v>
      </c>
    </row>
    <row r="47" spans="1:19" x14ac:dyDescent="0.25">
      <c r="A47" s="131" t="s">
        <v>10</v>
      </c>
      <c r="B47" s="131"/>
      <c r="C47" s="131"/>
      <c r="D47" s="131"/>
      <c r="E47" s="131"/>
      <c r="F47" s="65"/>
      <c r="G47" s="47">
        <v>0</v>
      </c>
      <c r="H47" s="18">
        <v>0</v>
      </c>
      <c r="I47" s="66"/>
      <c r="J47" s="47">
        <f>59*7</f>
        <v>413</v>
      </c>
      <c r="K47" s="47">
        <v>0</v>
      </c>
      <c r="L47" s="67"/>
      <c r="M47" s="47">
        <v>0</v>
      </c>
      <c r="N47" s="18"/>
      <c r="O47" s="68">
        <f>G47+H47+J47+K47+M47+N47</f>
        <v>413</v>
      </c>
      <c r="S47" s="111">
        <f>N72-N41</f>
        <v>12654.017216000004</v>
      </c>
    </row>
    <row r="48" spans="1:19" x14ac:dyDescent="0.25">
      <c r="A48" s="131" t="s">
        <v>11</v>
      </c>
      <c r="B48" s="131"/>
      <c r="C48" s="131"/>
      <c r="D48" s="131"/>
      <c r="E48" s="131"/>
      <c r="F48" s="65"/>
      <c r="G48" s="69">
        <v>0</v>
      </c>
      <c r="H48" s="70">
        <v>0</v>
      </c>
      <c r="I48" s="66"/>
      <c r="J48" s="69">
        <v>150</v>
      </c>
      <c r="K48" s="70">
        <v>0</v>
      </c>
      <c r="L48" s="71"/>
      <c r="M48" s="69">
        <v>0</v>
      </c>
      <c r="N48" s="70"/>
      <c r="O48" s="72">
        <f>G48+H48+J48+K48+M48+N48</f>
        <v>150</v>
      </c>
    </row>
    <row r="49" spans="1:16" x14ac:dyDescent="0.25">
      <c r="A49" s="132" t="s">
        <v>52</v>
      </c>
      <c r="B49" s="132"/>
      <c r="C49" s="132"/>
      <c r="D49" s="132"/>
      <c r="E49" s="132"/>
      <c r="F49" s="65"/>
      <c r="G49" s="47">
        <f>SUM(G45:G48)</f>
        <v>0</v>
      </c>
      <c r="H49" s="18">
        <f>SUM(H45:H48)</f>
        <v>0</v>
      </c>
      <c r="I49" s="66"/>
      <c r="J49" s="47">
        <f>SUM(J45:J48)</f>
        <v>2120</v>
      </c>
      <c r="K49" s="47">
        <f>SUM(K45:K48)</f>
        <v>0</v>
      </c>
      <c r="L49" s="67"/>
      <c r="M49" s="47">
        <f>SUM(M45:M48)</f>
        <v>0</v>
      </c>
      <c r="N49" s="70">
        <f>SUM(N45:N48)</f>
        <v>0</v>
      </c>
      <c r="O49" s="68"/>
    </row>
    <row r="50" spans="1:16" x14ac:dyDescent="0.25">
      <c r="A50" s="117" t="s">
        <v>66</v>
      </c>
      <c r="B50" s="117"/>
      <c r="C50" s="117"/>
      <c r="D50" s="117"/>
      <c r="E50" s="117"/>
      <c r="F50" s="73"/>
      <c r="G50" s="170">
        <f>G49+H49</f>
        <v>0</v>
      </c>
      <c r="H50" s="171"/>
      <c r="I50" s="74"/>
      <c r="J50" s="170">
        <f>J49+K49</f>
        <v>2120</v>
      </c>
      <c r="K50" s="171"/>
      <c r="L50" s="75"/>
      <c r="M50" s="170">
        <f>M49+N49</f>
        <v>0</v>
      </c>
      <c r="N50" s="171"/>
      <c r="O50" s="34">
        <f>G50+J50+M50</f>
        <v>2120</v>
      </c>
    </row>
    <row r="51" spans="1:16" ht="17.25" hidden="1" customHeight="1" x14ac:dyDescent="0.25">
      <c r="A51" s="133" t="s">
        <v>16</v>
      </c>
      <c r="B51" s="133"/>
      <c r="C51" s="133"/>
      <c r="D51" s="133"/>
      <c r="E51" s="134"/>
      <c r="F51" s="136" t="s">
        <v>5</v>
      </c>
      <c r="G51" s="136"/>
      <c r="H51" s="136"/>
      <c r="I51" s="135" t="s">
        <v>6</v>
      </c>
      <c r="J51" s="136"/>
      <c r="K51" s="137"/>
      <c r="L51" s="136" t="s">
        <v>17</v>
      </c>
      <c r="M51" s="136"/>
      <c r="N51" s="136"/>
      <c r="O51" s="43"/>
    </row>
    <row r="52" spans="1:16" ht="15" hidden="1" customHeight="1" x14ac:dyDescent="0.25">
      <c r="A52" s="130" t="s">
        <v>15</v>
      </c>
      <c r="B52" s="130"/>
      <c r="C52" s="130"/>
      <c r="D52" s="130"/>
      <c r="E52" s="130"/>
      <c r="F52" s="44"/>
      <c r="G52" s="45"/>
      <c r="H52" s="17">
        <v>0</v>
      </c>
      <c r="I52" s="46"/>
      <c r="J52" s="46"/>
      <c r="K52" s="54">
        <v>0</v>
      </c>
      <c r="L52" s="48"/>
      <c r="M52" s="46"/>
      <c r="N52" s="17">
        <v>0</v>
      </c>
      <c r="O52" s="17">
        <f>H52+K52+N52</f>
        <v>0</v>
      </c>
    </row>
    <row r="53" spans="1:16" ht="15.75" hidden="1" customHeight="1" x14ac:dyDescent="0.25">
      <c r="A53" s="131" t="s">
        <v>15</v>
      </c>
      <c r="B53" s="131"/>
      <c r="C53" s="131"/>
      <c r="D53" s="131"/>
      <c r="E53" s="131"/>
      <c r="F53" s="44"/>
      <c r="G53" s="45"/>
      <c r="H53" s="17">
        <v>0</v>
      </c>
      <c r="I53" s="46"/>
      <c r="J53" s="46"/>
      <c r="K53" s="54">
        <v>0</v>
      </c>
      <c r="L53" s="48"/>
      <c r="M53" s="46"/>
      <c r="N53" s="17">
        <v>0</v>
      </c>
      <c r="O53" s="17">
        <f>H53+K53+N53</f>
        <v>0</v>
      </c>
    </row>
    <row r="54" spans="1:16" ht="15" hidden="1" customHeight="1" x14ac:dyDescent="0.25">
      <c r="A54" s="117" t="s">
        <v>18</v>
      </c>
      <c r="B54" s="117"/>
      <c r="C54" s="117"/>
      <c r="D54" s="117"/>
      <c r="E54" s="117"/>
      <c r="F54" s="76"/>
      <c r="G54" s="57"/>
      <c r="H54" s="42">
        <f>SUM(H52:H53)</f>
        <v>0</v>
      </c>
      <c r="I54" s="57"/>
      <c r="J54" s="57"/>
      <c r="K54" s="57">
        <f>SUM(K52:K53)</f>
        <v>0</v>
      </c>
      <c r="L54" s="77"/>
      <c r="M54" s="57"/>
      <c r="N54" s="42">
        <f>SUM(N52:N53)</f>
        <v>0</v>
      </c>
      <c r="O54" s="42">
        <f>H54+K54+N54</f>
        <v>0</v>
      </c>
    </row>
    <row r="55" spans="1:16" ht="15.75" hidden="1" customHeight="1" x14ac:dyDescent="0.25">
      <c r="A55" s="133" t="s">
        <v>22</v>
      </c>
      <c r="B55" s="133"/>
      <c r="C55" s="133"/>
      <c r="D55" s="133"/>
      <c r="E55" s="134"/>
      <c r="F55" s="136" t="s">
        <v>5</v>
      </c>
      <c r="G55" s="136"/>
      <c r="H55" s="136"/>
      <c r="I55" s="135" t="s">
        <v>6</v>
      </c>
      <c r="J55" s="136"/>
      <c r="K55" s="137"/>
      <c r="L55" s="136" t="s">
        <v>17</v>
      </c>
      <c r="M55" s="136"/>
      <c r="N55" s="136"/>
      <c r="O55" s="43"/>
    </row>
    <row r="56" spans="1:16" ht="18" hidden="1" customHeight="1" x14ac:dyDescent="0.25">
      <c r="A56" s="130" t="s">
        <v>15</v>
      </c>
      <c r="B56" s="130"/>
      <c r="C56" s="130"/>
      <c r="D56" s="130"/>
      <c r="E56" s="130"/>
      <c r="F56" s="44"/>
      <c r="G56" s="45"/>
      <c r="H56" s="17">
        <v>0</v>
      </c>
      <c r="I56" s="46"/>
      <c r="J56" s="46"/>
      <c r="K56" s="54">
        <v>0</v>
      </c>
      <c r="L56" s="48"/>
      <c r="M56" s="46"/>
      <c r="N56" s="17">
        <v>0</v>
      </c>
      <c r="O56" s="17">
        <f>H56+K56+N56</f>
        <v>0</v>
      </c>
    </row>
    <row r="57" spans="1:16" ht="17.25" hidden="1" customHeight="1" x14ac:dyDescent="0.25">
      <c r="A57" s="131" t="s">
        <v>15</v>
      </c>
      <c r="B57" s="131"/>
      <c r="C57" s="131"/>
      <c r="D57" s="131"/>
      <c r="E57" s="131"/>
      <c r="F57" s="44"/>
      <c r="G57" s="45"/>
      <c r="H57" s="17">
        <v>0</v>
      </c>
      <c r="I57" s="46"/>
      <c r="J57" s="46"/>
      <c r="K57" s="54">
        <v>0</v>
      </c>
      <c r="L57" s="48"/>
      <c r="M57" s="46"/>
      <c r="N57" s="17">
        <v>0</v>
      </c>
      <c r="O57" s="17">
        <f>H57+K57+N57</f>
        <v>0</v>
      </c>
    </row>
    <row r="58" spans="1:16" ht="18" hidden="1" customHeight="1" x14ac:dyDescent="0.25">
      <c r="A58" s="117" t="s">
        <v>23</v>
      </c>
      <c r="B58" s="117"/>
      <c r="C58" s="117"/>
      <c r="D58" s="117"/>
      <c r="E58" s="117"/>
      <c r="F58" s="55"/>
      <c r="G58" s="57"/>
      <c r="H58" s="42">
        <f>SUM(H56:H57)</f>
        <v>0</v>
      </c>
      <c r="I58" s="57"/>
      <c r="J58" s="57"/>
      <c r="K58" s="57">
        <f>SUM(K56:K57)</f>
        <v>0</v>
      </c>
      <c r="L58" s="77"/>
      <c r="M58" s="57"/>
      <c r="N58" s="42">
        <f>SUM(N56:N57)</f>
        <v>0</v>
      </c>
      <c r="O58" s="42">
        <f>H58+K58+N58</f>
        <v>0</v>
      </c>
    </row>
    <row r="59" spans="1:16" x14ac:dyDescent="0.25">
      <c r="A59" s="127" t="s">
        <v>15</v>
      </c>
      <c r="B59" s="127"/>
      <c r="C59" s="127"/>
      <c r="D59" s="127"/>
      <c r="E59" s="127"/>
      <c r="F59" s="116" t="s">
        <v>5</v>
      </c>
      <c r="G59" s="128"/>
      <c r="H59" s="128"/>
      <c r="I59" s="128" t="s">
        <v>6</v>
      </c>
      <c r="J59" s="116"/>
      <c r="K59" s="129"/>
      <c r="L59" s="116" t="s">
        <v>17</v>
      </c>
      <c r="M59" s="116"/>
      <c r="N59" s="116"/>
      <c r="O59" s="78"/>
      <c r="P59" s="2"/>
    </row>
    <row r="60" spans="1:16" x14ac:dyDescent="0.25">
      <c r="A60" s="118" t="s">
        <v>29</v>
      </c>
      <c r="B60" s="118"/>
      <c r="C60" s="118"/>
      <c r="D60" s="118"/>
      <c r="E60" s="118"/>
      <c r="F60" s="79"/>
      <c r="G60" s="80"/>
      <c r="H60" s="81">
        <f>H33+H42+G50+H54+H58</f>
        <v>50000</v>
      </c>
      <c r="I60" s="82"/>
      <c r="J60" s="82"/>
      <c r="K60" s="81">
        <f>K33+K42+J50+K54+K58</f>
        <v>49999.95</v>
      </c>
      <c r="L60" s="83"/>
      <c r="M60" s="82"/>
      <c r="N60" s="81">
        <f>N33+N42+M50+N54+N58</f>
        <v>50000.388500000001</v>
      </c>
      <c r="O60" s="81">
        <f t="shared" ref="O60:O66" si="3">H60+K60+N60</f>
        <v>150000.33850000001</v>
      </c>
      <c r="P60" s="2"/>
    </row>
    <row r="61" spans="1:16" hidden="1" x14ac:dyDescent="0.25">
      <c r="A61" s="119" t="s">
        <v>30</v>
      </c>
      <c r="B61" s="119"/>
      <c r="C61" s="119"/>
      <c r="D61" s="119"/>
      <c r="E61" s="119"/>
      <c r="F61" s="84"/>
      <c r="G61" s="85"/>
      <c r="H61" s="68">
        <f>-H41</f>
        <v>-9235</v>
      </c>
      <c r="I61" s="86"/>
      <c r="J61" s="86"/>
      <c r="K61" s="68">
        <f>-K41</f>
        <v>-5032</v>
      </c>
      <c r="L61" s="87"/>
      <c r="M61" s="86"/>
      <c r="N61" s="68">
        <f>-N41</f>
        <v>-3367</v>
      </c>
      <c r="O61" s="68">
        <f t="shared" si="3"/>
        <v>-17634</v>
      </c>
      <c r="P61" s="2"/>
    </row>
    <row r="62" spans="1:16" hidden="1" x14ac:dyDescent="0.25">
      <c r="A62" s="121" t="s">
        <v>44</v>
      </c>
      <c r="B62" s="122"/>
      <c r="C62" s="122"/>
      <c r="D62" s="122"/>
      <c r="E62" s="123"/>
      <c r="F62" s="84"/>
      <c r="G62" s="85"/>
      <c r="H62" s="68">
        <f>-H54+-H58</f>
        <v>0</v>
      </c>
      <c r="I62" s="86"/>
      <c r="J62" s="86"/>
      <c r="K62" s="68">
        <f>-K54+-K58</f>
        <v>0</v>
      </c>
      <c r="L62" s="87"/>
      <c r="M62" s="86"/>
      <c r="N62" s="68">
        <f>-N54+-N58</f>
        <v>0</v>
      </c>
      <c r="O62" s="68">
        <f t="shared" si="3"/>
        <v>0</v>
      </c>
    </row>
    <row r="63" spans="1:16" hidden="1" x14ac:dyDescent="0.25">
      <c r="A63" s="121" t="s">
        <v>45</v>
      </c>
      <c r="B63" s="122"/>
      <c r="C63" s="122"/>
      <c r="D63" s="122"/>
      <c r="E63" s="123"/>
      <c r="F63" s="44"/>
      <c r="G63" s="88"/>
      <c r="H63" s="89">
        <v>0</v>
      </c>
      <c r="I63" s="90"/>
      <c r="J63" s="90"/>
      <c r="K63" s="89">
        <v>0</v>
      </c>
      <c r="L63" s="90"/>
      <c r="M63" s="90"/>
      <c r="N63" s="89">
        <v>0</v>
      </c>
      <c r="O63" s="68">
        <f t="shared" si="3"/>
        <v>0</v>
      </c>
    </row>
    <row r="64" spans="1:16" ht="15" hidden="1" customHeight="1" x14ac:dyDescent="0.25">
      <c r="A64" s="120" t="s">
        <v>27</v>
      </c>
      <c r="B64" s="120"/>
      <c r="C64" s="120"/>
      <c r="D64" s="120"/>
      <c r="E64" s="120"/>
      <c r="F64" s="91"/>
      <c r="G64" s="92"/>
      <c r="H64" s="93">
        <f>SUM(H60:H63)</f>
        <v>40765</v>
      </c>
      <c r="I64" s="94"/>
      <c r="J64" s="94"/>
      <c r="K64" s="93">
        <f>SUM(K60:K63)</f>
        <v>44967.95</v>
      </c>
      <c r="L64" s="94"/>
      <c r="M64" s="94"/>
      <c r="N64" s="93">
        <f>SUM(N60:N63)</f>
        <v>46633.388500000001</v>
      </c>
      <c r="O64" s="68">
        <f t="shared" si="3"/>
        <v>132366.33850000001</v>
      </c>
    </row>
    <row r="65" spans="1:20" s="1" customFormat="1" ht="15" customHeight="1" x14ac:dyDescent="0.25">
      <c r="A65" s="124" t="s">
        <v>67</v>
      </c>
      <c r="B65" s="125"/>
      <c r="C65" s="125"/>
      <c r="D65" s="125"/>
      <c r="E65" s="126"/>
      <c r="F65" s="95"/>
      <c r="G65" s="96"/>
      <c r="H65" s="97">
        <f>ROUND(H64*0,0)</f>
        <v>0</v>
      </c>
      <c r="I65" s="98"/>
      <c r="J65" s="98"/>
      <c r="K65" s="97">
        <f>ROUND(K64*0,0)</f>
        <v>0</v>
      </c>
      <c r="L65" s="99"/>
      <c r="M65" s="98"/>
      <c r="N65" s="97">
        <f>ROUND(N64*0,0)</f>
        <v>0</v>
      </c>
      <c r="O65" s="100">
        <f t="shared" si="3"/>
        <v>0</v>
      </c>
      <c r="T65" s="1">
        <f>50000-46633</f>
        <v>3367</v>
      </c>
    </row>
    <row r="66" spans="1:20" x14ac:dyDescent="0.25">
      <c r="A66" s="117" t="s">
        <v>12</v>
      </c>
      <c r="B66" s="117"/>
      <c r="C66" s="117"/>
      <c r="D66" s="117"/>
      <c r="E66" s="117"/>
      <c r="F66" s="101"/>
      <c r="G66" s="102" t="s">
        <v>15</v>
      </c>
      <c r="H66" s="34">
        <f>H60+H65</f>
        <v>50000</v>
      </c>
      <c r="I66" s="57"/>
      <c r="J66" s="36" t="s">
        <v>15</v>
      </c>
      <c r="K66" s="34">
        <f>K60+K65</f>
        <v>49999.95</v>
      </c>
      <c r="L66" s="77"/>
      <c r="M66" s="36"/>
      <c r="N66" s="34">
        <f>N60+N65</f>
        <v>50000.388500000001</v>
      </c>
      <c r="O66" s="42">
        <f t="shared" si="3"/>
        <v>150000.33850000001</v>
      </c>
    </row>
    <row r="67" spans="1:20" x14ac:dyDescent="0.25">
      <c r="T67">
        <f>7152-2120</f>
        <v>5032</v>
      </c>
    </row>
    <row r="68" spans="1:20" x14ac:dyDescent="0.25">
      <c r="G68" s="109" t="s">
        <v>70</v>
      </c>
      <c r="H68" s="110">
        <v>50000</v>
      </c>
      <c r="I68" s="110"/>
      <c r="J68" s="110"/>
      <c r="K68" s="110">
        <v>50000</v>
      </c>
      <c r="L68" s="110"/>
      <c r="M68" s="110"/>
      <c r="N68" s="110">
        <v>50000</v>
      </c>
      <c r="O68" s="110">
        <f>SUM(H68:N68)</f>
        <v>150000</v>
      </c>
    </row>
    <row r="69" spans="1:20" x14ac:dyDescent="0.25">
      <c r="G69" t="s">
        <v>71</v>
      </c>
      <c r="H69" s="108">
        <f>H66-H68</f>
        <v>0</v>
      </c>
      <c r="K69" s="108">
        <f>K66-K68</f>
        <v>-5.0000000002910383E-2</v>
      </c>
      <c r="N69" s="108">
        <f>N66-N68</f>
        <v>0.38850000000093132</v>
      </c>
      <c r="P69" s="156" t="s">
        <v>75</v>
      </c>
      <c r="Q69" s="156"/>
      <c r="R69" s="156"/>
      <c r="S69" s="156"/>
    </row>
    <row r="72" spans="1:20" x14ac:dyDescent="0.25">
      <c r="F72" s="113" t="s">
        <v>72</v>
      </c>
      <c r="G72" s="113"/>
      <c r="H72" s="105">
        <f>12718*1.08</f>
        <v>13735.44</v>
      </c>
      <c r="I72" s="105"/>
      <c r="J72" s="105"/>
      <c r="K72" s="105">
        <f>H72*1.08</f>
        <v>14834.275200000002</v>
      </c>
      <c r="L72" s="105"/>
      <c r="M72" s="105"/>
      <c r="N72" s="105">
        <f>K72*1.08</f>
        <v>16021.017216000004</v>
      </c>
      <c r="O72" s="111">
        <f>SUM(H72:N72)</f>
        <v>44590.732416000006</v>
      </c>
    </row>
    <row r="73" spans="1:20" x14ac:dyDescent="0.25">
      <c r="N73" t="s">
        <v>15</v>
      </c>
    </row>
    <row r="74" spans="1:20" ht="30.75" customHeight="1" x14ac:dyDescent="0.25">
      <c r="F74" s="114" t="s">
        <v>73</v>
      </c>
      <c r="G74" s="114"/>
      <c r="H74" s="106">
        <f>H41-H72</f>
        <v>-4500.4400000000005</v>
      </c>
      <c r="I74" s="107"/>
      <c r="J74" s="107"/>
      <c r="K74" s="106">
        <f>K41-K72</f>
        <v>-9802.2752000000019</v>
      </c>
      <c r="L74" s="107"/>
      <c r="M74" s="107"/>
      <c r="N74" s="106">
        <f>N41-N72</f>
        <v>-12654.017216000004</v>
      </c>
      <c r="O74" s="106">
        <f>SUM(H74:N74)</f>
        <v>-26956.732416000006</v>
      </c>
      <c r="P74" s="107" t="s">
        <v>62</v>
      </c>
      <c r="Q74" s="107"/>
    </row>
    <row r="77" spans="1:20" x14ac:dyDescent="0.25">
      <c r="G77" t="s">
        <v>68</v>
      </c>
      <c r="H77" s="108">
        <f>H38+H41</f>
        <v>12000</v>
      </c>
      <c r="K77" s="108">
        <f>K38+K41</f>
        <v>7879.9500000000007</v>
      </c>
      <c r="N77" s="108">
        <f>N38+N41</f>
        <v>6300.3885000000009</v>
      </c>
    </row>
  </sheetData>
  <mergeCells count="94">
    <mergeCell ref="P69:S69"/>
    <mergeCell ref="A7:B7"/>
    <mergeCell ref="A8:B8"/>
    <mergeCell ref="A1:O4"/>
    <mergeCell ref="C5:O5"/>
    <mergeCell ref="C6:O6"/>
    <mergeCell ref="C7:O7"/>
    <mergeCell ref="C8:O8"/>
    <mergeCell ref="A5:B5"/>
    <mergeCell ref="A6:B6"/>
    <mergeCell ref="M50:N50"/>
    <mergeCell ref="J50:K50"/>
    <mergeCell ref="G50:H50"/>
    <mergeCell ref="A55:E55"/>
    <mergeCell ref="F55:H55"/>
    <mergeCell ref="I55:K55"/>
    <mergeCell ref="L55:N55"/>
    <mergeCell ref="F51:H51"/>
    <mergeCell ref="I51:K51"/>
    <mergeCell ref="L51:N51"/>
    <mergeCell ref="A52:E52"/>
    <mergeCell ref="A53:E53"/>
    <mergeCell ref="A54:E54"/>
    <mergeCell ref="I34:K34"/>
    <mergeCell ref="L34:N34"/>
    <mergeCell ref="A35:E35"/>
    <mergeCell ref="A36:E36"/>
    <mergeCell ref="A37:E37"/>
    <mergeCell ref="F34:H34"/>
    <mergeCell ref="A9:E9"/>
    <mergeCell ref="F9:H9"/>
    <mergeCell ref="I9:K9"/>
    <mergeCell ref="L9:N9"/>
    <mergeCell ref="A10:E10"/>
    <mergeCell ref="A11:E11"/>
    <mergeCell ref="A12:E12"/>
    <mergeCell ref="A24:E24"/>
    <mergeCell ref="A25:E25"/>
    <mergeCell ref="A21:E21"/>
    <mergeCell ref="A22:E22"/>
    <mergeCell ref="A23:E23"/>
    <mergeCell ref="A19:E19"/>
    <mergeCell ref="A20:E20"/>
    <mergeCell ref="A15:E15"/>
    <mergeCell ref="A16:E16"/>
    <mergeCell ref="A17:E17"/>
    <mergeCell ref="A18:E18"/>
    <mergeCell ref="A14:E14"/>
    <mergeCell ref="A13:E13"/>
    <mergeCell ref="I27:K27"/>
    <mergeCell ref="L27:N27"/>
    <mergeCell ref="A28:E28"/>
    <mergeCell ref="A26:E26"/>
    <mergeCell ref="A27:E27"/>
    <mergeCell ref="F27:H27"/>
    <mergeCell ref="A42:E42"/>
    <mergeCell ref="A30:E30"/>
    <mergeCell ref="A31:E31"/>
    <mergeCell ref="A32:E32"/>
    <mergeCell ref="A33:E33"/>
    <mergeCell ref="A34:E34"/>
    <mergeCell ref="A40:E40"/>
    <mergeCell ref="A41:E41"/>
    <mergeCell ref="A38:E38"/>
    <mergeCell ref="A39:E39"/>
    <mergeCell ref="I43:K43"/>
    <mergeCell ref="L43:N43"/>
    <mergeCell ref="A44:E44"/>
    <mergeCell ref="A45:E45"/>
    <mergeCell ref="A46:E46"/>
    <mergeCell ref="A43:E43"/>
    <mergeCell ref="F43:H43"/>
    <mergeCell ref="A58:E58"/>
    <mergeCell ref="A47:E47"/>
    <mergeCell ref="A48:E48"/>
    <mergeCell ref="A49:E49"/>
    <mergeCell ref="A50:E50"/>
    <mergeCell ref="A51:E51"/>
    <mergeCell ref="F72:G72"/>
    <mergeCell ref="F74:G74"/>
    <mergeCell ref="A29:E29"/>
    <mergeCell ref="L59:N59"/>
    <mergeCell ref="A66:E66"/>
    <mergeCell ref="A60:E60"/>
    <mergeCell ref="A61:E61"/>
    <mergeCell ref="A64:E64"/>
    <mergeCell ref="A62:E62"/>
    <mergeCell ref="A63:E63"/>
    <mergeCell ref="A65:E65"/>
    <mergeCell ref="A59:E59"/>
    <mergeCell ref="F59:H59"/>
    <mergeCell ref="I59:K59"/>
    <mergeCell ref="A56:E56"/>
    <mergeCell ref="A57:E57"/>
  </mergeCells>
  <printOptions horizontalCentered="1"/>
  <pageMargins left="1" right="1" top="1" bottom="1" header="0.25" footer="0.51180555555555496"/>
  <pageSetup scale="49" firstPageNumber="0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e824b3-e305-4841-99d5-b5476cb6016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60326D46D0F0449BB591FD54A0A3B5" ma:contentTypeVersion="7" ma:contentTypeDescription="Create a new document." ma:contentTypeScope="" ma:versionID="ccfdd0aa01b6123f86a8cc9ef3000a77">
  <xsd:schema xmlns:xsd="http://www.w3.org/2001/XMLSchema" xmlns:xs="http://www.w3.org/2001/XMLSchema" xmlns:p="http://schemas.microsoft.com/office/2006/metadata/properties" xmlns:ns3="61e824b3-e305-4841-99d5-b5476cb6016e" xmlns:ns4="2053c971-ad99-4484-bd7f-bcffc60be2b9" targetNamespace="http://schemas.microsoft.com/office/2006/metadata/properties" ma:root="true" ma:fieldsID="db6d7fe5f3ed8570617f98bde7cec140" ns3:_="" ns4:_="">
    <xsd:import namespace="61e824b3-e305-4841-99d5-b5476cb6016e"/>
    <xsd:import namespace="2053c971-ad99-4484-bd7f-bcffc60be2b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e824b3-e305-4841-99d5-b5476cb6016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53c971-ad99-4484-bd7f-bcffc60be2b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D40D-62C8-43EB-8671-E14A79BB232C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61e824b3-e305-4841-99d5-b5476cb6016e"/>
    <ds:schemaRef ds:uri="http://purl.org/dc/terms/"/>
    <ds:schemaRef ds:uri="2053c971-ad99-4484-bd7f-bcffc60be2b9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4E04F3-DAF4-4195-A5A0-CE1236AE4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5419FD-22E9-47F5-B02F-823CA44149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e824b3-e305-4841-99d5-b5476cb6016e"/>
    <ds:schemaRef ds:uri="2053c971-ad99-4484-bd7f-bcffc60be2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Template</vt:lpstr>
      <vt:lpstr>'Budget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jpierson@arizona.edu</dc:creator>
  <cp:lastModifiedBy>Stones, Jennifer - (jjstones)</cp:lastModifiedBy>
  <cp:revision>2</cp:revision>
  <cp:lastPrinted>2020-10-13T22:30:17Z</cp:lastPrinted>
  <dcterms:created xsi:type="dcterms:W3CDTF">2016-03-24T23:01:50Z</dcterms:created>
  <dcterms:modified xsi:type="dcterms:W3CDTF">2024-01-26T23:16:58Z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0x010100A460326D46D0F0449BB591FD54A0A3B5</vt:lpwstr>
  </property>
</Properties>
</file>