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5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7.xml" ContentType="application/vnd.openxmlformats-officedocument.drawing+xml"/>
  <Override PartName="/xl/charts/chart7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9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0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1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Yu Liu\Desktop\"/>
    </mc:Choice>
  </mc:AlternateContent>
  <xr:revisionPtr revIDLastSave="0" documentId="8_{8A26EFCD-5246-40A8-91BD-01AED81D74A8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全国" sheetId="12" r:id="rId1"/>
    <sheet name="全国2" sheetId="7" r:id="rId2"/>
    <sheet name="北京" sheetId="10" r:id="rId3"/>
    <sheet name="湖北" sheetId="9" r:id="rId4"/>
    <sheet name="湖北省外" sheetId="11" r:id="rId5"/>
    <sheet name="最初的试验" sheetId="6" r:id="rId6"/>
    <sheet name="澎湃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9" l="1"/>
  <c r="J2" i="11"/>
  <c r="AF2" i="11"/>
  <c r="AN2" i="11"/>
  <c r="AO2" i="11"/>
  <c r="BE2" i="11"/>
  <c r="BF2" i="11"/>
  <c r="BI2" i="11"/>
  <c r="BI16" i="11" s="1"/>
  <c r="AF3" i="11"/>
  <c r="AN3" i="11"/>
  <c r="AO3" i="11"/>
  <c r="AR3" i="11"/>
  <c r="BE3" i="11"/>
  <c r="BF3" i="11"/>
  <c r="BI3" i="11"/>
  <c r="AF4" i="11"/>
  <c r="AE4" i="11" s="1"/>
  <c r="AN4" i="11"/>
  <c r="AO4" i="11"/>
  <c r="AR4" i="11"/>
  <c r="BE4" i="11"/>
  <c r="BF4" i="11"/>
  <c r="BI4" i="11"/>
  <c r="AF5" i="11"/>
  <c r="AN5" i="11"/>
  <c r="AO5" i="11"/>
  <c r="AR5" i="11"/>
  <c r="BE5" i="11"/>
  <c r="BF5" i="11"/>
  <c r="BI5" i="11"/>
  <c r="AF6" i="11"/>
  <c r="AN6" i="11"/>
  <c r="AO6" i="11"/>
  <c r="AR6" i="11"/>
  <c r="BE6" i="11"/>
  <c r="BF6" i="11"/>
  <c r="BI6" i="11"/>
  <c r="AF7" i="11"/>
  <c r="AN7" i="11"/>
  <c r="AO7" i="11"/>
  <c r="AR7" i="11"/>
  <c r="BE7" i="11"/>
  <c r="BF7" i="11"/>
  <c r="BI7" i="11"/>
  <c r="AF8" i="11"/>
  <c r="AE9" i="11" s="1"/>
  <c r="AN8" i="11"/>
  <c r="AO8" i="11"/>
  <c r="AR8" i="11"/>
  <c r="BE8" i="11"/>
  <c r="BF8" i="11"/>
  <c r="BI8" i="11"/>
  <c r="AF9" i="11"/>
  <c r="AN9" i="11"/>
  <c r="AO9" i="11"/>
  <c r="AR9" i="11"/>
  <c r="BE9" i="11"/>
  <c r="BF9" i="11"/>
  <c r="BI9" i="11"/>
  <c r="AF10" i="11"/>
  <c r="AN10" i="11"/>
  <c r="AO10" i="11"/>
  <c r="AR10" i="11"/>
  <c r="BE10" i="11"/>
  <c r="BF10" i="11"/>
  <c r="BI10" i="11"/>
  <c r="AF11" i="11"/>
  <c r="AN11" i="11"/>
  <c r="AO11" i="11"/>
  <c r="AR11" i="11"/>
  <c r="BE11" i="11"/>
  <c r="BF11" i="11"/>
  <c r="BI11" i="11"/>
  <c r="AF12" i="11"/>
  <c r="AE13" i="11" s="1"/>
  <c r="AN12" i="11"/>
  <c r="AO12" i="11"/>
  <c r="AR12" i="11"/>
  <c r="BE12" i="11"/>
  <c r="BF12" i="11"/>
  <c r="BI12" i="11"/>
  <c r="AF13" i="11"/>
  <c r="AN13" i="11"/>
  <c r="AO13" i="11"/>
  <c r="AR13" i="11"/>
  <c r="BE13" i="11"/>
  <c r="BF13" i="11"/>
  <c r="BI13" i="11"/>
  <c r="AF14" i="11"/>
  <c r="AO14" i="11"/>
  <c r="BF14" i="11"/>
  <c r="AO15" i="11"/>
  <c r="BF15" i="11"/>
  <c r="AO16" i="11"/>
  <c r="BF16" i="11"/>
  <c r="AO17" i="11"/>
  <c r="BF17" i="11"/>
  <c r="AO18" i="11"/>
  <c r="BF18" i="11"/>
  <c r="AO19" i="11"/>
  <c r="BF19" i="11"/>
  <c r="AO20" i="11"/>
  <c r="BF20" i="11"/>
  <c r="AO21" i="11"/>
  <c r="BF21" i="11"/>
  <c r="AO22" i="11"/>
  <c r="BF22" i="11"/>
  <c r="AO23" i="11"/>
  <c r="BF23" i="11"/>
  <c r="AO24" i="11"/>
  <c r="BF24" i="11"/>
  <c r="AO25" i="11"/>
  <c r="BF25" i="11"/>
  <c r="AO26" i="11"/>
  <c r="BF26" i="11"/>
  <c r="AO27" i="11"/>
  <c r="BF27" i="11"/>
  <c r="AO28" i="11"/>
  <c r="BF28" i="11"/>
  <c r="AO29" i="11"/>
  <c r="BF29" i="11"/>
  <c r="AO30" i="11"/>
  <c r="BF30" i="11"/>
  <c r="AO31" i="11"/>
  <c r="BF31" i="11"/>
  <c r="AO32" i="11"/>
  <c r="BF32" i="11"/>
  <c r="AO33" i="11"/>
  <c r="BF33" i="11"/>
  <c r="BF34" i="11"/>
  <c r="AE10" i="11" l="1"/>
  <c r="AE6" i="11"/>
  <c r="AE5" i="11"/>
  <c r="AR15" i="11"/>
  <c r="AE12" i="11"/>
  <c r="AE3" i="11"/>
  <c r="AE7" i="11"/>
  <c r="AE8" i="11"/>
  <c r="AE11" i="11"/>
  <c r="AT36" i="10"/>
  <c r="AU34" i="10"/>
  <c r="AU33" i="10"/>
  <c r="AU32" i="10"/>
  <c r="AU31" i="10"/>
  <c r="AU30" i="10"/>
  <c r="AU29" i="10"/>
  <c r="AU28" i="10"/>
  <c r="AU27" i="10"/>
  <c r="AU26" i="10"/>
  <c r="AU36" i="10" s="1"/>
  <c r="AC27" i="10"/>
  <c r="AC28" i="10"/>
  <c r="AC29" i="10"/>
  <c r="AC30" i="10"/>
  <c r="AC31" i="10"/>
  <c r="AC32" i="10"/>
  <c r="AC33" i="10"/>
  <c r="AC34" i="10"/>
  <c r="AC26" i="10"/>
  <c r="AC36" i="10" s="1"/>
  <c r="AB36" i="10"/>
  <c r="AU37" i="10" l="1"/>
  <c r="AC37" i="10"/>
  <c r="U12" i="9" l="1"/>
  <c r="U13" i="9"/>
  <c r="K2" i="9"/>
  <c r="F12" i="9"/>
  <c r="F13" i="9"/>
  <c r="AD3" i="12" l="1"/>
  <c r="AE3" i="12" s="1"/>
  <c r="AM49" i="7"/>
  <c r="AN27" i="7"/>
  <c r="I2" i="7"/>
  <c r="AC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2" i="12"/>
  <c r="AU18" i="7" l="1"/>
  <c r="AU19" i="7" s="1"/>
  <c r="AT18" i="7"/>
  <c r="AT19" i="7" s="1"/>
  <c r="AS18" i="7"/>
  <c r="AS19" i="7" s="1"/>
  <c r="AN28" i="7"/>
  <c r="AN49" i="7" s="1"/>
  <c r="AN50" i="7" s="1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" i="7"/>
  <c r="E23" i="7"/>
  <c r="E24" i="7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Z17" i="12" s="1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2" i="12"/>
  <c r="Y3" i="12"/>
  <c r="Z4" i="12" s="1"/>
  <c r="X3" i="12"/>
  <c r="X4" i="12"/>
  <c r="X5" i="12"/>
  <c r="X6" i="12"/>
  <c r="X7" i="12"/>
  <c r="X8" i="12"/>
  <c r="X9" i="12"/>
  <c r="X10" i="12"/>
  <c r="X11" i="12"/>
  <c r="X12" i="12"/>
  <c r="X13" i="12"/>
  <c r="X14" i="12"/>
  <c r="X2" i="12"/>
  <c r="AB14" i="12"/>
  <c r="AB13" i="12"/>
  <c r="Z6" i="12"/>
  <c r="G7" i="12"/>
  <c r="G9" i="12"/>
  <c r="G15" i="12"/>
  <c r="G17" i="12"/>
  <c r="G23" i="12"/>
  <c r="G25" i="12"/>
  <c r="G31" i="12"/>
  <c r="G33" i="12"/>
  <c r="K2" i="12"/>
  <c r="G1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2" i="12"/>
  <c r="BG14" i="6"/>
  <c r="BG13" i="6"/>
  <c r="AR13" i="6"/>
  <c r="AP39" i="6"/>
  <c r="G32" i="12" l="1"/>
  <c r="H32" i="12" s="1"/>
  <c r="G24" i="12"/>
  <c r="G16" i="12"/>
  <c r="H16" i="12" s="1"/>
  <c r="G8" i="12"/>
  <c r="H8" i="12" s="1"/>
  <c r="G29" i="12"/>
  <c r="G21" i="12"/>
  <c r="H21" i="12" s="1"/>
  <c r="G13" i="12"/>
  <c r="G30" i="12"/>
  <c r="H30" i="12" s="1"/>
  <c r="G22" i="12"/>
  <c r="G14" i="12"/>
  <c r="G6" i="12"/>
  <c r="G5" i="12"/>
  <c r="H29" i="12"/>
  <c r="I30" i="12" s="1"/>
  <c r="G28" i="12"/>
  <c r="G20" i="12"/>
  <c r="G12" i="12"/>
  <c r="G4" i="12"/>
  <c r="H25" i="12"/>
  <c r="G2" i="12"/>
  <c r="G27" i="12"/>
  <c r="G19" i="12"/>
  <c r="H20" i="12" s="1"/>
  <c r="G11" i="12"/>
  <c r="G3" i="12"/>
  <c r="G34" i="12"/>
  <c r="H34" i="12" s="1"/>
  <c r="I34" i="12" s="1"/>
  <c r="G26" i="12"/>
  <c r="H26" i="12" s="1"/>
  <c r="I26" i="12" s="1"/>
  <c r="G18" i="12"/>
  <c r="H33" i="12"/>
  <c r="I33" i="12" s="1"/>
  <c r="H9" i="12"/>
  <c r="I9" i="12" s="1"/>
  <c r="H24" i="12"/>
  <c r="I25" i="12" s="1"/>
  <c r="Z29" i="12"/>
  <c r="Z21" i="12"/>
  <c r="Z13" i="12"/>
  <c r="Z5" i="12"/>
  <c r="AA5" i="12" s="1"/>
  <c r="Z34" i="12"/>
  <c r="Z10" i="12"/>
  <c r="Z23" i="12"/>
  <c r="Z15" i="12"/>
  <c r="Z33" i="12"/>
  <c r="Z25" i="12"/>
  <c r="Z30" i="12"/>
  <c r="Z14" i="12"/>
  <c r="Z27" i="12"/>
  <c r="Z12" i="12"/>
  <c r="Z19" i="12"/>
  <c r="Z16" i="12"/>
  <c r="AA17" i="12" s="1"/>
  <c r="Z8" i="12"/>
  <c r="Z7" i="12"/>
  <c r="AA7" i="12" s="1"/>
  <c r="Z18" i="12"/>
  <c r="AA18" i="12" s="1"/>
  <c r="Z32" i="12"/>
  <c r="Z9" i="12"/>
  <c r="Z24" i="12"/>
  <c r="Z11" i="12"/>
  <c r="Z26" i="12"/>
  <c r="Z3" i="12"/>
  <c r="AA4" i="12" s="1"/>
  <c r="Z22" i="12"/>
  <c r="AA22" i="12" s="1"/>
  <c r="Z20" i="12"/>
  <c r="Z28" i="12"/>
  <c r="AA28" i="12" s="1"/>
  <c r="Z31" i="12"/>
  <c r="H10" i="12"/>
  <c r="I10" i="12" s="1"/>
  <c r="H18" i="12"/>
  <c r="H3" i="12"/>
  <c r="H13" i="12" l="1"/>
  <c r="H5" i="12"/>
  <c r="AA6" i="12"/>
  <c r="I18" i="12"/>
  <c r="H27" i="12"/>
  <c r="I27" i="12" s="1"/>
  <c r="H12" i="12"/>
  <c r="H28" i="12"/>
  <c r="I28" i="12" s="1"/>
  <c r="H31" i="12"/>
  <c r="H17" i="12"/>
  <c r="I17" i="12" s="1"/>
  <c r="H19" i="12"/>
  <c r="I20" i="12" s="1"/>
  <c r="H11" i="12"/>
  <c r="I12" i="12" s="1"/>
  <c r="H7" i="12"/>
  <c r="H6" i="12"/>
  <c r="I6" i="12" s="1"/>
  <c r="H15" i="12"/>
  <c r="H14" i="12"/>
  <c r="I14" i="12" s="1"/>
  <c r="H23" i="12"/>
  <c r="H22" i="12"/>
  <c r="I22" i="12" s="1"/>
  <c r="AA13" i="12"/>
  <c r="H4" i="12"/>
  <c r="I4" i="12" s="1"/>
  <c r="I11" i="12"/>
  <c r="I19" i="12"/>
  <c r="AA14" i="12"/>
  <c r="AA34" i="12"/>
  <c r="AA33" i="12"/>
  <c r="AA30" i="12"/>
  <c r="AA26" i="12"/>
  <c r="AA25" i="12"/>
  <c r="AA15" i="12"/>
  <c r="AA19" i="12"/>
  <c r="AA27" i="12"/>
  <c r="AA11" i="12"/>
  <c r="AA20" i="12"/>
  <c r="AA16" i="12"/>
  <c r="AA8" i="12"/>
  <c r="AA9" i="12"/>
  <c r="AA24" i="12"/>
  <c r="AA10" i="12"/>
  <c r="AA12" i="12"/>
  <c r="AA31" i="12"/>
  <c r="AA32" i="12"/>
  <c r="AA29" i="12"/>
  <c r="AA21" i="12"/>
  <c r="AA23" i="12"/>
  <c r="I29" i="12"/>
  <c r="I21" i="12"/>
  <c r="AU2" i="6"/>
  <c r="BC13" i="6"/>
  <c r="I32" i="12" l="1"/>
  <c r="I31" i="12"/>
  <c r="I13" i="12"/>
  <c r="I23" i="12"/>
  <c r="I5" i="12"/>
  <c r="I15" i="12"/>
  <c r="I16" i="12"/>
  <c r="I7" i="12"/>
  <c r="I8" i="12"/>
  <c r="I24" i="12"/>
  <c r="G33" i="11"/>
  <c r="G30" i="11"/>
  <c r="G27" i="11"/>
  <c r="G25" i="11"/>
  <c r="G22" i="11"/>
  <c r="G20" i="11"/>
  <c r="G19" i="11"/>
  <c r="G17" i="11"/>
  <c r="G14" i="11"/>
  <c r="G12" i="11"/>
  <c r="G11" i="11"/>
  <c r="F11" i="11"/>
  <c r="F10" i="11"/>
  <c r="G9" i="11"/>
  <c r="F9" i="11"/>
  <c r="F8" i="11"/>
  <c r="G7" i="11"/>
  <c r="F7" i="11"/>
  <c r="F6" i="11"/>
  <c r="G5" i="11"/>
  <c r="F5" i="11"/>
  <c r="G4" i="11"/>
  <c r="F4" i="11"/>
  <c r="G3" i="11"/>
  <c r="F3" i="11"/>
  <c r="G32" i="11"/>
  <c r="G2" i="11"/>
  <c r="F2" i="11"/>
  <c r="K2" i="10"/>
  <c r="F3" i="10"/>
  <c r="F4" i="10"/>
  <c r="F5" i="10"/>
  <c r="F6" i="10"/>
  <c r="F7" i="10"/>
  <c r="F8" i="10"/>
  <c r="F9" i="10"/>
  <c r="F10" i="10"/>
  <c r="F11" i="10"/>
  <c r="F2" i="10"/>
  <c r="H4" i="11" l="1"/>
  <c r="H5" i="11"/>
  <c r="H12" i="11"/>
  <c r="H20" i="11"/>
  <c r="H3" i="11"/>
  <c r="H33" i="11"/>
  <c r="G28" i="11"/>
  <c r="G6" i="11"/>
  <c r="G8" i="11"/>
  <c r="G10" i="11"/>
  <c r="G15" i="11"/>
  <c r="G23" i="11"/>
  <c r="G31" i="11"/>
  <c r="G18" i="11"/>
  <c r="G26" i="11"/>
  <c r="G34" i="11"/>
  <c r="G13" i="11"/>
  <c r="G21" i="11"/>
  <c r="G29" i="11"/>
  <c r="G16" i="11"/>
  <c r="G24" i="11"/>
  <c r="G33" i="10"/>
  <c r="G30" i="10"/>
  <c r="G25" i="10"/>
  <c r="G22" i="10"/>
  <c r="G20" i="10"/>
  <c r="G17" i="10"/>
  <c r="G14" i="10"/>
  <c r="G12" i="10"/>
  <c r="G9" i="10"/>
  <c r="G7" i="10"/>
  <c r="G5" i="10"/>
  <c r="G3" i="10"/>
  <c r="G32" i="10"/>
  <c r="BH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2" i="6"/>
  <c r="AN12" i="6"/>
  <c r="V5" i="9"/>
  <c r="U3" i="9"/>
  <c r="U4" i="9"/>
  <c r="U5" i="9"/>
  <c r="U6" i="9"/>
  <c r="U7" i="9"/>
  <c r="U8" i="9"/>
  <c r="U9" i="9"/>
  <c r="U10" i="9"/>
  <c r="U11" i="9"/>
  <c r="U2" i="9"/>
  <c r="G4" i="9"/>
  <c r="F3" i="9"/>
  <c r="F4" i="9"/>
  <c r="F5" i="9"/>
  <c r="F6" i="9"/>
  <c r="F7" i="9"/>
  <c r="F8" i="9"/>
  <c r="F9" i="9"/>
  <c r="F10" i="9"/>
  <c r="F11" i="9"/>
  <c r="F2" i="9"/>
  <c r="H26" i="11" l="1"/>
  <c r="H28" i="11"/>
  <c r="H18" i="11"/>
  <c r="H31" i="11"/>
  <c r="H23" i="11"/>
  <c r="H34" i="11"/>
  <c r="H15" i="11"/>
  <c r="H6" i="11"/>
  <c r="I6" i="11" s="1"/>
  <c r="H10" i="11"/>
  <c r="H21" i="11"/>
  <c r="I21" i="11" s="1"/>
  <c r="H13" i="11"/>
  <c r="H8" i="11"/>
  <c r="G2" i="9"/>
  <c r="G26" i="9"/>
  <c r="G18" i="9"/>
  <c r="G17" i="9"/>
  <c r="G34" i="9"/>
  <c r="G11" i="9"/>
  <c r="G33" i="9"/>
  <c r="G10" i="9"/>
  <c r="G27" i="9"/>
  <c r="G9" i="9"/>
  <c r="G3" i="9"/>
  <c r="H4" i="9" s="1"/>
  <c r="G25" i="9"/>
  <c r="H26" i="9" s="1"/>
  <c r="G19" i="9"/>
  <c r="V12" i="9"/>
  <c r="V11" i="9"/>
  <c r="V10" i="9"/>
  <c r="G32" i="9"/>
  <c r="G24" i="9"/>
  <c r="G16" i="9"/>
  <c r="G8" i="9"/>
  <c r="V33" i="9"/>
  <c r="V25" i="9"/>
  <c r="V17" i="9"/>
  <c r="V9" i="9"/>
  <c r="V20" i="9"/>
  <c r="V19" i="9"/>
  <c r="V26" i="9"/>
  <c r="G31" i="9"/>
  <c r="G23" i="9"/>
  <c r="G15" i="9"/>
  <c r="G7" i="9"/>
  <c r="V32" i="9"/>
  <c r="V24" i="9"/>
  <c r="V16" i="9"/>
  <c r="V8" i="9"/>
  <c r="V27" i="9"/>
  <c r="V34" i="9"/>
  <c r="W34" i="9" s="1"/>
  <c r="G30" i="9"/>
  <c r="G22" i="9"/>
  <c r="G14" i="9"/>
  <c r="G6" i="9"/>
  <c r="V31" i="9"/>
  <c r="V23" i="9"/>
  <c r="V15" i="9"/>
  <c r="V7" i="9"/>
  <c r="V18" i="9"/>
  <c r="G29" i="9"/>
  <c r="G21" i="9"/>
  <c r="G13" i="9"/>
  <c r="G5" i="9"/>
  <c r="H5" i="9" s="1"/>
  <c r="V30" i="9"/>
  <c r="V22" i="9"/>
  <c r="V14" i="9"/>
  <c r="V6" i="9"/>
  <c r="W6" i="9" s="1"/>
  <c r="V28" i="9"/>
  <c r="V4" i="9"/>
  <c r="V2" i="9"/>
  <c r="V3" i="9"/>
  <c r="G28" i="9"/>
  <c r="G20" i="9"/>
  <c r="G12" i="9"/>
  <c r="V29" i="9"/>
  <c r="V21" i="9"/>
  <c r="V13" i="9"/>
  <c r="H16" i="11"/>
  <c r="I16" i="11" s="1"/>
  <c r="I5" i="11"/>
  <c r="I13" i="11"/>
  <c r="H7" i="11"/>
  <c r="I7" i="11" s="1"/>
  <c r="I4" i="11"/>
  <c r="H24" i="11"/>
  <c r="H14" i="11"/>
  <c r="I14" i="11" s="1"/>
  <c r="H11" i="11"/>
  <c r="H25" i="11"/>
  <c r="H29" i="11"/>
  <c r="I29" i="11" s="1"/>
  <c r="H30" i="11"/>
  <c r="H19" i="11"/>
  <c r="H17" i="11"/>
  <c r="I17" i="11" s="1"/>
  <c r="H27" i="11"/>
  <c r="H9" i="11"/>
  <c r="I34" i="11"/>
  <c r="H32" i="11"/>
  <c r="H22" i="11"/>
  <c r="H33" i="10"/>
  <c r="G11" i="10"/>
  <c r="G19" i="10"/>
  <c r="H20" i="10" s="1"/>
  <c r="G27" i="10"/>
  <c r="G28" i="10"/>
  <c r="G4" i="10"/>
  <c r="G6" i="10"/>
  <c r="G8" i="10"/>
  <c r="G10" i="10"/>
  <c r="H10" i="10" s="1"/>
  <c r="G15" i="10"/>
  <c r="H15" i="10" s="1"/>
  <c r="G23" i="10"/>
  <c r="H23" i="10" s="1"/>
  <c r="G31" i="10"/>
  <c r="H31" i="10" s="1"/>
  <c r="G2" i="10"/>
  <c r="H3" i="10" s="1"/>
  <c r="G18" i="10"/>
  <c r="H18" i="10" s="1"/>
  <c r="G26" i="10"/>
  <c r="H26" i="10" s="1"/>
  <c r="G34" i="10"/>
  <c r="H34" i="10" s="1"/>
  <c r="G13" i="10"/>
  <c r="H13" i="10" s="1"/>
  <c r="G21" i="10"/>
  <c r="H21" i="10" s="1"/>
  <c r="G29" i="10"/>
  <c r="H30" i="10" s="1"/>
  <c r="G16" i="10"/>
  <c r="G24" i="10"/>
  <c r="F7" i="8"/>
  <c r="F9" i="8"/>
  <c r="F16" i="8"/>
  <c r="F23" i="8"/>
  <c r="F25" i="8"/>
  <c r="F32" i="8"/>
  <c r="F39" i="8"/>
  <c r="F41" i="8"/>
  <c r="M2" i="8"/>
  <c r="F10" i="8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F33" i="8" l="1"/>
  <c r="F24" i="8"/>
  <c r="F15" i="8"/>
  <c r="F40" i="8"/>
  <c r="F31" i="8"/>
  <c r="F17" i="8"/>
  <c r="F8" i="8"/>
  <c r="I32" i="11"/>
  <c r="I11" i="11"/>
  <c r="I27" i="11"/>
  <c r="I24" i="11"/>
  <c r="I22" i="11"/>
  <c r="I9" i="11"/>
  <c r="F38" i="8"/>
  <c r="F30" i="8"/>
  <c r="F22" i="8"/>
  <c r="F14" i="8"/>
  <c r="F6" i="8"/>
  <c r="F37" i="8"/>
  <c r="F29" i="8"/>
  <c r="F21" i="8"/>
  <c r="F13" i="8"/>
  <c r="F5" i="8"/>
  <c r="F44" i="8"/>
  <c r="F36" i="8"/>
  <c r="F28" i="8"/>
  <c r="F20" i="8"/>
  <c r="F12" i="8"/>
  <c r="F4" i="8"/>
  <c r="F43" i="8"/>
  <c r="F35" i="8"/>
  <c r="F27" i="8"/>
  <c r="F19" i="8"/>
  <c r="F11" i="8"/>
  <c r="F3" i="8"/>
  <c r="F42" i="8"/>
  <c r="F34" i="8"/>
  <c r="F26" i="8"/>
  <c r="F18" i="8"/>
  <c r="H24" i="10"/>
  <c r="I24" i="10" s="1"/>
  <c r="W33" i="9"/>
  <c r="W30" i="9"/>
  <c r="W26" i="9"/>
  <c r="W13" i="9"/>
  <c r="W18" i="9"/>
  <c r="H10" i="9"/>
  <c r="H8" i="9"/>
  <c r="H18" i="9"/>
  <c r="H28" i="9"/>
  <c r="H19" i="9"/>
  <c r="H27" i="9"/>
  <c r="I27" i="9" s="1"/>
  <c r="H29" i="9"/>
  <c r="H22" i="9"/>
  <c r="H20" i="9"/>
  <c r="W19" i="9"/>
  <c r="H24" i="9"/>
  <c r="W32" i="9"/>
  <c r="W25" i="9"/>
  <c r="H32" i="9"/>
  <c r="H21" i="9"/>
  <c r="W22" i="9"/>
  <c r="H3" i="9"/>
  <c r="I4" i="9" s="1"/>
  <c r="H9" i="9"/>
  <c r="I10" i="9" s="1"/>
  <c r="H34" i="9"/>
  <c r="I5" i="9"/>
  <c r="W17" i="9"/>
  <c r="H6" i="9"/>
  <c r="I6" i="9" s="1"/>
  <c r="H14" i="9"/>
  <c r="X34" i="9"/>
  <c r="H13" i="9"/>
  <c r="H12" i="9"/>
  <c r="W15" i="9"/>
  <c r="W27" i="9"/>
  <c r="X27" i="9" s="1"/>
  <c r="H11" i="9"/>
  <c r="I11" i="9" s="1"/>
  <c r="H30" i="9"/>
  <c r="W16" i="9"/>
  <c r="W14" i="9"/>
  <c r="H7" i="9"/>
  <c r="W10" i="9"/>
  <c r="H16" i="9"/>
  <c r="H17" i="9"/>
  <c r="W20" i="9"/>
  <c r="H25" i="9"/>
  <c r="W7" i="9"/>
  <c r="X7" i="9" s="1"/>
  <c r="H15" i="9"/>
  <c r="W11" i="9"/>
  <c r="W24" i="9"/>
  <c r="H23" i="9"/>
  <c r="W12" i="9"/>
  <c r="W29" i="9"/>
  <c r="X30" i="9" s="1"/>
  <c r="W28" i="9"/>
  <c r="W3" i="9"/>
  <c r="W23" i="9"/>
  <c r="X23" i="9" s="1"/>
  <c r="H31" i="9"/>
  <c r="H33" i="9"/>
  <c r="W8" i="9"/>
  <c r="W21" i="9"/>
  <c r="W4" i="9"/>
  <c r="W31" i="9"/>
  <c r="X31" i="9" s="1"/>
  <c r="W9" i="9"/>
  <c r="W5" i="9"/>
  <c r="I15" i="11"/>
  <c r="I8" i="11"/>
  <c r="I33" i="11"/>
  <c r="I25" i="11"/>
  <c r="I12" i="11"/>
  <c r="I30" i="11"/>
  <c r="I28" i="11"/>
  <c r="I26" i="11"/>
  <c r="I19" i="11"/>
  <c r="I20" i="11"/>
  <c r="I18" i="11"/>
  <c r="I23" i="11"/>
  <c r="I10" i="11"/>
  <c r="I31" i="11"/>
  <c r="H11" i="10"/>
  <c r="I11" i="10" s="1"/>
  <c r="H14" i="10"/>
  <c r="I14" i="10" s="1"/>
  <c r="H16" i="10"/>
  <c r="I16" i="10" s="1"/>
  <c r="I31" i="10"/>
  <c r="I34" i="10"/>
  <c r="H5" i="10"/>
  <c r="H4" i="10"/>
  <c r="I4" i="10" s="1"/>
  <c r="H8" i="10"/>
  <c r="H9" i="10"/>
  <c r="I10" i="10" s="1"/>
  <c r="H6" i="10"/>
  <c r="H7" i="10"/>
  <c r="H28" i="10"/>
  <c r="H25" i="10"/>
  <c r="I25" i="10" s="1"/>
  <c r="H27" i="10"/>
  <c r="I27" i="10" s="1"/>
  <c r="H22" i="10"/>
  <c r="I22" i="10" s="1"/>
  <c r="H29" i="10"/>
  <c r="H19" i="10"/>
  <c r="I19" i="10" s="1"/>
  <c r="H17" i="10"/>
  <c r="I21" i="10"/>
  <c r="H32" i="10"/>
  <c r="I32" i="10" s="1"/>
  <c r="H12" i="10"/>
  <c r="N3" i="8"/>
  <c r="I30" i="9" l="1"/>
  <c r="I33" i="10"/>
  <c r="X33" i="9"/>
  <c r="X20" i="9"/>
  <c r="X18" i="9"/>
  <c r="X26" i="9"/>
  <c r="X16" i="9"/>
  <c r="X19" i="9"/>
  <c r="X32" i="9"/>
  <c r="I8" i="9"/>
  <c r="I20" i="9"/>
  <c r="I19" i="9"/>
  <c r="I21" i="9"/>
  <c r="I23" i="9"/>
  <c r="I25" i="9"/>
  <c r="I29" i="9"/>
  <c r="I28" i="9"/>
  <c r="I22" i="9"/>
  <c r="I7" i="9"/>
  <c r="I15" i="9"/>
  <c r="I14" i="9"/>
  <c r="I9" i="9"/>
  <c r="X24" i="9"/>
  <c r="I32" i="9"/>
  <c r="X5" i="9"/>
  <c r="I24" i="9"/>
  <c r="X9" i="9"/>
  <c r="X28" i="9"/>
  <c r="I17" i="9"/>
  <c r="X11" i="9"/>
  <c r="I12" i="9"/>
  <c r="I26" i="9"/>
  <c r="I13" i="9"/>
  <c r="I16" i="9"/>
  <c r="X10" i="9"/>
  <c r="X29" i="9"/>
  <c r="X6" i="9"/>
  <c r="I31" i="9"/>
  <c r="X8" i="9"/>
  <c r="X12" i="9"/>
  <c r="X15" i="9"/>
  <c r="X14" i="9"/>
  <c r="X13" i="9"/>
  <c r="I34" i="9"/>
  <c r="I33" i="9"/>
  <c r="X25" i="9"/>
  <c r="X4" i="9"/>
  <c r="X21" i="9"/>
  <c r="X22" i="9"/>
  <c r="I18" i="9"/>
  <c r="X17" i="9"/>
  <c r="I12" i="10"/>
  <c r="I15" i="10"/>
  <c r="I17" i="10"/>
  <c r="I23" i="10"/>
  <c r="I9" i="10"/>
  <c r="I6" i="10"/>
  <c r="I29" i="10"/>
  <c r="I13" i="10"/>
  <c r="I20" i="10"/>
  <c r="I8" i="10"/>
  <c r="I30" i="10"/>
  <c r="I5" i="10"/>
  <c r="I28" i="10"/>
  <c r="I18" i="10"/>
  <c r="I7" i="10"/>
  <c r="I26" i="10"/>
  <c r="G30" i="8"/>
  <c r="G38" i="8"/>
  <c r="F2" i="8"/>
  <c r="G25" i="8"/>
  <c r="G33" i="8"/>
  <c r="G41" i="8"/>
  <c r="G43" i="8"/>
  <c r="F23" i="7"/>
  <c r="F24" i="7"/>
  <c r="F27" i="7"/>
  <c r="F28" i="7"/>
  <c r="F29" i="7"/>
  <c r="F31" i="7"/>
  <c r="F32" i="7"/>
  <c r="F35" i="7"/>
  <c r="F36" i="7"/>
  <c r="F37" i="7"/>
  <c r="F39" i="7"/>
  <c r="F40" i="7"/>
  <c r="F43" i="7"/>
  <c r="F44" i="7"/>
  <c r="F3" i="7"/>
  <c r="F5" i="7"/>
  <c r="F6" i="7"/>
  <c r="F9" i="7"/>
  <c r="F10" i="7"/>
  <c r="F11" i="7"/>
  <c r="F13" i="7"/>
  <c r="F14" i="7"/>
  <c r="F17" i="7"/>
  <c r="F18" i="7"/>
  <c r="F19" i="7"/>
  <c r="F21" i="7"/>
  <c r="F22" i="7"/>
  <c r="F3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G30" i="7" l="1"/>
  <c r="G32" i="7"/>
  <c r="G36" i="7"/>
  <c r="G11" i="7"/>
  <c r="G40" i="7"/>
  <c r="G28" i="7"/>
  <c r="G44" i="7"/>
  <c r="G22" i="7"/>
  <c r="G10" i="7"/>
  <c r="G18" i="7"/>
  <c r="G14" i="7"/>
  <c r="G29" i="7"/>
  <c r="G37" i="7"/>
  <c r="G24" i="7"/>
  <c r="G19" i="7"/>
  <c r="G6" i="7"/>
  <c r="G23" i="7"/>
  <c r="G31" i="7"/>
  <c r="F16" i="7"/>
  <c r="G17" i="7" s="1"/>
  <c r="F8" i="7"/>
  <c r="F42" i="7"/>
  <c r="F34" i="7"/>
  <c r="F26" i="7"/>
  <c r="G27" i="7" s="1"/>
  <c r="F2" i="7"/>
  <c r="G3" i="7" s="1"/>
  <c r="F15" i="7"/>
  <c r="G15" i="7" s="1"/>
  <c r="F7" i="7"/>
  <c r="G7" i="7" s="1"/>
  <c r="F41" i="7"/>
  <c r="G41" i="7" s="1"/>
  <c r="F33" i="7"/>
  <c r="G33" i="7" s="1"/>
  <c r="F25" i="7"/>
  <c r="G25" i="7" s="1"/>
  <c r="F20" i="7"/>
  <c r="G20" i="7" s="1"/>
  <c r="F12" i="7"/>
  <c r="G12" i="7" s="1"/>
  <c r="F4" i="7"/>
  <c r="G4" i="7" s="1"/>
  <c r="F38" i="7"/>
  <c r="G38" i="7" s="1"/>
  <c r="G15" i="8"/>
  <c r="G19" i="8"/>
  <c r="G36" i="8"/>
  <c r="G3" i="8"/>
  <c r="G13" i="8"/>
  <c r="G5" i="8"/>
  <c r="G8" i="8"/>
  <c r="G17" i="8"/>
  <c r="G35" i="8"/>
  <c r="G28" i="8"/>
  <c r="G22" i="8"/>
  <c r="G6" i="8"/>
  <c r="G39" i="8"/>
  <c r="H39" i="8" s="1"/>
  <c r="G11" i="8"/>
  <c r="G34" i="8"/>
  <c r="H34" i="8" s="1"/>
  <c r="G40" i="8"/>
  <c r="G31" i="8"/>
  <c r="H31" i="8" s="1"/>
  <c r="G18" i="8"/>
  <c r="G32" i="8"/>
  <c r="H33" i="8" s="1"/>
  <c r="G20" i="8"/>
  <c r="G23" i="8"/>
  <c r="G16" i="8"/>
  <c r="G29" i="8"/>
  <c r="G9" i="8"/>
  <c r="G14" i="8"/>
  <c r="G24" i="8"/>
  <c r="G26" i="8"/>
  <c r="H26" i="8" s="1"/>
  <c r="G7" i="8"/>
  <c r="G27" i="8"/>
  <c r="G4" i="8"/>
  <c r="G12" i="8"/>
  <c r="G37" i="8"/>
  <c r="G21" i="8"/>
  <c r="G44" i="8"/>
  <c r="H44" i="8" s="1"/>
  <c r="G10" i="8"/>
  <c r="G42" i="8"/>
  <c r="H42" i="8" s="1"/>
  <c r="BC12" i="6"/>
  <c r="H12" i="7" l="1"/>
  <c r="H31" i="7"/>
  <c r="H11" i="7"/>
  <c r="G34" i="7"/>
  <c r="H34" i="7" s="1"/>
  <c r="H30" i="7"/>
  <c r="H41" i="7"/>
  <c r="H33" i="7"/>
  <c r="H24" i="7"/>
  <c r="H15" i="7"/>
  <c r="H23" i="7"/>
  <c r="H37" i="7"/>
  <c r="H38" i="7"/>
  <c r="H7" i="7"/>
  <c r="H29" i="7"/>
  <c r="H19" i="7"/>
  <c r="H32" i="7"/>
  <c r="G13" i="7"/>
  <c r="H13" i="7" s="1"/>
  <c r="H20" i="7"/>
  <c r="H25" i="7"/>
  <c r="G42" i="7"/>
  <c r="H42" i="7" s="1"/>
  <c r="G8" i="7"/>
  <c r="H8" i="7" s="1"/>
  <c r="G35" i="7"/>
  <c r="G16" i="7"/>
  <c r="H16" i="7" s="1"/>
  <c r="G5" i="7"/>
  <c r="G39" i="7"/>
  <c r="H28" i="7"/>
  <c r="H18" i="7"/>
  <c r="G43" i="7"/>
  <c r="H4" i="7"/>
  <c r="G9" i="7"/>
  <c r="G26" i="7"/>
  <c r="H26" i="7" s="1"/>
  <c r="G21" i="7"/>
  <c r="H9" i="8"/>
  <c r="H17" i="8"/>
  <c r="H16" i="8"/>
  <c r="H36" i="8"/>
  <c r="H37" i="8"/>
  <c r="H29" i="8"/>
  <c r="H20" i="8"/>
  <c r="H28" i="8"/>
  <c r="H13" i="8"/>
  <c r="H24" i="8"/>
  <c r="H18" i="8"/>
  <c r="H4" i="8"/>
  <c r="H40" i="8"/>
  <c r="H25" i="8"/>
  <c r="H35" i="8"/>
  <c r="H10" i="8"/>
  <c r="H11" i="8"/>
  <c r="H14" i="8"/>
  <c r="H6" i="8"/>
  <c r="H5" i="8"/>
  <c r="H23" i="8"/>
  <c r="H7" i="8"/>
  <c r="H21" i="8"/>
  <c r="H43" i="8"/>
  <c r="H12" i="8"/>
  <c r="H22" i="8"/>
  <c r="H41" i="8"/>
  <c r="H30" i="8"/>
  <c r="H15" i="8"/>
  <c r="H38" i="8"/>
  <c r="H27" i="8"/>
  <c r="H32" i="8"/>
  <c r="H8" i="8"/>
  <c r="H19" i="8"/>
  <c r="H17" i="7" l="1"/>
  <c r="H14" i="7"/>
  <c r="H35" i="7"/>
  <c r="H36" i="7"/>
  <c r="H21" i="7"/>
  <c r="H22" i="7"/>
  <c r="H39" i="7"/>
  <c r="H40" i="7"/>
  <c r="H27" i="7"/>
  <c r="H9" i="7"/>
  <c r="H10" i="7"/>
  <c r="H5" i="7"/>
  <c r="H6" i="7"/>
  <c r="H43" i="7"/>
  <c r="H44" i="7"/>
  <c r="AO37" i="6"/>
  <c r="BI3" i="6"/>
  <c r="D3" i="6"/>
  <c r="D4" i="6"/>
  <c r="D5" i="6"/>
  <c r="D6" i="6"/>
  <c r="D7" i="6"/>
  <c r="D8" i="6"/>
  <c r="D9" i="6"/>
  <c r="D10" i="6"/>
  <c r="D11" i="6"/>
  <c r="D2" i="6"/>
  <c r="BD3" i="6"/>
  <c r="BD4" i="6"/>
  <c r="BE5" i="6" s="1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2" i="6"/>
  <c r="BC3" i="6"/>
  <c r="BC4" i="6"/>
  <c r="BC5" i="6"/>
  <c r="BC6" i="6"/>
  <c r="BC7" i="6"/>
  <c r="BC8" i="6"/>
  <c r="BC9" i="6"/>
  <c r="BC10" i="6"/>
  <c r="BC11" i="6"/>
  <c r="BC2" i="6"/>
  <c r="AP13" i="6"/>
  <c r="AP16" i="6"/>
  <c r="AP20" i="6"/>
  <c r="AP24" i="6"/>
  <c r="AP28" i="6"/>
  <c r="AP29" i="6"/>
  <c r="AP4" i="6"/>
  <c r="AP5" i="6"/>
  <c r="AN3" i="6"/>
  <c r="AN4" i="6"/>
  <c r="AN5" i="6"/>
  <c r="AN6" i="6"/>
  <c r="AN7" i="6"/>
  <c r="AN8" i="6"/>
  <c r="AN9" i="6"/>
  <c r="AN10" i="6"/>
  <c r="AN11" i="6"/>
  <c r="AN2" i="6"/>
  <c r="AQ5" i="6" l="1"/>
  <c r="BE6" i="6"/>
  <c r="BF6" i="6" s="1"/>
  <c r="BE9" i="6"/>
  <c r="AQ29" i="6"/>
  <c r="AP8" i="6"/>
  <c r="AP32" i="6"/>
  <c r="AP7" i="6"/>
  <c r="AP31" i="6"/>
  <c r="AP23" i="6"/>
  <c r="AQ24" i="6" s="1"/>
  <c r="AP15" i="6"/>
  <c r="AQ16" i="6" s="1"/>
  <c r="AP21" i="6"/>
  <c r="AQ21" i="6" s="1"/>
  <c r="AP11" i="6"/>
  <c r="AP27" i="6"/>
  <c r="AQ28" i="6" s="1"/>
  <c r="AP19" i="6"/>
  <c r="AQ20" i="6" s="1"/>
  <c r="AP10" i="6"/>
  <c r="AP34" i="6"/>
  <c r="AP26" i="6"/>
  <c r="AP18" i="6"/>
  <c r="AP6" i="6"/>
  <c r="AQ6" i="6" s="1"/>
  <c r="AP30" i="6"/>
  <c r="AQ30" i="6" s="1"/>
  <c r="AP22" i="6"/>
  <c r="AP14" i="6"/>
  <c r="AQ14" i="6" s="1"/>
  <c r="AP12" i="6"/>
  <c r="AQ13" i="6" s="1"/>
  <c r="AP3" i="6"/>
  <c r="AQ4" i="6" s="1"/>
  <c r="AP9" i="6"/>
  <c r="AP33" i="6"/>
  <c r="AP25" i="6"/>
  <c r="AQ25" i="6" s="1"/>
  <c r="AP17" i="6"/>
  <c r="AQ17" i="6" s="1"/>
  <c r="BE3" i="6"/>
  <c r="BE11" i="6"/>
  <c r="BE13" i="6"/>
  <c r="BE15" i="6"/>
  <c r="BE17" i="6"/>
  <c r="BE19" i="6"/>
  <c r="BE21" i="6"/>
  <c r="BE23" i="6"/>
  <c r="BE25" i="6"/>
  <c r="BE27" i="6"/>
  <c r="BE29" i="6"/>
  <c r="BE31" i="6"/>
  <c r="BE33" i="6"/>
  <c r="BE8" i="6"/>
  <c r="BE10" i="6"/>
  <c r="BE7" i="6"/>
  <c r="BE12" i="6"/>
  <c r="BE14" i="6"/>
  <c r="BE16" i="6"/>
  <c r="BE18" i="6"/>
  <c r="BE20" i="6"/>
  <c r="BE22" i="6"/>
  <c r="BE24" i="6"/>
  <c r="BE26" i="6"/>
  <c r="BE28" i="6"/>
  <c r="BE30" i="6"/>
  <c r="BE32" i="6"/>
  <c r="BE34" i="6"/>
  <c r="BE4" i="6"/>
  <c r="Y12" i="6"/>
  <c r="Y13" i="6"/>
  <c r="Z13" i="6" s="1"/>
  <c r="Y16" i="6"/>
  <c r="Y17" i="6"/>
  <c r="Z17" i="6" s="1"/>
  <c r="Y20" i="6"/>
  <c r="Y21" i="6"/>
  <c r="Z21" i="6" s="1"/>
  <c r="Y24" i="6"/>
  <c r="Y25" i="6"/>
  <c r="Z25" i="6" s="1"/>
  <c r="Y4" i="6"/>
  <c r="Y5" i="6"/>
  <c r="Z5" i="6" s="1"/>
  <c r="Y8" i="6"/>
  <c r="Y9" i="6"/>
  <c r="Z9" i="6" s="1"/>
  <c r="AD2" i="6"/>
  <c r="Y10" i="6" s="1"/>
  <c r="Z10" i="6" s="1"/>
  <c r="X3" i="6"/>
  <c r="X4" i="6"/>
  <c r="X5" i="6"/>
  <c r="X6" i="6"/>
  <c r="X7" i="6"/>
  <c r="X8" i="6"/>
  <c r="X9" i="6"/>
  <c r="X2" i="6"/>
  <c r="Y7" i="6" l="1"/>
  <c r="Z7" i="6" s="1"/>
  <c r="Y3" i="6"/>
  <c r="Z3" i="6" s="1"/>
  <c r="Y23" i="6"/>
  <c r="Z24" i="6" s="1"/>
  <c r="Y19" i="6"/>
  <c r="Y15" i="6"/>
  <c r="Z15" i="6" s="1"/>
  <c r="Y11" i="6"/>
  <c r="Z11" i="6" s="1"/>
  <c r="Y2" i="6"/>
  <c r="Y6" i="6"/>
  <c r="Z6" i="6" s="1"/>
  <c r="Y26" i="6"/>
  <c r="Z26" i="6" s="1"/>
  <c r="Y22" i="6"/>
  <c r="Z22" i="6" s="1"/>
  <c r="Y18" i="6"/>
  <c r="Z18" i="6" s="1"/>
  <c r="Y14" i="6"/>
  <c r="Z14" i="6" s="1"/>
  <c r="AQ9" i="6"/>
  <c r="AQ33" i="6"/>
  <c r="BF31" i="6"/>
  <c r="BF15" i="6"/>
  <c r="BF7" i="6"/>
  <c r="BF24" i="6"/>
  <c r="BF4" i="6"/>
  <c r="BF20" i="6"/>
  <c r="BF29" i="6"/>
  <c r="BF13" i="6"/>
  <c r="BF27" i="6"/>
  <c r="BF10" i="6"/>
  <c r="BF26" i="6"/>
  <c r="BF18" i="6"/>
  <c r="BF22" i="6"/>
  <c r="BF11" i="6"/>
  <c r="BF34" i="6"/>
  <c r="BF28" i="6"/>
  <c r="BF12" i="6"/>
  <c r="BF25" i="6"/>
  <c r="BF23" i="6"/>
  <c r="BF16" i="6"/>
  <c r="BF33" i="6"/>
  <c r="BF17" i="6"/>
  <c r="BF30" i="6"/>
  <c r="BF14" i="6"/>
  <c r="BF32" i="6"/>
  <c r="BF21" i="6"/>
  <c r="BF5" i="6"/>
  <c r="BF8" i="6"/>
  <c r="BF19" i="6"/>
  <c r="BF9" i="6"/>
  <c r="AQ22" i="6"/>
  <c r="AQ11" i="6"/>
  <c r="AQ32" i="6"/>
  <c r="AQ8" i="6"/>
  <c r="AQ7" i="6"/>
  <c r="AQ19" i="6"/>
  <c r="AQ18" i="6"/>
  <c r="AQ12" i="6"/>
  <c r="AQ27" i="6"/>
  <c r="AQ31" i="6"/>
  <c r="AQ34" i="6"/>
  <c r="AQ10" i="6"/>
  <c r="AQ15" i="6"/>
  <c r="AQ26" i="6"/>
  <c r="AQ23" i="6"/>
  <c r="H9" i="6"/>
  <c r="H10" i="6"/>
  <c r="H11" i="6"/>
  <c r="H12" i="6"/>
  <c r="H13" i="6"/>
  <c r="H14" i="6"/>
  <c r="H15" i="6"/>
  <c r="H8" i="6"/>
  <c r="Z16" i="6" l="1"/>
  <c r="Z19" i="6"/>
  <c r="Z12" i="6"/>
  <c r="Z4" i="6"/>
  <c r="Z23" i="6"/>
  <c r="Z20" i="6"/>
  <c r="Z8" i="6"/>
  <c r="R2" i="6"/>
  <c r="P8" i="6" s="1"/>
  <c r="R8" i="6" s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6" i="6"/>
  <c r="P7" i="6" l="1"/>
  <c r="P30" i="6"/>
  <c r="P21" i="6"/>
  <c r="P13" i="6"/>
  <c r="P11" i="6"/>
  <c r="P31" i="6"/>
  <c r="P15" i="6"/>
  <c r="P22" i="6"/>
  <c r="P29" i="6"/>
  <c r="P20" i="6"/>
  <c r="P12" i="6"/>
  <c r="P6" i="6"/>
  <c r="R6" i="6" s="1"/>
  <c r="P27" i="6"/>
  <c r="P19" i="6"/>
  <c r="P34" i="6"/>
  <c r="P26" i="6"/>
  <c r="P18" i="6"/>
  <c r="P10" i="6"/>
  <c r="P23" i="6"/>
  <c r="P14" i="6"/>
  <c r="P28" i="6"/>
  <c r="P33" i="6"/>
  <c r="P25" i="6"/>
  <c r="P17" i="6"/>
  <c r="P9" i="6"/>
  <c r="P32" i="6"/>
  <c r="P24" i="6"/>
  <c r="P1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6" i="6"/>
  <c r="R33" i="6" l="1"/>
  <c r="Q33" i="6"/>
  <c r="R20" i="6"/>
  <c r="Q20" i="6"/>
  <c r="R31" i="6"/>
  <c r="Q31" i="6"/>
  <c r="R30" i="6"/>
  <c r="Q30" i="6"/>
  <c r="R9" i="6"/>
  <c r="S9" i="6" s="1"/>
  <c r="Q9" i="6"/>
  <c r="R28" i="6"/>
  <c r="Q28" i="6"/>
  <c r="R18" i="6"/>
  <c r="Q18" i="6"/>
  <c r="R27" i="6"/>
  <c r="Q27" i="6"/>
  <c r="R29" i="6"/>
  <c r="S29" i="6" s="1"/>
  <c r="Q29" i="6"/>
  <c r="R11" i="6"/>
  <c r="Q11" i="6"/>
  <c r="R7" i="6"/>
  <c r="Q7" i="6"/>
  <c r="R19" i="6"/>
  <c r="S19" i="6" s="1"/>
  <c r="Q19" i="6"/>
  <c r="R16" i="6"/>
  <c r="Q16" i="6"/>
  <c r="R17" i="6"/>
  <c r="Q17" i="6"/>
  <c r="R14" i="6"/>
  <c r="Q14" i="6"/>
  <c r="R26" i="6"/>
  <c r="Q26" i="6"/>
  <c r="R22" i="6"/>
  <c r="Q22" i="6"/>
  <c r="R13" i="6"/>
  <c r="Q13" i="6"/>
  <c r="R32" i="6"/>
  <c r="S32" i="6" s="1"/>
  <c r="Q32" i="6"/>
  <c r="R10" i="6"/>
  <c r="S10" i="6" s="1"/>
  <c r="Q10" i="6"/>
  <c r="R24" i="6"/>
  <c r="Q24" i="6"/>
  <c r="R25" i="6"/>
  <c r="Q25" i="6"/>
  <c r="R23" i="6"/>
  <c r="S23" i="6" s="1"/>
  <c r="Q23" i="6"/>
  <c r="R34" i="6"/>
  <c r="S34" i="6" s="1"/>
  <c r="Q34" i="6"/>
  <c r="R12" i="6"/>
  <c r="S12" i="6" s="1"/>
  <c r="Q12" i="6"/>
  <c r="R15" i="6"/>
  <c r="S15" i="6" s="1"/>
  <c r="Q15" i="6"/>
  <c r="R21" i="6"/>
  <c r="S21" i="6" s="1"/>
  <c r="Q21" i="6"/>
  <c r="Q8" i="6"/>
  <c r="S25" i="6" l="1"/>
  <c r="S26" i="6"/>
  <c r="S17" i="6"/>
  <c r="S11" i="6"/>
  <c r="S27" i="6"/>
  <c r="S28" i="6"/>
  <c r="S30" i="6"/>
  <c r="S20" i="6"/>
  <c r="S13" i="6"/>
  <c r="S24" i="6"/>
  <c r="S22" i="6"/>
  <c r="S14" i="6"/>
  <c r="S16" i="6"/>
  <c r="S7" i="6"/>
  <c r="S8" i="6"/>
  <c r="S18" i="6"/>
  <c r="S31" i="6"/>
  <c r="S3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I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基于非线性自回归的结果</t>
        </r>
      </text>
    </comment>
  </commentList>
</comments>
</file>

<file path=xl/sharedStrings.xml><?xml version="1.0" encoding="utf-8"?>
<sst xmlns="http://schemas.openxmlformats.org/spreadsheetml/2006/main" count="251" uniqueCount="135">
  <si>
    <t>t</t>
    <phoneticPr fontId="1" type="noConversion"/>
  </si>
  <si>
    <t>N</t>
    <phoneticPr fontId="1" type="noConversion"/>
  </si>
  <si>
    <t>1/N</t>
    <phoneticPr fontId="1" type="noConversion"/>
  </si>
  <si>
    <t>n</t>
    <phoneticPr fontId="1" type="noConversion"/>
  </si>
  <si>
    <t>Ln</t>
    <phoneticPr fontId="1" type="noConversion"/>
  </si>
  <si>
    <t>日期</t>
    <phoneticPr fontId="1" type="noConversion"/>
  </si>
  <si>
    <t>累计人数预测</t>
    <phoneticPr fontId="1" type="noConversion"/>
  </si>
  <si>
    <t>累计人数</t>
    <phoneticPr fontId="1" type="noConversion"/>
  </si>
  <si>
    <t>速度</t>
    <phoneticPr fontId="1" type="noConversion"/>
  </si>
  <si>
    <t>S</t>
    <phoneticPr fontId="1" type="noConversion"/>
  </si>
  <si>
    <t>dl</t>
    <phoneticPr fontId="1" type="noConversion"/>
  </si>
  <si>
    <t>ln</t>
    <phoneticPr fontId="1" type="noConversion"/>
  </si>
  <si>
    <t>yuce</t>
    <phoneticPr fontId="1" type="noConversion"/>
  </si>
  <si>
    <t>日期</t>
    <phoneticPr fontId="1" type="noConversion"/>
  </si>
  <si>
    <t>确诊人数</t>
  </si>
  <si>
    <t>确诊人数</t>
    <phoneticPr fontId="1" type="noConversion"/>
  </si>
  <si>
    <t>死亡人数</t>
  </si>
  <si>
    <t>死亡人数</t>
    <phoneticPr fontId="1" type="noConversion"/>
  </si>
  <si>
    <t>ln(M/x-1)</t>
    <phoneticPr fontId="1" type="noConversion"/>
  </si>
  <si>
    <t>预测</t>
    <phoneticPr fontId="1" type="noConversion"/>
  </si>
  <si>
    <t>速度</t>
    <phoneticPr fontId="1" type="noConversion"/>
  </si>
  <si>
    <t>百分比</t>
    <phoneticPr fontId="1" type="noConversion"/>
  </si>
  <si>
    <t>速度</t>
    <phoneticPr fontId="1" type="noConversion"/>
  </si>
  <si>
    <t>时序</t>
    <phoneticPr fontId="1" type="noConversion"/>
  </si>
  <si>
    <t>时序</t>
    <phoneticPr fontId="1" type="noConversion"/>
  </si>
  <si>
    <t>时序</t>
    <phoneticPr fontId="1" type="noConversion"/>
  </si>
  <si>
    <t>加速度</t>
    <phoneticPr fontId="1" type="noConversion"/>
  </si>
  <si>
    <t>速度2</t>
    <phoneticPr fontId="1" type="noConversion"/>
  </si>
  <si>
    <t>加速度2</t>
    <phoneticPr fontId="1" type="noConversion"/>
  </si>
  <si>
    <t>lnM</t>
    <phoneticPr fontId="1" type="noConversion"/>
  </si>
  <si>
    <r>
      <rPr>
        <sz val="12"/>
        <color theme="1"/>
        <rFont val="等线"/>
        <family val="2"/>
        <charset val="134"/>
      </rPr>
      <t>确诊人数</t>
    </r>
  </si>
  <si>
    <r>
      <rPr>
        <sz val="12"/>
        <color theme="1"/>
        <rFont val="等线"/>
        <family val="2"/>
        <charset val="134"/>
      </rPr>
      <t>日期</t>
    </r>
    <phoneticPr fontId="1" type="noConversion"/>
  </si>
  <si>
    <r>
      <rPr>
        <sz val="12"/>
        <color theme="1"/>
        <rFont val="等线"/>
        <family val="2"/>
        <charset val="134"/>
      </rPr>
      <t>确诊人数</t>
    </r>
    <phoneticPr fontId="1" type="noConversion"/>
  </si>
  <si>
    <r>
      <rPr>
        <sz val="12"/>
        <color theme="1"/>
        <rFont val="等线"/>
        <family val="2"/>
        <charset val="134"/>
      </rPr>
      <t>预测</t>
    </r>
    <phoneticPr fontId="1" type="noConversion"/>
  </si>
  <si>
    <t>预测2</t>
    <phoneticPr fontId="1" type="noConversion"/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</si>
  <si>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</si>
  <si>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</si>
  <si>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</si>
  <si>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</si>
  <si>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</si>
  <si>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</si>
  <si>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</si>
  <si>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</si>
  <si>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</si>
  <si>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</si>
  <si>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</si>
  <si>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</si>
  <si>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</si>
  <si>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</si>
  <si>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</si>
  <si>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</si>
  <si>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PROBABILITY OUTPUT</t>
  </si>
  <si>
    <t>t</t>
    <phoneticPr fontId="1" type="noConversion"/>
  </si>
  <si>
    <r>
      <rPr>
        <sz val="11"/>
        <color theme="1"/>
        <rFont val="等线"/>
        <family val="2"/>
        <charset val="134"/>
      </rPr>
      <t>日期</t>
    </r>
  </si>
  <si>
    <r>
      <rPr>
        <sz val="11"/>
        <color theme="1"/>
        <rFont val="等线"/>
        <family val="2"/>
        <charset val="134"/>
      </rPr>
      <t>全国确诊人数</t>
    </r>
  </si>
  <si>
    <r>
      <rPr>
        <sz val="11"/>
        <color theme="1"/>
        <rFont val="等线"/>
        <family val="2"/>
        <charset val="134"/>
      </rPr>
      <t>湖北确诊人数</t>
    </r>
  </si>
  <si>
    <r>
      <rPr>
        <sz val="11"/>
        <color theme="1"/>
        <rFont val="等线"/>
        <family val="2"/>
        <charset val="134"/>
      </rPr>
      <t>湖北以外</t>
    </r>
  </si>
  <si>
    <r>
      <rPr>
        <sz val="11"/>
        <color theme="1"/>
        <rFont val="等线"/>
        <family val="2"/>
        <charset val="134"/>
      </rPr>
      <t>预测</t>
    </r>
  </si>
  <si>
    <r>
      <rPr>
        <sz val="11"/>
        <color theme="1"/>
        <rFont val="等线"/>
        <family val="2"/>
        <charset val="134"/>
      </rPr>
      <t>全国死亡人数</t>
    </r>
  </si>
  <si>
    <r>
      <rPr>
        <sz val="11"/>
        <color theme="1"/>
        <rFont val="等线"/>
        <family val="2"/>
        <charset val="134"/>
      </rPr>
      <t>湖北死亡人数</t>
    </r>
  </si>
  <si>
    <t>ln(M/x-1)</t>
  </si>
  <si>
    <r>
      <rPr>
        <sz val="11"/>
        <color theme="1"/>
        <rFont val="等线"/>
        <family val="2"/>
        <charset val="134"/>
      </rPr>
      <t>回归统计</t>
    </r>
  </si>
  <si>
    <r>
      <rPr>
        <sz val="11"/>
        <color theme="1"/>
        <rFont val="等线"/>
        <family val="2"/>
        <charset val="134"/>
      </rPr>
      <t>标准误差</t>
    </r>
  </si>
  <si>
    <r>
      <rPr>
        <sz val="11"/>
        <color theme="1"/>
        <rFont val="等线"/>
        <family val="2"/>
        <charset val="134"/>
      </rPr>
      <t>观测值</t>
    </r>
  </si>
  <si>
    <r>
      <rPr>
        <sz val="11"/>
        <color theme="1"/>
        <rFont val="等线"/>
        <family val="2"/>
        <charset val="134"/>
      </rPr>
      <t>方差分析</t>
    </r>
  </si>
  <si>
    <r>
      <rPr>
        <sz val="11"/>
        <color theme="1"/>
        <rFont val="等线"/>
        <family val="2"/>
        <charset val="134"/>
      </rPr>
      <t>回归分析</t>
    </r>
  </si>
  <si>
    <r>
      <rPr>
        <sz val="11"/>
        <color theme="1"/>
        <rFont val="等线"/>
        <family val="2"/>
        <charset val="134"/>
      </rPr>
      <t>残差</t>
    </r>
  </si>
  <si>
    <r>
      <rPr>
        <sz val="11"/>
        <color theme="1"/>
        <rFont val="等线"/>
        <family val="2"/>
        <charset val="134"/>
      </rPr>
      <t>总计</t>
    </r>
  </si>
  <si>
    <r>
      <rPr>
        <sz val="11"/>
        <color theme="1"/>
        <rFont val="等线"/>
        <family val="2"/>
        <charset val="134"/>
      </rPr>
      <t>下限</t>
    </r>
    <r>
      <rPr>
        <sz val="11"/>
        <color theme="1"/>
        <rFont val="Times New Roman"/>
        <family val="1"/>
      </rPr>
      <t xml:space="preserve"> 95.0%</t>
    </r>
  </si>
  <si>
    <r>
      <rPr>
        <sz val="11"/>
        <color theme="1"/>
        <rFont val="等线"/>
        <family val="2"/>
        <charset val="134"/>
      </rPr>
      <t>上限</t>
    </r>
    <r>
      <rPr>
        <sz val="11"/>
        <color theme="1"/>
        <rFont val="Times New Roman"/>
        <family val="1"/>
      </rPr>
      <t xml:space="preserve"> 95.0%</t>
    </r>
  </si>
  <si>
    <r>
      <rPr>
        <sz val="11"/>
        <color theme="1"/>
        <rFont val="等线"/>
        <family val="2"/>
        <charset val="134"/>
      </rPr>
      <t>时序</t>
    </r>
  </si>
  <si>
    <r>
      <rPr>
        <sz val="11"/>
        <color theme="1"/>
        <rFont val="等线"/>
        <family val="2"/>
        <charset val="134"/>
      </rPr>
      <t>预测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确诊人数</t>
    </r>
  </si>
  <si>
    <r>
      <rPr>
        <sz val="11"/>
        <color theme="1"/>
        <rFont val="等线"/>
        <family val="2"/>
        <charset val="134"/>
      </rPr>
      <t>标准残差</t>
    </r>
  </si>
  <si>
    <r>
      <rPr>
        <sz val="11"/>
        <color theme="1"/>
        <rFont val="等线"/>
        <family val="2"/>
        <charset val="134"/>
      </rPr>
      <t>百分比排位</t>
    </r>
  </si>
  <si>
    <r>
      <rPr>
        <sz val="11"/>
        <color theme="1"/>
        <rFont val="等线"/>
        <family val="2"/>
        <charset val="134"/>
      </rPr>
      <t>确诊人数</t>
    </r>
  </si>
  <si>
    <r>
      <rPr>
        <sz val="11"/>
        <color theme="1"/>
        <rFont val="等线"/>
        <family val="2"/>
        <charset val="134"/>
      </rPr>
      <t>预测</t>
    </r>
    <r>
      <rPr>
        <sz val="11"/>
        <color theme="1"/>
        <rFont val="Times New Roman"/>
        <family val="1"/>
      </rPr>
      <t xml:space="preserve"> ln(M/x-1)</t>
    </r>
  </si>
  <si>
    <r>
      <rPr>
        <sz val="11"/>
        <color theme="1" tint="4.9989318521683403E-2"/>
        <rFont val="等线"/>
        <family val="2"/>
        <charset val="134"/>
      </rPr>
      <t>日期</t>
    </r>
    <phoneticPr fontId="1" type="noConversion"/>
  </si>
  <si>
    <r>
      <rPr>
        <sz val="11"/>
        <color theme="1" tint="4.9989318521683403E-2"/>
        <rFont val="等线"/>
        <family val="2"/>
        <charset val="134"/>
      </rPr>
      <t>确诊人数</t>
    </r>
    <phoneticPr fontId="1" type="noConversion"/>
  </si>
  <si>
    <r>
      <rPr>
        <sz val="11"/>
        <color theme="1"/>
        <rFont val="等线"/>
        <family val="2"/>
        <charset val="134"/>
      </rPr>
      <t>死亡人数</t>
    </r>
    <phoneticPr fontId="1" type="noConversion"/>
  </si>
  <si>
    <r>
      <rPr>
        <sz val="11"/>
        <color theme="1"/>
        <rFont val="等线"/>
        <family val="2"/>
        <charset val="134"/>
      </rPr>
      <t>时序</t>
    </r>
    <phoneticPr fontId="1" type="noConversion"/>
  </si>
  <si>
    <r>
      <rPr>
        <sz val="11"/>
        <color theme="1"/>
        <rFont val="等线"/>
        <family val="2"/>
        <charset val="134"/>
      </rPr>
      <t>确诊人数</t>
    </r>
    <phoneticPr fontId="1" type="noConversion"/>
  </si>
  <si>
    <r>
      <rPr>
        <sz val="11"/>
        <color theme="1"/>
        <rFont val="等线"/>
        <family val="2"/>
        <charset val="134"/>
      </rPr>
      <t>预测</t>
    </r>
    <phoneticPr fontId="1" type="noConversion"/>
  </si>
  <si>
    <r>
      <rPr>
        <sz val="11"/>
        <color theme="1"/>
        <rFont val="等线"/>
        <family val="2"/>
        <charset val="134"/>
      </rPr>
      <t>速度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</si>
  <si>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  <charset val="134"/>
      </rPr>
      <t>加速度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</si>
  <si>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 tint="4.9989318521683403E-2"/>
        <rFont val="等线"/>
        <family val="2"/>
        <charset val="134"/>
      </rPr>
      <t>日期</t>
    </r>
    <phoneticPr fontId="1" type="noConversion"/>
  </si>
  <si>
    <r>
      <rPr>
        <sz val="11"/>
        <color theme="1"/>
        <rFont val="等线"/>
        <family val="2"/>
        <charset val="134"/>
      </rPr>
      <t>死亡人数</t>
    </r>
  </si>
  <si>
    <r>
      <rPr>
        <sz val="11"/>
        <color theme="1"/>
        <rFont val="等线"/>
        <family val="2"/>
        <charset val="134"/>
      </rPr>
      <t>时序</t>
    </r>
    <phoneticPr fontId="1" type="noConversion"/>
  </si>
  <si>
    <r>
      <rPr>
        <sz val="11"/>
        <color theme="1"/>
        <rFont val="等线"/>
        <family val="2"/>
        <charset val="134"/>
      </rPr>
      <t>预测</t>
    </r>
    <phoneticPr fontId="1" type="noConversion"/>
  </si>
  <si>
    <r>
      <rPr>
        <sz val="11"/>
        <color theme="1"/>
        <rFont val="等线"/>
        <family val="2"/>
        <charset val="134"/>
      </rPr>
      <t>湖北以外速度</t>
    </r>
    <phoneticPr fontId="1" type="noConversion"/>
  </si>
  <si>
    <r>
      <rPr>
        <sz val="11"/>
        <color theme="1"/>
        <rFont val="等线"/>
        <family val="2"/>
        <charset val="134"/>
      </rPr>
      <t>湖北以外加速度</t>
    </r>
    <phoneticPr fontId="1" type="noConversion"/>
  </si>
  <si>
    <r>
      <rPr>
        <sz val="11"/>
        <color theme="1"/>
        <rFont val="等线"/>
        <family val="2"/>
        <charset val="134"/>
      </rPr>
      <t>预测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</si>
  <si>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等线"/>
        <family val="2"/>
        <charset val="134"/>
      </rPr>
      <t>预测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</si>
  <si>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  <charset val="134"/>
      </rPr>
      <t>全国确诊人数</t>
    </r>
    <phoneticPr fontId="1" type="noConversion"/>
  </si>
  <si>
    <r>
      <rPr>
        <sz val="11"/>
        <color theme="1"/>
        <rFont val="等线"/>
        <family val="2"/>
        <charset val="134"/>
      </rPr>
      <t>湖北确诊人数</t>
    </r>
    <phoneticPr fontId="1" type="noConversion"/>
  </si>
  <si>
    <r>
      <rPr>
        <sz val="11"/>
        <color theme="1"/>
        <rFont val="等线"/>
        <family val="2"/>
        <charset val="134"/>
      </rPr>
      <t>湖北以外</t>
    </r>
    <phoneticPr fontId="1" type="noConversion"/>
  </si>
  <si>
    <r>
      <rPr>
        <sz val="11"/>
        <color theme="1"/>
        <rFont val="等线"/>
        <family val="2"/>
        <charset val="134"/>
      </rPr>
      <t>全国死亡人数</t>
    </r>
    <phoneticPr fontId="1" type="noConversion"/>
  </si>
  <si>
    <r>
      <rPr>
        <sz val="11"/>
        <color theme="1"/>
        <rFont val="等线"/>
        <family val="2"/>
        <charset val="134"/>
      </rPr>
      <t>湖北死亡人数</t>
    </r>
    <phoneticPr fontId="1" type="noConversion"/>
  </si>
  <si>
    <r>
      <rPr>
        <sz val="11"/>
        <color theme="1"/>
        <rFont val="等线"/>
        <family val="2"/>
        <charset val="134"/>
      </rPr>
      <t>湖北以外</t>
    </r>
    <phoneticPr fontId="1" type="noConversion"/>
  </si>
  <si>
    <r>
      <rPr>
        <sz val="11"/>
        <color theme="1"/>
        <rFont val="等线"/>
        <family val="2"/>
        <charset val="134"/>
      </rPr>
      <t>预测</t>
    </r>
    <phoneticPr fontId="1" type="noConversion"/>
  </si>
  <si>
    <r>
      <rPr>
        <sz val="11"/>
        <color theme="1"/>
        <rFont val="等线"/>
        <family val="2"/>
        <charset val="134"/>
      </rPr>
      <t>确诊人数</t>
    </r>
    <phoneticPr fontId="1" type="noConversion"/>
  </si>
  <si>
    <r>
      <rPr>
        <sz val="11"/>
        <color theme="1"/>
        <rFont val="等线"/>
        <family val="2"/>
        <charset val="134"/>
      </rPr>
      <t>死亡人数</t>
    </r>
    <phoneticPr fontId="1" type="noConversion"/>
  </si>
  <si>
    <r>
      <rPr>
        <sz val="11"/>
        <color theme="1"/>
        <rFont val="等线"/>
        <family val="2"/>
        <charset val="134"/>
      </rPr>
      <t>时序</t>
    </r>
    <phoneticPr fontId="1" type="noConversion"/>
  </si>
  <si>
    <r>
      <rPr>
        <sz val="11"/>
        <color theme="1"/>
        <rFont val="等线"/>
        <family val="2"/>
        <charset val="134"/>
      </rPr>
      <t>湖北速度</t>
    </r>
    <phoneticPr fontId="1" type="noConversion"/>
  </si>
  <si>
    <r>
      <rPr>
        <sz val="11"/>
        <color theme="1"/>
        <rFont val="等线"/>
        <family val="2"/>
        <charset val="134"/>
      </rPr>
      <t>湖北加速度</t>
    </r>
    <phoneticPr fontId="1" type="noConversion"/>
  </si>
  <si>
    <r>
      <rPr>
        <sz val="11"/>
        <color theme="1"/>
        <rFont val="等线"/>
        <family val="2"/>
        <charset val="134"/>
      </rPr>
      <t>时序</t>
    </r>
    <phoneticPr fontId="1" type="noConversion"/>
  </si>
  <si>
    <r>
      <rPr>
        <sz val="11"/>
        <color theme="1"/>
        <rFont val="等线"/>
        <family val="2"/>
        <charset val="134"/>
      </rPr>
      <t>死亡人数</t>
    </r>
    <phoneticPr fontId="1" type="noConversion"/>
  </si>
  <si>
    <r>
      <rPr>
        <sz val="11"/>
        <color theme="1"/>
        <rFont val="等线"/>
        <family val="2"/>
        <charset val="134"/>
      </rPr>
      <t>湖北速度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</si>
  <si>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  <charset val="134"/>
      </rPr>
      <t>湖北加速度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</si>
  <si>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  <charset val="134"/>
      </rPr>
      <t>日期</t>
    </r>
    <phoneticPr fontId="1" type="noConversion"/>
  </si>
  <si>
    <r>
      <rPr>
        <sz val="11"/>
        <color theme="1"/>
        <rFont val="等线"/>
        <family val="2"/>
        <charset val="134"/>
      </rPr>
      <t>预测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</si>
  <si>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  <charset val="134"/>
      </rPr>
      <t>确诊人数</t>
    </r>
    <phoneticPr fontId="1" type="noConversion"/>
  </si>
  <si>
    <r>
      <rPr>
        <sz val="11"/>
        <color theme="1"/>
        <rFont val="等线"/>
        <family val="2"/>
        <charset val="134"/>
      </rPr>
      <t>速度</t>
    </r>
    <phoneticPr fontId="1" type="noConversion"/>
  </si>
  <si>
    <r>
      <rPr>
        <sz val="11"/>
        <color theme="1"/>
        <rFont val="等线"/>
        <family val="2"/>
        <charset val="134"/>
      </rPr>
      <t>加速度</t>
    </r>
    <phoneticPr fontId="1" type="noConversion"/>
  </si>
  <si>
    <r>
      <rPr>
        <sz val="11"/>
        <color theme="1"/>
        <rFont val="等线"/>
        <family val="2"/>
        <charset val="134"/>
      </rPr>
      <t>日期</t>
    </r>
    <phoneticPr fontId="1" type="noConversion"/>
  </si>
  <si>
    <r>
      <rPr>
        <sz val="11"/>
        <color theme="1"/>
        <rFont val="等线"/>
        <family val="2"/>
        <charset val="134"/>
      </rPr>
      <t>确诊人数</t>
    </r>
    <phoneticPr fontId="1" type="noConversion"/>
  </si>
  <si>
    <r>
      <rPr>
        <sz val="11"/>
        <color theme="1"/>
        <rFont val="等线"/>
        <family val="2"/>
        <charset val="134"/>
      </rPr>
      <t>时序</t>
    </r>
    <phoneticPr fontId="1" type="noConversion"/>
  </si>
  <si>
    <r>
      <rPr>
        <sz val="11"/>
        <color theme="1"/>
        <rFont val="等线"/>
        <family val="2"/>
        <charset val="134"/>
      </rPr>
      <t>加速度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</si>
  <si>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等线"/>
        <family val="2"/>
        <charset val="134"/>
      </rPr>
      <t>日期</t>
    </r>
    <phoneticPr fontId="1" type="noConversion"/>
  </si>
  <si>
    <r>
      <rPr>
        <sz val="12"/>
        <color theme="1"/>
        <rFont val="等线"/>
        <family val="2"/>
        <charset val="134"/>
      </rPr>
      <t>确诊人数</t>
    </r>
    <phoneticPr fontId="1" type="noConversion"/>
  </si>
  <si>
    <r>
      <rPr>
        <sz val="12"/>
        <color theme="1"/>
        <rFont val="宋体"/>
        <family val="3"/>
        <charset val="134"/>
      </rPr>
      <t>时序</t>
    </r>
    <phoneticPr fontId="1" type="noConversion"/>
  </si>
  <si>
    <r>
      <rPr>
        <sz val="12"/>
        <color theme="1"/>
        <rFont val="等线"/>
        <family val="2"/>
        <charset val="134"/>
      </rPr>
      <t>预测</t>
    </r>
    <phoneticPr fontId="1" type="noConversion"/>
  </si>
  <si>
    <r>
      <rPr>
        <sz val="12"/>
        <color theme="1"/>
        <rFont val="宋体"/>
        <family val="3"/>
        <charset val="134"/>
      </rPr>
      <t>速度</t>
    </r>
    <phoneticPr fontId="1" type="noConversion"/>
  </si>
  <si>
    <r>
      <rPr>
        <sz val="12"/>
        <color theme="1"/>
        <rFont val="宋体"/>
        <family val="3"/>
        <charset val="134"/>
      </rPr>
      <t>加速度</t>
    </r>
    <phoneticPr fontId="1" type="noConversion"/>
  </si>
  <si>
    <r>
      <rPr>
        <sz val="12"/>
        <color theme="1"/>
        <rFont val="等线"/>
        <family val="2"/>
        <charset val="134"/>
      </rPr>
      <t>回归统计</t>
    </r>
  </si>
  <si>
    <r>
      <rPr>
        <sz val="12"/>
        <color theme="1"/>
        <rFont val="等线"/>
        <family val="2"/>
        <charset val="134"/>
      </rPr>
      <t>标准误差</t>
    </r>
  </si>
  <si>
    <r>
      <rPr>
        <sz val="12"/>
        <color theme="1"/>
        <rFont val="等线"/>
        <family val="2"/>
        <charset val="134"/>
      </rPr>
      <t>观测值</t>
    </r>
  </si>
  <si>
    <r>
      <rPr>
        <sz val="12"/>
        <color theme="1"/>
        <rFont val="等线"/>
        <family val="2"/>
        <charset val="134"/>
      </rPr>
      <t>方差分析</t>
    </r>
  </si>
  <si>
    <r>
      <rPr>
        <sz val="12"/>
        <color theme="1"/>
        <rFont val="等线"/>
        <family val="2"/>
        <charset val="134"/>
      </rPr>
      <t>回归分析</t>
    </r>
  </si>
  <si>
    <r>
      <rPr>
        <sz val="12"/>
        <color theme="1"/>
        <rFont val="等线"/>
        <family val="2"/>
        <charset val="134"/>
      </rPr>
      <t>残差</t>
    </r>
  </si>
  <si>
    <r>
      <rPr>
        <sz val="12"/>
        <color theme="1"/>
        <rFont val="等线"/>
        <family val="2"/>
        <charset val="134"/>
      </rPr>
      <t>总计</t>
    </r>
  </si>
  <si>
    <r>
      <rPr>
        <sz val="12"/>
        <color theme="1"/>
        <rFont val="等线"/>
        <family val="2"/>
        <charset val="134"/>
      </rPr>
      <t>下限</t>
    </r>
    <r>
      <rPr>
        <sz val="12"/>
        <color theme="1"/>
        <rFont val="Times New Roman"/>
        <family val="1"/>
      </rPr>
      <t xml:space="preserve"> 95.0%</t>
    </r>
  </si>
  <si>
    <r>
      <rPr>
        <sz val="12"/>
        <color theme="1"/>
        <rFont val="等线"/>
        <family val="2"/>
        <charset val="134"/>
      </rPr>
      <t>上限</t>
    </r>
    <r>
      <rPr>
        <sz val="12"/>
        <color theme="1"/>
        <rFont val="Times New Roman"/>
        <family val="1"/>
      </rPr>
      <t xml:space="preserve"> 95.0%</t>
    </r>
  </si>
  <si>
    <r>
      <rPr>
        <sz val="12"/>
        <color theme="1"/>
        <rFont val="等线"/>
        <family val="2"/>
        <charset val="134"/>
      </rPr>
      <t>预测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等线"/>
        <family val="2"/>
        <charset val="134"/>
      </rPr>
      <t>确诊人数</t>
    </r>
  </si>
  <si>
    <r>
      <rPr>
        <sz val="12"/>
        <color theme="1"/>
        <rFont val="等线"/>
        <family val="2"/>
        <charset val="134"/>
      </rPr>
      <t>标准残差</t>
    </r>
  </si>
  <si>
    <r>
      <rPr>
        <sz val="12"/>
        <color theme="1"/>
        <rFont val="等线"/>
        <family val="2"/>
        <charset val="134"/>
      </rPr>
      <t>百分比排位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</si>
</sst>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000"/>
    <numFmt numFmtId="178" formatCode="0.000"/>
    <numFmt numFmtId="179" formatCode="0.0"/>
  </numFmts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  <font>
      <sz val="12"/>
      <color rgb="FFFF000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宋体"/>
      <family val="3"/>
      <charset val="134"/>
    </font>
    <font>
      <sz val="11"/>
      <color theme="1" tint="4.9989318521683403E-2"/>
      <name val="等线"/>
      <family val="2"/>
      <charset val="134"/>
      <scheme val="minor"/>
    </font>
    <font>
      <sz val="12"/>
      <color rgb="FF59595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等线"/>
      <family val="2"/>
      <charset val="134"/>
    </font>
    <font>
      <sz val="11"/>
      <color rgb="FF595959"/>
      <name val="Times New Roman"/>
      <family val="1"/>
    </font>
    <font>
      <sz val="14"/>
      <color rgb="FF595959"/>
      <name val="Times New Roman"/>
      <family val="1"/>
    </font>
    <font>
      <sz val="11"/>
      <color rgb="FF00B050"/>
      <name val="Times New Roman"/>
      <family val="1"/>
    </font>
    <font>
      <sz val="11"/>
      <color rgb="FF7030A0"/>
      <name val="Times New Roman"/>
      <family val="1"/>
    </font>
    <font>
      <sz val="11"/>
      <color rgb="FFC00000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1" fillId="0" borderId="0" xfId="0" applyFont="1" applyAlignment="1">
      <alignment horizontal="center" vertical="center" readingOrder="1"/>
    </xf>
    <xf numFmtId="0" fontId="12" fillId="0" borderId="0" xfId="0" applyFont="1">
      <alignment vertical="center"/>
    </xf>
    <xf numFmtId="1" fontId="0" fillId="0" borderId="0" xfId="0" applyNumberFormat="1">
      <alignment vertical="center"/>
    </xf>
    <xf numFmtId="1" fontId="2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5" fillId="2" borderId="0" xfId="0" applyNumberFormat="1" applyFont="1" applyFill="1">
      <alignment vertical="center"/>
    </xf>
    <xf numFmtId="178" fontId="7" fillId="0" borderId="0" xfId="0" applyNumberFormat="1" applyFont="1">
      <alignment vertical="center"/>
    </xf>
    <xf numFmtId="0" fontId="10" fillId="0" borderId="0" xfId="0" applyFont="1">
      <alignment vertical="center"/>
    </xf>
    <xf numFmtId="1" fontId="5" fillId="0" borderId="0" xfId="0" applyNumberFormat="1" applyFont="1">
      <alignment vertical="center"/>
    </xf>
    <xf numFmtId="1" fontId="5" fillId="2" borderId="0" xfId="0" applyNumberFormat="1" applyFont="1" applyFill="1">
      <alignment vertical="center"/>
    </xf>
    <xf numFmtId="0" fontId="14" fillId="0" borderId="0" xfId="0" applyFont="1">
      <alignment vertical="center"/>
    </xf>
    <xf numFmtId="1" fontId="14" fillId="0" borderId="0" xfId="0" applyNumberFormat="1" applyFont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15" fillId="0" borderId="0" xfId="0" applyFont="1">
      <alignment vertical="center"/>
    </xf>
    <xf numFmtId="177" fontId="15" fillId="0" borderId="0" xfId="0" applyNumberFormat="1" applyFont="1">
      <alignment vertical="center"/>
    </xf>
    <xf numFmtId="0" fontId="16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2" xfId="0" applyFont="1" applyFill="1" applyBorder="1" applyAlignment="1">
      <alignment horizontal="centerContinuous"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0" fontId="15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19" fillId="0" borderId="0" xfId="0" applyFont="1" applyAlignment="1">
      <alignment horizontal="center" vertical="center" readingOrder="1"/>
    </xf>
    <xf numFmtId="0" fontId="20" fillId="0" borderId="0" xfId="0" applyFont="1" applyFill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" fontId="21" fillId="0" borderId="0" xfId="0" applyNumberFormat="1" applyFont="1">
      <alignment vertical="center"/>
    </xf>
    <xf numFmtId="0" fontId="15" fillId="0" borderId="0" xfId="0" applyFont="1" applyAlignment="1">
      <alignment horizontal="center" vertical="center" readingOrder="1"/>
    </xf>
    <xf numFmtId="0" fontId="5" fillId="0" borderId="2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 readingOrder="1"/>
    </xf>
    <xf numFmtId="0" fontId="18" fillId="0" borderId="0" xfId="0" applyFont="1" applyAlignment="1">
      <alignment horizontal="right" vertical="center" readingOrder="1"/>
    </xf>
    <xf numFmtId="1" fontId="1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461111111111111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全国!$F$1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426946631671047E-2"/>
                  <c:y val="-0.77739938757655291"/>
                </c:manualLayout>
              </c:layout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全国!$D$2:$D$14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全国!$F$2:$F$14</c:f>
              <c:numCache>
                <c:formatCode>General</c:formatCode>
                <c:ptCount val="13"/>
                <c:pt idx="0">
                  <c:v>2.0482574824548943</c:v>
                </c:pt>
                <c:pt idx="1">
                  <c:v>1.7555194868047874</c:v>
                </c:pt>
                <c:pt idx="2">
                  <c:v>1.4818850851819119</c:v>
                </c:pt>
                <c:pt idx="3">
                  <c:v>1.2358343780057464</c:v>
                </c:pt>
                <c:pt idx="4">
                  <c:v>0.97193372267978473</c:v>
                </c:pt>
                <c:pt idx="5">
                  <c:v>0.71568964763336085</c:v>
                </c:pt>
                <c:pt idx="6">
                  <c:v>0.44763249194464017</c:v>
                </c:pt>
                <c:pt idx="7">
                  <c:v>0.14401984822652761</c:v>
                </c:pt>
                <c:pt idx="8">
                  <c:v>-0.13812394037092018</c:v>
                </c:pt>
                <c:pt idx="9">
                  <c:v>-0.38258008938828053</c:v>
                </c:pt>
                <c:pt idx="10">
                  <c:v>-0.65888343847603847</c:v>
                </c:pt>
                <c:pt idx="11">
                  <c:v>-0.89316486296993969</c:v>
                </c:pt>
                <c:pt idx="12">
                  <c:v>-1.1879875858876436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4B3E-BF1B-5B63AC6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97583"/>
        <c:axId val="891393007"/>
      </c:scatterChart>
      <c:valAx>
        <c:axId val="89139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93007"/>
        <c:crosses val="autoZero"/>
        <c:crossBetween val="midCat"/>
      </c:valAx>
      <c:valAx>
        <c:axId val="8913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9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4805555555555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全国2!$E$1</c:f>
              <c:strCache>
                <c:ptCount val="1"/>
                <c:pt idx="0">
                  <c:v>lnM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2554680664916"/>
                  <c:y val="-0.75770158938466026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全国2!$C$2:$C$22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全国2!$E$2:$E$22</c:f>
              <c:numCache>
                <c:formatCode>General</c:formatCode>
                <c:ptCount val="21"/>
                <c:pt idx="0">
                  <c:v>5.1443582940873114</c:v>
                </c:pt>
                <c:pt idx="1">
                  <c:v>4.8469677923357777</c:v>
                </c:pt>
                <c:pt idx="2">
                  <c:v>4.7279161118008926</c:v>
                </c:pt>
                <c:pt idx="3">
                  <c:v>4.4646647925866496</c:v>
                </c:pt>
                <c:pt idx="4">
                  <c:v>4.0853944620671641</c:v>
                </c:pt>
                <c:pt idx="5">
                  <c:v>3.6374486144201517</c:v>
                </c:pt>
                <c:pt idx="6">
                  <c:v>3.1950244889614985</c:v>
                </c:pt>
                <c:pt idx="7">
                  <c:v>2.8500969709929391</c:v>
                </c:pt>
                <c:pt idx="8">
                  <c:v>2.3140643285278979</c:v>
                </c:pt>
                <c:pt idx="9">
                  <c:v>2.0013957191928173</c:v>
                </c:pt>
                <c:pt idx="10">
                  <c:v>1.9972227383389902</c:v>
                </c:pt>
                <c:pt idx="11">
                  <c:v>1.702448601507875</c:v>
                </c:pt>
                <c:pt idx="12">
                  <c:v>1.4262832598690354</c:v>
                </c:pt>
                <c:pt idx="13">
                  <c:v>1.1772751082088473</c:v>
                </c:pt>
                <c:pt idx="14">
                  <c:v>0.90926517136419605</c:v>
                </c:pt>
                <c:pt idx="15">
                  <c:v>0.64782261799422114</c:v>
                </c:pt>
                <c:pt idx="16">
                  <c:v>0.37265192820671916</c:v>
                </c:pt>
                <c:pt idx="17">
                  <c:v>5.8210577633589715E-2</c:v>
                </c:pt>
                <c:pt idx="18">
                  <c:v>-0.2375793183479166</c:v>
                </c:pt>
                <c:pt idx="19">
                  <c:v>-0.49763385084523071</c:v>
                </c:pt>
                <c:pt idx="20">
                  <c:v>-0.75407710673604911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F-4C7B-9787-5CC98008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40224"/>
        <c:axId val="649427328"/>
      </c:scatterChart>
      <c:valAx>
        <c:axId val="649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27328"/>
        <c:crosses val="autoZero"/>
        <c:crossBetween val="midCat"/>
      </c:valAx>
      <c:valAx>
        <c:axId val="649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全国累计确诊人数增长速度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全国2!$G$1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全国2!$C$2:$C$46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全国2!$G$2:$G$46</c:f>
              <c:numCache>
                <c:formatCode>0</c:formatCode>
                <c:ptCount val="45"/>
                <c:pt idx="1">
                  <c:v>106.36149149927155</c:v>
                </c:pt>
                <c:pt idx="2">
                  <c:v>142.50827246708803</c:v>
                </c:pt>
                <c:pt idx="3">
                  <c:v>190.61259029235339</c:v>
                </c:pt>
                <c:pt idx="4">
                  <c:v>254.3712584567038</c:v>
                </c:pt>
                <c:pt idx="5">
                  <c:v>338.42084961461933</c:v>
                </c:pt>
                <c:pt idx="6">
                  <c:v>448.41599650681496</c:v>
                </c:pt>
                <c:pt idx="7">
                  <c:v>590.9732718671778</c:v>
                </c:pt>
                <c:pt idx="8">
                  <c:v>773.3514889768594</c:v>
                </c:pt>
                <c:pt idx="9">
                  <c:v>1002.681401695138</c:v>
                </c:pt>
                <c:pt idx="10">
                  <c:v>1284.5176355465783</c:v>
                </c:pt>
                <c:pt idx="11">
                  <c:v>1620.5233865095306</c:v>
                </c:pt>
                <c:pt idx="12">
                  <c:v>2005.315741183731</c:v>
                </c:pt>
                <c:pt idx="13">
                  <c:v>2423.0052530496105</c:v>
                </c:pt>
                <c:pt idx="14">
                  <c:v>2844.7478234539703</c:v>
                </c:pt>
                <c:pt idx="15">
                  <c:v>3229.3460670282602</c:v>
                </c:pt>
                <c:pt idx="16">
                  <c:v>3528.8049267358656</c:v>
                </c:pt>
                <c:pt idx="17">
                  <c:v>3698.9551260086009</c:v>
                </c:pt>
                <c:pt idx="18">
                  <c:v>3712.0740604747152</c:v>
                </c:pt>
                <c:pt idx="19">
                  <c:v>3565.9456843416265</c:v>
                </c:pt>
                <c:pt idx="20">
                  <c:v>3284.6190168137618</c:v>
                </c:pt>
                <c:pt idx="21">
                  <c:v>2910.4460607303336</c:v>
                </c:pt>
                <c:pt idx="22">
                  <c:v>2491.6304980808709</c:v>
                </c:pt>
                <c:pt idx="23">
                  <c:v>2070.9861461103792</c:v>
                </c:pt>
                <c:pt idx="24">
                  <c:v>1679.49953174041</c:v>
                </c:pt>
                <c:pt idx="25">
                  <c:v>1335.0347937969273</c:v>
                </c:pt>
                <c:pt idx="26">
                  <c:v>1044.4399666741083</c:v>
                </c:pt>
                <c:pt idx="27">
                  <c:v>806.9560318057338</c:v>
                </c:pt>
                <c:pt idx="28">
                  <c:v>617.47479793414095</c:v>
                </c:pt>
                <c:pt idx="29">
                  <c:v>469.00064621523052</c:v>
                </c:pt>
                <c:pt idx="30">
                  <c:v>354.2284282120163</c:v>
                </c:pt>
                <c:pt idx="31">
                  <c:v>266.40724039581255</c:v>
                </c:pt>
                <c:pt idx="32">
                  <c:v>199.71861528976297</c:v>
                </c:pt>
                <c:pt idx="33">
                  <c:v>149.36489482171601</c:v>
                </c:pt>
                <c:pt idx="34">
                  <c:v>111.50609523440653</c:v>
                </c:pt>
                <c:pt idx="35">
                  <c:v>83.13163224550226</c:v>
                </c:pt>
                <c:pt idx="36">
                  <c:v>61.915553030674346</c:v>
                </c:pt>
                <c:pt idx="37">
                  <c:v>46.079710094003531</c:v>
                </c:pt>
                <c:pt idx="38">
                  <c:v>34.275118226396444</c:v>
                </c:pt>
                <c:pt idx="39">
                  <c:v>25.484087686854764</c:v>
                </c:pt>
                <c:pt idx="40">
                  <c:v>18.942009656791924</c:v>
                </c:pt>
                <c:pt idx="41">
                  <c:v>14.076154720591148</c:v>
                </c:pt>
                <c:pt idx="42">
                  <c:v>10.458477113745175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628-A323-39E44371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65136"/>
        <c:axId val="486177200"/>
      </c:scatterChart>
      <c:valAx>
        <c:axId val="4861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77200"/>
        <c:crosses val="autoZero"/>
        <c:crossBetween val="midCat"/>
      </c:valAx>
      <c:valAx>
        <c:axId val="4861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全国累计确诊人数增长加速度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全国2!$H$1</c:f>
              <c:strCache>
                <c:ptCount val="1"/>
                <c:pt idx="0">
                  <c:v>加速度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全国2!$C$2:$C$46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全国2!$H$2:$H$46</c:f>
              <c:numCache>
                <c:formatCode>0</c:formatCode>
                <c:ptCount val="45"/>
                <c:pt idx="2">
                  <c:v>36.146780967816483</c:v>
                </c:pt>
                <c:pt idx="3">
                  <c:v>48.104317825265355</c:v>
                </c:pt>
                <c:pt idx="4">
                  <c:v>63.758668164350411</c:v>
                </c:pt>
                <c:pt idx="5">
                  <c:v>84.049591157915529</c:v>
                </c:pt>
                <c:pt idx="6">
                  <c:v>109.99514689219563</c:v>
                </c:pt>
                <c:pt idx="7">
                  <c:v>142.55727536036284</c:v>
                </c:pt>
                <c:pt idx="8">
                  <c:v>182.3782171096816</c:v>
                </c:pt>
                <c:pt idx="9">
                  <c:v>229.32991271827859</c:v>
                </c:pt>
                <c:pt idx="10">
                  <c:v>281.83623385144028</c:v>
                </c:pt>
                <c:pt idx="11">
                  <c:v>336.00575096295233</c:v>
                </c:pt>
                <c:pt idx="12">
                  <c:v>384.7923546742004</c:v>
                </c:pt>
                <c:pt idx="13">
                  <c:v>417.68951186587947</c:v>
                </c:pt>
                <c:pt idx="14">
                  <c:v>421.74257040435987</c:v>
                </c:pt>
                <c:pt idx="15">
                  <c:v>384.59824357428988</c:v>
                </c:pt>
                <c:pt idx="16">
                  <c:v>299.45885970760537</c:v>
                </c:pt>
                <c:pt idx="17">
                  <c:v>170.15019927273534</c:v>
                </c:pt>
                <c:pt idx="18">
                  <c:v>13.118934466114297</c:v>
                </c:pt>
                <c:pt idx="19">
                  <c:v>-146.12837613308875</c:v>
                </c:pt>
                <c:pt idx="20">
                  <c:v>-281.32666752786463</c:v>
                </c:pt>
                <c:pt idx="21">
                  <c:v>-374.17295608342829</c:v>
                </c:pt>
                <c:pt idx="22">
                  <c:v>-418.81556264946266</c:v>
                </c:pt>
                <c:pt idx="23">
                  <c:v>-420.6443519704917</c:v>
                </c:pt>
                <c:pt idx="24">
                  <c:v>-391.48661436996917</c:v>
                </c:pt>
                <c:pt idx="25">
                  <c:v>-344.46473794348276</c:v>
                </c:pt>
                <c:pt idx="26">
                  <c:v>-290.59482712281897</c:v>
                </c:pt>
                <c:pt idx="27">
                  <c:v>-237.48393486837449</c:v>
                </c:pt>
                <c:pt idx="28">
                  <c:v>-189.48123387159285</c:v>
                </c:pt>
                <c:pt idx="29">
                  <c:v>-148.47415171891043</c:v>
                </c:pt>
                <c:pt idx="30">
                  <c:v>-114.77221800321422</c:v>
                </c:pt>
                <c:pt idx="31">
                  <c:v>-87.821187816203746</c:v>
                </c:pt>
                <c:pt idx="32">
                  <c:v>-66.688625106049585</c:v>
                </c:pt>
                <c:pt idx="33">
                  <c:v>-50.353720468046959</c:v>
                </c:pt>
                <c:pt idx="34">
                  <c:v>-37.858799587309477</c:v>
                </c:pt>
                <c:pt idx="35">
                  <c:v>-28.37446298890427</c:v>
                </c:pt>
                <c:pt idx="36">
                  <c:v>-21.216079214827914</c:v>
                </c:pt>
                <c:pt idx="37">
                  <c:v>-15.835842936670815</c:v>
                </c:pt>
                <c:pt idx="38">
                  <c:v>-11.804591867607087</c:v>
                </c:pt>
                <c:pt idx="39">
                  <c:v>-8.7910305395416799</c:v>
                </c:pt>
                <c:pt idx="40">
                  <c:v>-6.5420780300628394</c:v>
                </c:pt>
                <c:pt idx="41">
                  <c:v>-4.8658549362007761</c:v>
                </c:pt>
                <c:pt idx="42">
                  <c:v>-3.6176776068459731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D-4527-BA68-C093CE42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66320"/>
        <c:axId val="421376304"/>
      </c:scatterChart>
      <c:valAx>
        <c:axId val="4213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76304"/>
        <c:crosses val="autoZero"/>
        <c:crossBetween val="midCat"/>
      </c:valAx>
      <c:valAx>
        <c:axId val="4213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全国2!$T$5:$T$25</c:f>
              <c:numCache>
                <c:formatCode>General</c:formatCode>
                <c:ptCount val="21"/>
              </c:numCache>
            </c:numRef>
          </c:xVal>
          <c:yVal>
            <c:numRef>
              <c:f>全国2!$V$5:$V$25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F-44B5-9316-882445E5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71072"/>
        <c:axId val="849961088"/>
      </c:scatterChart>
      <c:valAx>
        <c:axId val="8499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961088"/>
        <c:crosses val="autoZero"/>
        <c:crossBetween val="midCat"/>
      </c:valAx>
      <c:valAx>
        <c:axId val="849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9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3138888888888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全国2!$E$1</c:f>
              <c:strCache>
                <c:ptCount val="1"/>
                <c:pt idx="0">
                  <c:v>lnM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0853018372703"/>
                  <c:y val="-0.7966393263342082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全国2!$C$2:$C$24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全国2!$E$2:$E$24</c:f>
              <c:numCache>
                <c:formatCode>General</c:formatCode>
                <c:ptCount val="23"/>
                <c:pt idx="0">
                  <c:v>5.1443582940873114</c:v>
                </c:pt>
                <c:pt idx="1">
                  <c:v>4.8469677923357777</c:v>
                </c:pt>
                <c:pt idx="2">
                  <c:v>4.7279161118008926</c:v>
                </c:pt>
                <c:pt idx="3">
                  <c:v>4.4646647925866496</c:v>
                </c:pt>
                <c:pt idx="4">
                  <c:v>4.0853944620671641</c:v>
                </c:pt>
                <c:pt idx="5">
                  <c:v>3.6374486144201517</c:v>
                </c:pt>
                <c:pt idx="6">
                  <c:v>3.1950244889614985</c:v>
                </c:pt>
                <c:pt idx="7">
                  <c:v>2.8500969709929391</c:v>
                </c:pt>
                <c:pt idx="8">
                  <c:v>2.3140643285278979</c:v>
                </c:pt>
                <c:pt idx="9">
                  <c:v>2.0013957191928173</c:v>
                </c:pt>
                <c:pt idx="10">
                  <c:v>1.9972227383389902</c:v>
                </c:pt>
                <c:pt idx="11">
                  <c:v>1.702448601507875</c:v>
                </c:pt>
                <c:pt idx="12">
                  <c:v>1.4262832598690354</c:v>
                </c:pt>
                <c:pt idx="13">
                  <c:v>1.1772751082088473</c:v>
                </c:pt>
                <c:pt idx="14">
                  <c:v>0.90926517136419605</c:v>
                </c:pt>
                <c:pt idx="15">
                  <c:v>0.64782261799422114</c:v>
                </c:pt>
                <c:pt idx="16">
                  <c:v>0.37265192820671916</c:v>
                </c:pt>
                <c:pt idx="17">
                  <c:v>5.8210577633589715E-2</c:v>
                </c:pt>
                <c:pt idx="18">
                  <c:v>-0.2375793183479166</c:v>
                </c:pt>
                <c:pt idx="19">
                  <c:v>-0.49763385084523071</c:v>
                </c:pt>
                <c:pt idx="20">
                  <c:v>-0.75407710673604911</c:v>
                </c:pt>
                <c:pt idx="21">
                  <c:v>-1.0577208172204242</c:v>
                </c:pt>
                <c:pt idx="22">
                  <c:v>-1.3970367133985788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F-4C37-92B5-4868C5BB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91759"/>
        <c:axId val="891390511"/>
      </c:scatterChart>
      <c:valAx>
        <c:axId val="8913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90511"/>
        <c:crosses val="autoZero"/>
        <c:crossBetween val="midCat"/>
      </c:valAx>
      <c:valAx>
        <c:axId val="8913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全国2!$AM$25</c:f>
              <c:strCache>
                <c:ptCount val="1"/>
                <c:pt idx="0">
                  <c:v>标准残差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全国2!$AM$26:$AM$47</c:f>
              <c:numCache>
                <c:formatCode>General</c:formatCode>
                <c:ptCount val="22"/>
                <c:pt idx="0">
                  <c:v>4.1522060872968773E-2</c:v>
                </c:pt>
                <c:pt idx="1">
                  <c:v>-0.13784759147851927</c:v>
                </c:pt>
                <c:pt idx="2">
                  <c:v>1.7675952754455607E-2</c:v>
                </c:pt>
                <c:pt idx="3">
                  <c:v>0.22629869323676485</c:v>
                </c:pt>
                <c:pt idx="4">
                  <c:v>0.51482026790194779</c:v>
                </c:pt>
                <c:pt idx="5">
                  <c:v>0.75890516566804045</c:v>
                </c:pt>
                <c:pt idx="6">
                  <c:v>0.5297686683263817</c:v>
                </c:pt>
                <c:pt idx="7">
                  <c:v>2.3608902321049867</c:v>
                </c:pt>
                <c:pt idx="8">
                  <c:v>0.68021740803746267</c:v>
                </c:pt>
                <c:pt idx="9">
                  <c:v>-3.3321957504340585</c:v>
                </c:pt>
                <c:pt idx="10">
                  <c:v>0.56191429156433093</c:v>
                </c:pt>
                <c:pt idx="11">
                  <c:v>0.30745478593562808</c:v>
                </c:pt>
                <c:pt idx="12">
                  <c:v>-0.25788444402051525</c:v>
                </c:pt>
                <c:pt idx="13">
                  <c:v>8.3651839769630476E-2</c:v>
                </c:pt>
                <c:pt idx="14">
                  <c:v>-0.1717081146876987</c:v>
                </c:pt>
                <c:pt idx="15">
                  <c:v>8.0663295756194159E-2</c:v>
                </c:pt>
                <c:pt idx="16">
                  <c:v>1.0629043065473982</c:v>
                </c:pt>
                <c:pt idx="17">
                  <c:v>0.35271462591461694</c:v>
                </c:pt>
                <c:pt idx="18">
                  <c:v>-0.78314649251834045</c:v>
                </c:pt>
                <c:pt idx="19">
                  <c:v>-0.94425523879169648</c:v>
                </c:pt>
                <c:pt idx="20">
                  <c:v>8.1530030799519995E-2</c:v>
                </c:pt>
                <c:pt idx="21">
                  <c:v>0.61690081211052905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6-4E92-B445-8F4F4C63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09647"/>
        <c:axId val="891410479"/>
      </c:scatterChart>
      <c:valAx>
        <c:axId val="89140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10479"/>
        <c:crosses val="autoZero"/>
        <c:crossBetween val="midCat"/>
      </c:valAx>
      <c:valAx>
        <c:axId val="8914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0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全国2!$AB$1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全国2!$AA$2:$AA$24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全国2!$AB$2:$AB$24</c:f>
              <c:numCache>
                <c:formatCode>General</c:formatCode>
                <c:ptCount val="23"/>
                <c:pt idx="0">
                  <c:v>291</c:v>
                </c:pt>
                <c:pt idx="1">
                  <c:v>391</c:v>
                </c:pt>
                <c:pt idx="2">
                  <c:v>440</c:v>
                </c:pt>
                <c:pt idx="3">
                  <c:v>571</c:v>
                </c:pt>
                <c:pt idx="4">
                  <c:v>830</c:v>
                </c:pt>
                <c:pt idx="5">
                  <c:v>1287</c:v>
                </c:pt>
                <c:pt idx="6">
                  <c:v>1975</c:v>
                </c:pt>
                <c:pt idx="7">
                  <c:v>2744</c:v>
                </c:pt>
                <c:pt idx="8">
                  <c:v>4515</c:v>
                </c:pt>
                <c:pt idx="9">
                  <c:v>5975</c:v>
                </c:pt>
                <c:pt idx="10">
                  <c:v>5997</c:v>
                </c:pt>
                <c:pt idx="11">
                  <c:v>7736</c:v>
                </c:pt>
                <c:pt idx="12">
                  <c:v>9720</c:v>
                </c:pt>
                <c:pt idx="13">
                  <c:v>11821</c:v>
                </c:pt>
                <c:pt idx="14">
                  <c:v>14411</c:v>
                </c:pt>
                <c:pt idx="15">
                  <c:v>17238</c:v>
                </c:pt>
                <c:pt idx="16">
                  <c:v>20471</c:v>
                </c:pt>
                <c:pt idx="17">
                  <c:v>24363</c:v>
                </c:pt>
                <c:pt idx="18">
                  <c:v>28060</c:v>
                </c:pt>
                <c:pt idx="19">
                  <c:v>31211</c:v>
                </c:pt>
                <c:pt idx="20">
                  <c:v>34130</c:v>
                </c:pt>
                <c:pt idx="21">
                  <c:v>37251</c:v>
                </c:pt>
                <c:pt idx="22">
                  <c:v>40235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6-42BA-B0C2-B3F05EA0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06319"/>
        <c:axId val="891406735"/>
      </c:scatterChart>
      <c:valAx>
        <c:axId val="89140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06735"/>
        <c:crosses val="autoZero"/>
        <c:crossBetween val="midCat"/>
      </c:valAx>
      <c:valAx>
        <c:axId val="891406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0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全国累计确诊人数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全国2!$D$1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全国2!$C$2:$C$47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全国2!$D$2:$D$47</c:f>
              <c:numCache>
                <c:formatCode>General</c:formatCode>
                <c:ptCount val="46"/>
                <c:pt idx="0">
                  <c:v>291</c:v>
                </c:pt>
                <c:pt idx="1">
                  <c:v>391</c:v>
                </c:pt>
                <c:pt idx="2">
                  <c:v>440</c:v>
                </c:pt>
                <c:pt idx="3">
                  <c:v>571</c:v>
                </c:pt>
                <c:pt idx="4">
                  <c:v>830</c:v>
                </c:pt>
                <c:pt idx="5">
                  <c:v>1287</c:v>
                </c:pt>
                <c:pt idx="6">
                  <c:v>1975</c:v>
                </c:pt>
                <c:pt idx="7">
                  <c:v>2744</c:v>
                </c:pt>
                <c:pt idx="8">
                  <c:v>4515</c:v>
                </c:pt>
                <c:pt idx="9">
                  <c:v>5975</c:v>
                </c:pt>
                <c:pt idx="10">
                  <c:v>5997</c:v>
                </c:pt>
                <c:pt idx="11">
                  <c:v>7736</c:v>
                </c:pt>
                <c:pt idx="12">
                  <c:v>9720</c:v>
                </c:pt>
                <c:pt idx="13">
                  <c:v>11821</c:v>
                </c:pt>
                <c:pt idx="14">
                  <c:v>14411</c:v>
                </c:pt>
                <c:pt idx="15">
                  <c:v>17238</c:v>
                </c:pt>
                <c:pt idx="16">
                  <c:v>20471</c:v>
                </c:pt>
                <c:pt idx="17">
                  <c:v>24363</c:v>
                </c:pt>
                <c:pt idx="18">
                  <c:v>28060</c:v>
                </c:pt>
                <c:pt idx="19">
                  <c:v>31211</c:v>
                </c:pt>
                <c:pt idx="20">
                  <c:v>34130</c:v>
                </c:pt>
                <c:pt idx="21">
                  <c:v>37251</c:v>
                </c:pt>
                <c:pt idx="22">
                  <c:v>40235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F36-87EC-CE4EEA600DAA}"/>
            </c:ext>
          </c:extLst>
        </c:ser>
        <c:ser>
          <c:idx val="1"/>
          <c:order val="1"/>
          <c:tx>
            <c:strRef>
              <c:f>全国2!$F$1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全国2!$C$2:$C$47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全国2!$F$2:$F$47</c:f>
              <c:numCache>
                <c:formatCode>0</c:formatCode>
                <c:ptCount val="46"/>
                <c:pt idx="0">
                  <c:v>309.46403966291547</c:v>
                </c:pt>
                <c:pt idx="1">
                  <c:v>415.82553116218702</c:v>
                </c:pt>
                <c:pt idx="2">
                  <c:v>558.33380362927505</c:v>
                </c:pt>
                <c:pt idx="3">
                  <c:v>748.94639392162844</c:v>
                </c:pt>
                <c:pt idx="4">
                  <c:v>1003.3176523783322</c:v>
                </c:pt>
                <c:pt idx="5">
                  <c:v>1341.7385019929516</c:v>
                </c:pt>
                <c:pt idx="6">
                  <c:v>1790.1544984997665</c:v>
                </c:pt>
                <c:pt idx="7">
                  <c:v>2381.1277703669443</c:v>
                </c:pt>
                <c:pt idx="8">
                  <c:v>3154.4792593438037</c:v>
                </c:pt>
                <c:pt idx="9">
                  <c:v>4157.1606610389417</c:v>
                </c:pt>
                <c:pt idx="10">
                  <c:v>5441.67829658552</c:v>
                </c:pt>
                <c:pt idx="11">
                  <c:v>7062.2016830950506</c:v>
                </c:pt>
                <c:pt idx="12">
                  <c:v>9067.5174242787816</c:v>
                </c:pt>
                <c:pt idx="13">
                  <c:v>11490.522677328392</c:v>
                </c:pt>
                <c:pt idx="14">
                  <c:v>14335.270500782362</c:v>
                </c:pt>
                <c:pt idx="15">
                  <c:v>17564.616567810623</c:v>
                </c:pt>
                <c:pt idx="16">
                  <c:v>21093.421494546488</c:v>
                </c:pt>
                <c:pt idx="17">
                  <c:v>24792.376620555089</c:v>
                </c:pt>
                <c:pt idx="18">
                  <c:v>28504.450681029804</c:v>
                </c:pt>
                <c:pt idx="19">
                  <c:v>32070.396365371431</c:v>
                </c:pt>
                <c:pt idx="20">
                  <c:v>35355.015382185193</c:v>
                </c:pt>
                <c:pt idx="21">
                  <c:v>38265.461442915526</c:v>
                </c:pt>
                <c:pt idx="22">
                  <c:v>40757.091940996397</c:v>
                </c:pt>
                <c:pt idx="23">
                  <c:v>42828.078087106776</c:v>
                </c:pt>
                <c:pt idx="24">
                  <c:v>44507.577618847186</c:v>
                </c:pt>
                <c:pt idx="25">
                  <c:v>45842.612412644114</c:v>
                </c:pt>
                <c:pt idx="26">
                  <c:v>46887.052379318222</c:v>
                </c:pt>
                <c:pt idx="27">
                  <c:v>47694.008411123956</c:v>
                </c:pt>
                <c:pt idx="28">
                  <c:v>48311.483209058097</c:v>
                </c:pt>
                <c:pt idx="29">
                  <c:v>48780.483855273327</c:v>
                </c:pt>
                <c:pt idx="30">
                  <c:v>49134.712283485344</c:v>
                </c:pt>
                <c:pt idx="31">
                  <c:v>49401.119523881156</c:v>
                </c:pt>
                <c:pt idx="32">
                  <c:v>49600.838139170919</c:v>
                </c:pt>
                <c:pt idx="33">
                  <c:v>49750.203033992635</c:v>
                </c:pt>
                <c:pt idx="34">
                  <c:v>49861.709129227042</c:v>
                </c:pt>
                <c:pt idx="35">
                  <c:v>49944.840761472544</c:v>
                </c:pt>
                <c:pt idx="36">
                  <c:v>50006.756314503218</c:v>
                </c:pt>
                <c:pt idx="37">
                  <c:v>50052.836024597222</c:v>
                </c:pt>
                <c:pt idx="38">
                  <c:v>50087.111142823618</c:v>
                </c:pt>
                <c:pt idx="39">
                  <c:v>50112.595230510473</c:v>
                </c:pt>
                <c:pt idx="40">
                  <c:v>50131.537240167265</c:v>
                </c:pt>
                <c:pt idx="41">
                  <c:v>50145.613394887856</c:v>
                </c:pt>
                <c:pt idx="42">
                  <c:v>50156.071872001601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F36-87EC-CE4EEA60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62832"/>
        <c:axId val="1465676976"/>
      </c:scatterChart>
      <c:valAx>
        <c:axId val="14656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76976"/>
        <c:crosses val="autoZero"/>
        <c:crossBetween val="midCat"/>
      </c:valAx>
      <c:valAx>
        <c:axId val="14656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18333333333333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北京!$F$1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51574803149608E-2"/>
                  <c:y val="-0.72390128317293667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北京!$F$2:$F$11</c:f>
              <c:numCache>
                <c:formatCode>General</c:formatCode>
                <c:ptCount val="10"/>
                <c:pt idx="0">
                  <c:v>0.88518117828950504</c:v>
                </c:pt>
                <c:pt idx="1">
                  <c:v>0.7610375161027968</c:v>
                </c:pt>
                <c:pt idx="2">
                  <c:v>0.55032300035996318</c:v>
                </c:pt>
                <c:pt idx="3">
                  <c:v>7.3717575896567647E-2</c:v>
                </c:pt>
                <c:pt idx="4">
                  <c:v>-0.23262229526875347</c:v>
                </c:pt>
                <c:pt idx="5">
                  <c:v>-0.40546510810816427</c:v>
                </c:pt>
                <c:pt idx="6">
                  <c:v>-0.68920240226892904</c:v>
                </c:pt>
                <c:pt idx="7">
                  <c:v>-0.94968901227600289</c:v>
                </c:pt>
                <c:pt idx="8">
                  <c:v>-1.274891531006102</c:v>
                </c:pt>
                <c:pt idx="9">
                  <c:v>-1.5781853689299963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5-4108-9F1C-9AAB95BB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799999"/>
        <c:axId val="2000808319"/>
      </c:scatterChart>
      <c:valAx>
        <c:axId val="20007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808319"/>
        <c:crosses val="autoZero"/>
        <c:crossBetween val="midCat"/>
      </c:valAx>
      <c:valAx>
        <c:axId val="20008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7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北京累计确诊人数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北京!$E$1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北京!$D$2:$D$34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北京!$E$2:$E$34</c:f>
              <c:numCache>
                <c:formatCode>General</c:formatCode>
                <c:ptCount val="33"/>
                <c:pt idx="0">
                  <c:v>111</c:v>
                </c:pt>
                <c:pt idx="1">
                  <c:v>121</c:v>
                </c:pt>
                <c:pt idx="2">
                  <c:v>139</c:v>
                </c:pt>
                <c:pt idx="3">
                  <c:v>183</c:v>
                </c:pt>
                <c:pt idx="4">
                  <c:v>212</c:v>
                </c:pt>
                <c:pt idx="5">
                  <c:v>228</c:v>
                </c:pt>
                <c:pt idx="6">
                  <c:v>253</c:v>
                </c:pt>
                <c:pt idx="7">
                  <c:v>274</c:v>
                </c:pt>
                <c:pt idx="8">
                  <c:v>297</c:v>
                </c:pt>
                <c:pt idx="9">
                  <c:v>315</c:v>
                </c:pt>
                <c:pt idx="10">
                  <c:v>326</c:v>
                </c:pt>
                <c:pt idx="1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A-44F1-95CA-C26029AA7D18}"/>
            </c:ext>
          </c:extLst>
        </c:ser>
        <c:ser>
          <c:idx val="1"/>
          <c:order val="1"/>
          <c:tx>
            <c:strRef>
              <c:f>北京!$G$1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北京!$D$2:$D$34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北京!$G$2:$G$34</c:f>
              <c:numCache>
                <c:formatCode>0</c:formatCode>
                <c:ptCount val="33"/>
                <c:pt idx="0">
                  <c:v>103.77248857048944</c:v>
                </c:pt>
                <c:pt idx="1">
                  <c:v>126.26462080106838</c:v>
                </c:pt>
                <c:pt idx="2">
                  <c:v>150.96742748229414</c:v>
                </c:pt>
                <c:pt idx="3">
                  <c:v>177.12936013668156</c:v>
                </c:pt>
                <c:pt idx="4">
                  <c:v>203.79095479581736</c:v>
                </c:pt>
                <c:pt idx="5">
                  <c:v>229.91751761446614</c:v>
                </c:pt>
                <c:pt idx="6">
                  <c:v>254.55483217198994</c:v>
                </c:pt>
                <c:pt idx="7">
                  <c:v>276.96026967808893</c:v>
                </c:pt>
                <c:pt idx="8">
                  <c:v>296.67387395503692</c:v>
                </c:pt>
                <c:pt idx="9">
                  <c:v>313.52116481189012</c:v>
                </c:pt>
                <c:pt idx="10">
                  <c:v>327.56422927874803</c:v>
                </c:pt>
                <c:pt idx="11">
                  <c:v>339.02848495440981</c:v>
                </c:pt>
                <c:pt idx="12">
                  <c:v>348.22936639739544</c:v>
                </c:pt>
                <c:pt idx="13">
                  <c:v>355.51326179651841</c:v>
                </c:pt>
                <c:pt idx="14">
                  <c:v>361.21728762903069</c:v>
                </c:pt>
                <c:pt idx="15">
                  <c:v>365.64624442223834</c:v>
                </c:pt>
                <c:pt idx="16">
                  <c:v>369.06247721741556</c:v>
                </c:pt>
                <c:pt idx="17">
                  <c:v>371.68412899699888</c:v>
                </c:pt>
                <c:pt idx="18">
                  <c:v>373.68813524556015</c:v>
                </c:pt>
                <c:pt idx="19">
                  <c:v>375.2154212868586</c:v>
                </c:pt>
                <c:pt idx="20">
                  <c:v>376.37673215230154</c:v>
                </c:pt>
                <c:pt idx="21">
                  <c:v>377.25822984773373</c:v>
                </c:pt>
                <c:pt idx="22">
                  <c:v>377.926451204888</c:v>
                </c:pt>
                <c:pt idx="23">
                  <c:v>378.4324910272851</c:v>
                </c:pt>
                <c:pt idx="24">
                  <c:v>378.81542130299187</c:v>
                </c:pt>
                <c:pt idx="25">
                  <c:v>379.10502591825036</c:v>
                </c:pt>
                <c:pt idx="26">
                  <c:v>379.323954642589</c:v>
                </c:pt>
                <c:pt idx="27">
                  <c:v>379.48940111205394</c:v>
                </c:pt>
                <c:pt idx="28">
                  <c:v>379.61439954278387</c:v>
                </c:pt>
                <c:pt idx="29">
                  <c:v>379.70882090133364</c:v>
                </c:pt>
                <c:pt idx="30">
                  <c:v>379.78013484607112</c:v>
                </c:pt>
                <c:pt idx="31">
                  <c:v>379.83399061723304</c:v>
                </c:pt>
                <c:pt idx="32">
                  <c:v>379.87465881963209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A-44F1-95CA-C26029AA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36831"/>
        <c:axId val="2040243487"/>
      </c:scatterChart>
      <c:valAx>
        <c:axId val="20402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243487"/>
        <c:crosses val="autoZero"/>
        <c:crossBetween val="midCat"/>
      </c:valAx>
      <c:valAx>
        <c:axId val="20402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23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全国累计人数增长速度</a:t>
            </a:r>
          </a:p>
        </c:rich>
      </c:tx>
      <c:layout>
        <c:manualLayout>
          <c:xMode val="edge"/>
          <c:yMode val="edge"/>
          <c:x val="0.562569825062558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全国!$H$1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全国!$D$2:$D$39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全国!$H$2:$H$39</c:f>
              <c:numCache>
                <c:formatCode>0</c:formatCode>
                <c:ptCount val="38"/>
                <c:pt idx="1">
                  <c:v>1593.5154761799113</c:v>
                </c:pt>
                <c:pt idx="2">
                  <c:v>1926.3966590645787</c:v>
                </c:pt>
                <c:pt idx="3">
                  <c:v>2283.2791196424769</c:v>
                </c:pt>
                <c:pt idx="4">
                  <c:v>2643.7827884582857</c:v>
                </c:pt>
                <c:pt idx="5">
                  <c:v>2979.6512999746428</c:v>
                </c:pt>
                <c:pt idx="6">
                  <c:v>3257.6964675572417</c:v>
                </c:pt>
                <c:pt idx="7">
                  <c:v>3445.4841674149102</c:v>
                </c:pt>
                <c:pt idx="8">
                  <c:v>3518.5875274815044</c:v>
                </c:pt>
                <c:pt idx="9">
                  <c:v>3466.9507322565296</c:v>
                </c:pt>
                <c:pt idx="10">
                  <c:v>3297.708449956157</c:v>
                </c:pt>
                <c:pt idx="11">
                  <c:v>3033.173938337517</c:v>
                </c:pt>
                <c:pt idx="12">
                  <c:v>2704.9204326383042</c:v>
                </c:pt>
                <c:pt idx="13">
                  <c:v>2346.4813168126566</c:v>
                </c:pt>
                <c:pt idx="14">
                  <c:v>1987.2644688240398</c:v>
                </c:pt>
                <c:pt idx="15">
                  <c:v>1649.1108751586435</c:v>
                </c:pt>
                <c:pt idx="16">
                  <c:v>1345.5256071740587</c:v>
                </c:pt>
                <c:pt idx="17">
                  <c:v>1082.7448698941444</c:v>
                </c:pt>
                <c:pt idx="18">
                  <c:v>861.62679197148827</c:v>
                </c:pt>
                <c:pt idx="19">
                  <c:v>679.60321189256501</c:v>
                </c:pt>
                <c:pt idx="20">
                  <c:v>532.28808863760059</c:v>
                </c:pt>
                <c:pt idx="21">
                  <c:v>414.62109343182965</c:v>
                </c:pt>
                <c:pt idx="22">
                  <c:v>321.58503154294885</c:v>
                </c:pt>
                <c:pt idx="23">
                  <c:v>248.59750427498511</c:v>
                </c:pt>
                <c:pt idx="24">
                  <c:v>191.68203237093985</c:v>
                </c:pt>
                <c:pt idx="25">
                  <c:v>147.50443156694382</c:v>
                </c:pt>
                <c:pt idx="26">
                  <c:v>113.33551803048613</c:v>
                </c:pt>
                <c:pt idx="27">
                  <c:v>86.979663727506704</c:v>
                </c:pt>
                <c:pt idx="28">
                  <c:v>66.692733259762463</c:v>
                </c:pt>
                <c:pt idx="29">
                  <c:v>51.102194555423921</c:v>
                </c:pt>
                <c:pt idx="30">
                  <c:v>39.135499661948415</c:v>
                </c:pt>
                <c:pt idx="31">
                  <c:v>29.958929524007544</c:v>
                </c:pt>
                <c:pt idx="32">
                  <c:v>22.926988888160849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0-49E0-9886-0D0D62B3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9311"/>
        <c:axId val="750543487"/>
      </c:scatterChart>
      <c:valAx>
        <c:axId val="7505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543487"/>
        <c:crosses val="autoZero"/>
        <c:crossBetween val="midCat"/>
      </c:valAx>
      <c:valAx>
        <c:axId val="7505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5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北京速度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北京!$H$1</c:f>
              <c:strCache>
                <c:ptCount val="1"/>
                <c:pt idx="0">
                  <c:v>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北京!$D$2:$D$34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北京!$H$2:$H$34</c:f>
              <c:numCache>
                <c:formatCode>0.0</c:formatCode>
                <c:ptCount val="33"/>
                <c:pt idx="1">
                  <c:v>22.492132230578932</c:v>
                </c:pt>
                <c:pt idx="2">
                  <c:v>24.702806681225766</c:v>
                </c:pt>
                <c:pt idx="3">
                  <c:v>26.161932654387414</c:v>
                </c:pt>
                <c:pt idx="4">
                  <c:v>26.661594659135801</c:v>
                </c:pt>
                <c:pt idx="5">
                  <c:v>26.126562818648779</c:v>
                </c:pt>
                <c:pt idx="6">
                  <c:v>24.637314557523808</c:v>
                </c:pt>
                <c:pt idx="7">
                  <c:v>22.405437506098991</c:v>
                </c:pt>
                <c:pt idx="8">
                  <c:v>19.71360427694799</c:v>
                </c:pt>
                <c:pt idx="9">
                  <c:v>16.847290856853192</c:v>
                </c:pt>
                <c:pt idx="10">
                  <c:v>14.043064466857913</c:v>
                </c:pt>
                <c:pt idx="11">
                  <c:v>11.464255675661775</c:v>
                </c:pt>
                <c:pt idx="12">
                  <c:v>9.2008814429856329</c:v>
                </c:pt>
                <c:pt idx="13">
                  <c:v>7.2838953991229687</c:v>
                </c:pt>
                <c:pt idx="14">
                  <c:v>5.7040258325122863</c:v>
                </c:pt>
                <c:pt idx="15">
                  <c:v>4.4289567932076466</c:v>
                </c:pt>
                <c:pt idx="16">
                  <c:v>3.4162327951772227</c:v>
                </c:pt>
                <c:pt idx="17">
                  <c:v>2.621651779583317</c:v>
                </c:pt>
                <c:pt idx="18">
                  <c:v>2.004006248561268</c:v>
                </c:pt>
                <c:pt idx="19">
                  <c:v>1.5272860412984528</c:v>
                </c:pt>
                <c:pt idx="20">
                  <c:v>1.1613108654429425</c:v>
                </c:pt>
                <c:pt idx="21">
                  <c:v>0.88149769543218781</c:v>
                </c:pt>
                <c:pt idx="22">
                  <c:v>0.66822135715426612</c:v>
                </c:pt>
                <c:pt idx="23">
                  <c:v>0.50603982239709921</c:v>
                </c:pt>
                <c:pt idx="24">
                  <c:v>0.38293027570676941</c:v>
                </c:pt>
                <c:pt idx="25">
                  <c:v>0.28960461525849723</c:v>
                </c:pt>
                <c:pt idx="26">
                  <c:v>0.21892872433863886</c:v>
                </c:pt>
                <c:pt idx="27">
                  <c:v>0.16544646946493913</c:v>
                </c:pt>
                <c:pt idx="28">
                  <c:v>0.12499843072993144</c:v>
                </c:pt>
                <c:pt idx="29">
                  <c:v>9.442135854976641E-2</c:v>
                </c:pt>
                <c:pt idx="30">
                  <c:v>7.1313944737482871E-2</c:v>
                </c:pt>
                <c:pt idx="31">
                  <c:v>5.3855771161920529E-2</c:v>
                </c:pt>
                <c:pt idx="32">
                  <c:v>4.0668202399047004E-2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4-4417-A739-C86D663D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32447"/>
        <c:axId val="2046225375"/>
      </c:scatterChart>
      <c:valAx>
        <c:axId val="20462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225375"/>
        <c:crosses val="autoZero"/>
        <c:crossBetween val="midCat"/>
      </c:valAx>
      <c:valAx>
        <c:axId val="20462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23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北京加速度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北京!$I$1</c:f>
              <c:strCache>
                <c:ptCount val="1"/>
                <c:pt idx="0">
                  <c:v>加速度2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北京!$D$2:$D$34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北京!$I$2:$I$34</c:f>
              <c:numCache>
                <c:formatCode>0.0</c:formatCode>
                <c:ptCount val="33"/>
                <c:pt idx="2">
                  <c:v>2.2106744506468345</c:v>
                </c:pt>
                <c:pt idx="3">
                  <c:v>1.4591259731616475</c:v>
                </c:pt>
                <c:pt idx="4">
                  <c:v>0.49966200474838729</c:v>
                </c:pt>
                <c:pt idx="5">
                  <c:v>-0.53503184048702224</c:v>
                </c:pt>
                <c:pt idx="6">
                  <c:v>-1.4892482611249704</c:v>
                </c:pt>
                <c:pt idx="7">
                  <c:v>-2.2318770514248172</c:v>
                </c:pt>
                <c:pt idx="8">
                  <c:v>-2.6918332291510012</c:v>
                </c:pt>
                <c:pt idx="9">
                  <c:v>-2.8663134200947979</c:v>
                </c:pt>
                <c:pt idx="10">
                  <c:v>-2.8042263899952786</c:v>
                </c:pt>
                <c:pt idx="11">
                  <c:v>-2.5788087911961384</c:v>
                </c:pt>
                <c:pt idx="12">
                  <c:v>-2.2633742326761421</c:v>
                </c:pt>
                <c:pt idx="13">
                  <c:v>-1.9169860438626642</c:v>
                </c:pt>
                <c:pt idx="14">
                  <c:v>-1.5798695666106823</c:v>
                </c:pt>
                <c:pt idx="15">
                  <c:v>-1.2750690393046398</c:v>
                </c:pt>
                <c:pt idx="16">
                  <c:v>-1.0127239980304239</c:v>
                </c:pt>
                <c:pt idx="17">
                  <c:v>-0.7945810155939057</c:v>
                </c:pt>
                <c:pt idx="18">
                  <c:v>-0.617645531022049</c:v>
                </c:pt>
                <c:pt idx="19">
                  <c:v>-0.47672020726281517</c:v>
                </c:pt>
                <c:pt idx="20">
                  <c:v>-0.36597517585551032</c:v>
                </c:pt>
                <c:pt idx="21">
                  <c:v>-0.27981317001075467</c:v>
                </c:pt>
                <c:pt idx="22">
                  <c:v>-0.2132763382779217</c:v>
                </c:pt>
                <c:pt idx="23">
                  <c:v>-0.1621815347571669</c:v>
                </c:pt>
                <c:pt idx="24">
                  <c:v>-0.12310954669032981</c:v>
                </c:pt>
                <c:pt idx="25">
                  <c:v>-9.3325660448272174E-2</c:v>
                </c:pt>
                <c:pt idx="26">
                  <c:v>-7.0675890919858375E-2</c:v>
                </c:pt>
                <c:pt idx="27">
                  <c:v>-5.3482254873699731E-2</c:v>
                </c:pt>
                <c:pt idx="28">
                  <c:v>-4.0448038735007685E-2</c:v>
                </c:pt>
                <c:pt idx="29">
                  <c:v>-3.0577072180165032E-2</c:v>
                </c:pt>
                <c:pt idx="30">
                  <c:v>-2.3107413812283539E-2</c:v>
                </c:pt>
                <c:pt idx="31">
                  <c:v>-1.7458173575562341E-2</c:v>
                </c:pt>
                <c:pt idx="32">
                  <c:v>-1.3187568762873525E-2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4-4042-8A54-F3426E6E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49087"/>
        <c:axId val="2046229951"/>
      </c:scatterChart>
      <c:valAx>
        <c:axId val="20462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229951"/>
        <c:crosses val="autoZero"/>
        <c:crossBetween val="midCat"/>
      </c:valAx>
      <c:valAx>
        <c:axId val="20462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2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北京累计确诊人数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北京!$E$1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北京!$D$2:$D$34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北京!$E$2:$E$34</c:f>
              <c:numCache>
                <c:formatCode>General</c:formatCode>
                <c:ptCount val="33"/>
                <c:pt idx="0">
                  <c:v>111</c:v>
                </c:pt>
                <c:pt idx="1">
                  <c:v>121</c:v>
                </c:pt>
                <c:pt idx="2">
                  <c:v>139</c:v>
                </c:pt>
                <c:pt idx="3">
                  <c:v>183</c:v>
                </c:pt>
                <c:pt idx="4">
                  <c:v>212</c:v>
                </c:pt>
                <c:pt idx="5">
                  <c:v>228</c:v>
                </c:pt>
                <c:pt idx="6">
                  <c:v>253</c:v>
                </c:pt>
                <c:pt idx="7">
                  <c:v>274</c:v>
                </c:pt>
                <c:pt idx="8">
                  <c:v>297</c:v>
                </c:pt>
                <c:pt idx="9">
                  <c:v>315</c:v>
                </c:pt>
                <c:pt idx="10">
                  <c:v>326</c:v>
                </c:pt>
                <c:pt idx="1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9-498F-9759-825D0AE44248}"/>
            </c:ext>
          </c:extLst>
        </c:ser>
        <c:ser>
          <c:idx val="1"/>
          <c:order val="1"/>
          <c:tx>
            <c:strRef>
              <c:f>北京!$G$1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北京!$D$2:$D$34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北京!$G$2:$G$34</c:f>
              <c:numCache>
                <c:formatCode>0</c:formatCode>
                <c:ptCount val="33"/>
                <c:pt idx="0">
                  <c:v>103.77248857048944</c:v>
                </c:pt>
                <c:pt idx="1">
                  <c:v>126.26462080106838</c:v>
                </c:pt>
                <c:pt idx="2">
                  <c:v>150.96742748229414</c:v>
                </c:pt>
                <c:pt idx="3">
                  <c:v>177.12936013668156</c:v>
                </c:pt>
                <c:pt idx="4">
                  <c:v>203.79095479581736</c:v>
                </c:pt>
                <c:pt idx="5">
                  <c:v>229.91751761446614</c:v>
                </c:pt>
                <c:pt idx="6">
                  <c:v>254.55483217198994</c:v>
                </c:pt>
                <c:pt idx="7">
                  <c:v>276.96026967808893</c:v>
                </c:pt>
                <c:pt idx="8">
                  <c:v>296.67387395503692</c:v>
                </c:pt>
                <c:pt idx="9">
                  <c:v>313.52116481189012</c:v>
                </c:pt>
                <c:pt idx="10">
                  <c:v>327.56422927874803</c:v>
                </c:pt>
                <c:pt idx="11">
                  <c:v>339.02848495440981</c:v>
                </c:pt>
                <c:pt idx="12">
                  <c:v>348.22936639739544</c:v>
                </c:pt>
                <c:pt idx="13">
                  <c:v>355.51326179651841</c:v>
                </c:pt>
                <c:pt idx="14">
                  <c:v>361.21728762903069</c:v>
                </c:pt>
                <c:pt idx="15">
                  <c:v>365.64624442223834</c:v>
                </c:pt>
                <c:pt idx="16">
                  <c:v>369.06247721741556</c:v>
                </c:pt>
                <c:pt idx="17">
                  <c:v>371.68412899699888</c:v>
                </c:pt>
                <c:pt idx="18">
                  <c:v>373.68813524556015</c:v>
                </c:pt>
                <c:pt idx="19">
                  <c:v>375.2154212868586</c:v>
                </c:pt>
                <c:pt idx="20">
                  <c:v>376.37673215230154</c:v>
                </c:pt>
                <c:pt idx="21">
                  <c:v>377.25822984773373</c:v>
                </c:pt>
                <c:pt idx="22">
                  <c:v>377.926451204888</c:v>
                </c:pt>
                <c:pt idx="23">
                  <c:v>378.4324910272851</c:v>
                </c:pt>
                <c:pt idx="24">
                  <c:v>378.81542130299187</c:v>
                </c:pt>
                <c:pt idx="25">
                  <c:v>379.10502591825036</c:v>
                </c:pt>
                <c:pt idx="26">
                  <c:v>379.323954642589</c:v>
                </c:pt>
                <c:pt idx="27">
                  <c:v>379.48940111205394</c:v>
                </c:pt>
                <c:pt idx="28">
                  <c:v>379.61439954278387</c:v>
                </c:pt>
                <c:pt idx="29">
                  <c:v>379.70882090133364</c:v>
                </c:pt>
                <c:pt idx="30">
                  <c:v>379.78013484607112</c:v>
                </c:pt>
                <c:pt idx="31">
                  <c:v>379.83399061723304</c:v>
                </c:pt>
                <c:pt idx="32">
                  <c:v>379.87465881963209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9-498F-9759-825D0AE4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58895"/>
        <c:axId val="2051650159"/>
      </c:scatterChart>
      <c:valAx>
        <c:axId val="20516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0159"/>
        <c:crosses val="autoZero"/>
        <c:crossBetween val="midCat"/>
      </c:valAx>
      <c:valAx>
        <c:axId val="20516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时序 </a:t>
            </a:r>
            <a:r>
              <a:rPr lang="en-US" altLang="zh-CN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北京!$AA$25:$AA$34</c:f>
              <c:numCache>
                <c:formatCode>General</c:formatCode>
                <c:ptCount val="10"/>
                <c:pt idx="0">
                  <c:v>5.945454545454524</c:v>
                </c:pt>
                <c:pt idx="1">
                  <c:v>-8.1090909090909236</c:v>
                </c:pt>
                <c:pt idx="2">
                  <c:v>-14.163636363636385</c:v>
                </c:pt>
                <c:pt idx="3">
                  <c:v>5.7818181818181529</c:v>
                </c:pt>
                <c:pt idx="4">
                  <c:v>10.72727272727272</c:v>
                </c:pt>
                <c:pt idx="5">
                  <c:v>2.6727272727272862</c:v>
                </c:pt>
                <c:pt idx="6">
                  <c:v>3.6181818181818244</c:v>
                </c:pt>
                <c:pt idx="7">
                  <c:v>0.5636363636363626</c:v>
                </c:pt>
                <c:pt idx="8">
                  <c:v>-0.49090909090909918</c:v>
                </c:pt>
                <c:pt idx="9">
                  <c:v>-6.545454545454561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9CA-A5CE-AB2BC53B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45231"/>
        <c:axId val="1104324847"/>
      </c:scatterChart>
      <c:valAx>
        <c:axId val="110434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24847"/>
        <c:crosses val="autoZero"/>
        <c:crossBetween val="midCat"/>
      </c:valAx>
      <c:valAx>
        <c:axId val="110432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452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时序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确诊人数</c:v>
          </c:tx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北京!$E$2:$E$11</c:f>
              <c:numCache>
                <c:formatCode>General</c:formatCode>
                <c:ptCount val="10"/>
                <c:pt idx="0">
                  <c:v>111</c:v>
                </c:pt>
                <c:pt idx="1">
                  <c:v>121</c:v>
                </c:pt>
                <c:pt idx="2">
                  <c:v>139</c:v>
                </c:pt>
                <c:pt idx="3">
                  <c:v>183</c:v>
                </c:pt>
                <c:pt idx="4">
                  <c:v>212</c:v>
                </c:pt>
                <c:pt idx="5">
                  <c:v>228</c:v>
                </c:pt>
                <c:pt idx="6">
                  <c:v>253</c:v>
                </c:pt>
                <c:pt idx="7">
                  <c:v>274</c:v>
                </c:pt>
                <c:pt idx="8">
                  <c:v>297</c:v>
                </c:pt>
                <c:pt idx="9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5-42FC-BC3B-A9110685F632}"/>
            </c:ext>
          </c:extLst>
        </c:ser>
        <c:ser>
          <c:idx val="1"/>
          <c:order val="1"/>
          <c:tx>
            <c:v>预测 确诊人数</c:v>
          </c:tx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北京!$Z$25:$Z$34</c:f>
              <c:numCache>
                <c:formatCode>General</c:formatCode>
                <c:ptCount val="10"/>
                <c:pt idx="0">
                  <c:v>105.05454545454548</c:v>
                </c:pt>
                <c:pt idx="1">
                  <c:v>129.10909090909092</c:v>
                </c:pt>
                <c:pt idx="2">
                  <c:v>153.16363636363639</c:v>
                </c:pt>
                <c:pt idx="3">
                  <c:v>177.21818181818185</c:v>
                </c:pt>
                <c:pt idx="4">
                  <c:v>201.27272727272728</c:v>
                </c:pt>
                <c:pt idx="5">
                  <c:v>225.32727272727271</c:v>
                </c:pt>
                <c:pt idx="6">
                  <c:v>249.38181818181818</c:v>
                </c:pt>
                <c:pt idx="7">
                  <c:v>273.43636363636364</c:v>
                </c:pt>
                <c:pt idx="8">
                  <c:v>297.4909090909091</c:v>
                </c:pt>
                <c:pt idx="9">
                  <c:v>321.54545454545456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5-42FC-BC3B-A9110685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37327"/>
        <c:axId val="1104343567"/>
      </c:scatterChart>
      <c:valAx>
        <c:axId val="110433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43567"/>
        <c:crosses val="autoZero"/>
        <c:crossBetween val="midCat"/>
      </c:valAx>
      <c:valAx>
        <c:axId val="1104343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确诊人数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73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北京!$AD$25:$AD$34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北京!$AE$25:$AE$34</c:f>
              <c:numCache>
                <c:formatCode>General</c:formatCode>
                <c:ptCount val="10"/>
                <c:pt idx="0">
                  <c:v>111</c:v>
                </c:pt>
                <c:pt idx="1">
                  <c:v>121</c:v>
                </c:pt>
                <c:pt idx="2">
                  <c:v>139</c:v>
                </c:pt>
                <c:pt idx="3">
                  <c:v>183</c:v>
                </c:pt>
                <c:pt idx="4">
                  <c:v>212</c:v>
                </c:pt>
                <c:pt idx="5">
                  <c:v>228</c:v>
                </c:pt>
                <c:pt idx="6">
                  <c:v>253</c:v>
                </c:pt>
                <c:pt idx="7">
                  <c:v>274</c:v>
                </c:pt>
                <c:pt idx="8">
                  <c:v>297</c:v>
                </c:pt>
                <c:pt idx="9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9-4136-85B4-E7E4ACF8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38159"/>
        <c:axId val="1104333583"/>
      </c:scatterChart>
      <c:valAx>
        <c:axId val="110433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3583"/>
        <c:crosses val="autoZero"/>
        <c:crossBetween val="midCat"/>
      </c:valAx>
      <c:valAx>
        <c:axId val="1104333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确诊人数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81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时序 </a:t>
            </a:r>
            <a:r>
              <a:rPr lang="en-US" altLang="zh-CN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F-4BBC-B67A-630CE4F3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45647"/>
        <c:axId val="1104329839"/>
      </c:scatterChart>
      <c:valAx>
        <c:axId val="110434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29839"/>
        <c:crosses val="autoZero"/>
        <c:crossBetween val="midCat"/>
      </c:valAx>
      <c:valAx>
        <c:axId val="1104329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456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时序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确诊人数</c:v>
          </c:tx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北京!$E$2:$E$11</c:f>
              <c:numCache>
                <c:formatCode>General</c:formatCode>
                <c:ptCount val="10"/>
                <c:pt idx="0">
                  <c:v>111</c:v>
                </c:pt>
                <c:pt idx="1">
                  <c:v>121</c:v>
                </c:pt>
                <c:pt idx="2">
                  <c:v>139</c:v>
                </c:pt>
                <c:pt idx="3">
                  <c:v>183</c:v>
                </c:pt>
                <c:pt idx="4">
                  <c:v>212</c:v>
                </c:pt>
                <c:pt idx="5">
                  <c:v>228</c:v>
                </c:pt>
                <c:pt idx="6">
                  <c:v>253</c:v>
                </c:pt>
                <c:pt idx="7">
                  <c:v>274</c:v>
                </c:pt>
                <c:pt idx="8">
                  <c:v>297</c:v>
                </c:pt>
                <c:pt idx="9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2-4DAA-9439-4FE6BED0E99F}"/>
            </c:ext>
          </c:extLst>
        </c:ser>
        <c:ser>
          <c:idx val="1"/>
          <c:order val="1"/>
          <c:tx>
            <c:v>预测 确诊人数</c:v>
          </c:tx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2-4DAA-9439-4FE6BED0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36079"/>
        <c:axId val="1104338159"/>
      </c:scatterChart>
      <c:valAx>
        <c:axId val="110433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8159"/>
        <c:crosses val="autoZero"/>
        <c:crossBetween val="midCat"/>
      </c:valAx>
      <c:valAx>
        <c:axId val="1104338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确诊人数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60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北京!#REF!</c:f>
            </c:numRef>
          </c:xVal>
          <c:yVal>
            <c:numRef>
              <c:f>北京!#REF!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4-4A3F-A2B4-7E034D7C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27759"/>
        <c:axId val="1104345647"/>
      </c:scatterChart>
      <c:valAx>
        <c:axId val="110432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45647"/>
        <c:crosses val="autoZero"/>
        <c:crossBetween val="midCat"/>
      </c:valAx>
      <c:valAx>
        <c:axId val="1104345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确诊人数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277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时序 </a:t>
            </a:r>
            <a:r>
              <a:rPr lang="en-US" altLang="zh-CN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北京!$AS$25:$AS$34</c:f>
              <c:numCache>
                <c:formatCode>General</c:formatCode>
                <c:ptCount val="10"/>
                <c:pt idx="0">
                  <c:v>-9.3842769678316285E-2</c:v>
                </c:pt>
                <c:pt idx="1">
                  <c:v>6.312547762136056E-2</c:v>
                </c:pt>
                <c:pt idx="2">
                  <c:v>0.13352287136491203</c:v>
                </c:pt>
                <c:pt idx="3">
                  <c:v>-6.1970643612098406E-2</c:v>
                </c:pt>
                <c:pt idx="4">
                  <c:v>-8.7198605291034431E-2</c:v>
                </c:pt>
                <c:pt idx="5">
                  <c:v>2.1070491355939747E-2</c:v>
                </c:pt>
                <c:pt idx="6">
                  <c:v>1.8445106681560186E-2</c:v>
                </c:pt>
                <c:pt idx="7">
                  <c:v>3.907040616087154E-2</c:v>
                </c:pt>
                <c:pt idx="8">
                  <c:v>-5.020203082842567E-3</c:v>
                </c:pt>
                <c:pt idx="9">
                  <c:v>-2.7202131520351891E-2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7-424F-9148-74128CD4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40655"/>
        <c:axId val="1104331919"/>
      </c:scatterChart>
      <c:valAx>
        <c:axId val="110434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1919"/>
        <c:crosses val="autoZero"/>
        <c:crossBetween val="midCat"/>
      </c:valAx>
      <c:valAx>
        <c:axId val="110433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406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全国累计人数增长加速度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全国!$I$1</c:f>
              <c:strCache>
                <c:ptCount val="1"/>
                <c:pt idx="0">
                  <c:v>加速度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全国!$D$2:$D$39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全国!$I$2:$I$39</c:f>
              <c:numCache>
                <c:formatCode>0</c:formatCode>
                <c:ptCount val="38"/>
                <c:pt idx="2">
                  <c:v>332.8811828846674</c:v>
                </c:pt>
                <c:pt idx="3">
                  <c:v>356.8824605778982</c:v>
                </c:pt>
                <c:pt idx="4">
                  <c:v>360.50366881580885</c:v>
                </c:pt>
                <c:pt idx="5">
                  <c:v>335.8685115163571</c:v>
                </c:pt>
                <c:pt idx="6">
                  <c:v>278.04516758259888</c:v>
                </c:pt>
                <c:pt idx="7">
                  <c:v>187.78769985766849</c:v>
                </c:pt>
                <c:pt idx="8">
                  <c:v>73.103360066594178</c:v>
                </c:pt>
                <c:pt idx="9">
                  <c:v>-51.636795224974776</c:v>
                </c:pt>
                <c:pt idx="10">
                  <c:v>-169.24228230037261</c:v>
                </c:pt>
                <c:pt idx="11">
                  <c:v>-264.53451161863995</c:v>
                </c:pt>
                <c:pt idx="12">
                  <c:v>-328.25350569921284</c:v>
                </c:pt>
                <c:pt idx="13">
                  <c:v>-358.4391158256476</c:v>
                </c:pt>
                <c:pt idx="14">
                  <c:v>-359.21684798861679</c:v>
                </c:pt>
                <c:pt idx="15">
                  <c:v>-338.15359366539633</c:v>
                </c:pt>
                <c:pt idx="16">
                  <c:v>-303.58526798458479</c:v>
                </c:pt>
                <c:pt idx="17">
                  <c:v>-262.78073727991432</c:v>
                </c:pt>
                <c:pt idx="18">
                  <c:v>-221.11807792265608</c:v>
                </c:pt>
                <c:pt idx="19">
                  <c:v>-182.02358007892326</c:v>
                </c:pt>
                <c:pt idx="20">
                  <c:v>-147.31512325496442</c:v>
                </c:pt>
                <c:pt idx="21">
                  <c:v>-117.66699520577095</c:v>
                </c:pt>
                <c:pt idx="22">
                  <c:v>-93.036061888880795</c:v>
                </c:pt>
                <c:pt idx="23">
                  <c:v>-72.987527267963742</c:v>
                </c:pt>
                <c:pt idx="24">
                  <c:v>-56.915471904045262</c:v>
                </c:pt>
                <c:pt idx="25">
                  <c:v>-44.177600803996029</c:v>
                </c:pt>
                <c:pt idx="26">
                  <c:v>-34.168913536457694</c:v>
                </c:pt>
                <c:pt idx="27">
                  <c:v>-26.355854302979424</c:v>
                </c:pt>
                <c:pt idx="28">
                  <c:v>-20.286930467744241</c:v>
                </c:pt>
                <c:pt idx="29">
                  <c:v>-15.590538704338542</c:v>
                </c:pt>
                <c:pt idx="30">
                  <c:v>-11.966694893475506</c:v>
                </c:pt>
                <c:pt idx="31">
                  <c:v>-9.1765701379408711</c:v>
                </c:pt>
                <c:pt idx="32">
                  <c:v>-7.0319406358466949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7-47D8-871B-01A03413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3903"/>
        <c:axId val="750551391"/>
      </c:scatterChart>
      <c:valAx>
        <c:axId val="7505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551391"/>
        <c:crosses val="autoZero"/>
        <c:crossBetween val="midCat"/>
      </c:valAx>
      <c:valAx>
        <c:axId val="7505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54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时序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ln(M/x-1)</c:v>
          </c:tx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北京!$F$2:$F$11</c:f>
              <c:numCache>
                <c:formatCode>General</c:formatCode>
                <c:ptCount val="10"/>
                <c:pt idx="0">
                  <c:v>0.88518117828950504</c:v>
                </c:pt>
                <c:pt idx="1">
                  <c:v>0.7610375161027968</c:v>
                </c:pt>
                <c:pt idx="2">
                  <c:v>0.55032300035996318</c:v>
                </c:pt>
                <c:pt idx="3">
                  <c:v>7.3717575896567647E-2</c:v>
                </c:pt>
                <c:pt idx="4">
                  <c:v>-0.23262229526875347</c:v>
                </c:pt>
                <c:pt idx="5">
                  <c:v>-0.40546510810816427</c:v>
                </c:pt>
                <c:pt idx="6">
                  <c:v>-0.68920240226892904</c:v>
                </c:pt>
                <c:pt idx="7">
                  <c:v>-0.94968901227600289</c:v>
                </c:pt>
                <c:pt idx="8">
                  <c:v>-1.274891531006102</c:v>
                </c:pt>
                <c:pt idx="9">
                  <c:v>-1.5781853689299963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4337-B8D6-FC7D3B6D3910}"/>
            </c:ext>
          </c:extLst>
        </c:ser>
        <c:ser>
          <c:idx val="1"/>
          <c:order val="1"/>
          <c:tx>
            <c:v>预测 ln(M/x-1)</c:v>
          </c:tx>
          <c:spPr>
            <a:ln w="19050">
              <a:noFill/>
            </a:ln>
          </c:spPr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北京!$AR$25:$AR$34</c:f>
              <c:numCache>
                <c:formatCode>General</c:formatCode>
                <c:ptCount val="10"/>
                <c:pt idx="0">
                  <c:v>0.97902394796782133</c:v>
                </c:pt>
                <c:pt idx="1">
                  <c:v>0.69791203848143624</c:v>
                </c:pt>
                <c:pt idx="2">
                  <c:v>0.41680012899505114</c:v>
                </c:pt>
                <c:pt idx="3">
                  <c:v>0.13568821950866605</c:v>
                </c:pt>
                <c:pt idx="4">
                  <c:v>-0.14542368997771904</c:v>
                </c:pt>
                <c:pt idx="5">
                  <c:v>-0.42653559946410402</c:v>
                </c:pt>
                <c:pt idx="6">
                  <c:v>-0.70764750895048922</c:v>
                </c:pt>
                <c:pt idx="7">
                  <c:v>-0.98875941843687443</c:v>
                </c:pt>
                <c:pt idx="8">
                  <c:v>-1.2698713279232594</c:v>
                </c:pt>
                <c:pt idx="9">
                  <c:v>-1.5509832374096444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0-4337-B8D6-FC7D3B6D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47311"/>
        <c:axId val="1104334831"/>
      </c:scatterChart>
      <c:valAx>
        <c:axId val="110434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4831"/>
        <c:crosses val="autoZero"/>
        <c:crossBetween val="midCat"/>
      </c:valAx>
      <c:valAx>
        <c:axId val="110433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ln(M/x-1)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473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北京!$AV$25:$AV$34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北京!$AW$25:$AW$34</c:f>
              <c:numCache>
                <c:formatCode>General</c:formatCode>
                <c:ptCount val="10"/>
                <c:pt idx="0">
                  <c:v>-1.5781853689299963</c:v>
                </c:pt>
                <c:pt idx="1">
                  <c:v>-1.274891531006102</c:v>
                </c:pt>
                <c:pt idx="2">
                  <c:v>-0.94968901227600289</c:v>
                </c:pt>
                <c:pt idx="3">
                  <c:v>-0.68920240226892904</c:v>
                </c:pt>
                <c:pt idx="4">
                  <c:v>-0.40546510810816427</c:v>
                </c:pt>
                <c:pt idx="5">
                  <c:v>-0.23262229526875347</c:v>
                </c:pt>
                <c:pt idx="6">
                  <c:v>7.3717575896567647E-2</c:v>
                </c:pt>
                <c:pt idx="7">
                  <c:v>0.55032300035996318</c:v>
                </c:pt>
                <c:pt idx="8">
                  <c:v>0.7610375161027968</c:v>
                </c:pt>
                <c:pt idx="9">
                  <c:v>0.88518117828950504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C-4989-9920-0ACB822E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36079"/>
        <c:axId val="1104344399"/>
      </c:scatterChart>
      <c:valAx>
        <c:axId val="110433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44399"/>
        <c:crosses val="autoZero"/>
        <c:crossBetween val="midCat"/>
      </c:valAx>
      <c:valAx>
        <c:axId val="110434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ln(M/x-1)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360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444444444444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北京!$E$1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05730533683295E-2"/>
                  <c:y val="-0.20354184893554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003062117235346E-2"/>
                  <c:y val="-0.20817147856517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北京!$D$2:$D$11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北京!$E$2:$E$11</c:f>
              <c:numCache>
                <c:formatCode>General</c:formatCode>
                <c:ptCount val="10"/>
                <c:pt idx="0">
                  <c:v>111</c:v>
                </c:pt>
                <c:pt idx="1">
                  <c:v>121</c:v>
                </c:pt>
                <c:pt idx="2">
                  <c:v>139</c:v>
                </c:pt>
                <c:pt idx="3">
                  <c:v>183</c:v>
                </c:pt>
                <c:pt idx="4">
                  <c:v>212</c:v>
                </c:pt>
                <c:pt idx="5">
                  <c:v>228</c:v>
                </c:pt>
                <c:pt idx="6">
                  <c:v>253</c:v>
                </c:pt>
                <c:pt idx="7">
                  <c:v>274</c:v>
                </c:pt>
                <c:pt idx="8">
                  <c:v>297</c:v>
                </c:pt>
                <c:pt idx="9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B-442C-81BE-729E3A3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41071"/>
        <c:axId val="1104328591"/>
      </c:scatterChart>
      <c:valAx>
        <c:axId val="11043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28591"/>
        <c:crosses val="autoZero"/>
        <c:crossBetween val="midCat"/>
      </c:valAx>
      <c:valAx>
        <c:axId val="11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1666666666666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湖北!$F$1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8490813648294"/>
                  <c:y val="-0.77623177311169433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湖北!$F$2:$F$13</c:f>
              <c:numCache>
                <c:formatCode>General</c:formatCode>
                <c:ptCount val="12"/>
                <c:pt idx="0">
                  <c:v>2.0270114202948046</c:v>
                </c:pt>
                <c:pt idx="1">
                  <c:v>1.7554556139923729</c:v>
                </c:pt>
                <c:pt idx="2">
                  <c:v>1.5058931665327893</c:v>
                </c:pt>
                <c:pt idx="3">
                  <c:v>1.2065922491369752</c:v>
                </c:pt>
                <c:pt idx="4">
                  <c:v>0.92627915295421714</c:v>
                </c:pt>
                <c:pt idx="5">
                  <c:v>0.64907519822527493</c:v>
                </c:pt>
                <c:pt idx="6">
                  <c:v>0.30924313248291929</c:v>
                </c:pt>
                <c:pt idx="7">
                  <c:v>3.5533032310376411E-3</c:v>
                </c:pt>
                <c:pt idx="8">
                  <c:v>-0.24610782838067444</c:v>
                </c:pt>
                <c:pt idx="9">
                  <c:v>-0.54650727490293793</c:v>
                </c:pt>
                <c:pt idx="10">
                  <c:v>-0.7899344655072833</c:v>
                </c:pt>
                <c:pt idx="11">
                  <c:v>-1.1096070039232946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D-4690-A62A-CBEC2794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8223"/>
        <c:axId val="184099055"/>
      </c:scatterChart>
      <c:valAx>
        <c:axId val="18409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99055"/>
        <c:crosses val="autoZero"/>
        <c:crossBetween val="midCat"/>
      </c:valAx>
      <c:valAx>
        <c:axId val="1840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9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湖北累计确诊人数增长速度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湖北!$H$1</c:f>
              <c:strCache>
                <c:ptCount val="1"/>
                <c:pt idx="0">
                  <c:v>湖北速度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湖北!$H$2:$H$34</c:f>
              <c:numCache>
                <c:formatCode>General</c:formatCode>
                <c:ptCount val="33"/>
                <c:pt idx="1">
                  <c:v>1272.4367014343215</c:v>
                </c:pt>
                <c:pt idx="2">
                  <c:v>1558.363278308816</c:v>
                </c:pt>
                <c:pt idx="3">
                  <c:v>1865.565583369812</c:v>
                </c:pt>
                <c:pt idx="4">
                  <c:v>2173.3925069035922</c:v>
                </c:pt>
                <c:pt idx="5">
                  <c:v>2453.1989346462979</c:v>
                </c:pt>
                <c:pt idx="6">
                  <c:v>2672.129181363227</c:v>
                </c:pt>
                <c:pt idx="7">
                  <c:v>2800.0001011864624</c:v>
                </c:pt>
                <c:pt idx="8">
                  <c:v>2817.3809798370748</c:v>
                </c:pt>
                <c:pt idx="9">
                  <c:v>2721.5286589623574</c:v>
                </c:pt>
                <c:pt idx="10">
                  <c:v>2527.2673640181201</c:v>
                </c:pt>
                <c:pt idx="11">
                  <c:v>2262.3559332679324</c:v>
                </c:pt>
                <c:pt idx="12">
                  <c:v>1959.6776839938102</c:v>
                </c:pt>
                <c:pt idx="13">
                  <c:v>1649.7062977712667</c:v>
                </c:pt>
                <c:pt idx="14">
                  <c:v>1355.7047044535066</c:v>
                </c:pt>
                <c:pt idx="15">
                  <c:v>1092.2107439643441</c:v>
                </c:pt>
                <c:pt idx="16">
                  <c:v>865.94865909000509</c:v>
                </c:pt>
                <c:pt idx="17">
                  <c:v>677.8818580721636</c:v>
                </c:pt>
                <c:pt idx="18">
                  <c:v>525.39478057825909</c:v>
                </c:pt>
                <c:pt idx="19">
                  <c:v>404.07098085369216</c:v>
                </c:pt>
                <c:pt idx="20">
                  <c:v>308.91804694719758</c:v>
                </c:pt>
                <c:pt idx="21">
                  <c:v>235.09871698200732</c:v>
                </c:pt>
                <c:pt idx="22">
                  <c:v>178.29969328323205</c:v>
                </c:pt>
                <c:pt idx="23">
                  <c:v>134.86765688153537</c:v>
                </c:pt>
                <c:pt idx="24">
                  <c:v>101.81226135590259</c:v>
                </c:pt>
                <c:pt idx="25">
                  <c:v>76.743083411267435</c:v>
                </c:pt>
                <c:pt idx="26">
                  <c:v>57.781128365379118</c:v>
                </c:pt>
                <c:pt idx="27">
                  <c:v>43.467234977470071</c:v>
                </c:pt>
                <c:pt idx="28">
                  <c:v>32.678269877906132</c:v>
                </c:pt>
                <c:pt idx="29">
                  <c:v>24.555363193700032</c:v>
                </c:pt>
                <c:pt idx="30">
                  <c:v>18.444889599042654</c:v>
                </c:pt>
                <c:pt idx="31">
                  <c:v>13.851198848249624</c:v>
                </c:pt>
                <c:pt idx="32">
                  <c:v>10.399435289677058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0-4FCA-9095-0ECD6EBC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89023"/>
        <c:axId val="285691519"/>
      </c:scatterChart>
      <c:valAx>
        <c:axId val="2856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91519"/>
        <c:crosses val="autoZero"/>
        <c:crossBetween val="midCat"/>
      </c:valAx>
      <c:valAx>
        <c:axId val="2856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湖北累计确诊人数增长加速度（基于修订模型）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湖北!$I$1</c:f>
              <c:strCache>
                <c:ptCount val="1"/>
                <c:pt idx="0">
                  <c:v>湖北加速度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湖北!$I$2:$I$34</c:f>
              <c:numCache>
                <c:formatCode>General</c:formatCode>
                <c:ptCount val="33"/>
                <c:pt idx="2">
                  <c:v>285.92657687449446</c:v>
                </c:pt>
                <c:pt idx="3">
                  <c:v>307.20230506099597</c:v>
                </c:pt>
                <c:pt idx="4">
                  <c:v>307.82692353378025</c:v>
                </c:pt>
                <c:pt idx="5">
                  <c:v>279.80642774270564</c:v>
                </c:pt>
                <c:pt idx="6">
                  <c:v>218.9302467169291</c:v>
                </c:pt>
                <c:pt idx="7">
                  <c:v>127.87091982323545</c:v>
                </c:pt>
                <c:pt idx="8">
                  <c:v>17.380878650612431</c:v>
                </c:pt>
                <c:pt idx="9">
                  <c:v>-95.852320874717407</c:v>
                </c:pt>
                <c:pt idx="10">
                  <c:v>-194.26129494423731</c:v>
                </c:pt>
                <c:pt idx="11">
                  <c:v>-264.91143075018772</c:v>
                </c:pt>
                <c:pt idx="12">
                  <c:v>-302.67824927412221</c:v>
                </c:pt>
                <c:pt idx="13">
                  <c:v>-309.97138622254352</c:v>
                </c:pt>
                <c:pt idx="14">
                  <c:v>-294.00159331776013</c:v>
                </c:pt>
                <c:pt idx="15">
                  <c:v>-263.49396048916242</c:v>
                </c:pt>
                <c:pt idx="16">
                  <c:v>-226.26208487433905</c:v>
                </c:pt>
                <c:pt idx="17">
                  <c:v>-188.0668010178415</c:v>
                </c:pt>
                <c:pt idx="18">
                  <c:v>-152.48707749390451</c:v>
                </c:pt>
                <c:pt idx="19">
                  <c:v>-121.32379972456692</c:v>
                </c:pt>
                <c:pt idx="20">
                  <c:v>-95.152933906494582</c:v>
                </c:pt>
                <c:pt idx="21">
                  <c:v>-73.819329965190263</c:v>
                </c:pt>
                <c:pt idx="22">
                  <c:v>-56.799023698775272</c:v>
                </c:pt>
                <c:pt idx="23">
                  <c:v>-43.432036401696678</c:v>
                </c:pt>
                <c:pt idx="24">
                  <c:v>-33.055395525632775</c:v>
                </c:pt>
                <c:pt idx="25">
                  <c:v>-25.069177944635157</c:v>
                </c:pt>
                <c:pt idx="26">
                  <c:v>-18.961955045888317</c:v>
                </c:pt>
                <c:pt idx="27">
                  <c:v>-14.313893387909047</c:v>
                </c:pt>
                <c:pt idx="28">
                  <c:v>-10.788965099563939</c:v>
                </c:pt>
                <c:pt idx="29">
                  <c:v>-8.1229066842061002</c:v>
                </c:pt>
                <c:pt idx="30">
                  <c:v>-6.1104735946573783</c:v>
                </c:pt>
                <c:pt idx="31">
                  <c:v>-4.59369075079303</c:v>
                </c:pt>
                <c:pt idx="32">
                  <c:v>-3.4517635585725657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B-4546-824E-992902D2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95679"/>
        <c:axId val="285676127"/>
      </c:scatterChart>
      <c:valAx>
        <c:axId val="285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76127"/>
        <c:crosses val="autoZero"/>
        <c:crossBetween val="midCat"/>
      </c:valAx>
      <c:valAx>
        <c:axId val="2856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1666666666666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湖北!$U$1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179352580927383E-2"/>
                  <c:y val="-0.77694444444444444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湖北!$S$2:$S$13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湖北!$U$2:$U$13</c:f>
              <c:numCache>
                <c:formatCode>General</c:formatCode>
                <c:ptCount val="12"/>
                <c:pt idx="0">
                  <c:v>2.0336561180121571</c:v>
                </c:pt>
                <c:pt idx="1">
                  <c:v>1.7686179406663607</c:v>
                </c:pt>
                <c:pt idx="2">
                  <c:v>1.530933512257175</c:v>
                </c:pt>
                <c:pt idx="3">
                  <c:v>1.530933512257175</c:v>
                </c:pt>
                <c:pt idx="4">
                  <c:v>1.0986122886681098</c:v>
                </c:pt>
                <c:pt idx="5">
                  <c:v>0.86779038077732096</c:v>
                </c:pt>
                <c:pt idx="6">
                  <c:v>0.65375943884439169</c:v>
                </c:pt>
                <c:pt idx="7">
                  <c:v>0.43831368706384349</c:v>
                </c:pt>
                <c:pt idx="8">
                  <c:v>0.23536628308762045</c:v>
                </c:pt>
                <c:pt idx="9">
                  <c:v>2.857144800779744E-3</c:v>
                </c:pt>
                <c:pt idx="10">
                  <c:v>-0.22957444164450011</c:v>
                </c:pt>
                <c:pt idx="11">
                  <c:v>-0.49865354499420328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4-468E-BE94-E0CC687E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3183"/>
        <c:axId val="182136943"/>
      </c:scatterChart>
      <c:valAx>
        <c:axId val="1821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6943"/>
        <c:crosses val="autoZero"/>
        <c:crossBetween val="midCat"/>
      </c:valAx>
      <c:valAx>
        <c:axId val="182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湖北累计死亡人数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湖北!$T$1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湖北!$T$2:$T$34</c:f>
              <c:numCache>
                <c:formatCode>General</c:formatCode>
                <c:ptCount val="33"/>
                <c:pt idx="0">
                  <c:v>162</c:v>
                </c:pt>
                <c:pt idx="1">
                  <c:v>204</c:v>
                </c:pt>
                <c:pt idx="2">
                  <c:v>249</c:v>
                </c:pt>
                <c:pt idx="3">
                  <c:v>249</c:v>
                </c:pt>
                <c:pt idx="4">
                  <c:v>350</c:v>
                </c:pt>
                <c:pt idx="5">
                  <c:v>414</c:v>
                </c:pt>
                <c:pt idx="6">
                  <c:v>479</c:v>
                </c:pt>
                <c:pt idx="7">
                  <c:v>549</c:v>
                </c:pt>
                <c:pt idx="8">
                  <c:v>618</c:v>
                </c:pt>
                <c:pt idx="9">
                  <c:v>699</c:v>
                </c:pt>
                <c:pt idx="10">
                  <c:v>780</c:v>
                </c:pt>
                <c:pt idx="11">
                  <c:v>871</c:v>
                </c:pt>
                <c:pt idx="12">
                  <c:v>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5-479D-920B-527C26D5CAE0}"/>
            </c:ext>
          </c:extLst>
        </c:ser>
        <c:ser>
          <c:idx val="1"/>
          <c:order val="1"/>
          <c:tx>
            <c:strRef>
              <c:f>湖北!$V$1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湖北!$V$2:$V$34</c:f>
              <c:numCache>
                <c:formatCode>0</c:formatCode>
                <c:ptCount val="33"/>
                <c:pt idx="0">
                  <c:v>161.08495717569011</c:v>
                </c:pt>
                <c:pt idx="1">
                  <c:v>196.54543469010758</c:v>
                </c:pt>
                <c:pt idx="2">
                  <c:v>238.31047721186542</c:v>
                </c:pt>
                <c:pt idx="3">
                  <c:v>286.83513928651143</c:v>
                </c:pt>
                <c:pt idx="4">
                  <c:v>342.3287457801847</c:v>
                </c:pt>
                <c:pt idx="5">
                  <c:v>404.65579360555409</c:v>
                </c:pt>
                <c:pt idx="6">
                  <c:v>473.25306130586387</c:v>
                </c:pt>
                <c:pt idx="7">
                  <c:v>547.08731669638121</c:v>
                </c:pt>
                <c:pt idx="8">
                  <c:v>624.67622527545495</c:v>
                </c:pt>
                <c:pt idx="9">
                  <c:v>704.18394817459193</c:v>
                </c:pt>
                <c:pt idx="10">
                  <c:v>783.58385958057227</c:v>
                </c:pt>
                <c:pt idx="11">
                  <c:v>860.86023466821325</c:v>
                </c:pt>
                <c:pt idx="12">
                  <c:v>934.20766153094473</c:v>
                </c:pt>
                <c:pt idx="13">
                  <c:v>1002.1877161042931</c:v>
                </c:pt>
                <c:pt idx="14">
                  <c:v>1063.8167118281992</c:v>
                </c:pt>
                <c:pt idx="15">
                  <c:v>1118.5791708906825</c:v>
                </c:pt>
                <c:pt idx="16">
                  <c:v>1166.3801108247633</c:v>
                </c:pt>
                <c:pt idx="17">
                  <c:v>1207.459353304977</c:v>
                </c:pt>
                <c:pt idx="18">
                  <c:v>1242.291977942903</c:v>
                </c:pt>
                <c:pt idx="19">
                  <c:v>1271.4936743585163</c:v>
                </c:pt>
                <c:pt idx="20">
                  <c:v>1295.7420784807343</c:v>
                </c:pt>
                <c:pt idx="21">
                  <c:v>1315.7182404650498</c:v>
                </c:pt>
                <c:pt idx="22">
                  <c:v>1332.0675697828117</c:v>
                </c:pt>
                <c:pt idx="23">
                  <c:v>1345.377055080435</c:v>
                </c:pt>
                <c:pt idx="24">
                  <c:v>1356.1647249494952</c:v>
                </c:pt>
                <c:pt idx="25">
                  <c:v>1364.8775202277909</c:v>
                </c:pt>
                <c:pt idx="26">
                  <c:v>1371.8944310486631</c:v>
                </c:pt>
                <c:pt idx="27">
                  <c:v>1377.5325514280878</c:v>
                </c:pt>
                <c:pt idx="28">
                  <c:v>1382.0544310508185</c:v>
                </c:pt>
                <c:pt idx="29">
                  <c:v>1385.675684490958</c:v>
                </c:pt>
                <c:pt idx="30">
                  <c:v>1388.5722439708845</c:v>
                </c:pt>
                <c:pt idx="31">
                  <c:v>1390.8869342103853</c:v>
                </c:pt>
                <c:pt idx="32">
                  <c:v>1392.7352371833988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5-479D-920B-527C26D5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01503"/>
        <c:axId val="285700671"/>
      </c:scatterChart>
      <c:valAx>
        <c:axId val="28570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00671"/>
        <c:crosses val="autoZero"/>
        <c:crossBetween val="midCat"/>
      </c:valAx>
      <c:valAx>
        <c:axId val="2857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0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湖北!$T$1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湖北!$T$2:$T$34</c:f>
              <c:numCache>
                <c:formatCode>General</c:formatCode>
                <c:ptCount val="33"/>
                <c:pt idx="0">
                  <c:v>162</c:v>
                </c:pt>
                <c:pt idx="1">
                  <c:v>204</c:v>
                </c:pt>
                <c:pt idx="2">
                  <c:v>249</c:v>
                </c:pt>
                <c:pt idx="3">
                  <c:v>249</c:v>
                </c:pt>
                <c:pt idx="4">
                  <c:v>350</c:v>
                </c:pt>
                <c:pt idx="5">
                  <c:v>414</c:v>
                </c:pt>
                <c:pt idx="6">
                  <c:v>479</c:v>
                </c:pt>
                <c:pt idx="7">
                  <c:v>549</c:v>
                </c:pt>
                <c:pt idx="8">
                  <c:v>618</c:v>
                </c:pt>
                <c:pt idx="9">
                  <c:v>699</c:v>
                </c:pt>
                <c:pt idx="10">
                  <c:v>780</c:v>
                </c:pt>
                <c:pt idx="11">
                  <c:v>871</c:v>
                </c:pt>
                <c:pt idx="12">
                  <c:v>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A-44B2-837D-AE5154A8D0CC}"/>
            </c:ext>
          </c:extLst>
        </c:ser>
        <c:ser>
          <c:idx val="1"/>
          <c:order val="1"/>
          <c:tx>
            <c:strRef>
              <c:f>湖北!$V$1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湖北!$V$2:$V$34</c:f>
              <c:numCache>
                <c:formatCode>0</c:formatCode>
                <c:ptCount val="33"/>
                <c:pt idx="0">
                  <c:v>161.08495717569011</c:v>
                </c:pt>
                <c:pt idx="1">
                  <c:v>196.54543469010758</c:v>
                </c:pt>
                <c:pt idx="2">
                  <c:v>238.31047721186542</c:v>
                </c:pt>
                <c:pt idx="3">
                  <c:v>286.83513928651143</c:v>
                </c:pt>
                <c:pt idx="4">
                  <c:v>342.3287457801847</c:v>
                </c:pt>
                <c:pt idx="5">
                  <c:v>404.65579360555409</c:v>
                </c:pt>
                <c:pt idx="6">
                  <c:v>473.25306130586387</c:v>
                </c:pt>
                <c:pt idx="7">
                  <c:v>547.08731669638121</c:v>
                </c:pt>
                <c:pt idx="8">
                  <c:v>624.67622527545495</c:v>
                </c:pt>
                <c:pt idx="9">
                  <c:v>704.18394817459193</c:v>
                </c:pt>
                <c:pt idx="10">
                  <c:v>783.58385958057227</c:v>
                </c:pt>
                <c:pt idx="11">
                  <c:v>860.86023466821325</c:v>
                </c:pt>
                <c:pt idx="12">
                  <c:v>934.20766153094473</c:v>
                </c:pt>
                <c:pt idx="13">
                  <c:v>1002.1877161042931</c:v>
                </c:pt>
                <c:pt idx="14">
                  <c:v>1063.8167118281992</c:v>
                </c:pt>
                <c:pt idx="15">
                  <c:v>1118.5791708906825</c:v>
                </c:pt>
                <c:pt idx="16">
                  <c:v>1166.3801108247633</c:v>
                </c:pt>
                <c:pt idx="17">
                  <c:v>1207.459353304977</c:v>
                </c:pt>
                <c:pt idx="18">
                  <c:v>1242.291977942903</c:v>
                </c:pt>
                <c:pt idx="19">
                  <c:v>1271.4936743585163</c:v>
                </c:pt>
                <c:pt idx="20">
                  <c:v>1295.7420784807343</c:v>
                </c:pt>
                <c:pt idx="21">
                  <c:v>1315.7182404650498</c:v>
                </c:pt>
                <c:pt idx="22">
                  <c:v>1332.0675697828117</c:v>
                </c:pt>
                <c:pt idx="23">
                  <c:v>1345.377055080435</c:v>
                </c:pt>
                <c:pt idx="24">
                  <c:v>1356.1647249494952</c:v>
                </c:pt>
                <c:pt idx="25">
                  <c:v>1364.8775202277909</c:v>
                </c:pt>
                <c:pt idx="26">
                  <c:v>1371.8944310486631</c:v>
                </c:pt>
                <c:pt idx="27">
                  <c:v>1377.5325514280878</c:v>
                </c:pt>
                <c:pt idx="28">
                  <c:v>1382.0544310508185</c:v>
                </c:pt>
                <c:pt idx="29">
                  <c:v>1385.675684490958</c:v>
                </c:pt>
                <c:pt idx="30">
                  <c:v>1388.5722439708845</c:v>
                </c:pt>
                <c:pt idx="31">
                  <c:v>1390.8869342103853</c:v>
                </c:pt>
                <c:pt idx="32">
                  <c:v>1392.7352371833988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A-44B2-837D-AE5154A8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58895"/>
        <c:axId val="2051652239"/>
      </c:scatterChart>
      <c:valAx>
        <c:axId val="20516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2239"/>
        <c:crosses val="autoZero"/>
        <c:crossBetween val="midCat"/>
      </c:valAx>
      <c:valAx>
        <c:axId val="20516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湖北累计确诊人数（基于修订模型）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湖北!$E$1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湖北!$E$2:$E$34</c:f>
              <c:numCache>
                <c:formatCode>General</c:formatCode>
                <c:ptCount val="33"/>
                <c:pt idx="0">
                  <c:v>4586</c:v>
                </c:pt>
                <c:pt idx="1">
                  <c:v>5806</c:v>
                </c:pt>
                <c:pt idx="2">
                  <c:v>7153</c:v>
                </c:pt>
                <c:pt idx="3">
                  <c:v>9074</c:v>
                </c:pt>
                <c:pt idx="4">
                  <c:v>11177</c:v>
                </c:pt>
                <c:pt idx="5">
                  <c:v>13522</c:v>
                </c:pt>
                <c:pt idx="6">
                  <c:v>16678</c:v>
                </c:pt>
                <c:pt idx="7">
                  <c:v>19665</c:v>
                </c:pt>
                <c:pt idx="8">
                  <c:v>22112</c:v>
                </c:pt>
                <c:pt idx="9">
                  <c:v>24953</c:v>
                </c:pt>
                <c:pt idx="10">
                  <c:v>27100</c:v>
                </c:pt>
                <c:pt idx="11">
                  <c:v>29631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3-40BE-8E4D-1E5FB2AD085B}"/>
            </c:ext>
          </c:extLst>
        </c:ser>
        <c:ser>
          <c:idx val="1"/>
          <c:order val="1"/>
          <c:tx>
            <c:strRef>
              <c:f>湖北!$G$1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湖北!$D$2:$D$34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湖北!$G$2:$G$34</c:f>
              <c:numCache>
                <c:formatCode>0</c:formatCode>
                <c:ptCount val="33"/>
                <c:pt idx="0">
                  <c:v>4477.5809839422873</c:v>
                </c:pt>
                <c:pt idx="1">
                  <c:v>5750.0176853766088</c:v>
                </c:pt>
                <c:pt idx="2">
                  <c:v>7308.3809636854248</c:v>
                </c:pt>
                <c:pt idx="3">
                  <c:v>9173.9465470552368</c:v>
                </c:pt>
                <c:pt idx="4">
                  <c:v>11347.339053958829</c:v>
                </c:pt>
                <c:pt idx="5">
                  <c:v>13800.537988605127</c:v>
                </c:pt>
                <c:pt idx="6">
                  <c:v>16472.667169968354</c:v>
                </c:pt>
                <c:pt idx="7">
                  <c:v>19272.667271154816</c:v>
                </c:pt>
                <c:pt idx="8">
                  <c:v>22090.048250991891</c:v>
                </c:pt>
                <c:pt idx="9">
                  <c:v>24811.576909954249</c:v>
                </c:pt>
                <c:pt idx="10">
                  <c:v>27338.844273972369</c:v>
                </c:pt>
                <c:pt idx="11">
                  <c:v>29601.200207240301</c:v>
                </c:pt>
                <c:pt idx="12" formatCode="General">
                  <c:v>31560.877891234111</c:v>
                </c:pt>
                <c:pt idx="13" formatCode="General">
                  <c:v>33210.584189005378</c:v>
                </c:pt>
                <c:pt idx="14" formatCode="General">
                  <c:v>34566.288893458885</c:v>
                </c:pt>
                <c:pt idx="15" formatCode="General">
                  <c:v>35658.499637423229</c:v>
                </c:pt>
                <c:pt idx="16" formatCode="General">
                  <c:v>36524.448296513234</c:v>
                </c:pt>
                <c:pt idx="17" formatCode="General">
                  <c:v>37202.330154585397</c:v>
                </c:pt>
                <c:pt idx="18" formatCode="General">
                  <c:v>37727.724935163656</c:v>
                </c:pt>
                <c:pt idx="19" formatCode="General">
                  <c:v>38131.795916017349</c:v>
                </c:pt>
                <c:pt idx="20" formatCode="General">
                  <c:v>38440.713962964546</c:v>
                </c:pt>
                <c:pt idx="21" formatCode="General">
                  <c:v>38675.812679946554</c:v>
                </c:pt>
                <c:pt idx="22" formatCode="General">
                  <c:v>38854.112373229786</c:v>
                </c:pt>
                <c:pt idx="23" formatCode="General">
                  <c:v>38988.980030111321</c:v>
                </c:pt>
                <c:pt idx="24" formatCode="General">
                  <c:v>39090.792291467224</c:v>
                </c:pt>
                <c:pt idx="25" formatCode="General">
                  <c:v>39167.535374878491</c:v>
                </c:pt>
                <c:pt idx="26" formatCode="General">
                  <c:v>39225.31650324387</c:v>
                </c:pt>
                <c:pt idx="27" formatCode="General">
                  <c:v>39268.78373822134</c:v>
                </c:pt>
                <c:pt idx="28" formatCode="General">
                  <c:v>39301.462008099246</c:v>
                </c:pt>
                <c:pt idx="29" formatCode="General">
                  <c:v>39326.017371292946</c:v>
                </c:pt>
                <c:pt idx="30" formatCode="General">
                  <c:v>39344.462260891989</c:v>
                </c:pt>
                <c:pt idx="31" formatCode="General">
                  <c:v>39358.313459740239</c:v>
                </c:pt>
                <c:pt idx="32" formatCode="General">
                  <c:v>39368.712895029916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3-40BE-8E4D-1E5FB2AD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58063"/>
        <c:axId val="2051662639"/>
      </c:scatterChart>
      <c:valAx>
        <c:axId val="205165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62639"/>
        <c:crosses val="autoZero"/>
        <c:crossBetween val="midCat"/>
      </c:valAx>
      <c:valAx>
        <c:axId val="20516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5722222222222215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全国!$X$1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2117235345582"/>
                  <c:y val="-0.65672098279381741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全国!$V$2:$V$14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1.8660659830736148</c:v>
                </c:pt>
                <c:pt idx="3">
                  <c:v>2.6878753795222869</c:v>
                </c:pt>
                <c:pt idx="4">
                  <c:v>3.4822022531844965</c:v>
                </c:pt>
                <c:pt idx="5">
                  <c:v>4.2566996126039234</c:v>
                </c:pt>
                <c:pt idx="6">
                  <c:v>5.0157528124676221</c:v>
                </c:pt>
                <c:pt idx="7">
                  <c:v>5.7621987779513102</c:v>
                </c:pt>
                <c:pt idx="8">
                  <c:v>6.4980191708498829</c:v>
                </c:pt>
                <c:pt idx="9">
                  <c:v>7.2246740558420779</c:v>
                </c:pt>
                <c:pt idx="10">
                  <c:v>7.9432823472428176</c:v>
                </c:pt>
                <c:pt idx="11">
                  <c:v>8.654727864164494</c:v>
                </c:pt>
                <c:pt idx="12">
                  <c:v>9.359725702851641</c:v>
                </c:pt>
              </c:numCache>
            </c:numRef>
          </c:xVal>
          <c:yVal>
            <c:numRef>
              <c:f>全国!$X$2:$X$14</c:f>
              <c:numCache>
                <c:formatCode>General</c:formatCode>
                <c:ptCount val="13"/>
                <c:pt idx="0">
                  <c:v>2.5948023206112181</c:v>
                </c:pt>
                <c:pt idx="1">
                  <c:v>2.3200782504415627</c:v>
                </c:pt>
                <c:pt idx="2">
                  <c:v>2.0694149168365432</c:v>
                </c:pt>
                <c:pt idx="3">
                  <c:v>1.8462330293905531</c:v>
                </c:pt>
                <c:pt idx="4">
                  <c:v>1.6582280766035324</c:v>
                </c:pt>
                <c:pt idx="5">
                  <c:v>1.4500101755059984</c:v>
                </c:pt>
                <c:pt idx="6">
                  <c:v>1.2443240998495033</c:v>
                </c:pt>
                <c:pt idx="7">
                  <c:v>1.0541913841041597</c:v>
                </c:pt>
                <c:pt idx="8">
                  <c:v>0.86238110259853218</c:v>
                </c:pt>
                <c:pt idx="9">
                  <c:v>0.68447546677832771</c:v>
                </c:pt>
                <c:pt idx="10">
                  <c:v>0.487314885101512</c:v>
                </c:pt>
                <c:pt idx="11">
                  <c:v>0.2925960872542101</c:v>
                </c:pt>
                <c:pt idx="12">
                  <c:v>8.6369440152508997E-2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D-4A3B-A88D-D6C055CA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89263"/>
        <c:axId val="891380943"/>
      </c:scatterChart>
      <c:valAx>
        <c:axId val="8913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80943"/>
        <c:crosses val="autoZero"/>
        <c:crossBetween val="midCat"/>
      </c:valAx>
      <c:valAx>
        <c:axId val="8913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湖北累计死亡人数增长速度（基于修订模型）</a:t>
            </a:r>
            <a:endParaRPr lang="en-US" altLang="zh-CN"/>
          </a:p>
        </c:rich>
      </c:tx>
      <c:layout>
        <c:manualLayout>
          <c:xMode val="edge"/>
          <c:yMode val="edge"/>
          <c:x val="0.1694444444444444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湖北!$W$1</c:f>
              <c:strCache>
                <c:ptCount val="1"/>
                <c:pt idx="0">
                  <c:v>湖北速度2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湖北!$W$2:$W$34</c:f>
              <c:numCache>
                <c:formatCode>0</c:formatCode>
                <c:ptCount val="33"/>
                <c:pt idx="1">
                  <c:v>35.460477514417477</c:v>
                </c:pt>
                <c:pt idx="2">
                  <c:v>41.765042521757834</c:v>
                </c:pt>
                <c:pt idx="3">
                  <c:v>48.524662074646017</c:v>
                </c:pt>
                <c:pt idx="4">
                  <c:v>55.493606493673269</c:v>
                </c:pt>
                <c:pt idx="5">
                  <c:v>62.327047825369391</c:v>
                </c:pt>
                <c:pt idx="6">
                  <c:v>68.597267700309771</c:v>
                </c:pt>
                <c:pt idx="7">
                  <c:v>73.834255390517342</c:v>
                </c:pt>
                <c:pt idx="8">
                  <c:v>77.588908579073745</c:v>
                </c:pt>
                <c:pt idx="9">
                  <c:v>79.507722899136979</c:v>
                </c:pt>
                <c:pt idx="10">
                  <c:v>79.399911405980333</c:v>
                </c:pt>
                <c:pt idx="11">
                  <c:v>77.276375087640986</c:v>
                </c:pt>
                <c:pt idx="12">
                  <c:v>73.347426862731481</c:v>
                </c:pt>
                <c:pt idx="13">
                  <c:v>67.980054573348411</c:v>
                </c:pt>
                <c:pt idx="14">
                  <c:v>61.628995723906087</c:v>
                </c:pt>
                <c:pt idx="15">
                  <c:v>54.762459062483231</c:v>
                </c:pt>
                <c:pt idx="16">
                  <c:v>47.800939934080816</c:v>
                </c:pt>
                <c:pt idx="17">
                  <c:v>41.079242480213679</c:v>
                </c:pt>
                <c:pt idx="18">
                  <c:v>34.832624637926074</c:v>
                </c:pt>
                <c:pt idx="19">
                  <c:v>29.201696415613242</c:v>
                </c:pt>
                <c:pt idx="20">
                  <c:v>24.248404122218062</c:v>
                </c:pt>
                <c:pt idx="21">
                  <c:v>19.976161984315468</c:v>
                </c:pt>
                <c:pt idx="22">
                  <c:v>16.349329317761885</c:v>
                </c:pt>
                <c:pt idx="23">
                  <c:v>13.309485297623269</c:v>
                </c:pt>
                <c:pt idx="24">
                  <c:v>10.78766986906021</c:v>
                </c:pt>
                <c:pt idx="25">
                  <c:v>8.7127952782957436</c:v>
                </c:pt>
                <c:pt idx="26">
                  <c:v>7.0169108208722264</c:v>
                </c:pt>
                <c:pt idx="27">
                  <c:v>5.638120379424663</c:v>
                </c:pt>
                <c:pt idx="28">
                  <c:v>4.5218796227306939</c:v>
                </c:pt>
                <c:pt idx="29">
                  <c:v>3.621253440139526</c:v>
                </c:pt>
                <c:pt idx="30">
                  <c:v>2.8965594799265091</c:v>
                </c:pt>
                <c:pt idx="31">
                  <c:v>2.3146902395008055</c:v>
                </c:pt>
                <c:pt idx="32">
                  <c:v>1.8483029730134604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E-4074-91F1-F51CE661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58895"/>
        <c:axId val="2051653487"/>
      </c:scatterChart>
      <c:valAx>
        <c:axId val="20516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3487"/>
        <c:crosses val="autoZero"/>
        <c:crossBetween val="midCat"/>
      </c:valAx>
      <c:valAx>
        <c:axId val="20516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湖北累计死亡人数（基于修订模型）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湖北!$T$1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湖北!$T$2:$T$34</c:f>
              <c:numCache>
                <c:formatCode>General</c:formatCode>
                <c:ptCount val="33"/>
                <c:pt idx="0">
                  <c:v>162</c:v>
                </c:pt>
                <c:pt idx="1">
                  <c:v>204</c:v>
                </c:pt>
                <c:pt idx="2">
                  <c:v>249</c:v>
                </c:pt>
                <c:pt idx="3">
                  <c:v>249</c:v>
                </c:pt>
                <c:pt idx="4">
                  <c:v>350</c:v>
                </c:pt>
                <c:pt idx="5">
                  <c:v>414</c:v>
                </c:pt>
                <c:pt idx="6">
                  <c:v>479</c:v>
                </c:pt>
                <c:pt idx="7">
                  <c:v>549</c:v>
                </c:pt>
                <c:pt idx="8">
                  <c:v>618</c:v>
                </c:pt>
                <c:pt idx="9">
                  <c:v>699</c:v>
                </c:pt>
                <c:pt idx="10">
                  <c:v>780</c:v>
                </c:pt>
                <c:pt idx="11">
                  <c:v>871</c:v>
                </c:pt>
                <c:pt idx="12">
                  <c:v>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B-47E3-8743-02629F24EDD8}"/>
            </c:ext>
          </c:extLst>
        </c:ser>
        <c:ser>
          <c:idx val="1"/>
          <c:order val="1"/>
          <c:tx>
            <c:strRef>
              <c:f>湖北!$V$1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湖北!$V$2:$V$34</c:f>
              <c:numCache>
                <c:formatCode>0</c:formatCode>
                <c:ptCount val="33"/>
                <c:pt idx="0">
                  <c:v>161.08495717569011</c:v>
                </c:pt>
                <c:pt idx="1">
                  <c:v>196.54543469010758</c:v>
                </c:pt>
                <c:pt idx="2">
                  <c:v>238.31047721186542</c:v>
                </c:pt>
                <c:pt idx="3">
                  <c:v>286.83513928651143</c:v>
                </c:pt>
                <c:pt idx="4">
                  <c:v>342.3287457801847</c:v>
                </c:pt>
                <c:pt idx="5">
                  <c:v>404.65579360555409</c:v>
                </c:pt>
                <c:pt idx="6">
                  <c:v>473.25306130586387</c:v>
                </c:pt>
                <c:pt idx="7">
                  <c:v>547.08731669638121</c:v>
                </c:pt>
                <c:pt idx="8">
                  <c:v>624.67622527545495</c:v>
                </c:pt>
                <c:pt idx="9">
                  <c:v>704.18394817459193</c:v>
                </c:pt>
                <c:pt idx="10">
                  <c:v>783.58385958057227</c:v>
                </c:pt>
                <c:pt idx="11">
                  <c:v>860.86023466821325</c:v>
                </c:pt>
                <c:pt idx="12">
                  <c:v>934.20766153094473</c:v>
                </c:pt>
                <c:pt idx="13">
                  <c:v>1002.1877161042931</c:v>
                </c:pt>
                <c:pt idx="14">
                  <c:v>1063.8167118281992</c:v>
                </c:pt>
                <c:pt idx="15">
                  <c:v>1118.5791708906825</c:v>
                </c:pt>
                <c:pt idx="16">
                  <c:v>1166.3801108247633</c:v>
                </c:pt>
                <c:pt idx="17">
                  <c:v>1207.459353304977</c:v>
                </c:pt>
                <c:pt idx="18">
                  <c:v>1242.291977942903</c:v>
                </c:pt>
                <c:pt idx="19">
                  <c:v>1271.4936743585163</c:v>
                </c:pt>
                <c:pt idx="20">
                  <c:v>1295.7420784807343</c:v>
                </c:pt>
                <c:pt idx="21">
                  <c:v>1315.7182404650498</c:v>
                </c:pt>
                <c:pt idx="22">
                  <c:v>1332.0675697828117</c:v>
                </c:pt>
                <c:pt idx="23">
                  <c:v>1345.377055080435</c:v>
                </c:pt>
                <c:pt idx="24">
                  <c:v>1356.1647249494952</c:v>
                </c:pt>
                <c:pt idx="25">
                  <c:v>1364.8775202277909</c:v>
                </c:pt>
                <c:pt idx="26">
                  <c:v>1371.8944310486631</c:v>
                </c:pt>
                <c:pt idx="27">
                  <c:v>1377.5325514280878</c:v>
                </c:pt>
                <c:pt idx="28">
                  <c:v>1382.0544310508185</c:v>
                </c:pt>
                <c:pt idx="29">
                  <c:v>1385.675684490958</c:v>
                </c:pt>
                <c:pt idx="30">
                  <c:v>1388.5722439708845</c:v>
                </c:pt>
                <c:pt idx="31">
                  <c:v>1390.8869342103853</c:v>
                </c:pt>
                <c:pt idx="32">
                  <c:v>1392.7352371833988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B-47E3-8743-02629F24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67631"/>
        <c:axId val="2051668047"/>
      </c:scatterChart>
      <c:valAx>
        <c:axId val="20516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68047"/>
        <c:crosses val="autoZero"/>
        <c:crossBetween val="midCat"/>
      </c:valAx>
      <c:valAx>
        <c:axId val="20516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6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湖北累计死亡人数增长加速度（基于修订模型）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湖北!$X$1</c:f>
              <c:strCache>
                <c:ptCount val="1"/>
                <c:pt idx="0">
                  <c:v>湖北加速度2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湖北!$S$2:$S$34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湖北!$X$2:$X$34</c:f>
              <c:numCache>
                <c:formatCode>0</c:formatCode>
                <c:ptCount val="33"/>
                <c:pt idx="2">
                  <c:v>6.3045650073403579</c:v>
                </c:pt>
                <c:pt idx="3">
                  <c:v>6.7596195528881822</c:v>
                </c:pt>
                <c:pt idx="4">
                  <c:v>6.9689444190272525</c:v>
                </c:pt>
                <c:pt idx="5">
                  <c:v>6.8334413316961218</c:v>
                </c:pt>
                <c:pt idx="6">
                  <c:v>6.2702198749403806</c:v>
                </c:pt>
                <c:pt idx="7">
                  <c:v>5.2369876902075703</c:v>
                </c:pt>
                <c:pt idx="8">
                  <c:v>3.7546531885564036</c:v>
                </c:pt>
                <c:pt idx="9">
                  <c:v>1.9188143200632339</c:v>
                </c:pt>
                <c:pt idx="10">
                  <c:v>-0.10781149315664607</c:v>
                </c:pt>
                <c:pt idx="11">
                  <c:v>-2.1235363183393474</c:v>
                </c:pt>
                <c:pt idx="12">
                  <c:v>-3.9289482249095045</c:v>
                </c:pt>
                <c:pt idx="13">
                  <c:v>-5.36737228938307</c:v>
                </c:pt>
                <c:pt idx="14">
                  <c:v>-6.3510588494423246</c:v>
                </c:pt>
                <c:pt idx="15">
                  <c:v>-6.866536661422856</c:v>
                </c:pt>
                <c:pt idx="16">
                  <c:v>-6.9615191284024149</c:v>
                </c:pt>
                <c:pt idx="17">
                  <c:v>-6.7216974538671366</c:v>
                </c:pt>
                <c:pt idx="18">
                  <c:v>-6.2466178422876055</c:v>
                </c:pt>
                <c:pt idx="19">
                  <c:v>-5.6309282223128321</c:v>
                </c:pt>
                <c:pt idx="20">
                  <c:v>-4.9532922933951795</c:v>
                </c:pt>
                <c:pt idx="21">
                  <c:v>-4.2722421379025945</c:v>
                </c:pt>
                <c:pt idx="22">
                  <c:v>-3.6268326665535824</c:v>
                </c:pt>
                <c:pt idx="23">
                  <c:v>-3.0398440201386165</c:v>
                </c:pt>
                <c:pt idx="24">
                  <c:v>-2.521815428563059</c:v>
                </c:pt>
                <c:pt idx="25">
                  <c:v>-2.0748745907644661</c:v>
                </c:pt>
                <c:pt idx="26">
                  <c:v>-1.6958844574235172</c:v>
                </c:pt>
                <c:pt idx="27">
                  <c:v>-1.3787904414475634</c:v>
                </c:pt>
                <c:pt idx="28">
                  <c:v>-1.1162407566939692</c:v>
                </c:pt>
                <c:pt idx="29">
                  <c:v>-0.90062618259116789</c:v>
                </c:pt>
                <c:pt idx="30">
                  <c:v>-0.72469396021301691</c:v>
                </c:pt>
                <c:pt idx="31">
                  <c:v>-0.58186924042570354</c:v>
                </c:pt>
                <c:pt idx="32">
                  <c:v>-0.46638726648734519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AB8-BC9F-5591511B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43087"/>
        <c:axId val="2051648495"/>
      </c:scatterChart>
      <c:valAx>
        <c:axId val="205164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48495"/>
        <c:crosses val="autoZero"/>
        <c:crossBetween val="midCat"/>
      </c:valAx>
      <c:valAx>
        <c:axId val="20516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4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05555555555556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湖北省外!$F$1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36001749781277"/>
                  <c:y val="-0.71734543598716827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湖北省外!$D$2:$D$11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湖北省外!$F$2:$F$11</c:f>
              <c:numCache>
                <c:formatCode>General</c:formatCode>
                <c:ptCount val="10"/>
                <c:pt idx="0">
                  <c:v>1.0330150061822965</c:v>
                </c:pt>
                <c:pt idx="1">
                  <c:v>0.72557430224469455</c:v>
                </c:pt>
                <c:pt idx="2">
                  <c:v>0.45151761555314907</c:v>
                </c:pt>
                <c:pt idx="3">
                  <c:v>0.22190613622859237</c:v>
                </c:pt>
                <c:pt idx="4">
                  <c:v>-2.0334033935424937E-2</c:v>
                </c:pt>
                <c:pt idx="5">
                  <c:v>-0.31901152084627488</c:v>
                </c:pt>
                <c:pt idx="6">
                  <c:v>-0.57717305245516792</c:v>
                </c:pt>
                <c:pt idx="7">
                  <c:v>-0.84531451979259176</c:v>
                </c:pt>
                <c:pt idx="8">
                  <c:v>-1.1431090122352872</c:v>
                </c:pt>
                <c:pt idx="9">
                  <c:v>-1.4098989188893114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B-4FD1-BFD6-C4926525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58431"/>
        <c:axId val="1513760511"/>
      </c:scatterChart>
      <c:valAx>
        <c:axId val="15137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760511"/>
        <c:crosses val="autoZero"/>
        <c:crossBetween val="midCat"/>
      </c:valAx>
      <c:valAx>
        <c:axId val="15137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7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湖北省外!$H$1</c:f>
              <c:strCache>
                <c:ptCount val="1"/>
                <c:pt idx="0">
                  <c:v>湖北以外速度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湖北省外!$D$2:$D$34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湖北省外!$H$2:$H$34</c:f>
              <c:numCache>
                <c:formatCode>0</c:formatCode>
                <c:ptCount val="33"/>
                <c:pt idx="1">
                  <c:v>665.15343119989939</c:v>
                </c:pt>
                <c:pt idx="2">
                  <c:v>731.90540321771141</c:v>
                </c:pt>
                <c:pt idx="3">
                  <c:v>779.54913312807639</c:v>
                </c:pt>
                <c:pt idx="4">
                  <c:v>802.0149847099965</c:v>
                </c:pt>
                <c:pt idx="5">
                  <c:v>796.24340213727828</c:v>
                </c:pt>
                <c:pt idx="6">
                  <c:v>763.03244675555652</c:v>
                </c:pt>
                <c:pt idx="7">
                  <c:v>706.8123500011543</c:v>
                </c:pt>
                <c:pt idx="8">
                  <c:v>634.45096956897396</c:v>
                </c:pt>
                <c:pt idx="9">
                  <c:v>553.61063295174972</c:v>
                </c:pt>
                <c:pt idx="10">
                  <c:v>471.26986106498589</c:v>
                </c:pt>
                <c:pt idx="11">
                  <c:v>392.80286394090217</c:v>
                </c:pt>
                <c:pt idx="12">
                  <c:v>321.68529702131309</c:v>
                </c:pt>
                <c:pt idx="13">
                  <c:v>259.66545267018591</c:v>
                </c:pt>
                <c:pt idx="14">
                  <c:v>207.16960011533774</c:v>
                </c:pt>
                <c:pt idx="15">
                  <c:v>163.75223050646855</c:v>
                </c:pt>
                <c:pt idx="16">
                  <c:v>128.48237370128845</c:v>
                </c:pt>
                <c:pt idx="17">
                  <c:v>100.22666884116006</c:v>
                </c:pt>
                <c:pt idx="18">
                  <c:v>77.832082919552704</c:v>
                </c:pt>
                <c:pt idx="19">
                  <c:v>60.22929412524536</c:v>
                </c:pt>
                <c:pt idx="20">
                  <c:v>46.480989764873812</c:v>
                </c:pt>
                <c:pt idx="21">
                  <c:v>35.795699565444011</c:v>
                </c:pt>
                <c:pt idx="22">
                  <c:v>27.522237918892642</c:v>
                </c:pt>
                <c:pt idx="23">
                  <c:v>21.13471174679762</c:v>
                </c:pt>
                <c:pt idx="24">
                  <c:v>16.214140960284567</c:v>
                </c:pt>
                <c:pt idx="25">
                  <c:v>12.430058378522517</c:v>
                </c:pt>
                <c:pt idx="26">
                  <c:v>9.5237565841725882</c:v>
                </c:pt>
                <c:pt idx="27">
                  <c:v>7.2938421855360502</c:v>
                </c:pt>
                <c:pt idx="28">
                  <c:v>5.5842028053484682</c:v>
                </c:pt>
                <c:pt idx="29">
                  <c:v>4.2742145776610414</c:v>
                </c:pt>
                <c:pt idx="30">
                  <c:v>3.2709018015011679</c:v>
                </c:pt>
                <c:pt idx="31">
                  <c:v>2.5027325527880748</c:v>
                </c:pt>
                <c:pt idx="32">
                  <c:v>1.9147506183162477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F-4C45-BAB7-C76C3F04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17327"/>
        <c:axId val="1475323151"/>
      </c:scatterChart>
      <c:valAx>
        <c:axId val="14753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23151"/>
        <c:crosses val="autoZero"/>
        <c:crossBetween val="midCat"/>
      </c:valAx>
      <c:valAx>
        <c:axId val="14753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1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湖北省外!$I$1</c:f>
              <c:strCache>
                <c:ptCount val="1"/>
                <c:pt idx="0">
                  <c:v>湖北以外加速度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湖北省外!$D$2:$D$34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湖北省外!$I$2:$I$34</c:f>
              <c:numCache>
                <c:formatCode>0</c:formatCode>
                <c:ptCount val="33"/>
                <c:pt idx="2">
                  <c:v>66.751972017812022</c:v>
                </c:pt>
                <c:pt idx="3">
                  <c:v>47.643729910364982</c:v>
                </c:pt>
                <c:pt idx="4">
                  <c:v>22.465851581920106</c:v>
                </c:pt>
                <c:pt idx="5">
                  <c:v>-5.7715825727182164</c:v>
                </c:pt>
                <c:pt idx="6">
                  <c:v>-33.21095538172176</c:v>
                </c:pt>
                <c:pt idx="7">
                  <c:v>-56.220096754402221</c:v>
                </c:pt>
                <c:pt idx="8">
                  <c:v>-72.36138043218034</c:v>
                </c:pt>
                <c:pt idx="9">
                  <c:v>-80.840336617224239</c:v>
                </c:pt>
                <c:pt idx="10">
                  <c:v>-82.340771886763832</c:v>
                </c:pt>
                <c:pt idx="11">
                  <c:v>-78.466997124083719</c:v>
                </c:pt>
                <c:pt idx="12">
                  <c:v>-71.11756691958908</c:v>
                </c:pt>
                <c:pt idx="13">
                  <c:v>-62.019844351127176</c:v>
                </c:pt>
                <c:pt idx="14">
                  <c:v>-52.49585255484817</c:v>
                </c:pt>
                <c:pt idx="15">
                  <c:v>-43.417369608869194</c:v>
                </c:pt>
                <c:pt idx="16">
                  <c:v>-35.269856805180098</c:v>
                </c:pt>
                <c:pt idx="17">
                  <c:v>-28.25570486012839</c:v>
                </c:pt>
                <c:pt idx="18">
                  <c:v>-22.394585921607359</c:v>
                </c:pt>
                <c:pt idx="19">
                  <c:v>-17.602788794307344</c:v>
                </c:pt>
                <c:pt idx="20">
                  <c:v>-13.748304360371549</c:v>
                </c:pt>
                <c:pt idx="21">
                  <c:v>-10.685290199429801</c:v>
                </c:pt>
                <c:pt idx="22">
                  <c:v>-8.2734616465513682</c:v>
                </c:pt>
                <c:pt idx="23">
                  <c:v>-6.387526172095022</c:v>
                </c:pt>
                <c:pt idx="24">
                  <c:v>-4.9205707865130535</c:v>
                </c:pt>
                <c:pt idx="25">
                  <c:v>-3.7840825817620498</c:v>
                </c:pt>
                <c:pt idx="26">
                  <c:v>-2.906301794349929</c:v>
                </c:pt>
                <c:pt idx="27">
                  <c:v>-2.229914398636538</c:v>
                </c:pt>
                <c:pt idx="28">
                  <c:v>-1.709639380187582</c:v>
                </c:pt>
                <c:pt idx="29">
                  <c:v>-1.3099882276874268</c:v>
                </c:pt>
                <c:pt idx="30">
                  <c:v>-1.0033127761598735</c:v>
                </c:pt>
                <c:pt idx="31">
                  <c:v>-0.76816924871309311</c:v>
                </c:pt>
                <c:pt idx="32">
                  <c:v>-0.58798193447182712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3-4ABD-907E-1349B0C3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13583"/>
        <c:axId val="1475316495"/>
      </c:scatterChart>
      <c:valAx>
        <c:axId val="14753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16495"/>
        <c:crosses val="autoZero"/>
        <c:crossBetween val="midCat"/>
      </c:valAx>
      <c:valAx>
        <c:axId val="14753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1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湖北以外全国各地累计确诊人数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湖北省外!$E$1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湖北省外!$D$2:$D$34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湖北省外!$E$2:$E$34</c:f>
              <c:numCache>
                <c:formatCode>General</c:formatCode>
                <c:ptCount val="33"/>
                <c:pt idx="0">
                  <c:v>3150</c:v>
                </c:pt>
                <c:pt idx="1">
                  <c:v>3914</c:v>
                </c:pt>
                <c:pt idx="2">
                  <c:v>4668</c:v>
                </c:pt>
                <c:pt idx="3">
                  <c:v>5337</c:v>
                </c:pt>
                <c:pt idx="4">
                  <c:v>6061</c:v>
                </c:pt>
                <c:pt idx="5">
                  <c:v>6949</c:v>
                </c:pt>
                <c:pt idx="6">
                  <c:v>7685</c:v>
                </c:pt>
                <c:pt idx="7">
                  <c:v>8395</c:v>
                </c:pt>
                <c:pt idx="8">
                  <c:v>9099</c:v>
                </c:pt>
                <c:pt idx="9">
                  <c:v>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9-4C48-9E67-A2889FE56F41}"/>
            </c:ext>
          </c:extLst>
        </c:ser>
        <c:ser>
          <c:idx val="1"/>
          <c:order val="1"/>
          <c:tx>
            <c:strRef>
              <c:f>湖北省外!$G$1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湖北省外!$D$2:$D$34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湖北省外!$G$2:$G$34</c:f>
              <c:numCache>
                <c:formatCode>0</c:formatCode>
                <c:ptCount val="33"/>
                <c:pt idx="0">
                  <c:v>3183.9394727825097</c:v>
                </c:pt>
                <c:pt idx="1">
                  <c:v>3849.0929039824091</c:v>
                </c:pt>
                <c:pt idx="2">
                  <c:v>4580.9983072001205</c:v>
                </c:pt>
                <c:pt idx="3">
                  <c:v>5360.5474403281969</c:v>
                </c:pt>
                <c:pt idx="4">
                  <c:v>6162.5624250381934</c:v>
                </c:pt>
                <c:pt idx="5">
                  <c:v>6958.8058271754717</c:v>
                </c:pt>
                <c:pt idx="6">
                  <c:v>7721.8382739310282</c:v>
                </c:pt>
                <c:pt idx="7">
                  <c:v>8428.6506239321825</c:v>
                </c:pt>
                <c:pt idx="8">
                  <c:v>9063.1015935011565</c:v>
                </c:pt>
                <c:pt idx="9">
                  <c:v>9616.7122264529062</c:v>
                </c:pt>
                <c:pt idx="10">
                  <c:v>10087.982087517892</c:v>
                </c:pt>
                <c:pt idx="11">
                  <c:v>10480.784951458794</c:v>
                </c:pt>
                <c:pt idx="12">
                  <c:v>10802.470248480107</c:v>
                </c:pt>
                <c:pt idx="13">
                  <c:v>11062.135701150293</c:v>
                </c:pt>
                <c:pt idx="14">
                  <c:v>11269.305301265631</c:v>
                </c:pt>
                <c:pt idx="15">
                  <c:v>11433.0575317721</c:v>
                </c:pt>
                <c:pt idx="16">
                  <c:v>11561.539905473388</c:v>
                </c:pt>
                <c:pt idx="17">
                  <c:v>11661.766574314548</c:v>
                </c:pt>
                <c:pt idx="18">
                  <c:v>11739.598657234101</c:v>
                </c:pt>
                <c:pt idx="19">
                  <c:v>11799.827951359346</c:v>
                </c:pt>
                <c:pt idx="20">
                  <c:v>11846.30894112422</c:v>
                </c:pt>
                <c:pt idx="21">
                  <c:v>11882.104640689664</c:v>
                </c:pt>
                <c:pt idx="22">
                  <c:v>11909.626878608557</c:v>
                </c:pt>
                <c:pt idx="23">
                  <c:v>11930.761590355354</c:v>
                </c:pt>
                <c:pt idx="24">
                  <c:v>11946.975731315639</c:v>
                </c:pt>
                <c:pt idx="25">
                  <c:v>11959.405789694161</c:v>
                </c:pt>
                <c:pt idx="26">
                  <c:v>11968.929546278334</c:v>
                </c:pt>
                <c:pt idx="27">
                  <c:v>11976.22338846387</c:v>
                </c:pt>
                <c:pt idx="28">
                  <c:v>11981.807591269218</c:v>
                </c:pt>
                <c:pt idx="29">
                  <c:v>11986.081805846879</c:v>
                </c:pt>
                <c:pt idx="30">
                  <c:v>11989.352707648381</c:v>
                </c:pt>
                <c:pt idx="31">
                  <c:v>11991.855440201169</c:v>
                </c:pt>
                <c:pt idx="32">
                  <c:v>11993.770190819485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9-4C48-9E67-A2889FE5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13999"/>
        <c:axId val="1475324815"/>
      </c:scatterChart>
      <c:valAx>
        <c:axId val="14753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24815"/>
        <c:crosses val="autoZero"/>
        <c:crossBetween val="midCat"/>
      </c:valAx>
      <c:valAx>
        <c:axId val="14753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1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湖北以外的累计确诊人数增长趋势线</a:t>
            </a:r>
          </a:p>
        </c:rich>
      </c:tx>
      <c:layout>
        <c:manualLayout>
          <c:xMode val="edge"/>
          <c:yMode val="edge"/>
          <c:x val="0.169444444444444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湖北省外!$AN$1</c:f>
              <c:strCache>
                <c:ptCount val="1"/>
                <c:pt idx="0">
                  <c:v>湖北以外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湖北省外!$AH$2:$AH$34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湖北省外!$AN$2:$AN$34</c:f>
              <c:numCache>
                <c:formatCode>General</c:formatCode>
                <c:ptCount val="33"/>
                <c:pt idx="0">
                  <c:v>3150</c:v>
                </c:pt>
                <c:pt idx="1">
                  <c:v>3914</c:v>
                </c:pt>
                <c:pt idx="2">
                  <c:v>4668</c:v>
                </c:pt>
                <c:pt idx="3">
                  <c:v>5337</c:v>
                </c:pt>
                <c:pt idx="4">
                  <c:v>6061</c:v>
                </c:pt>
                <c:pt idx="5">
                  <c:v>6949</c:v>
                </c:pt>
                <c:pt idx="6">
                  <c:v>7685</c:v>
                </c:pt>
                <c:pt idx="7">
                  <c:v>8395</c:v>
                </c:pt>
                <c:pt idx="8">
                  <c:v>9099</c:v>
                </c:pt>
                <c:pt idx="9">
                  <c:v>9645</c:v>
                </c:pt>
                <c:pt idx="10">
                  <c:v>10151</c:v>
                </c:pt>
                <c:pt idx="11">
                  <c:v>10604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7-464A-98FF-8A3E5D750363}"/>
            </c:ext>
          </c:extLst>
        </c:ser>
        <c:ser>
          <c:idx val="1"/>
          <c:order val="1"/>
          <c:tx>
            <c:strRef>
              <c:f>湖北省外!$AO$1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湖北省外!$AH$2:$AH$34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湖北省外!$AO$2:$AO$34</c:f>
              <c:numCache>
                <c:formatCode>0</c:formatCode>
                <c:ptCount val="33"/>
                <c:pt idx="0">
                  <c:v>3171.4509993431029</c:v>
                </c:pt>
                <c:pt idx="1">
                  <c:v>3825.41095697336</c:v>
                </c:pt>
                <c:pt idx="2">
                  <c:v>4550.3267983070209</c:v>
                </c:pt>
                <c:pt idx="3">
                  <c:v>5328.5440033954947</c:v>
                </c:pt>
                <c:pt idx="4">
                  <c:v>6134.8027964665453</c:v>
                </c:pt>
                <c:pt idx="5">
                  <c:v>6939.3003293774891</c:v>
                </c:pt>
                <c:pt idx="6">
                  <c:v>7712.6553154291723</c:v>
                </c:pt>
                <c:pt idx="7">
                  <c:v>8431.2427417242143</c:v>
                </c:pt>
                <c:pt idx="8">
                  <c:v>9080.812494143669</c:v>
                </c:pt>
                <c:pt idx="9">
                  <c:v>9656.9922851374686</c:v>
                </c:pt>
                <c:pt idx="10">
                  <c:v>10162.898859456865</c:v>
                </c:pt>
                <c:pt idx="11">
                  <c:v>10605.463358827237</c:v>
                </c:pt>
                <c:pt idx="12">
                  <c:v>10992.266991646084</c:v>
                </c:pt>
                <c:pt idx="13">
                  <c:v>11329.825162698857</c:v>
                </c:pt>
                <c:pt idx="14">
                  <c:v>11623.231333403994</c:v>
                </c:pt>
                <c:pt idx="15">
                  <c:v>11876.546196613708</c:v>
                </c:pt>
                <c:pt idx="16">
                  <c:v>12093.342407417847</c:v>
                </c:pt>
                <c:pt idx="17">
                  <c:v>12277.087341317172</c:v>
                </c:pt>
                <c:pt idx="18">
                  <c:v>12431.295772631478</c:v>
                </c:pt>
                <c:pt idx="19">
                  <c:v>12559.512880415386</c:v>
                </c:pt>
                <c:pt idx="20">
                  <c:v>12665.215926900019</c:v>
                </c:pt>
                <c:pt idx="21">
                  <c:v>12751.70224146096</c:v>
                </c:pt>
                <c:pt idx="22">
                  <c:v>12822.000052452713</c:v>
                </c:pt>
                <c:pt idx="23">
                  <c:v>12878.814427942118</c:v>
                </c:pt>
                <c:pt idx="24">
                  <c:v>12924.506598153159</c:v>
                </c:pt>
                <c:pt idx="25">
                  <c:v>12961.099032772378</c:v>
                </c:pt>
                <c:pt idx="26">
                  <c:v>12990.297568134505</c:v>
                </c:pt>
                <c:pt idx="27">
                  <c:v>13013.523066416798</c:v>
                </c:pt>
                <c:pt idx="28">
                  <c:v>13031.946991094315</c:v>
                </c:pt>
                <c:pt idx="29">
                  <c:v>13046.527127562564</c:v>
                </c:pt>
                <c:pt idx="30">
                  <c:v>13058.041167487529</c:v>
                </c:pt>
                <c:pt idx="31">
                  <c:v>13067.11695752744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7-464A-98FF-8A3E5D75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76735"/>
        <c:axId val="2115778399"/>
      </c:scatterChart>
      <c:valAx>
        <c:axId val="21157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778399"/>
        <c:crosses val="autoZero"/>
        <c:crossBetween val="midCat"/>
      </c:valAx>
      <c:valAx>
        <c:axId val="21157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77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湖北省外!$AM$1</c:f>
              <c:strCache>
                <c:ptCount val="1"/>
                <c:pt idx="0">
                  <c:v>湖北确诊人数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湖北省外!$AL$2:$AL$13</c:f>
              <c:numCache>
                <c:formatCode>General</c:formatCode>
                <c:ptCount val="12"/>
                <c:pt idx="0">
                  <c:v>7736</c:v>
                </c:pt>
                <c:pt idx="1">
                  <c:v>9720</c:v>
                </c:pt>
                <c:pt idx="2">
                  <c:v>11821</c:v>
                </c:pt>
                <c:pt idx="3">
                  <c:v>14411</c:v>
                </c:pt>
                <c:pt idx="4">
                  <c:v>17238</c:v>
                </c:pt>
                <c:pt idx="5">
                  <c:v>20471</c:v>
                </c:pt>
                <c:pt idx="6">
                  <c:v>24363</c:v>
                </c:pt>
                <c:pt idx="7">
                  <c:v>28060</c:v>
                </c:pt>
                <c:pt idx="8">
                  <c:v>31211</c:v>
                </c:pt>
                <c:pt idx="9">
                  <c:v>34598</c:v>
                </c:pt>
                <c:pt idx="10">
                  <c:v>37251</c:v>
                </c:pt>
                <c:pt idx="11">
                  <c:v>40235</c:v>
                </c:pt>
              </c:numCache>
            </c:numRef>
          </c:xVal>
          <c:yVal>
            <c:numRef>
              <c:f>湖北省外!$AM$2:$AM$13</c:f>
              <c:numCache>
                <c:formatCode>General</c:formatCode>
                <c:ptCount val="12"/>
                <c:pt idx="0">
                  <c:v>4586</c:v>
                </c:pt>
                <c:pt idx="1">
                  <c:v>5806</c:v>
                </c:pt>
                <c:pt idx="2">
                  <c:v>7153</c:v>
                </c:pt>
                <c:pt idx="3">
                  <c:v>9074</c:v>
                </c:pt>
                <c:pt idx="4">
                  <c:v>11177</c:v>
                </c:pt>
                <c:pt idx="5">
                  <c:v>13522</c:v>
                </c:pt>
                <c:pt idx="6">
                  <c:v>16678</c:v>
                </c:pt>
                <c:pt idx="7">
                  <c:v>19665</c:v>
                </c:pt>
                <c:pt idx="8">
                  <c:v>22112</c:v>
                </c:pt>
                <c:pt idx="9">
                  <c:v>24953</c:v>
                </c:pt>
                <c:pt idx="10">
                  <c:v>27100</c:v>
                </c:pt>
                <c:pt idx="11">
                  <c:v>29631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0-452B-9787-FA5C08B2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79055"/>
        <c:axId val="2133284879"/>
      </c:scatterChart>
      <c:valAx>
        <c:axId val="213327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84879"/>
        <c:crosses val="autoZero"/>
        <c:crossBetween val="midCat"/>
      </c:valAx>
      <c:valAx>
        <c:axId val="21332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7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湖北省外!$AQ$1</c:f>
              <c:strCache>
                <c:ptCount val="1"/>
                <c:pt idx="0">
                  <c:v>全国确诊人数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507611548556431"/>
                  <c:y val="-0.17576407115777196"/>
                </c:manualLayout>
              </c:layout>
              <c:numFmt formatCode="0.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湖北省外!$AP$2:$AP$13</c:f>
              <c:numCache>
                <c:formatCode>General</c:formatCode>
                <c:ptCount val="12"/>
                <c:pt idx="0">
                  <c:v>4586</c:v>
                </c:pt>
                <c:pt idx="1">
                  <c:v>5806</c:v>
                </c:pt>
                <c:pt idx="2">
                  <c:v>7153</c:v>
                </c:pt>
                <c:pt idx="3">
                  <c:v>9074</c:v>
                </c:pt>
                <c:pt idx="4">
                  <c:v>11177</c:v>
                </c:pt>
                <c:pt idx="5">
                  <c:v>13522</c:v>
                </c:pt>
                <c:pt idx="6">
                  <c:v>16678</c:v>
                </c:pt>
                <c:pt idx="7">
                  <c:v>19665</c:v>
                </c:pt>
                <c:pt idx="8">
                  <c:v>22112</c:v>
                </c:pt>
                <c:pt idx="9">
                  <c:v>24953</c:v>
                </c:pt>
                <c:pt idx="10">
                  <c:v>27100</c:v>
                </c:pt>
                <c:pt idx="11">
                  <c:v>29631</c:v>
                </c:pt>
              </c:numCache>
            </c:numRef>
          </c:xVal>
          <c:yVal>
            <c:numRef>
              <c:f>湖北省外!$AQ$2:$AQ$13</c:f>
              <c:numCache>
                <c:formatCode>General</c:formatCode>
                <c:ptCount val="12"/>
                <c:pt idx="0">
                  <c:v>7736</c:v>
                </c:pt>
                <c:pt idx="1">
                  <c:v>9720</c:v>
                </c:pt>
                <c:pt idx="2">
                  <c:v>11821</c:v>
                </c:pt>
                <c:pt idx="3">
                  <c:v>14411</c:v>
                </c:pt>
                <c:pt idx="4">
                  <c:v>17238</c:v>
                </c:pt>
                <c:pt idx="5">
                  <c:v>20471</c:v>
                </c:pt>
                <c:pt idx="6">
                  <c:v>24363</c:v>
                </c:pt>
                <c:pt idx="7">
                  <c:v>28060</c:v>
                </c:pt>
                <c:pt idx="8">
                  <c:v>31211</c:v>
                </c:pt>
                <c:pt idx="9">
                  <c:v>34598</c:v>
                </c:pt>
                <c:pt idx="10">
                  <c:v>37251</c:v>
                </c:pt>
                <c:pt idx="11">
                  <c:v>40235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4-4AD9-879A-540C6858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75311"/>
        <c:axId val="2133292367"/>
      </c:scatterChart>
      <c:valAx>
        <c:axId val="213327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92367"/>
        <c:crosses val="autoZero"/>
        <c:crossBetween val="midCat"/>
      </c:valAx>
      <c:valAx>
        <c:axId val="21332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7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全国累计死亡人数增长速度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全国!$Z$1</c:f>
              <c:strCache>
                <c:ptCount val="1"/>
                <c:pt idx="0">
                  <c:v>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全国!$R$2:$R$34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全国!$Z$2:$Z$34</c:f>
              <c:numCache>
                <c:formatCode>0.000</c:formatCode>
                <c:ptCount val="33"/>
                <c:pt idx="1">
                  <c:v>36.945409767124517</c:v>
                </c:pt>
                <c:pt idx="2">
                  <c:v>39.159136231111688</c:v>
                </c:pt>
                <c:pt idx="3">
                  <c:v>44.201186281658551</c:v>
                </c:pt>
                <c:pt idx="4">
                  <c:v>49.948694621406474</c:v>
                </c:pt>
                <c:pt idx="5">
                  <c:v>56.064012569993849</c:v>
                </c:pt>
                <c:pt idx="6">
                  <c:v>62.302510742691652</c:v>
                </c:pt>
                <c:pt idx="7">
                  <c:v>68.412696404527082</c:v>
                </c:pt>
                <c:pt idx="8">
                  <c:v>74.123012236872512</c:v>
                </c:pt>
                <c:pt idx="9">
                  <c:v>79.152010198542257</c:v>
                </c:pt>
                <c:pt idx="10">
                  <c:v>83.229553631073031</c:v>
                </c:pt>
                <c:pt idx="11">
                  <c:v>86.123139171871912</c:v>
                </c:pt>
                <c:pt idx="12">
                  <c:v>87.663852220257127</c:v>
                </c:pt>
                <c:pt idx="13">
                  <c:v>87.766492561489713</c:v>
                </c:pt>
                <c:pt idx="14">
                  <c:v>86.439448698030901</c:v>
                </c:pt>
                <c:pt idx="15">
                  <c:v>83.782129557694361</c:v>
                </c:pt>
                <c:pt idx="16">
                  <c:v>79.970617170503374</c:v>
                </c:pt>
                <c:pt idx="17">
                  <c:v>75.234772674117494</c:v>
                </c:pt>
                <c:pt idx="18">
                  <c:v>69.831514673625179</c:v>
                </c:pt>
                <c:pt idx="19">
                  <c:v>64.019068975025903</c:v>
                </c:pt>
                <c:pt idx="20">
                  <c:v>58.035886199536208</c:v>
                </c:pt>
                <c:pt idx="21">
                  <c:v>52.086215633124539</c:v>
                </c:pt>
                <c:pt idx="22">
                  <c:v>46.332631458157266</c:v>
                </c:pt>
                <c:pt idx="23">
                  <c:v>40.894559209703402</c:v>
                </c:pt>
                <c:pt idx="24">
                  <c:v>35.851199187626889</c:v>
                </c:pt>
                <c:pt idx="25">
                  <c:v>31.24712169520717</c:v>
                </c:pt>
                <c:pt idx="26">
                  <c:v>27.099037954045571</c:v>
                </c:pt>
                <c:pt idx="27">
                  <c:v>23.402640962644682</c:v>
                </c:pt>
                <c:pt idx="28">
                  <c:v>20.13881888054425</c:v>
                </c:pt>
                <c:pt idx="29">
                  <c:v>17.278887543931432</c:v>
                </c:pt>
                <c:pt idx="30">
                  <c:v>14.788737893799635</c:v>
                </c:pt>
                <c:pt idx="31">
                  <c:v>12.631950895050295</c:v>
                </c:pt>
                <c:pt idx="32">
                  <c:v>10.772015222023583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0-4A14-8F3A-EC1ECEDE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26048"/>
        <c:axId val="1430011072"/>
      </c:scatterChart>
      <c:valAx>
        <c:axId val="14300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011072"/>
        <c:crosses val="autoZero"/>
        <c:crossBetween val="midCat"/>
      </c:valAx>
      <c:valAx>
        <c:axId val="1430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0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888888888888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湖北省外!$AN$1</c:f>
              <c:strCache>
                <c:ptCount val="1"/>
                <c:pt idx="0">
                  <c:v>湖北以外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589566929133858"/>
                  <c:y val="-0.1942825896762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湖北省外!$AM$2:$AM$13</c:f>
              <c:numCache>
                <c:formatCode>General</c:formatCode>
                <c:ptCount val="12"/>
                <c:pt idx="0">
                  <c:v>4586</c:v>
                </c:pt>
                <c:pt idx="1">
                  <c:v>5806</c:v>
                </c:pt>
                <c:pt idx="2">
                  <c:v>7153</c:v>
                </c:pt>
                <c:pt idx="3">
                  <c:v>9074</c:v>
                </c:pt>
                <c:pt idx="4">
                  <c:v>11177</c:v>
                </c:pt>
                <c:pt idx="5">
                  <c:v>13522</c:v>
                </c:pt>
                <c:pt idx="6">
                  <c:v>16678</c:v>
                </c:pt>
                <c:pt idx="7">
                  <c:v>19665</c:v>
                </c:pt>
                <c:pt idx="8">
                  <c:v>22112</c:v>
                </c:pt>
                <c:pt idx="9">
                  <c:v>24953</c:v>
                </c:pt>
                <c:pt idx="10">
                  <c:v>27100</c:v>
                </c:pt>
                <c:pt idx="11">
                  <c:v>29631</c:v>
                </c:pt>
              </c:numCache>
            </c:numRef>
          </c:xVal>
          <c:yVal>
            <c:numRef>
              <c:f>湖北省外!$AN$2:$AN$13</c:f>
              <c:numCache>
                <c:formatCode>General</c:formatCode>
                <c:ptCount val="12"/>
                <c:pt idx="0">
                  <c:v>3150</c:v>
                </c:pt>
                <c:pt idx="1">
                  <c:v>3914</c:v>
                </c:pt>
                <c:pt idx="2">
                  <c:v>4668</c:v>
                </c:pt>
                <c:pt idx="3">
                  <c:v>5337</c:v>
                </c:pt>
                <c:pt idx="4">
                  <c:v>6061</c:v>
                </c:pt>
                <c:pt idx="5">
                  <c:v>6949</c:v>
                </c:pt>
                <c:pt idx="6">
                  <c:v>7685</c:v>
                </c:pt>
                <c:pt idx="7">
                  <c:v>8395</c:v>
                </c:pt>
                <c:pt idx="8">
                  <c:v>9099</c:v>
                </c:pt>
                <c:pt idx="9">
                  <c:v>9645</c:v>
                </c:pt>
                <c:pt idx="10">
                  <c:v>10151</c:v>
                </c:pt>
                <c:pt idx="11">
                  <c:v>10604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4547-8D2A-581D2312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89711"/>
        <c:axId val="2123491375"/>
      </c:scatterChart>
      <c:valAx>
        <c:axId val="212348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491375"/>
        <c:crosses val="autoZero"/>
        <c:crossBetween val="midCat"/>
      </c:valAx>
      <c:valAx>
        <c:axId val="21234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48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777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湖北省外!$BH$1</c:f>
              <c:strCache>
                <c:ptCount val="1"/>
                <c:pt idx="0">
                  <c:v>全国死亡人数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41929133858267"/>
                  <c:y val="-0.16650481189851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湖北省外!$BG$2:$BG$13</c:f>
              <c:numCache>
                <c:formatCode>General</c:formatCode>
                <c:ptCount val="12"/>
                <c:pt idx="0">
                  <c:v>162</c:v>
                </c:pt>
                <c:pt idx="1">
                  <c:v>204</c:v>
                </c:pt>
                <c:pt idx="2">
                  <c:v>249</c:v>
                </c:pt>
                <c:pt idx="3">
                  <c:v>249</c:v>
                </c:pt>
                <c:pt idx="4">
                  <c:v>350</c:v>
                </c:pt>
                <c:pt idx="5">
                  <c:v>414</c:v>
                </c:pt>
                <c:pt idx="6">
                  <c:v>479</c:v>
                </c:pt>
                <c:pt idx="7">
                  <c:v>549</c:v>
                </c:pt>
                <c:pt idx="8">
                  <c:v>618</c:v>
                </c:pt>
                <c:pt idx="9">
                  <c:v>699</c:v>
                </c:pt>
                <c:pt idx="10">
                  <c:v>780</c:v>
                </c:pt>
                <c:pt idx="11">
                  <c:v>871</c:v>
                </c:pt>
              </c:numCache>
            </c:numRef>
          </c:xVal>
          <c:yVal>
            <c:numRef>
              <c:f>湖北省外!$BH$2:$BH$13</c:f>
              <c:numCache>
                <c:formatCode>General</c:formatCode>
                <c:ptCount val="12"/>
                <c:pt idx="0">
                  <c:v>170</c:v>
                </c:pt>
                <c:pt idx="1">
                  <c:v>213</c:v>
                </c:pt>
                <c:pt idx="2">
                  <c:v>259</c:v>
                </c:pt>
                <c:pt idx="3">
                  <c:v>304</c:v>
                </c:pt>
                <c:pt idx="4">
                  <c:v>361</c:v>
                </c:pt>
                <c:pt idx="5">
                  <c:v>425</c:v>
                </c:pt>
                <c:pt idx="6">
                  <c:v>491</c:v>
                </c:pt>
                <c:pt idx="7">
                  <c:v>564</c:v>
                </c:pt>
                <c:pt idx="8">
                  <c:v>637</c:v>
                </c:pt>
                <c:pt idx="9">
                  <c:v>719</c:v>
                </c:pt>
                <c:pt idx="10">
                  <c:v>812</c:v>
                </c:pt>
                <c:pt idx="11">
                  <c:v>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0-43A7-AD62-0E024B6D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73487"/>
        <c:axId val="2123495119"/>
      </c:scatterChart>
      <c:valAx>
        <c:axId val="21234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495119"/>
        <c:crosses val="autoZero"/>
        <c:crossBetween val="midCat"/>
      </c:valAx>
      <c:valAx>
        <c:axId val="21234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47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555555555555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湖北省外!$AM$1</c:f>
              <c:strCache>
                <c:ptCount val="1"/>
                <c:pt idx="0">
                  <c:v>湖北确诊人数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754155730533688E-2"/>
                  <c:y val="-0.1966152668416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湖北省外!$AL$2:$AL$13</c:f>
              <c:numCache>
                <c:formatCode>General</c:formatCode>
                <c:ptCount val="12"/>
                <c:pt idx="0">
                  <c:v>7736</c:v>
                </c:pt>
                <c:pt idx="1">
                  <c:v>9720</c:v>
                </c:pt>
                <c:pt idx="2">
                  <c:v>11821</c:v>
                </c:pt>
                <c:pt idx="3">
                  <c:v>14411</c:v>
                </c:pt>
                <c:pt idx="4">
                  <c:v>17238</c:v>
                </c:pt>
                <c:pt idx="5">
                  <c:v>20471</c:v>
                </c:pt>
                <c:pt idx="6">
                  <c:v>24363</c:v>
                </c:pt>
                <c:pt idx="7">
                  <c:v>28060</c:v>
                </c:pt>
                <c:pt idx="8">
                  <c:v>31211</c:v>
                </c:pt>
                <c:pt idx="9">
                  <c:v>34598</c:v>
                </c:pt>
                <c:pt idx="10">
                  <c:v>37251</c:v>
                </c:pt>
                <c:pt idx="11">
                  <c:v>40235</c:v>
                </c:pt>
              </c:numCache>
            </c:numRef>
          </c:xVal>
          <c:yVal>
            <c:numRef>
              <c:f>湖北省外!$AM$2:$AM$13</c:f>
              <c:numCache>
                <c:formatCode>General</c:formatCode>
                <c:ptCount val="12"/>
                <c:pt idx="0">
                  <c:v>4586</c:v>
                </c:pt>
                <c:pt idx="1">
                  <c:v>5806</c:v>
                </c:pt>
                <c:pt idx="2">
                  <c:v>7153</c:v>
                </c:pt>
                <c:pt idx="3">
                  <c:v>9074</c:v>
                </c:pt>
                <c:pt idx="4">
                  <c:v>11177</c:v>
                </c:pt>
                <c:pt idx="5">
                  <c:v>13522</c:v>
                </c:pt>
                <c:pt idx="6">
                  <c:v>16678</c:v>
                </c:pt>
                <c:pt idx="7">
                  <c:v>19665</c:v>
                </c:pt>
                <c:pt idx="8">
                  <c:v>22112</c:v>
                </c:pt>
                <c:pt idx="9">
                  <c:v>24953</c:v>
                </c:pt>
                <c:pt idx="10">
                  <c:v>27100</c:v>
                </c:pt>
                <c:pt idx="11">
                  <c:v>29631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F-4A0A-8E0C-24D8416B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85295"/>
        <c:axId val="2133291535"/>
      </c:scatterChart>
      <c:valAx>
        <c:axId val="21332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91535"/>
        <c:crosses val="autoZero"/>
        <c:crossBetween val="midCat"/>
      </c:valAx>
      <c:valAx>
        <c:axId val="21332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000000000000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湖北省外!$BD$1</c:f>
              <c:strCache>
                <c:ptCount val="1"/>
                <c:pt idx="0">
                  <c:v>湖北死亡人数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244313210848641E-2"/>
                  <c:y val="-0.18558872849227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湖北省外!$BC$2:$BC$13</c:f>
              <c:numCache>
                <c:formatCode>General</c:formatCode>
                <c:ptCount val="12"/>
                <c:pt idx="0">
                  <c:v>170</c:v>
                </c:pt>
                <c:pt idx="1">
                  <c:v>213</c:v>
                </c:pt>
                <c:pt idx="2">
                  <c:v>259</c:v>
                </c:pt>
                <c:pt idx="3">
                  <c:v>304</c:v>
                </c:pt>
                <c:pt idx="4">
                  <c:v>361</c:v>
                </c:pt>
                <c:pt idx="5">
                  <c:v>425</c:v>
                </c:pt>
                <c:pt idx="6">
                  <c:v>491</c:v>
                </c:pt>
                <c:pt idx="7">
                  <c:v>564</c:v>
                </c:pt>
                <c:pt idx="8">
                  <c:v>637</c:v>
                </c:pt>
                <c:pt idx="9">
                  <c:v>719</c:v>
                </c:pt>
                <c:pt idx="10">
                  <c:v>812</c:v>
                </c:pt>
                <c:pt idx="11">
                  <c:v>909</c:v>
                </c:pt>
              </c:numCache>
            </c:numRef>
          </c:xVal>
          <c:yVal>
            <c:numRef>
              <c:f>湖北省外!$BD$2:$BD$13</c:f>
              <c:numCache>
                <c:formatCode>General</c:formatCode>
                <c:ptCount val="12"/>
                <c:pt idx="0">
                  <c:v>162</c:v>
                </c:pt>
                <c:pt idx="1">
                  <c:v>204</c:v>
                </c:pt>
                <c:pt idx="2">
                  <c:v>249</c:v>
                </c:pt>
                <c:pt idx="3">
                  <c:v>249</c:v>
                </c:pt>
                <c:pt idx="4">
                  <c:v>350</c:v>
                </c:pt>
                <c:pt idx="5">
                  <c:v>414</c:v>
                </c:pt>
                <c:pt idx="6">
                  <c:v>479</c:v>
                </c:pt>
                <c:pt idx="7">
                  <c:v>549</c:v>
                </c:pt>
                <c:pt idx="8">
                  <c:v>618</c:v>
                </c:pt>
                <c:pt idx="9">
                  <c:v>699</c:v>
                </c:pt>
                <c:pt idx="10">
                  <c:v>780</c:v>
                </c:pt>
                <c:pt idx="11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5-416C-AB43-76E8FC2D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79471"/>
        <c:axId val="2133285711"/>
      </c:scatterChart>
      <c:valAx>
        <c:axId val="21332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85711"/>
        <c:crosses val="autoZero"/>
        <c:crossBetween val="midCat"/>
      </c:valAx>
      <c:valAx>
        <c:axId val="21332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27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最初的试验!$K$5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330052493438323E-2"/>
                  <c:y val="-0.1948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最初的试验!$J$6:$J$19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最初的试验!$K$6:$K$19</c:f>
              <c:numCache>
                <c:formatCode>General</c:formatCode>
                <c:ptCount val="14"/>
                <c:pt idx="0">
                  <c:v>291</c:v>
                </c:pt>
                <c:pt idx="1">
                  <c:v>391</c:v>
                </c:pt>
                <c:pt idx="2">
                  <c:v>440</c:v>
                </c:pt>
                <c:pt idx="3">
                  <c:v>571</c:v>
                </c:pt>
                <c:pt idx="4">
                  <c:v>830</c:v>
                </c:pt>
                <c:pt idx="5">
                  <c:v>1287</c:v>
                </c:pt>
                <c:pt idx="6">
                  <c:v>1975</c:v>
                </c:pt>
                <c:pt idx="7">
                  <c:v>2744</c:v>
                </c:pt>
                <c:pt idx="8">
                  <c:v>4515</c:v>
                </c:pt>
                <c:pt idx="9">
                  <c:v>5975</c:v>
                </c:pt>
                <c:pt idx="10">
                  <c:v>7711</c:v>
                </c:pt>
                <c:pt idx="11">
                  <c:v>9692</c:v>
                </c:pt>
                <c:pt idx="12">
                  <c:v>11823</c:v>
                </c:pt>
                <c:pt idx="13">
                  <c:v>14411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7-42B4-A7A5-CCA7E629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06895"/>
        <c:axId val="776501903"/>
      </c:scatterChart>
      <c:valAx>
        <c:axId val="7765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501903"/>
        <c:crosses val="autoZero"/>
        <c:crossBetween val="midCat"/>
      </c:valAx>
      <c:valAx>
        <c:axId val="776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50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最初的试验!$M$5</c:f>
              <c:strCache>
                <c:ptCount val="1"/>
                <c:pt idx="0">
                  <c:v>1/N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最初的试验!$J$6:$J$19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最初的试验!$M$6:$M$19</c:f>
              <c:numCache>
                <c:formatCode>General</c:formatCode>
                <c:ptCount val="14"/>
                <c:pt idx="0">
                  <c:v>291</c:v>
                </c:pt>
                <c:pt idx="1">
                  <c:v>491</c:v>
                </c:pt>
                <c:pt idx="2">
                  <c:v>489</c:v>
                </c:pt>
                <c:pt idx="3">
                  <c:v>702</c:v>
                </c:pt>
                <c:pt idx="4">
                  <c:v>1089</c:v>
                </c:pt>
                <c:pt idx="5">
                  <c:v>1744</c:v>
                </c:pt>
                <c:pt idx="6">
                  <c:v>2663</c:v>
                </c:pt>
                <c:pt idx="7">
                  <c:v>3513</c:v>
                </c:pt>
                <c:pt idx="8">
                  <c:v>6286</c:v>
                </c:pt>
                <c:pt idx="9">
                  <c:v>7435</c:v>
                </c:pt>
                <c:pt idx="10">
                  <c:v>9547</c:v>
                </c:pt>
                <c:pt idx="11">
                  <c:v>11673</c:v>
                </c:pt>
                <c:pt idx="12">
                  <c:v>13954</c:v>
                </c:pt>
                <c:pt idx="13">
                  <c:v>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94E-B281-45C5EEC3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39215"/>
        <c:axId val="1120928399"/>
      </c:scatterChart>
      <c:valAx>
        <c:axId val="11209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928399"/>
        <c:crosses val="autoZero"/>
        <c:crossBetween val="midCat"/>
      </c:valAx>
      <c:valAx>
        <c:axId val="11209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9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最初的试验!$L$5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869641294838145E-2"/>
                  <c:y val="-0.21191017789442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最初的试验!$K$6:$K$19</c:f>
              <c:numCache>
                <c:formatCode>General</c:formatCode>
                <c:ptCount val="14"/>
                <c:pt idx="0">
                  <c:v>291</c:v>
                </c:pt>
                <c:pt idx="1">
                  <c:v>391</c:v>
                </c:pt>
                <c:pt idx="2">
                  <c:v>440</c:v>
                </c:pt>
                <c:pt idx="3">
                  <c:v>571</c:v>
                </c:pt>
                <c:pt idx="4">
                  <c:v>830</c:v>
                </c:pt>
                <c:pt idx="5">
                  <c:v>1287</c:v>
                </c:pt>
                <c:pt idx="6">
                  <c:v>1975</c:v>
                </c:pt>
                <c:pt idx="7">
                  <c:v>2744</c:v>
                </c:pt>
                <c:pt idx="8">
                  <c:v>4515</c:v>
                </c:pt>
                <c:pt idx="9">
                  <c:v>5975</c:v>
                </c:pt>
                <c:pt idx="10">
                  <c:v>7711</c:v>
                </c:pt>
                <c:pt idx="11">
                  <c:v>9692</c:v>
                </c:pt>
                <c:pt idx="12">
                  <c:v>11823</c:v>
                </c:pt>
                <c:pt idx="13">
                  <c:v>14411</c:v>
                </c:pt>
              </c:numCache>
            </c:numRef>
          </c:xVal>
          <c:yVal>
            <c:numRef>
              <c:f>最初的试验!$L$6:$L$19</c:f>
              <c:numCache>
                <c:formatCode>General</c:formatCode>
                <c:ptCount val="14"/>
                <c:pt idx="1">
                  <c:v>100</c:v>
                </c:pt>
                <c:pt idx="2">
                  <c:v>49</c:v>
                </c:pt>
                <c:pt idx="3">
                  <c:v>131</c:v>
                </c:pt>
                <c:pt idx="4">
                  <c:v>259</c:v>
                </c:pt>
                <c:pt idx="5">
                  <c:v>457</c:v>
                </c:pt>
                <c:pt idx="6">
                  <c:v>688</c:v>
                </c:pt>
                <c:pt idx="7">
                  <c:v>769</c:v>
                </c:pt>
                <c:pt idx="8">
                  <c:v>1771</c:v>
                </c:pt>
                <c:pt idx="9">
                  <c:v>1460</c:v>
                </c:pt>
                <c:pt idx="10">
                  <c:v>1836</c:v>
                </c:pt>
                <c:pt idx="11">
                  <c:v>1981</c:v>
                </c:pt>
                <c:pt idx="12">
                  <c:v>2131</c:v>
                </c:pt>
                <c:pt idx="13">
                  <c:v>2590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6-458D-8A7C-4EAB8DAB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27567"/>
        <c:axId val="1120932143"/>
      </c:scatterChart>
      <c:valAx>
        <c:axId val="11209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932143"/>
        <c:crosses val="autoZero"/>
        <c:crossBetween val="midCat"/>
      </c:valAx>
      <c:valAx>
        <c:axId val="11209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9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最初的试验!$K$5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最初的试验!$J$6:$J$23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最初的试验!$K$6:$K$23</c:f>
              <c:numCache>
                <c:formatCode>General</c:formatCode>
                <c:ptCount val="18"/>
                <c:pt idx="0">
                  <c:v>291</c:v>
                </c:pt>
                <c:pt idx="1">
                  <c:v>391</c:v>
                </c:pt>
                <c:pt idx="2">
                  <c:v>440</c:v>
                </c:pt>
                <c:pt idx="3">
                  <c:v>571</c:v>
                </c:pt>
                <c:pt idx="4">
                  <c:v>830</c:v>
                </c:pt>
                <c:pt idx="5">
                  <c:v>1287</c:v>
                </c:pt>
                <c:pt idx="6">
                  <c:v>1975</c:v>
                </c:pt>
                <c:pt idx="7">
                  <c:v>2744</c:v>
                </c:pt>
                <c:pt idx="8">
                  <c:v>4515</c:v>
                </c:pt>
                <c:pt idx="9">
                  <c:v>5975</c:v>
                </c:pt>
                <c:pt idx="10">
                  <c:v>7711</c:v>
                </c:pt>
                <c:pt idx="11">
                  <c:v>9692</c:v>
                </c:pt>
                <c:pt idx="12">
                  <c:v>11823</c:v>
                </c:pt>
                <c:pt idx="13">
                  <c:v>14411</c:v>
                </c:pt>
                <c:pt idx="14">
                  <c:v>17238</c:v>
                </c:pt>
                <c:pt idx="15">
                  <c:v>20471</c:v>
                </c:pt>
                <c:pt idx="16">
                  <c:v>24441</c:v>
                </c:pt>
                <c:pt idx="17">
                  <c:v>28605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9-477C-BFDF-6D4A1208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35359"/>
        <c:axId val="672343263"/>
      </c:scatterChart>
      <c:valAx>
        <c:axId val="6723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343263"/>
        <c:crosses val="autoZero"/>
        <c:crossBetween val="midCat"/>
      </c:valAx>
      <c:valAx>
        <c:axId val="6723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33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最初的试验!$K$5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最初的试验!$J$6:$J$34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最初的试验!$K$6:$K$34</c:f>
              <c:numCache>
                <c:formatCode>General</c:formatCode>
                <c:ptCount val="29"/>
                <c:pt idx="0">
                  <c:v>291</c:v>
                </c:pt>
                <c:pt idx="1">
                  <c:v>391</c:v>
                </c:pt>
                <c:pt idx="2">
                  <c:v>440</c:v>
                </c:pt>
                <c:pt idx="3">
                  <c:v>571</c:v>
                </c:pt>
                <c:pt idx="4">
                  <c:v>830</c:v>
                </c:pt>
                <c:pt idx="5">
                  <c:v>1287</c:v>
                </c:pt>
                <c:pt idx="6">
                  <c:v>1975</c:v>
                </c:pt>
                <c:pt idx="7">
                  <c:v>2744</c:v>
                </c:pt>
                <c:pt idx="8">
                  <c:v>4515</c:v>
                </c:pt>
                <c:pt idx="9">
                  <c:v>5975</c:v>
                </c:pt>
                <c:pt idx="10">
                  <c:v>7711</c:v>
                </c:pt>
                <c:pt idx="11">
                  <c:v>9692</c:v>
                </c:pt>
                <c:pt idx="12">
                  <c:v>11823</c:v>
                </c:pt>
                <c:pt idx="13">
                  <c:v>14411</c:v>
                </c:pt>
                <c:pt idx="14">
                  <c:v>17238</c:v>
                </c:pt>
                <c:pt idx="15">
                  <c:v>20471</c:v>
                </c:pt>
                <c:pt idx="16">
                  <c:v>24441</c:v>
                </c:pt>
                <c:pt idx="17">
                  <c:v>28605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1-40DC-9E33-361322439E34}"/>
            </c:ext>
          </c:extLst>
        </c:ser>
        <c:ser>
          <c:idx val="1"/>
          <c:order val="1"/>
          <c:tx>
            <c:strRef>
              <c:f>最初的试验!$P$5</c:f>
              <c:strCache>
                <c:ptCount val="1"/>
                <c:pt idx="0">
                  <c:v>累计人数预测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最初的试验!$J$6:$J$34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最初的试验!$P$6:$P$34</c:f>
              <c:numCache>
                <c:formatCode>General</c:formatCode>
                <c:ptCount val="29"/>
                <c:pt idx="0">
                  <c:v>245.83554058613959</c:v>
                </c:pt>
                <c:pt idx="1">
                  <c:v>349.34708825136255</c:v>
                </c:pt>
                <c:pt idx="2">
                  <c:v>495.87228468557026</c:v>
                </c:pt>
                <c:pt idx="3">
                  <c:v>702.70995307178168</c:v>
                </c:pt>
                <c:pt idx="4">
                  <c:v>993.54400072245573</c:v>
                </c:pt>
                <c:pt idx="5">
                  <c:v>1400.2400877099574</c:v>
                </c:pt>
                <c:pt idx="6">
                  <c:v>1964.5985690168136</c:v>
                </c:pt>
                <c:pt idx="7">
                  <c:v>2739.4396308295268</c:v>
                </c:pt>
                <c:pt idx="8">
                  <c:v>3787.8453710716058</c:v>
                </c:pt>
                <c:pt idx="9">
                  <c:v>5178.7219496842408</c:v>
                </c:pt>
                <c:pt idx="10">
                  <c:v>6976.478927869367</c:v>
                </c:pt>
                <c:pt idx="11">
                  <c:v>9223.4681260888447</c:v>
                </c:pt>
                <c:pt idx="12">
                  <c:v>11917.06300330323</c:v>
                </c:pt>
                <c:pt idx="13">
                  <c:v>14988.970867979726</c:v>
                </c:pt>
                <c:pt idx="14">
                  <c:v>18299.305543132341</c:v>
                </c:pt>
                <c:pt idx="15">
                  <c:v>21655.678627275523</c:v>
                </c:pt>
                <c:pt idx="16">
                  <c:v>24854.914313193927</c:v>
                </c:pt>
                <c:pt idx="17">
                  <c:v>27729.792160020403</c:v>
                </c:pt>
                <c:pt idx="18">
                  <c:v>30179.519757888291</c:v>
                </c:pt>
                <c:pt idx="19">
                  <c:v>32174.21956545236</c:v>
                </c:pt>
                <c:pt idx="20">
                  <c:v>33739.160072647981</c:v>
                </c:pt>
                <c:pt idx="21">
                  <c:v>34931.515073587754</c:v>
                </c:pt>
                <c:pt idx="22">
                  <c:v>35819.884987481826</c:v>
                </c:pt>
                <c:pt idx="23">
                  <c:v>36470.793537864782</c:v>
                </c:pt>
                <c:pt idx="24">
                  <c:v>36941.893737582206</c:v>
                </c:pt>
                <c:pt idx="25">
                  <c:v>37279.834355347397</c:v>
                </c:pt>
                <c:pt idx="26">
                  <c:v>37520.708738981113</c:v>
                </c:pt>
                <c:pt idx="27">
                  <c:v>37691.615695705885</c:v>
                </c:pt>
                <c:pt idx="28">
                  <c:v>37812.486744798771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1-40DC-9E33-36132243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6559"/>
        <c:axId val="685565727"/>
      </c:scatterChart>
      <c:valAx>
        <c:axId val="6855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565727"/>
        <c:crosses val="autoZero"/>
        <c:crossBetween val="midCat"/>
      </c:valAx>
      <c:valAx>
        <c:axId val="685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56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5.0764071157771956E-2"/>
          <c:w val="0.86486351706036746"/>
          <c:h val="0.71220691163604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最初的试验!$Q$5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最初的试验!$J$6:$J$34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最初的试验!$Q$6:$Q$34</c:f>
              <c:numCache>
                <c:formatCode>General</c:formatCode>
                <c:ptCount val="29"/>
                <c:pt idx="1">
                  <c:v>103.51154766522296</c:v>
                </c:pt>
                <c:pt idx="2">
                  <c:v>146.52519643420771</c:v>
                </c:pt>
                <c:pt idx="3">
                  <c:v>206.83766838621142</c:v>
                </c:pt>
                <c:pt idx="4">
                  <c:v>290.83404765067405</c:v>
                </c:pt>
                <c:pt idx="5">
                  <c:v>406.69608698750164</c:v>
                </c:pt>
                <c:pt idx="6">
                  <c:v>564.35848130685622</c:v>
                </c:pt>
                <c:pt idx="7">
                  <c:v>774.84106181271318</c:v>
                </c:pt>
                <c:pt idx="8">
                  <c:v>1048.405740242079</c:v>
                </c:pt>
                <c:pt idx="9">
                  <c:v>1390.8765786126351</c:v>
                </c:pt>
                <c:pt idx="10">
                  <c:v>1797.7569781851262</c:v>
                </c:pt>
                <c:pt idx="11">
                  <c:v>2246.9891982194777</c:v>
                </c:pt>
                <c:pt idx="12">
                  <c:v>2693.5948772143856</c:v>
                </c:pt>
                <c:pt idx="13">
                  <c:v>3071.9078646764956</c:v>
                </c:pt>
                <c:pt idx="14">
                  <c:v>3310.3346751526151</c:v>
                </c:pt>
                <c:pt idx="15">
                  <c:v>3356.3730841431825</c:v>
                </c:pt>
                <c:pt idx="16">
                  <c:v>3199.2356859184038</c:v>
                </c:pt>
                <c:pt idx="17">
                  <c:v>2874.8778468264754</c:v>
                </c:pt>
                <c:pt idx="18">
                  <c:v>2449.7275978678881</c:v>
                </c:pt>
                <c:pt idx="19">
                  <c:v>1994.6998075640695</c:v>
                </c:pt>
                <c:pt idx="20">
                  <c:v>1564.9405071956207</c:v>
                </c:pt>
                <c:pt idx="21">
                  <c:v>1192.3550009397732</c:v>
                </c:pt>
                <c:pt idx="22">
                  <c:v>888.36991389407194</c:v>
                </c:pt>
                <c:pt idx="23">
                  <c:v>650.90855038295558</c:v>
                </c:pt>
                <c:pt idx="24">
                  <c:v>471.1001997174244</c:v>
                </c:pt>
                <c:pt idx="25">
                  <c:v>337.94061776519084</c:v>
                </c:pt>
                <c:pt idx="26">
                  <c:v>240.87438363371621</c:v>
                </c:pt>
                <c:pt idx="27">
                  <c:v>170.90695672477159</c:v>
                </c:pt>
                <c:pt idx="28">
                  <c:v>120.8710490928861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5-4182-9F0F-150B6117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3871"/>
        <c:axId val="687348847"/>
      </c:scatterChart>
      <c:valAx>
        <c:axId val="6873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348847"/>
        <c:crosses val="autoZero"/>
        <c:crossBetween val="midCat"/>
      </c:valAx>
      <c:valAx>
        <c:axId val="6873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3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全国累计死亡人数加速度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全国!$AA$1</c:f>
              <c:strCache>
                <c:ptCount val="1"/>
                <c:pt idx="0">
                  <c:v>加速度2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全国!$R$2:$R$34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全国!$AA$2:$AA$34</c:f>
              <c:numCache>
                <c:formatCode>0.000</c:formatCode>
                <c:ptCount val="33"/>
                <c:pt idx="2">
                  <c:v>2.2137264639871717</c:v>
                </c:pt>
                <c:pt idx="3">
                  <c:v>5.0420500505468624</c:v>
                </c:pt>
                <c:pt idx="4">
                  <c:v>5.7475083397479239</c:v>
                </c:pt>
                <c:pt idx="5">
                  <c:v>6.115317948587375</c:v>
                </c:pt>
                <c:pt idx="6">
                  <c:v>6.2384981726978026</c:v>
                </c:pt>
                <c:pt idx="7">
                  <c:v>6.1101856618354304</c:v>
                </c:pt>
                <c:pt idx="8">
                  <c:v>5.7103158323454295</c:v>
                </c:pt>
                <c:pt idx="9">
                  <c:v>5.0289979616697451</c:v>
                </c:pt>
                <c:pt idx="10">
                  <c:v>4.0775434325307742</c:v>
                </c:pt>
                <c:pt idx="11">
                  <c:v>2.8935855407988811</c:v>
                </c:pt>
                <c:pt idx="12">
                  <c:v>1.5407130483852143</c:v>
                </c:pt>
                <c:pt idx="13">
                  <c:v>0.10264034123258625</c:v>
                </c:pt>
                <c:pt idx="14">
                  <c:v>-1.3270438634588118</c:v>
                </c:pt>
                <c:pt idx="15">
                  <c:v>-2.6573191403365399</c:v>
                </c:pt>
                <c:pt idx="16">
                  <c:v>-3.8115123871909873</c:v>
                </c:pt>
                <c:pt idx="17">
                  <c:v>-4.7358444963858801</c:v>
                </c:pt>
                <c:pt idx="18">
                  <c:v>-5.4032580004923147</c:v>
                </c:pt>
                <c:pt idx="19">
                  <c:v>-5.8124456985992765</c:v>
                </c:pt>
                <c:pt idx="20">
                  <c:v>-5.9831827754896949</c:v>
                </c:pt>
                <c:pt idx="21">
                  <c:v>-5.9496705664116689</c:v>
                </c:pt>
                <c:pt idx="22">
                  <c:v>-5.7535841749672727</c:v>
                </c:pt>
                <c:pt idx="23">
                  <c:v>-5.4380722484538637</c:v>
                </c:pt>
                <c:pt idx="24">
                  <c:v>-5.0433600220765129</c:v>
                </c:pt>
                <c:pt idx="25">
                  <c:v>-4.6040774924197194</c:v>
                </c:pt>
                <c:pt idx="26">
                  <c:v>-4.1480837411615994</c:v>
                </c:pt>
                <c:pt idx="27">
                  <c:v>-3.6963969914008885</c:v>
                </c:pt>
                <c:pt idx="28">
                  <c:v>-3.2638220821004325</c:v>
                </c:pt>
                <c:pt idx="29">
                  <c:v>-2.8599313366128172</c:v>
                </c:pt>
                <c:pt idx="30">
                  <c:v>-2.4901496501317979</c:v>
                </c:pt>
                <c:pt idx="31">
                  <c:v>-2.1567869987493395</c:v>
                </c:pt>
                <c:pt idx="32">
                  <c:v>-1.8599356730267118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D-45FE-B809-9B965FFD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79472"/>
        <c:axId val="1465679888"/>
      </c:scatterChart>
      <c:valAx>
        <c:axId val="14656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79888"/>
        <c:crosses val="autoZero"/>
        <c:crossBetween val="midCat"/>
      </c:valAx>
      <c:valAx>
        <c:axId val="14656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939348206474192"/>
                  <c:y val="-0.21382144940215805"/>
                </c:manualLayout>
              </c:layout>
              <c:numFmt formatCode="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最初的试验!$E$8:$E$15</c:f>
              <c:numCache>
                <c:formatCode>General</c:formatCode>
                <c:ptCount val="8"/>
                <c:pt idx="0">
                  <c:v>7821</c:v>
                </c:pt>
                <c:pt idx="1">
                  <c:v>9800</c:v>
                </c:pt>
                <c:pt idx="2">
                  <c:v>11880</c:v>
                </c:pt>
                <c:pt idx="3">
                  <c:v>14401</c:v>
                </c:pt>
                <c:pt idx="4">
                  <c:v>17238</c:v>
                </c:pt>
                <c:pt idx="5">
                  <c:v>20471</c:v>
                </c:pt>
                <c:pt idx="6">
                  <c:v>24441</c:v>
                </c:pt>
                <c:pt idx="7">
                  <c:v>28605</c:v>
                </c:pt>
              </c:numCache>
            </c:numRef>
          </c:xVal>
          <c:yVal>
            <c:numRef>
              <c:f>最初的试验!$F$8:$F$15</c:f>
              <c:numCache>
                <c:formatCode>General</c:formatCode>
                <c:ptCount val="8"/>
                <c:pt idx="0">
                  <c:v>170</c:v>
                </c:pt>
                <c:pt idx="1">
                  <c:v>213</c:v>
                </c:pt>
                <c:pt idx="2">
                  <c:v>259</c:v>
                </c:pt>
                <c:pt idx="3">
                  <c:v>304</c:v>
                </c:pt>
                <c:pt idx="4">
                  <c:v>362</c:v>
                </c:pt>
                <c:pt idx="5">
                  <c:v>429</c:v>
                </c:pt>
                <c:pt idx="6">
                  <c:v>493</c:v>
                </c:pt>
                <c:pt idx="7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0-4BDE-A6B9-6C57DA27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04575"/>
        <c:axId val="993917055"/>
      </c:scatterChart>
      <c:valAx>
        <c:axId val="9939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17055"/>
        <c:crosses val="autoZero"/>
        <c:crossBetween val="midCat"/>
      </c:valAx>
      <c:valAx>
        <c:axId val="993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0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最初的试验!$W$1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最初的试验!$V$2:$V$9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最初的试验!$W$2:$W$9</c:f>
              <c:numCache>
                <c:formatCode>General</c:formatCode>
                <c:ptCount val="8"/>
                <c:pt idx="0">
                  <c:v>170</c:v>
                </c:pt>
                <c:pt idx="1">
                  <c:v>213</c:v>
                </c:pt>
                <c:pt idx="2">
                  <c:v>259</c:v>
                </c:pt>
                <c:pt idx="3">
                  <c:v>304</c:v>
                </c:pt>
                <c:pt idx="4">
                  <c:v>362</c:v>
                </c:pt>
                <c:pt idx="5">
                  <c:v>429</c:v>
                </c:pt>
                <c:pt idx="6">
                  <c:v>493</c:v>
                </c:pt>
                <c:pt idx="7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8-480A-90BE-5A163956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0624"/>
        <c:axId val="533526880"/>
      </c:scatterChart>
      <c:valAx>
        <c:axId val="5335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26880"/>
        <c:crosses val="autoZero"/>
        <c:crossBetween val="midCat"/>
      </c:valAx>
      <c:valAx>
        <c:axId val="533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6666666666666666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最初的试验!$AK$1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136482939632544E-2"/>
                  <c:y val="-0.16187518226888306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最初的试验!$AJ$2:$AJ$11</c:f>
              <c:numCache>
                <c:formatCode>General</c:formatCode>
                <c:ptCount val="10"/>
                <c:pt idx="0">
                  <c:v>5997</c:v>
                </c:pt>
                <c:pt idx="1">
                  <c:v>7736</c:v>
                </c:pt>
                <c:pt idx="2">
                  <c:v>9720</c:v>
                </c:pt>
                <c:pt idx="3">
                  <c:v>11821</c:v>
                </c:pt>
                <c:pt idx="4">
                  <c:v>14411</c:v>
                </c:pt>
                <c:pt idx="5">
                  <c:v>17238</c:v>
                </c:pt>
                <c:pt idx="6">
                  <c:v>20471</c:v>
                </c:pt>
                <c:pt idx="7">
                  <c:v>24363</c:v>
                </c:pt>
                <c:pt idx="8">
                  <c:v>28060</c:v>
                </c:pt>
                <c:pt idx="9">
                  <c:v>31211</c:v>
                </c:pt>
              </c:numCache>
            </c:numRef>
          </c:xVal>
          <c:yVal>
            <c:numRef>
              <c:f>最初的试验!$AK$2:$AK$11</c:f>
              <c:numCache>
                <c:formatCode>General</c:formatCode>
                <c:ptCount val="10"/>
                <c:pt idx="0">
                  <c:v>132</c:v>
                </c:pt>
                <c:pt idx="1">
                  <c:v>170</c:v>
                </c:pt>
                <c:pt idx="2">
                  <c:v>213</c:v>
                </c:pt>
                <c:pt idx="3">
                  <c:v>259</c:v>
                </c:pt>
                <c:pt idx="4">
                  <c:v>304</c:v>
                </c:pt>
                <c:pt idx="5">
                  <c:v>361</c:v>
                </c:pt>
                <c:pt idx="6">
                  <c:v>425</c:v>
                </c:pt>
                <c:pt idx="7">
                  <c:v>491</c:v>
                </c:pt>
                <c:pt idx="8">
                  <c:v>564</c:v>
                </c:pt>
                <c:pt idx="9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B-4AB5-9676-879D5F32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69952"/>
        <c:axId val="758365792"/>
      </c:scatterChart>
      <c:valAx>
        <c:axId val="7583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65792"/>
        <c:crosses val="autoZero"/>
        <c:crossBetween val="midCat"/>
      </c:valAx>
      <c:valAx>
        <c:axId val="7583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死亡人数累计增长速度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最初的试验!$BE$1</c:f>
              <c:strCache>
                <c:ptCount val="1"/>
                <c:pt idx="0">
                  <c:v>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最初的试验!$BA$2:$BA$34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最初的试验!$BE$2:$BE$34</c:f>
              <c:numCache>
                <c:formatCode>General</c:formatCode>
                <c:ptCount val="33"/>
                <c:pt idx="1">
                  <c:v>32.004879857685836</c:v>
                </c:pt>
                <c:pt idx="2">
                  <c:v>38.074611951791269</c:v>
                </c:pt>
                <c:pt idx="3">
                  <c:v>44.64012263155314</c:v>
                </c:pt>
                <c:pt idx="4">
                  <c:v>51.452172524972724</c:v>
                </c:pt>
                <c:pt idx="5">
                  <c:v>58.150110443579536</c:v>
                </c:pt>
                <c:pt idx="6">
                  <c:v>64.278757352626201</c:v>
                </c:pt>
                <c:pt idx="7">
                  <c:v>69.33490119856026</c:v>
                </c:pt>
                <c:pt idx="8">
                  <c:v>72.841422950957281</c:v>
                </c:pt>
                <c:pt idx="9">
                  <c:v>74.4347128489336</c:v>
                </c:pt>
                <c:pt idx="10">
                  <c:v>73.940733304558194</c:v>
                </c:pt>
                <c:pt idx="11">
                  <c:v>71.414030986381135</c:v>
                </c:pt>
                <c:pt idx="12">
                  <c:v>67.125336020742679</c:v>
                </c:pt>
                <c:pt idx="13">
                  <c:v>61.502391695826077</c:v>
                </c:pt>
                <c:pt idx="14">
                  <c:v>55.045135295250134</c:v>
                </c:pt>
                <c:pt idx="15">
                  <c:v>48.241946155306209</c:v>
                </c:pt>
                <c:pt idx="16">
                  <c:v>41.507503362803277</c:v>
                </c:pt>
                <c:pt idx="17">
                  <c:v>35.150608545821569</c:v>
                </c:pt>
                <c:pt idx="18">
                  <c:v>29.369226780971985</c:v>
                </c:pt>
                <c:pt idx="19">
                  <c:v>24.263968094405527</c:v>
                </c:pt>
                <c:pt idx="20">
                  <c:v>19.860351687892035</c:v>
                </c:pt>
                <c:pt idx="21">
                  <c:v>16.132401452313388</c:v>
                </c:pt>
                <c:pt idx="22">
                  <c:v>13.023209955677203</c:v>
                </c:pt>
                <c:pt idx="23">
                  <c:v>10.460723782485502</c:v>
                </c:pt>
                <c:pt idx="24">
                  <c:v>8.3686857924381002</c:v>
                </c:pt>
                <c:pt idx="25">
                  <c:v>6.6735002007665116</c:v>
                </c:pt>
                <c:pt idx="26">
                  <c:v>5.3080380301350942</c:v>
                </c:pt>
                <c:pt idx="27">
                  <c:v>4.2133392672785703</c:v>
                </c:pt>
                <c:pt idx="28">
                  <c:v>3.3389803928587298</c:v>
                </c:pt>
                <c:pt idx="29">
                  <c:v>2.6426676075743671</c:v>
                </c:pt>
                <c:pt idx="30">
                  <c:v>2.0894352370623892</c:v>
                </c:pt>
                <c:pt idx="31">
                  <c:v>1.6506900927236074</c:v>
                </c:pt>
                <c:pt idx="32">
                  <c:v>1.3032443430051899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3-4415-B679-C0339EDB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67456"/>
        <c:axId val="758368704"/>
      </c:scatterChart>
      <c:valAx>
        <c:axId val="7583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68704"/>
        <c:crosses val="autoZero"/>
        <c:crossBetween val="midCat"/>
      </c:valAx>
      <c:valAx>
        <c:axId val="7583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全国死亡累计人数增长加速度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最初的试验!$BF$1</c:f>
              <c:strCache>
                <c:ptCount val="1"/>
                <c:pt idx="0">
                  <c:v>加速度2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最初的试验!$BA$2:$BA$34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最初的试验!$BF$2:$BF$34</c:f>
              <c:numCache>
                <c:formatCode>General</c:formatCode>
                <c:ptCount val="33"/>
                <c:pt idx="2">
                  <c:v>6.0697320941054329</c:v>
                </c:pt>
                <c:pt idx="3">
                  <c:v>6.5655106797618714</c:v>
                </c:pt>
                <c:pt idx="4">
                  <c:v>6.8120498934195837</c:v>
                </c:pt>
                <c:pt idx="5">
                  <c:v>6.6979379186068115</c:v>
                </c:pt>
                <c:pt idx="6">
                  <c:v>6.1286469090466653</c:v>
                </c:pt>
                <c:pt idx="7">
                  <c:v>5.0561438459340593</c:v>
                </c:pt>
                <c:pt idx="8">
                  <c:v>3.5065217523970205</c:v>
                </c:pt>
                <c:pt idx="9">
                  <c:v>1.5932898979763195</c:v>
                </c:pt>
                <c:pt idx="10">
                  <c:v>-0.49397954437540648</c:v>
                </c:pt>
                <c:pt idx="11">
                  <c:v>-2.5267023181770583</c:v>
                </c:pt>
                <c:pt idx="12">
                  <c:v>-4.2886949656384559</c:v>
                </c:pt>
                <c:pt idx="13">
                  <c:v>-5.6229443249166025</c:v>
                </c:pt>
                <c:pt idx="14">
                  <c:v>-6.4572564005759432</c:v>
                </c:pt>
                <c:pt idx="15">
                  <c:v>-6.8031891399439246</c:v>
                </c:pt>
                <c:pt idx="16">
                  <c:v>-6.7344427925029322</c:v>
                </c:pt>
                <c:pt idx="17">
                  <c:v>-6.3568948169817077</c:v>
                </c:pt>
                <c:pt idx="18">
                  <c:v>-5.7813817648495842</c:v>
                </c:pt>
                <c:pt idx="19">
                  <c:v>-5.105258686566458</c:v>
                </c:pt>
                <c:pt idx="20">
                  <c:v>-4.4036164065134926</c:v>
                </c:pt>
                <c:pt idx="21">
                  <c:v>-3.7279502355786462</c:v>
                </c:pt>
                <c:pt idx="22">
                  <c:v>-3.1091914966361855</c:v>
                </c:pt>
                <c:pt idx="23">
                  <c:v>-2.5624861731917008</c:v>
                </c:pt>
                <c:pt idx="24">
                  <c:v>-2.0920379900474018</c:v>
                </c:pt>
                <c:pt idx="25">
                  <c:v>-1.6951855916715886</c:v>
                </c:pt>
                <c:pt idx="26">
                  <c:v>-1.3654621706314174</c:v>
                </c:pt>
                <c:pt idx="27">
                  <c:v>-1.0946987628565239</c:v>
                </c:pt>
                <c:pt idx="28">
                  <c:v>-0.8743588744198405</c:v>
                </c:pt>
                <c:pt idx="29">
                  <c:v>-0.69631278528436269</c:v>
                </c:pt>
                <c:pt idx="30">
                  <c:v>-0.55323237051197793</c:v>
                </c:pt>
                <c:pt idx="31">
                  <c:v>-0.43874514433878176</c:v>
                </c:pt>
                <c:pt idx="32">
                  <c:v>-0.34744574971841757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8-4E48-8967-0C3091B3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3151"/>
        <c:axId val="1502424815"/>
      </c:scatterChart>
      <c:valAx>
        <c:axId val="150242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424815"/>
        <c:crosses val="autoZero"/>
        <c:crossBetween val="midCat"/>
      </c:valAx>
      <c:valAx>
        <c:axId val="15024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42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6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最初的试验!$AN$1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6758530183727"/>
                  <c:y val="-0.74765675123942843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最初的试验!$AL$2:$AL$12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最初的试验!$AN$2:$AN$12</c:f>
              <c:numCache>
                <c:formatCode>General</c:formatCode>
                <c:ptCount val="11"/>
                <c:pt idx="0">
                  <c:v>2.0800041647684746</c:v>
                </c:pt>
                <c:pt idx="1">
                  <c:v>1.788479362704924</c:v>
                </c:pt>
                <c:pt idx="2">
                  <c:v>1.5163474893680884</c:v>
                </c:pt>
                <c:pt idx="3">
                  <c:v>1.2720448560829067</c:v>
                </c:pt>
                <c:pt idx="4">
                  <c:v>1.0105594980390395</c:v>
                </c:pt>
                <c:pt idx="5">
                  <c:v>0.75734845374636495</c:v>
                </c:pt>
                <c:pt idx="6">
                  <c:v>0.49340148553673258</c:v>
                </c:pt>
                <c:pt idx="7">
                  <c:v>0.19595799276206308</c:v>
                </c:pt>
                <c:pt idx="8">
                  <c:v>-7.8558895786017061E-2</c:v>
                </c:pt>
                <c:pt idx="9">
                  <c:v>-0.31449263338124761</c:v>
                </c:pt>
                <c:pt idx="10">
                  <c:v>-0.57841972338569392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0-4696-80AD-E1314753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3935"/>
        <c:axId val="184458511"/>
      </c:scatterChart>
      <c:valAx>
        <c:axId val="1844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58511"/>
        <c:crosses val="autoZero"/>
        <c:crossBetween val="midCat"/>
      </c:valAx>
      <c:valAx>
        <c:axId val="1844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5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最初的试验!$AP$1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最初的试验!$AL$2:$AL$34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最初的试验!$AP$2:$AP$34</c:f>
              <c:numCache>
                <c:formatCode>0</c:formatCode>
                <c:ptCount val="33"/>
                <c:pt idx="1">
                  <c:v>1582.2649547500259</c:v>
                </c:pt>
                <c:pt idx="2">
                  <c:v>1912.1398989725822</c:v>
                </c:pt>
                <c:pt idx="3">
                  <c:v>2267.7171029092315</c:v>
                </c:pt>
                <c:pt idx="4">
                  <c:v>2630.1719818362417</c:v>
                </c:pt>
                <c:pt idx="5">
                  <c:v>2972.8914222696603</c:v>
                </c:pt>
                <c:pt idx="6">
                  <c:v>3263.8874829149572</c:v>
                </c:pt>
                <c:pt idx="7">
                  <c:v>3470.8428695762304</c:v>
                </c:pt>
                <c:pt idx="8">
                  <c:v>3567.9150008969264</c:v>
                </c:pt>
                <c:pt idx="9">
                  <c:v>3542.1684659781313</c:v>
                </c:pt>
                <c:pt idx="10">
                  <c:v>3397.0846503168686</c:v>
                </c:pt>
                <c:pt idx="11">
                  <c:v>3151.5992007217719</c:v>
                </c:pt>
                <c:pt idx="12">
                  <c:v>2835.101882100018</c:v>
                </c:pt>
                <c:pt idx="13">
                  <c:v>2480.5347838517628</c:v>
                </c:pt>
                <c:pt idx="14">
                  <c:v>2118.1227692494067</c:v>
                </c:pt>
                <c:pt idx="15">
                  <c:v>1771.3915148197411</c:v>
                </c:pt>
                <c:pt idx="16">
                  <c:v>1455.8043132833263</c:v>
                </c:pt>
                <c:pt idx="17">
                  <c:v>1179.3870669694807</c:v>
                </c:pt>
                <c:pt idx="18">
                  <c:v>944.39057548938581</c:v>
                </c:pt>
                <c:pt idx="19">
                  <c:v>749.19004922434397</c:v>
                </c:pt>
                <c:pt idx="20" formatCode="General">
                  <c:v>589.94627429087268</c:v>
                </c:pt>
                <c:pt idx="21" formatCode="General">
                  <c:v>461.8441421326861</c:v>
                </c:pt>
                <c:pt idx="22" formatCode="General">
                  <c:v>359.90730935534521</c:v>
                </c:pt>
                <c:pt idx="23" formatCode="General">
                  <c:v>279.47057780870091</c:v>
                </c:pt>
                <c:pt idx="24" formatCode="General">
                  <c:v>216.41014080596506</c:v>
                </c:pt>
                <c:pt idx="25" formatCode="General">
                  <c:v>167.21936628116237</c:v>
                </c:pt>
                <c:pt idx="26" formatCode="General">
                  <c:v>128.99556694026251</c:v>
                </c:pt>
                <c:pt idx="27" formatCode="General">
                  <c:v>99.381807796533394</c:v>
                </c:pt>
                <c:pt idx="28" formatCode="General">
                  <c:v>76.491027905627561</c:v>
                </c:pt>
                <c:pt idx="29" formatCode="General">
                  <c:v>58.828023833368206</c:v>
                </c:pt>
                <c:pt idx="30" formatCode="General">
                  <c:v>45.217268499160127</c:v>
                </c:pt>
                <c:pt idx="31" formatCode="General">
                  <c:v>34.739964731088548</c:v>
                </c:pt>
                <c:pt idx="32" formatCode="General">
                  <c:v>26.681152618424676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0-4B2B-890B-DFA48BB9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87775"/>
        <c:axId val="285679039"/>
      </c:scatterChart>
      <c:valAx>
        <c:axId val="2856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79039"/>
        <c:crosses val="autoZero"/>
        <c:crossBetween val="midCat"/>
      </c:valAx>
      <c:valAx>
        <c:axId val="2856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最初的试验!$AQ$1</c:f>
              <c:strCache>
                <c:ptCount val="1"/>
                <c:pt idx="0">
                  <c:v>加速度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最初的试验!$AL$2:$AL$34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最初的试验!$AQ$2:$AQ$34</c:f>
              <c:numCache>
                <c:formatCode>0</c:formatCode>
                <c:ptCount val="33"/>
                <c:pt idx="2">
                  <c:v>329.87494422255622</c:v>
                </c:pt>
                <c:pt idx="3">
                  <c:v>355.57720393664931</c:v>
                </c:pt>
                <c:pt idx="4">
                  <c:v>362.45487892701021</c:v>
                </c:pt>
                <c:pt idx="5">
                  <c:v>342.71944043341864</c:v>
                </c:pt>
                <c:pt idx="6">
                  <c:v>290.99606064529689</c:v>
                </c:pt>
                <c:pt idx="7">
                  <c:v>206.95538666127322</c:v>
                </c:pt>
                <c:pt idx="8">
                  <c:v>97.072131320695917</c:v>
                </c:pt>
                <c:pt idx="9">
                  <c:v>-25.746534918795078</c:v>
                </c:pt>
                <c:pt idx="10">
                  <c:v>-145.08381566126263</c:v>
                </c:pt>
                <c:pt idx="11">
                  <c:v>-245.48544959509672</c:v>
                </c:pt>
                <c:pt idx="12">
                  <c:v>-316.49731862175395</c:v>
                </c:pt>
                <c:pt idx="13">
                  <c:v>-354.56709824825521</c:v>
                </c:pt>
                <c:pt idx="14">
                  <c:v>-362.41201460235607</c:v>
                </c:pt>
                <c:pt idx="15">
                  <c:v>-346.73125442966557</c:v>
                </c:pt>
                <c:pt idx="16">
                  <c:v>-315.5872015364148</c:v>
                </c:pt>
                <c:pt idx="17">
                  <c:v>-276.41724631384568</c:v>
                </c:pt>
                <c:pt idx="18">
                  <c:v>-234.99649148009485</c:v>
                </c:pt>
                <c:pt idx="19">
                  <c:v>-195.20052626504184</c:v>
                </c:pt>
                <c:pt idx="20" formatCode="General">
                  <c:v>-159.24377493347129</c:v>
                </c:pt>
                <c:pt idx="21" formatCode="General">
                  <c:v>-128.10213215818658</c:v>
                </c:pt>
                <c:pt idx="22" formatCode="General">
                  <c:v>-101.9368327773409</c:v>
                </c:pt>
                <c:pt idx="23" formatCode="General">
                  <c:v>-80.436731546644296</c:v>
                </c:pt>
                <c:pt idx="24" formatCode="General">
                  <c:v>-63.060437002735853</c:v>
                </c:pt>
                <c:pt idx="25" formatCode="General">
                  <c:v>-49.190774524802691</c:v>
                </c:pt>
                <c:pt idx="26" formatCode="General">
                  <c:v>-38.223799340899859</c:v>
                </c:pt>
                <c:pt idx="27" formatCode="General">
                  <c:v>-29.613759143729112</c:v>
                </c:pt>
                <c:pt idx="28" formatCode="General">
                  <c:v>-22.890779890905833</c:v>
                </c:pt>
                <c:pt idx="29" formatCode="General">
                  <c:v>-17.663004072259355</c:v>
                </c:pt>
                <c:pt idx="30" formatCode="General">
                  <c:v>-13.610755334208079</c:v>
                </c:pt>
                <c:pt idx="31" formatCode="General">
                  <c:v>-10.477303768071579</c:v>
                </c:pt>
                <c:pt idx="32" formatCode="General">
                  <c:v>-8.0588121126638725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4-4FF2-B4DB-751CAA95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71967"/>
        <c:axId val="285678623"/>
      </c:scatterChart>
      <c:valAx>
        <c:axId val="28567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78623"/>
        <c:crosses val="autoZero"/>
        <c:crossBetween val="midCat"/>
      </c:valAx>
      <c:valAx>
        <c:axId val="2856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7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29444444444444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最初的试验!$BC$1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373140857392828E-2"/>
                  <c:y val="-0.7537962962962963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最初的试验!$BA$2:$BA$12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最初的试验!$BC$2:$BC$12</c:f>
              <c:numCache>
                <c:formatCode>General</c:formatCode>
                <c:ptCount val="11"/>
                <c:pt idx="0">
                  <c:v>2.1364947311286735</c:v>
                </c:pt>
                <c:pt idx="1">
                  <c:v>1.8489178830680035</c:v>
                </c:pt>
                <c:pt idx="2">
                  <c:v>1.5827950425201023</c:v>
                </c:pt>
                <c:pt idx="3">
                  <c:v>1.3418864726304502</c:v>
                </c:pt>
                <c:pt idx="4">
                  <c:v>1.1352148676456564</c:v>
                </c:pt>
                <c:pt idx="5">
                  <c:v>0.90121927718102357</c:v>
                </c:pt>
                <c:pt idx="6">
                  <c:v>0.66329421741026429</c:v>
                </c:pt>
                <c:pt idx="7">
                  <c:v>0.43555764960110921</c:v>
                </c:pt>
                <c:pt idx="8">
                  <c:v>0.19582337622782636</c:v>
                </c:pt>
                <c:pt idx="9">
                  <c:v>-3.8404719635951975E-2</c:v>
                </c:pt>
                <c:pt idx="10">
                  <c:v>-0.31620867361740224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2-4671-8E6D-977EDC94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92351"/>
        <c:axId val="285696095"/>
      </c:scatterChart>
      <c:valAx>
        <c:axId val="28569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96095"/>
        <c:crosses val="autoZero"/>
        <c:crossBetween val="midCat"/>
      </c:valAx>
      <c:valAx>
        <c:axId val="2856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6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68333333333333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最初的试验!$AN$1</c:f>
              <c:strCache>
                <c:ptCount val="1"/>
                <c:pt idx="0">
                  <c:v>ln(M/x-1)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429352580927386E-2"/>
                  <c:y val="-0.79180555555555554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最初的试验!$AL$2:$AL$11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最初的试验!$AN$2:$AN$11</c:f>
              <c:numCache>
                <c:formatCode>General</c:formatCode>
                <c:ptCount val="10"/>
                <c:pt idx="0">
                  <c:v>2.0800041647684746</c:v>
                </c:pt>
                <c:pt idx="1">
                  <c:v>1.788479362704924</c:v>
                </c:pt>
                <c:pt idx="2">
                  <c:v>1.5163474893680884</c:v>
                </c:pt>
                <c:pt idx="3">
                  <c:v>1.2720448560829067</c:v>
                </c:pt>
                <c:pt idx="4">
                  <c:v>1.0105594980390395</c:v>
                </c:pt>
                <c:pt idx="5">
                  <c:v>0.75734845374636495</c:v>
                </c:pt>
                <c:pt idx="6">
                  <c:v>0.49340148553673258</c:v>
                </c:pt>
                <c:pt idx="7">
                  <c:v>0.19595799276206308</c:v>
                </c:pt>
                <c:pt idx="8">
                  <c:v>-7.8558895786017061E-2</c:v>
                </c:pt>
                <c:pt idx="9">
                  <c:v>-0.31449263338124761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3-4022-805D-92404C0D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00975"/>
        <c:axId val="1325303471"/>
      </c:scatterChart>
      <c:valAx>
        <c:axId val="132530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303471"/>
        <c:crosses val="autoZero"/>
        <c:crossBetween val="midCat"/>
      </c:valAx>
      <c:valAx>
        <c:axId val="13253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30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全国累计确诊人数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全国!$E$1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全国!$D$2:$D$36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全国!$E$2:$E$36</c:f>
              <c:numCache>
                <c:formatCode>General</c:formatCode>
                <c:ptCount val="35"/>
                <c:pt idx="0">
                  <c:v>5997</c:v>
                </c:pt>
                <c:pt idx="1">
                  <c:v>7736</c:v>
                </c:pt>
                <c:pt idx="2">
                  <c:v>9720</c:v>
                </c:pt>
                <c:pt idx="3">
                  <c:v>11821</c:v>
                </c:pt>
                <c:pt idx="4">
                  <c:v>14411</c:v>
                </c:pt>
                <c:pt idx="5">
                  <c:v>17238</c:v>
                </c:pt>
                <c:pt idx="6">
                  <c:v>20471</c:v>
                </c:pt>
                <c:pt idx="7">
                  <c:v>24363</c:v>
                </c:pt>
                <c:pt idx="8">
                  <c:v>28060</c:v>
                </c:pt>
                <c:pt idx="9">
                  <c:v>31211</c:v>
                </c:pt>
                <c:pt idx="10">
                  <c:v>34598</c:v>
                </c:pt>
                <c:pt idx="11">
                  <c:v>37251</c:v>
                </c:pt>
                <c:pt idx="12">
                  <c:v>40235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8-4D8D-A9FF-CEDE6AEF4948}"/>
            </c:ext>
          </c:extLst>
        </c:ser>
        <c:ser>
          <c:idx val="1"/>
          <c:order val="1"/>
          <c:tx>
            <c:strRef>
              <c:f>全国!$G$1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全国!$D$2:$D$36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全国!$G$2:$G$36</c:f>
              <c:numCache>
                <c:formatCode>0</c:formatCode>
                <c:ptCount val="35"/>
                <c:pt idx="0">
                  <c:v>6055.5165071054789</c:v>
                </c:pt>
                <c:pt idx="1">
                  <c:v>7649.0319832853902</c:v>
                </c:pt>
                <c:pt idx="2">
                  <c:v>9575.4286423499689</c:v>
                </c:pt>
                <c:pt idx="3">
                  <c:v>11858.707761992446</c:v>
                </c:pt>
                <c:pt idx="4">
                  <c:v>14502.490550450731</c:v>
                </c:pt>
                <c:pt idx="5">
                  <c:v>17482.141850425374</c:v>
                </c:pt>
                <c:pt idx="6">
                  <c:v>20739.838317982616</c:v>
                </c:pt>
                <c:pt idx="7">
                  <c:v>24185.322485397526</c:v>
                </c:pt>
                <c:pt idx="8">
                  <c:v>27703.910012879031</c:v>
                </c:pt>
                <c:pt idx="9">
                  <c:v>31170.86074513556</c:v>
                </c:pt>
                <c:pt idx="10">
                  <c:v>34468.569195091717</c:v>
                </c:pt>
                <c:pt idx="11">
                  <c:v>37501.743133429234</c:v>
                </c:pt>
                <c:pt idx="12">
                  <c:v>40206.663566067538</c:v>
                </c:pt>
                <c:pt idx="13">
                  <c:v>42553.144882880195</c:v>
                </c:pt>
                <c:pt idx="14">
                  <c:v>44540.409351704235</c:v>
                </c:pt>
                <c:pt idx="15">
                  <c:v>46189.520226862878</c:v>
                </c:pt>
                <c:pt idx="16">
                  <c:v>47535.045834036937</c:v>
                </c:pt>
                <c:pt idx="17">
                  <c:v>48617.790703931081</c:v>
                </c:pt>
                <c:pt idx="18">
                  <c:v>49479.417495902569</c:v>
                </c:pt>
                <c:pt idx="19">
                  <c:v>50159.020707795135</c:v>
                </c:pt>
                <c:pt idx="20">
                  <c:v>50691.308796432735</c:v>
                </c:pt>
                <c:pt idx="21">
                  <c:v>51105.929889864565</c:v>
                </c:pt>
                <c:pt idx="22">
                  <c:v>51427.514921407514</c:v>
                </c:pt>
                <c:pt idx="23">
                  <c:v>51676.112425682499</c:v>
                </c:pt>
                <c:pt idx="24">
                  <c:v>51867.794458053439</c:v>
                </c:pt>
                <c:pt idx="25">
                  <c:v>52015.298889620382</c:v>
                </c:pt>
                <c:pt idx="26">
                  <c:v>52128.634407650869</c:v>
                </c:pt>
                <c:pt idx="27">
                  <c:v>52215.614071378375</c:v>
                </c:pt>
                <c:pt idx="28">
                  <c:v>52282.306804638138</c:v>
                </c:pt>
                <c:pt idx="29">
                  <c:v>52333.408999193562</c:v>
                </c:pt>
                <c:pt idx="30">
                  <c:v>52372.54449885551</c:v>
                </c:pt>
                <c:pt idx="31">
                  <c:v>52402.503428379518</c:v>
                </c:pt>
                <c:pt idx="32">
                  <c:v>52425.430417267678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8-4D8D-A9FF-CEDE6AEF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20640"/>
        <c:axId val="1430028128"/>
      </c:scatterChart>
      <c:valAx>
        <c:axId val="14300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028128"/>
        <c:crosses val="autoZero"/>
        <c:crossBetween val="midCat"/>
      </c:valAx>
      <c:valAx>
        <c:axId val="14300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0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全国确诊人数：基于</a:t>
            </a:r>
            <a:r>
              <a:rPr lang="en-US" altLang="zh-CN"/>
              <a:t>1</a:t>
            </a:r>
            <a:r>
              <a:rPr lang="zh-CN" altLang="en-US"/>
              <a:t>月</a:t>
            </a:r>
            <a:r>
              <a:rPr lang="en-US" altLang="zh-CN"/>
              <a:t>28</a:t>
            </a:r>
            <a:r>
              <a:rPr lang="zh-CN" altLang="en-US"/>
              <a:t>日到</a:t>
            </a:r>
            <a:r>
              <a:rPr lang="en-US" altLang="zh-CN"/>
              <a:t>2</a:t>
            </a:r>
            <a:r>
              <a:rPr lang="zh-CN" altLang="en-US"/>
              <a:t>月</a:t>
            </a:r>
            <a:r>
              <a:rPr lang="en-US" altLang="zh-CN"/>
              <a:t>7</a:t>
            </a:r>
            <a:r>
              <a:rPr lang="zh-CN" altLang="en-US"/>
              <a:t>日的数据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最初的试验!$AM$1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最初的试验!$AL$2:$AL$37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最初的试验!$AM$2:$AM$37</c:f>
              <c:numCache>
                <c:formatCode>General</c:formatCode>
                <c:ptCount val="36"/>
                <c:pt idx="0">
                  <c:v>5997</c:v>
                </c:pt>
                <c:pt idx="1">
                  <c:v>7736</c:v>
                </c:pt>
                <c:pt idx="2">
                  <c:v>9720</c:v>
                </c:pt>
                <c:pt idx="3">
                  <c:v>11821</c:v>
                </c:pt>
                <c:pt idx="4">
                  <c:v>14411</c:v>
                </c:pt>
                <c:pt idx="5">
                  <c:v>17238</c:v>
                </c:pt>
                <c:pt idx="6">
                  <c:v>20471</c:v>
                </c:pt>
                <c:pt idx="7">
                  <c:v>24363</c:v>
                </c:pt>
                <c:pt idx="8">
                  <c:v>28060</c:v>
                </c:pt>
                <c:pt idx="9">
                  <c:v>31211</c:v>
                </c:pt>
                <c:pt idx="10">
                  <c:v>34598</c:v>
                </c:pt>
                <c:pt idx="11">
                  <c:v>37251</c:v>
                </c:pt>
                <c:pt idx="12">
                  <c:v>40235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0-4530-B5B6-D4CC81C39962}"/>
            </c:ext>
          </c:extLst>
        </c:ser>
        <c:ser>
          <c:idx val="1"/>
          <c:order val="1"/>
          <c:tx>
            <c:strRef>
              <c:f>最初的试验!$AO$1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最初的试验!$AL$2:$AL$37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最初的试验!$AO$2:$AO$37</c:f>
              <c:numCache>
                <c:formatCode>0</c:formatCode>
                <c:ptCount val="36"/>
                <c:pt idx="0">
                  <c:v>6074.170286423996</c:v>
                </c:pt>
                <c:pt idx="1">
                  <c:v>7656.4352411740219</c:v>
                </c:pt>
                <c:pt idx="2">
                  <c:v>9568.5751401466041</c:v>
                </c:pt>
                <c:pt idx="3">
                  <c:v>11836.292243055836</c:v>
                </c:pt>
                <c:pt idx="4">
                  <c:v>14466.464224892077</c:v>
                </c:pt>
                <c:pt idx="5">
                  <c:v>17439.355647161738</c:v>
                </c:pt>
                <c:pt idx="6">
                  <c:v>20703.243130076695</c:v>
                </c:pt>
                <c:pt idx="7">
                  <c:v>24174.085999652925</c:v>
                </c:pt>
                <c:pt idx="8">
                  <c:v>27742.001000549852</c:v>
                </c:pt>
                <c:pt idx="9">
                  <c:v>31284.169466527983</c:v>
                </c:pt>
                <c:pt idx="10">
                  <c:v>34681.254116844852</c:v>
                </c:pt>
                <c:pt idx="11">
                  <c:v>37832.853317566623</c:v>
                </c:pt>
                <c:pt idx="12">
                  <c:v>40667.955199666641</c:v>
                </c:pt>
                <c:pt idx="13">
                  <c:v>43148.489983518404</c:v>
                </c:pt>
                <c:pt idx="14">
                  <c:v>45266.612752767811</c:v>
                </c:pt>
                <c:pt idx="15">
                  <c:v>47038.004267587552</c:v>
                </c:pt>
                <c:pt idx="16">
                  <c:v>48493.808580870878</c:v>
                </c:pt>
                <c:pt idx="17">
                  <c:v>49673.195647840359</c:v>
                </c:pt>
                <c:pt idx="18">
                  <c:v>50617.586223329745</c:v>
                </c:pt>
                <c:pt idx="19">
                  <c:v>51366.776272554089</c:v>
                </c:pt>
                <c:pt idx="20" formatCode="General">
                  <c:v>51956.722546844961</c:v>
                </c:pt>
                <c:pt idx="21" formatCode="General">
                  <c:v>52418.566688977648</c:v>
                </c:pt>
                <c:pt idx="22" formatCode="General">
                  <c:v>52778.473998332993</c:v>
                </c:pt>
                <c:pt idx="23" formatCode="General">
                  <c:v>53057.944576141694</c:v>
                </c:pt>
                <c:pt idx="24" formatCode="General">
                  <c:v>53274.354716947659</c:v>
                </c:pt>
                <c:pt idx="25" formatCode="General">
                  <c:v>53441.574083228821</c:v>
                </c:pt>
                <c:pt idx="26" formatCode="General">
                  <c:v>53570.569650169084</c:v>
                </c:pt>
                <c:pt idx="27" formatCode="General">
                  <c:v>53669.951457965617</c:v>
                </c:pt>
                <c:pt idx="28" formatCode="General">
                  <c:v>53746.442485871245</c:v>
                </c:pt>
                <c:pt idx="29" formatCode="General">
                  <c:v>53805.270509704613</c:v>
                </c:pt>
                <c:pt idx="30" formatCode="General">
                  <c:v>53850.487778203773</c:v>
                </c:pt>
                <c:pt idx="31" formatCode="General">
                  <c:v>53885.227742934861</c:v>
                </c:pt>
                <c:pt idx="32" formatCode="General">
                  <c:v>53911.908895553286</c:v>
                </c:pt>
                <c:pt idx="34" formatCode="General">
                  <c:v>55000</c:v>
                </c:pt>
                <c:pt idx="35" formatCode="General">
                  <c:v>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0-4530-B5B6-D4CC81C3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0032"/>
        <c:axId val="565331280"/>
      </c:scatterChart>
      <c:valAx>
        <c:axId val="565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31280"/>
        <c:crosses val="autoZero"/>
        <c:crossBetween val="midCat"/>
      </c:valAx>
      <c:valAx>
        <c:axId val="5653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3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全国死亡数据预测：基于</a:t>
            </a:r>
            <a:r>
              <a:rPr lang="en-US" altLang="zh-CN"/>
              <a:t>1</a:t>
            </a:r>
            <a:r>
              <a:rPr lang="zh-CN" altLang="en-US"/>
              <a:t>月</a:t>
            </a:r>
            <a:r>
              <a:rPr lang="en-US" altLang="zh-CN"/>
              <a:t>28</a:t>
            </a:r>
            <a:r>
              <a:rPr lang="zh-CN" altLang="en-US"/>
              <a:t>日到</a:t>
            </a:r>
            <a:r>
              <a:rPr lang="en-US" altLang="zh-CN"/>
              <a:t>2</a:t>
            </a:r>
            <a:r>
              <a:rPr lang="zh-CN" altLang="en-US"/>
              <a:t>月</a:t>
            </a:r>
            <a:r>
              <a:rPr lang="en-US" altLang="zh-CN"/>
              <a:t>7</a:t>
            </a:r>
            <a:r>
              <a:rPr lang="zh-CN" altLang="en-US"/>
              <a:t>日的数据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最初的试验!$BB$1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最初的试验!$BA$2:$BA$37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最初的试验!$BB$2:$BB$37</c:f>
              <c:numCache>
                <c:formatCode>General</c:formatCode>
                <c:ptCount val="36"/>
                <c:pt idx="0">
                  <c:v>132</c:v>
                </c:pt>
                <c:pt idx="1">
                  <c:v>170</c:v>
                </c:pt>
                <c:pt idx="2">
                  <c:v>213</c:v>
                </c:pt>
                <c:pt idx="3">
                  <c:v>259</c:v>
                </c:pt>
                <c:pt idx="4">
                  <c:v>304</c:v>
                </c:pt>
                <c:pt idx="5">
                  <c:v>361</c:v>
                </c:pt>
                <c:pt idx="6">
                  <c:v>425</c:v>
                </c:pt>
                <c:pt idx="7">
                  <c:v>491</c:v>
                </c:pt>
                <c:pt idx="8">
                  <c:v>564</c:v>
                </c:pt>
                <c:pt idx="9">
                  <c:v>637</c:v>
                </c:pt>
                <c:pt idx="10">
                  <c:v>723</c:v>
                </c:pt>
                <c:pt idx="11">
                  <c:v>812</c:v>
                </c:pt>
                <c:pt idx="12">
                  <c:v>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7-48F9-810C-F8325A04D699}"/>
            </c:ext>
          </c:extLst>
        </c:ser>
        <c:ser>
          <c:idx val="1"/>
          <c:order val="1"/>
          <c:tx>
            <c:strRef>
              <c:f>最初的试验!$BD$1</c:f>
              <c:strCache>
                <c:ptCount val="1"/>
                <c:pt idx="0">
                  <c:v>预测2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最初的试验!$BA$2:$BA$37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最初的试验!$BD$2:$BD$37</c:f>
              <c:numCache>
                <c:formatCode>0</c:formatCode>
                <c:ptCount val="36"/>
                <c:pt idx="0">
                  <c:v>137.30445132569878</c:v>
                </c:pt>
                <c:pt idx="1">
                  <c:v>169.30933118338461</c:v>
                </c:pt>
                <c:pt idx="2">
                  <c:v>207.38394313517588</c:v>
                </c:pt>
                <c:pt idx="3">
                  <c:v>252.02406576672902</c:v>
                </c:pt>
                <c:pt idx="4">
                  <c:v>303.47623829170175</c:v>
                </c:pt>
                <c:pt idx="5">
                  <c:v>361.62634873528128</c:v>
                </c:pt>
                <c:pt idx="6">
                  <c:v>425.90510608790748</c:v>
                </c:pt>
                <c:pt idx="7">
                  <c:v>495.24000728646774</c:v>
                </c:pt>
                <c:pt idx="8">
                  <c:v>568.08143023742502</c:v>
                </c:pt>
                <c:pt idx="9">
                  <c:v>642.51614308635862</c:v>
                </c:pt>
                <c:pt idx="10">
                  <c:v>716.45687639091682</c:v>
                </c:pt>
                <c:pt idx="11">
                  <c:v>787.87090737729795</c:v>
                </c:pt>
                <c:pt idx="12">
                  <c:v>854.99624339804063</c:v>
                </c:pt>
                <c:pt idx="13" formatCode="General">
                  <c:v>916.49863509386671</c:v>
                </c:pt>
                <c:pt idx="14" formatCode="General">
                  <c:v>971.54377038911684</c:v>
                </c:pt>
                <c:pt idx="15" formatCode="General">
                  <c:v>1019.7857165444231</c:v>
                </c:pt>
                <c:pt idx="16" formatCode="General">
                  <c:v>1061.2932199072263</c:v>
                </c:pt>
                <c:pt idx="17" formatCode="General">
                  <c:v>1096.4438284530479</c:v>
                </c:pt>
                <c:pt idx="18" formatCode="General">
                  <c:v>1125.8130552340199</c:v>
                </c:pt>
                <c:pt idx="19" formatCode="General">
                  <c:v>1150.0770233284254</c:v>
                </c:pt>
                <c:pt idx="20" formatCode="General">
                  <c:v>1169.9373750163174</c:v>
                </c:pt>
                <c:pt idx="21" formatCode="General">
                  <c:v>1186.0697764686308</c:v>
                </c:pt>
                <c:pt idx="22" formatCode="General">
                  <c:v>1199.092986424308</c:v>
                </c:pt>
                <c:pt idx="23" formatCode="General">
                  <c:v>1209.5537102067935</c:v>
                </c:pt>
                <c:pt idx="24" formatCode="General">
                  <c:v>1217.9223959992316</c:v>
                </c:pt>
                <c:pt idx="25" formatCode="General">
                  <c:v>1224.5958961999982</c:v>
                </c:pt>
                <c:pt idx="26" formatCode="General">
                  <c:v>1229.9039342301332</c:v>
                </c:pt>
                <c:pt idx="27" formatCode="General">
                  <c:v>1234.1172734974118</c:v>
                </c:pt>
                <c:pt idx="28" formatCode="General">
                  <c:v>1237.4562538902705</c:v>
                </c:pt>
                <c:pt idx="29" formatCode="General">
                  <c:v>1240.0989214978449</c:v>
                </c:pt>
                <c:pt idx="30" formatCode="General">
                  <c:v>1242.1883567349073</c:v>
                </c:pt>
                <c:pt idx="31" formatCode="General">
                  <c:v>1243.8390468276309</c:v>
                </c:pt>
                <c:pt idx="32" formatCode="General">
                  <c:v>1245.1422911706361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7-48F9-810C-F8325A04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35104"/>
        <c:axId val="816448832"/>
      </c:scatterChart>
      <c:valAx>
        <c:axId val="8164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448832"/>
        <c:crosses val="autoZero"/>
        <c:crossBetween val="midCat"/>
      </c:valAx>
      <c:valAx>
        <c:axId val="8164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4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增长速度曲线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最初的试验!$AP$1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最初的试验!$AL$2:$AL$37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最初的试验!$AP$2:$AP$37</c:f>
              <c:numCache>
                <c:formatCode>0</c:formatCode>
                <c:ptCount val="36"/>
                <c:pt idx="1">
                  <c:v>1582.2649547500259</c:v>
                </c:pt>
                <c:pt idx="2">
                  <c:v>1912.1398989725822</c:v>
                </c:pt>
                <c:pt idx="3">
                  <c:v>2267.7171029092315</c:v>
                </c:pt>
                <c:pt idx="4">
                  <c:v>2630.1719818362417</c:v>
                </c:pt>
                <c:pt idx="5">
                  <c:v>2972.8914222696603</c:v>
                </c:pt>
                <c:pt idx="6">
                  <c:v>3263.8874829149572</c:v>
                </c:pt>
                <c:pt idx="7">
                  <c:v>3470.8428695762304</c:v>
                </c:pt>
                <c:pt idx="8">
                  <c:v>3567.9150008969264</c:v>
                </c:pt>
                <c:pt idx="9">
                  <c:v>3542.1684659781313</c:v>
                </c:pt>
                <c:pt idx="10">
                  <c:v>3397.0846503168686</c:v>
                </c:pt>
                <c:pt idx="11">
                  <c:v>3151.5992007217719</c:v>
                </c:pt>
                <c:pt idx="12">
                  <c:v>2835.101882100018</c:v>
                </c:pt>
                <c:pt idx="13">
                  <c:v>2480.5347838517628</c:v>
                </c:pt>
                <c:pt idx="14">
                  <c:v>2118.1227692494067</c:v>
                </c:pt>
                <c:pt idx="15">
                  <c:v>1771.3915148197411</c:v>
                </c:pt>
                <c:pt idx="16">
                  <c:v>1455.8043132833263</c:v>
                </c:pt>
                <c:pt idx="17">
                  <c:v>1179.3870669694807</c:v>
                </c:pt>
                <c:pt idx="18">
                  <c:v>944.39057548938581</c:v>
                </c:pt>
                <c:pt idx="19">
                  <c:v>749.19004922434397</c:v>
                </c:pt>
                <c:pt idx="20" formatCode="General">
                  <c:v>589.94627429087268</c:v>
                </c:pt>
                <c:pt idx="21" formatCode="General">
                  <c:v>461.8441421326861</c:v>
                </c:pt>
                <c:pt idx="22" formatCode="General">
                  <c:v>359.90730935534521</c:v>
                </c:pt>
                <c:pt idx="23" formatCode="General">
                  <c:v>279.47057780870091</c:v>
                </c:pt>
                <c:pt idx="24" formatCode="General">
                  <c:v>216.41014080596506</c:v>
                </c:pt>
                <c:pt idx="25" formatCode="General">
                  <c:v>167.21936628116237</c:v>
                </c:pt>
                <c:pt idx="26" formatCode="General">
                  <c:v>128.99556694026251</c:v>
                </c:pt>
                <c:pt idx="27" formatCode="General">
                  <c:v>99.381807796533394</c:v>
                </c:pt>
                <c:pt idx="28" formatCode="General">
                  <c:v>76.491027905627561</c:v>
                </c:pt>
                <c:pt idx="29" formatCode="General">
                  <c:v>58.828023833368206</c:v>
                </c:pt>
                <c:pt idx="30" formatCode="General">
                  <c:v>45.217268499160127</c:v>
                </c:pt>
                <c:pt idx="31" formatCode="General">
                  <c:v>34.739964731088548</c:v>
                </c:pt>
                <c:pt idx="32" formatCode="General">
                  <c:v>26.681152618424676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6-4937-B046-53648F9B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70416"/>
        <c:axId val="848577904"/>
      </c:scatterChart>
      <c:valAx>
        <c:axId val="8485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577904"/>
        <c:crosses val="autoZero"/>
        <c:crossBetween val="midCat"/>
      </c:valAx>
      <c:valAx>
        <c:axId val="8485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5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最初的试验!$AQ$1</c:f>
              <c:strCache>
                <c:ptCount val="1"/>
                <c:pt idx="0">
                  <c:v>加速度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最初的试验!$AL$2:$AL$37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最初的试验!$AQ$2:$AQ$37</c:f>
              <c:numCache>
                <c:formatCode>0</c:formatCode>
                <c:ptCount val="36"/>
                <c:pt idx="2">
                  <c:v>329.87494422255622</c:v>
                </c:pt>
                <c:pt idx="3">
                  <c:v>355.57720393664931</c:v>
                </c:pt>
                <c:pt idx="4">
                  <c:v>362.45487892701021</c:v>
                </c:pt>
                <c:pt idx="5">
                  <c:v>342.71944043341864</c:v>
                </c:pt>
                <c:pt idx="6">
                  <c:v>290.99606064529689</c:v>
                </c:pt>
                <c:pt idx="7">
                  <c:v>206.95538666127322</c:v>
                </c:pt>
                <c:pt idx="8">
                  <c:v>97.072131320695917</c:v>
                </c:pt>
                <c:pt idx="9">
                  <c:v>-25.746534918795078</c:v>
                </c:pt>
                <c:pt idx="10">
                  <c:v>-145.08381566126263</c:v>
                </c:pt>
                <c:pt idx="11">
                  <c:v>-245.48544959509672</c:v>
                </c:pt>
                <c:pt idx="12">
                  <c:v>-316.49731862175395</c:v>
                </c:pt>
                <c:pt idx="13">
                  <c:v>-354.56709824825521</c:v>
                </c:pt>
                <c:pt idx="14">
                  <c:v>-362.41201460235607</c:v>
                </c:pt>
                <c:pt idx="15">
                  <c:v>-346.73125442966557</c:v>
                </c:pt>
                <c:pt idx="16">
                  <c:v>-315.5872015364148</c:v>
                </c:pt>
                <c:pt idx="17">
                  <c:v>-276.41724631384568</c:v>
                </c:pt>
                <c:pt idx="18">
                  <c:v>-234.99649148009485</c:v>
                </c:pt>
                <c:pt idx="19">
                  <c:v>-195.20052626504184</c:v>
                </c:pt>
                <c:pt idx="20" formatCode="General">
                  <c:v>-159.24377493347129</c:v>
                </c:pt>
                <c:pt idx="21" formatCode="General">
                  <c:v>-128.10213215818658</c:v>
                </c:pt>
                <c:pt idx="22" formatCode="General">
                  <c:v>-101.9368327773409</c:v>
                </c:pt>
                <c:pt idx="23" formatCode="General">
                  <c:v>-80.436731546644296</c:v>
                </c:pt>
                <c:pt idx="24" formatCode="General">
                  <c:v>-63.060437002735853</c:v>
                </c:pt>
                <c:pt idx="25" formatCode="General">
                  <c:v>-49.190774524802691</c:v>
                </c:pt>
                <c:pt idx="26" formatCode="General">
                  <c:v>-38.223799340899859</c:v>
                </c:pt>
                <c:pt idx="27" formatCode="General">
                  <c:v>-29.613759143729112</c:v>
                </c:pt>
                <c:pt idx="28" formatCode="General">
                  <c:v>-22.890779890905833</c:v>
                </c:pt>
                <c:pt idx="29" formatCode="General">
                  <c:v>-17.663004072259355</c:v>
                </c:pt>
                <c:pt idx="30" formatCode="General">
                  <c:v>-13.610755334208079</c:v>
                </c:pt>
                <c:pt idx="31" formatCode="General">
                  <c:v>-10.477303768071579</c:v>
                </c:pt>
                <c:pt idx="32" formatCode="General">
                  <c:v>-8.0588121126638725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C-45F0-9547-0DE06DAA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39264"/>
        <c:axId val="816435936"/>
      </c:scatterChart>
      <c:valAx>
        <c:axId val="8164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435936"/>
        <c:crosses val="autoZero"/>
        <c:crossBetween val="midCat"/>
      </c:valAx>
      <c:valAx>
        <c:axId val="816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4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全国死亡人数增长速度曲线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最初的试验!$BE$1</c:f>
              <c:strCache>
                <c:ptCount val="1"/>
                <c:pt idx="0">
                  <c:v>速度2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最初的试验!$BA$2:$BA$37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最初的试验!$BE$2:$BE$37</c:f>
              <c:numCache>
                <c:formatCode>General</c:formatCode>
                <c:ptCount val="36"/>
                <c:pt idx="1">
                  <c:v>32.004879857685836</c:v>
                </c:pt>
                <c:pt idx="2">
                  <c:v>38.074611951791269</c:v>
                </c:pt>
                <c:pt idx="3">
                  <c:v>44.64012263155314</c:v>
                </c:pt>
                <c:pt idx="4">
                  <c:v>51.452172524972724</c:v>
                </c:pt>
                <c:pt idx="5">
                  <c:v>58.150110443579536</c:v>
                </c:pt>
                <c:pt idx="6">
                  <c:v>64.278757352626201</c:v>
                </c:pt>
                <c:pt idx="7">
                  <c:v>69.33490119856026</c:v>
                </c:pt>
                <c:pt idx="8">
                  <c:v>72.841422950957281</c:v>
                </c:pt>
                <c:pt idx="9">
                  <c:v>74.4347128489336</c:v>
                </c:pt>
                <c:pt idx="10">
                  <c:v>73.940733304558194</c:v>
                </c:pt>
                <c:pt idx="11">
                  <c:v>71.414030986381135</c:v>
                </c:pt>
                <c:pt idx="12">
                  <c:v>67.125336020742679</c:v>
                </c:pt>
                <c:pt idx="13">
                  <c:v>61.502391695826077</c:v>
                </c:pt>
                <c:pt idx="14">
                  <c:v>55.045135295250134</c:v>
                </c:pt>
                <c:pt idx="15">
                  <c:v>48.241946155306209</c:v>
                </c:pt>
                <c:pt idx="16">
                  <c:v>41.507503362803277</c:v>
                </c:pt>
                <c:pt idx="17">
                  <c:v>35.150608545821569</c:v>
                </c:pt>
                <c:pt idx="18">
                  <c:v>29.369226780971985</c:v>
                </c:pt>
                <c:pt idx="19">
                  <c:v>24.263968094405527</c:v>
                </c:pt>
                <c:pt idx="20">
                  <c:v>19.860351687892035</c:v>
                </c:pt>
                <c:pt idx="21">
                  <c:v>16.132401452313388</c:v>
                </c:pt>
                <c:pt idx="22">
                  <c:v>13.023209955677203</c:v>
                </c:pt>
                <c:pt idx="23">
                  <c:v>10.460723782485502</c:v>
                </c:pt>
                <c:pt idx="24">
                  <c:v>8.3686857924381002</c:v>
                </c:pt>
                <c:pt idx="25">
                  <c:v>6.6735002007665116</c:v>
                </c:pt>
                <c:pt idx="26">
                  <c:v>5.3080380301350942</c:v>
                </c:pt>
                <c:pt idx="27">
                  <c:v>4.2133392672785703</c:v>
                </c:pt>
                <c:pt idx="28">
                  <c:v>3.3389803928587298</c:v>
                </c:pt>
                <c:pt idx="29">
                  <c:v>2.6426676075743671</c:v>
                </c:pt>
                <c:pt idx="30">
                  <c:v>2.0894352370623892</c:v>
                </c:pt>
                <c:pt idx="31">
                  <c:v>1.6506900927236074</c:v>
                </c:pt>
                <c:pt idx="32">
                  <c:v>1.3032443430051899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6-4E36-869C-E1BA7E05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40512"/>
        <c:axId val="816429696"/>
      </c:scatterChart>
      <c:valAx>
        <c:axId val="8164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429696"/>
        <c:crosses val="autoZero"/>
        <c:crossBetween val="midCat"/>
      </c:valAx>
      <c:valAx>
        <c:axId val="8164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4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全国累计确诊人数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最初的试验!$AM$1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最初的试验!$AL$2:$AL$39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最初的试验!$AM$2:$AM$39</c:f>
              <c:numCache>
                <c:formatCode>General</c:formatCode>
                <c:ptCount val="38"/>
                <c:pt idx="0">
                  <c:v>5997</c:v>
                </c:pt>
                <c:pt idx="1">
                  <c:v>7736</c:v>
                </c:pt>
                <c:pt idx="2">
                  <c:v>9720</c:v>
                </c:pt>
                <c:pt idx="3">
                  <c:v>11821</c:v>
                </c:pt>
                <c:pt idx="4">
                  <c:v>14411</c:v>
                </c:pt>
                <c:pt idx="5">
                  <c:v>17238</c:v>
                </c:pt>
                <c:pt idx="6">
                  <c:v>20471</c:v>
                </c:pt>
                <c:pt idx="7">
                  <c:v>24363</c:v>
                </c:pt>
                <c:pt idx="8">
                  <c:v>28060</c:v>
                </c:pt>
                <c:pt idx="9">
                  <c:v>31211</c:v>
                </c:pt>
                <c:pt idx="10">
                  <c:v>34598</c:v>
                </c:pt>
                <c:pt idx="11">
                  <c:v>37251</c:v>
                </c:pt>
                <c:pt idx="12">
                  <c:v>40235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3-4611-A20A-C682CDA7EFA0}"/>
            </c:ext>
          </c:extLst>
        </c:ser>
        <c:ser>
          <c:idx val="1"/>
          <c:order val="1"/>
          <c:tx>
            <c:strRef>
              <c:f>最初的试验!$AO$1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最初的试验!$AL$2:$AL$39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最初的试验!$AO$2:$AO$39</c:f>
              <c:numCache>
                <c:formatCode>0</c:formatCode>
                <c:ptCount val="38"/>
                <c:pt idx="0">
                  <c:v>6074.170286423996</c:v>
                </c:pt>
                <c:pt idx="1">
                  <c:v>7656.4352411740219</c:v>
                </c:pt>
                <c:pt idx="2">
                  <c:v>9568.5751401466041</c:v>
                </c:pt>
                <c:pt idx="3">
                  <c:v>11836.292243055836</c:v>
                </c:pt>
                <c:pt idx="4">
                  <c:v>14466.464224892077</c:v>
                </c:pt>
                <c:pt idx="5">
                  <c:v>17439.355647161738</c:v>
                </c:pt>
                <c:pt idx="6">
                  <c:v>20703.243130076695</c:v>
                </c:pt>
                <c:pt idx="7">
                  <c:v>24174.085999652925</c:v>
                </c:pt>
                <c:pt idx="8">
                  <c:v>27742.001000549852</c:v>
                </c:pt>
                <c:pt idx="9">
                  <c:v>31284.169466527983</c:v>
                </c:pt>
                <c:pt idx="10">
                  <c:v>34681.254116844852</c:v>
                </c:pt>
                <c:pt idx="11">
                  <c:v>37832.853317566623</c:v>
                </c:pt>
                <c:pt idx="12">
                  <c:v>40667.955199666641</c:v>
                </c:pt>
                <c:pt idx="13">
                  <c:v>43148.489983518404</c:v>
                </c:pt>
                <c:pt idx="14">
                  <c:v>45266.612752767811</c:v>
                </c:pt>
                <c:pt idx="15">
                  <c:v>47038.004267587552</c:v>
                </c:pt>
                <c:pt idx="16">
                  <c:v>48493.808580870878</c:v>
                </c:pt>
                <c:pt idx="17">
                  <c:v>49673.195647840359</c:v>
                </c:pt>
                <c:pt idx="18">
                  <c:v>50617.586223329745</c:v>
                </c:pt>
                <c:pt idx="19">
                  <c:v>51366.776272554089</c:v>
                </c:pt>
                <c:pt idx="20" formatCode="General">
                  <c:v>51956.722546844961</c:v>
                </c:pt>
                <c:pt idx="21" formatCode="General">
                  <c:v>52418.566688977648</c:v>
                </c:pt>
                <c:pt idx="22" formatCode="General">
                  <c:v>52778.473998332993</c:v>
                </c:pt>
                <c:pt idx="23" formatCode="General">
                  <c:v>53057.944576141694</c:v>
                </c:pt>
                <c:pt idx="24" formatCode="General">
                  <c:v>53274.354716947659</c:v>
                </c:pt>
                <c:pt idx="25" formatCode="General">
                  <c:v>53441.574083228821</c:v>
                </c:pt>
                <c:pt idx="26" formatCode="General">
                  <c:v>53570.569650169084</c:v>
                </c:pt>
                <c:pt idx="27" formatCode="General">
                  <c:v>53669.951457965617</c:v>
                </c:pt>
                <c:pt idx="28" formatCode="General">
                  <c:v>53746.442485871245</c:v>
                </c:pt>
                <c:pt idx="29" formatCode="General">
                  <c:v>53805.270509704613</c:v>
                </c:pt>
                <c:pt idx="30" formatCode="General">
                  <c:v>53850.487778203773</c:v>
                </c:pt>
                <c:pt idx="31" formatCode="General">
                  <c:v>53885.227742934861</c:v>
                </c:pt>
                <c:pt idx="32" formatCode="General">
                  <c:v>53911.908895553286</c:v>
                </c:pt>
                <c:pt idx="34" formatCode="General">
                  <c:v>55000</c:v>
                </c:pt>
                <c:pt idx="35" formatCode="General">
                  <c:v>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3-4611-A20A-C682CDA7E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81359"/>
        <c:axId val="891383855"/>
      </c:scatterChart>
      <c:valAx>
        <c:axId val="8913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83855"/>
        <c:crosses val="autoZero"/>
        <c:crossBetween val="midCat"/>
      </c:valAx>
      <c:valAx>
        <c:axId val="8913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38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全国累计死亡人数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最初的试验!$BB$1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最初的试验!$BA$2:$BA$39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最初的试验!$BB$2:$BB$39</c:f>
              <c:numCache>
                <c:formatCode>General</c:formatCode>
                <c:ptCount val="38"/>
                <c:pt idx="0">
                  <c:v>132</c:v>
                </c:pt>
                <c:pt idx="1">
                  <c:v>170</c:v>
                </c:pt>
                <c:pt idx="2">
                  <c:v>213</c:v>
                </c:pt>
                <c:pt idx="3">
                  <c:v>259</c:v>
                </c:pt>
                <c:pt idx="4">
                  <c:v>304</c:v>
                </c:pt>
                <c:pt idx="5">
                  <c:v>361</c:v>
                </c:pt>
                <c:pt idx="6">
                  <c:v>425</c:v>
                </c:pt>
                <c:pt idx="7">
                  <c:v>491</c:v>
                </c:pt>
                <c:pt idx="8">
                  <c:v>564</c:v>
                </c:pt>
                <c:pt idx="9">
                  <c:v>637</c:v>
                </c:pt>
                <c:pt idx="10">
                  <c:v>723</c:v>
                </c:pt>
                <c:pt idx="11">
                  <c:v>812</c:v>
                </c:pt>
                <c:pt idx="12">
                  <c:v>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F-4A12-B7B3-F7C62FEDE8DF}"/>
            </c:ext>
          </c:extLst>
        </c:ser>
        <c:ser>
          <c:idx val="1"/>
          <c:order val="1"/>
          <c:tx>
            <c:strRef>
              <c:f>最初的试验!$BD$1</c:f>
              <c:strCache>
                <c:ptCount val="1"/>
                <c:pt idx="0">
                  <c:v>预测2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最初的试验!$BA$2:$BA$39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最初的试验!$BD$2:$BD$39</c:f>
              <c:numCache>
                <c:formatCode>0</c:formatCode>
                <c:ptCount val="38"/>
                <c:pt idx="0">
                  <c:v>137.30445132569878</c:v>
                </c:pt>
                <c:pt idx="1">
                  <c:v>169.30933118338461</c:v>
                </c:pt>
                <c:pt idx="2">
                  <c:v>207.38394313517588</c:v>
                </c:pt>
                <c:pt idx="3">
                  <c:v>252.02406576672902</c:v>
                </c:pt>
                <c:pt idx="4">
                  <c:v>303.47623829170175</c:v>
                </c:pt>
                <c:pt idx="5">
                  <c:v>361.62634873528128</c:v>
                </c:pt>
                <c:pt idx="6">
                  <c:v>425.90510608790748</c:v>
                </c:pt>
                <c:pt idx="7">
                  <c:v>495.24000728646774</c:v>
                </c:pt>
                <c:pt idx="8">
                  <c:v>568.08143023742502</c:v>
                </c:pt>
                <c:pt idx="9">
                  <c:v>642.51614308635862</c:v>
                </c:pt>
                <c:pt idx="10">
                  <c:v>716.45687639091682</c:v>
                </c:pt>
                <c:pt idx="11">
                  <c:v>787.87090737729795</c:v>
                </c:pt>
                <c:pt idx="12">
                  <c:v>854.99624339804063</c:v>
                </c:pt>
                <c:pt idx="13" formatCode="General">
                  <c:v>916.49863509386671</c:v>
                </c:pt>
                <c:pt idx="14" formatCode="General">
                  <c:v>971.54377038911684</c:v>
                </c:pt>
                <c:pt idx="15" formatCode="General">
                  <c:v>1019.7857165444231</c:v>
                </c:pt>
                <c:pt idx="16" formatCode="General">
                  <c:v>1061.2932199072263</c:v>
                </c:pt>
                <c:pt idx="17" formatCode="General">
                  <c:v>1096.4438284530479</c:v>
                </c:pt>
                <c:pt idx="18" formatCode="General">
                  <c:v>1125.8130552340199</c:v>
                </c:pt>
                <c:pt idx="19" formatCode="General">
                  <c:v>1150.0770233284254</c:v>
                </c:pt>
                <c:pt idx="20" formatCode="General">
                  <c:v>1169.9373750163174</c:v>
                </c:pt>
                <c:pt idx="21" formatCode="General">
                  <c:v>1186.0697764686308</c:v>
                </c:pt>
                <c:pt idx="22" formatCode="General">
                  <c:v>1199.092986424308</c:v>
                </c:pt>
                <c:pt idx="23" formatCode="General">
                  <c:v>1209.5537102067935</c:v>
                </c:pt>
                <c:pt idx="24" formatCode="General">
                  <c:v>1217.9223959992316</c:v>
                </c:pt>
                <c:pt idx="25" formatCode="General">
                  <c:v>1224.5958961999982</c:v>
                </c:pt>
                <c:pt idx="26" formatCode="General">
                  <c:v>1229.9039342301332</c:v>
                </c:pt>
                <c:pt idx="27" formatCode="General">
                  <c:v>1234.1172734974118</c:v>
                </c:pt>
                <c:pt idx="28" formatCode="General">
                  <c:v>1237.4562538902705</c:v>
                </c:pt>
                <c:pt idx="29" formatCode="General">
                  <c:v>1240.0989214978449</c:v>
                </c:pt>
                <c:pt idx="30" formatCode="General">
                  <c:v>1242.1883567349073</c:v>
                </c:pt>
                <c:pt idx="31" formatCode="General">
                  <c:v>1243.8390468276309</c:v>
                </c:pt>
                <c:pt idx="32" formatCode="General">
                  <c:v>1245.1422911706361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F-4A12-B7B3-F7C62FED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54799"/>
        <c:axId val="743059791"/>
      </c:scatterChart>
      <c:valAx>
        <c:axId val="7430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59791"/>
        <c:crosses val="autoZero"/>
        <c:crossBetween val="midCat"/>
      </c:valAx>
      <c:valAx>
        <c:axId val="7430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5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澎湃!$D$1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澎湃!$C$2:$C$25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澎湃!$D$2:$D$25</c:f>
              <c:numCache>
                <c:formatCode>General</c:formatCode>
                <c:ptCount val="24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45</c:v>
                </c:pt>
                <c:pt idx="4">
                  <c:v>62</c:v>
                </c:pt>
                <c:pt idx="5">
                  <c:v>218</c:v>
                </c:pt>
                <c:pt idx="6">
                  <c:v>320</c:v>
                </c:pt>
                <c:pt idx="7">
                  <c:v>548</c:v>
                </c:pt>
                <c:pt idx="8">
                  <c:v>638</c:v>
                </c:pt>
                <c:pt idx="9">
                  <c:v>927</c:v>
                </c:pt>
                <c:pt idx="10">
                  <c:v>1405</c:v>
                </c:pt>
                <c:pt idx="11">
                  <c:v>2048</c:v>
                </c:pt>
                <c:pt idx="12">
                  <c:v>2587</c:v>
                </c:pt>
                <c:pt idx="13">
                  <c:v>4628</c:v>
                </c:pt>
                <c:pt idx="14">
                  <c:v>6086</c:v>
                </c:pt>
                <c:pt idx="15">
                  <c:v>7827</c:v>
                </c:pt>
                <c:pt idx="16">
                  <c:v>9805</c:v>
                </c:pt>
                <c:pt idx="17">
                  <c:v>11900</c:v>
                </c:pt>
                <c:pt idx="18">
                  <c:v>14476</c:v>
                </c:pt>
                <c:pt idx="19">
                  <c:v>17373</c:v>
                </c:pt>
                <c:pt idx="20">
                  <c:v>20541</c:v>
                </c:pt>
                <c:pt idx="21">
                  <c:v>24450</c:v>
                </c:pt>
                <c:pt idx="22">
                  <c:v>28319</c:v>
                </c:pt>
                <c:pt idx="23">
                  <c:v>31926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D-47F1-B80D-C04C9C8B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36688"/>
        <c:axId val="1040932112"/>
      </c:scatterChart>
      <c:valAx>
        <c:axId val="10409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932112"/>
        <c:crosses val="autoZero"/>
        <c:crossBetween val="midCat"/>
      </c:valAx>
      <c:valAx>
        <c:axId val="1040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9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8694444444444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澎湃!$E$1</c:f>
              <c:strCache>
                <c:ptCount val="1"/>
                <c:pt idx="0">
                  <c:v>lnM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089020122484692E-2"/>
                  <c:y val="-0.80569444444444449"/>
                </c:manualLayout>
              </c:layout>
              <c:numFmt formatCode="0.0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澎湃!$C$2:$C$25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澎湃!$E$2:$E$25</c:f>
              <c:numCache>
                <c:formatCode>General</c:formatCode>
                <c:ptCount val="24"/>
                <c:pt idx="5">
                  <c:v>5.2066747648759168</c:v>
                </c:pt>
                <c:pt idx="6">
                  <c:v>4.8202815656050371</c:v>
                </c:pt>
                <c:pt idx="7">
                  <c:v>4.2765647351258682</c:v>
                </c:pt>
                <c:pt idx="8">
                  <c:v>4.1222178795385931</c:v>
                </c:pt>
                <c:pt idx="9">
                  <c:v>3.7412334047926548</c:v>
                </c:pt>
                <c:pt idx="10">
                  <c:v>3.3130854316161082</c:v>
                </c:pt>
                <c:pt idx="11">
                  <c:v>2.9194584961979988</c:v>
                </c:pt>
                <c:pt idx="12">
                  <c:v>2.6715193344028276</c:v>
                </c:pt>
                <c:pt idx="13">
                  <c:v>2.0337957373820585</c:v>
                </c:pt>
                <c:pt idx="14">
                  <c:v>1.7178368570101563</c:v>
                </c:pt>
                <c:pt idx="15">
                  <c:v>1.4135482966653123</c:v>
                </c:pt>
                <c:pt idx="16">
                  <c:v>1.1247838881115548</c:v>
                </c:pt>
                <c:pt idx="17">
                  <c:v>0.85923117622221645</c:v>
                </c:pt>
                <c:pt idx="18">
                  <c:v>0.56712708030460446</c:v>
                </c:pt>
                <c:pt idx="19">
                  <c:v>0.26422660655742836</c:v>
                </c:pt>
                <c:pt idx="20">
                  <c:v>-5.4113200831016825E-2</c:v>
                </c:pt>
                <c:pt idx="21">
                  <c:v>-0.45256957729563785</c:v>
                </c:pt>
                <c:pt idx="22">
                  <c:v>-0.88556936729405777</c:v>
                </c:pt>
                <c:pt idx="23">
                  <c:v>-1.374771702411538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A-43A2-A415-DFB6809D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30192"/>
        <c:axId val="769930608"/>
      </c:scatterChart>
      <c:valAx>
        <c:axId val="7699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930608"/>
        <c:crosses val="autoZero"/>
        <c:crossBetween val="midCat"/>
      </c:valAx>
      <c:valAx>
        <c:axId val="7699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9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全国累计增长人数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澎湃!$D$1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澎湃!$C$2:$C$44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澎湃!$D$2:$D$44</c:f>
              <c:numCache>
                <c:formatCode>General</c:formatCode>
                <c:ptCount val="4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45</c:v>
                </c:pt>
                <c:pt idx="4">
                  <c:v>62</c:v>
                </c:pt>
                <c:pt idx="5">
                  <c:v>218</c:v>
                </c:pt>
                <c:pt idx="6">
                  <c:v>320</c:v>
                </c:pt>
                <c:pt idx="7">
                  <c:v>548</c:v>
                </c:pt>
                <c:pt idx="8">
                  <c:v>638</c:v>
                </c:pt>
                <c:pt idx="9">
                  <c:v>927</c:v>
                </c:pt>
                <c:pt idx="10">
                  <c:v>1405</c:v>
                </c:pt>
                <c:pt idx="11">
                  <c:v>2048</c:v>
                </c:pt>
                <c:pt idx="12">
                  <c:v>2587</c:v>
                </c:pt>
                <c:pt idx="13">
                  <c:v>4628</c:v>
                </c:pt>
                <c:pt idx="14">
                  <c:v>6086</c:v>
                </c:pt>
                <c:pt idx="15">
                  <c:v>7827</c:v>
                </c:pt>
                <c:pt idx="16">
                  <c:v>9805</c:v>
                </c:pt>
                <c:pt idx="17">
                  <c:v>11900</c:v>
                </c:pt>
                <c:pt idx="18">
                  <c:v>14476</c:v>
                </c:pt>
                <c:pt idx="19">
                  <c:v>17373</c:v>
                </c:pt>
                <c:pt idx="20">
                  <c:v>20541</c:v>
                </c:pt>
                <c:pt idx="21">
                  <c:v>24450</c:v>
                </c:pt>
                <c:pt idx="22">
                  <c:v>28319</c:v>
                </c:pt>
                <c:pt idx="23">
                  <c:v>31926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B-4A23-A965-9AE8F91D501E}"/>
            </c:ext>
          </c:extLst>
        </c:ser>
        <c:ser>
          <c:idx val="1"/>
          <c:order val="1"/>
          <c:tx>
            <c:strRef>
              <c:f>澎湃!$F$1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澎湃!$C$2:$C$44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澎湃!$F$2:$F$44</c:f>
              <c:numCache>
                <c:formatCode>0.000</c:formatCode>
                <c:ptCount val="43"/>
                <c:pt idx="0">
                  <c:v>42.162556197899008</c:v>
                </c:pt>
                <c:pt idx="1">
                  <c:v>59.994498401901403</c:v>
                </c:pt>
                <c:pt idx="2">
                  <c:v>85.352050370504216</c:v>
                </c:pt>
                <c:pt idx="3">
                  <c:v>121.39476664988489</c:v>
                </c:pt>
                <c:pt idx="4">
                  <c:v>172.59189514733274</c:v>
                </c:pt>
                <c:pt idx="5">
                  <c:v>245.24815517715257</c:v>
                </c:pt>
                <c:pt idx="6">
                  <c:v>348.2232016140731</c:v>
                </c:pt>
                <c:pt idx="7">
                  <c:v>493.89835211107993</c:v>
                </c:pt>
                <c:pt idx="8">
                  <c:v>699.44003590468446</c:v>
                </c:pt>
                <c:pt idx="9">
                  <c:v>988.38029908224269</c:v>
                </c:pt>
                <c:pt idx="10">
                  <c:v>1392.4533433718498</c:v>
                </c:pt>
                <c:pt idx="11">
                  <c:v>1953.4490522575331</c:v>
                </c:pt>
                <c:pt idx="12">
                  <c:v>2724.5105856609957</c:v>
                </c:pt>
                <c:pt idx="13">
                  <c:v>3769.7678883962435</c:v>
                </c:pt>
                <c:pt idx="14">
                  <c:v>5160.520435495906</c:v>
                </c:pt>
                <c:pt idx="15">
                  <c:v>6965.7070810615905</c:v>
                </c:pt>
                <c:pt idx="16">
                  <c:v>9234.9764649563112</c:v>
                </c:pt>
                <c:pt idx="17">
                  <c:v>11975.52140762755</c:v>
                </c:pt>
                <c:pt idx="18">
                  <c:v>15129.395600140282</c:v>
                </c:pt>
                <c:pt idx="19">
                  <c:v>18563.674191247861</c:v>
                </c:pt>
                <c:pt idx="20">
                  <c:v>22085.258417374032</c:v>
                </c:pt>
                <c:pt idx="21">
                  <c:v>25480.798187882949</c:v>
                </c:pt>
                <c:pt idx="22">
                  <c:v>28565.950952508381</c:v>
                </c:pt>
                <c:pt idx="23">
                  <c:v>31221.39797522455</c:v>
                </c:pt>
                <c:pt idx="24">
                  <c:v>33402.573063869982</c:v>
                </c:pt>
                <c:pt idx="25" formatCode="General">
                  <c:v>35126.399226245579</c:v>
                </c:pt>
                <c:pt idx="26" formatCode="General">
                  <c:v>36447.711473559437</c:v>
                </c:pt>
                <c:pt idx="27" formatCode="General">
                  <c:v>37436.933426421732</c:v>
                </c:pt>
                <c:pt idx="28" formatCode="General">
                  <c:v>38164.554603582241</c:v>
                </c:pt>
                <c:pt idx="29" formatCode="General">
                  <c:v>38692.826084605018</c:v>
                </c:pt>
                <c:pt idx="30" formatCode="General">
                  <c:v>39072.746435223315</c:v>
                </c:pt>
                <c:pt idx="31" formatCode="General">
                  <c:v>39344.117516849139</c:v>
                </c:pt>
                <c:pt idx="32" formatCode="General">
                  <c:v>39537.009909087581</c:v>
                </c:pt>
                <c:pt idx="33" formatCode="General">
                  <c:v>39673.643988011929</c:v>
                </c:pt>
                <c:pt idx="34" formatCode="General">
                  <c:v>39770.190042249567</c:v>
                </c:pt>
                <c:pt idx="35" formatCode="General">
                  <c:v>39838.291246328859</c:v>
                </c:pt>
                <c:pt idx="36" formatCode="General">
                  <c:v>39886.269252059639</c:v>
                </c:pt>
                <c:pt idx="37" formatCode="General">
                  <c:v>39920.041045152095</c:v>
                </c:pt>
                <c:pt idx="38" formatCode="General">
                  <c:v>39943.798598737951</c:v>
                </c:pt>
                <c:pt idx="39" formatCode="General">
                  <c:v>39960.504247617988</c:v>
                </c:pt>
                <c:pt idx="40" formatCode="General">
                  <c:v>39972.247657147986</c:v>
                </c:pt>
                <c:pt idx="41" formatCode="General">
                  <c:v>39980.501061644434</c:v>
                </c:pt>
                <c:pt idx="42" formatCode="General">
                  <c:v>39986.300787161832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B-4A23-A965-9AE8F91D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64416"/>
        <c:axId val="849970240"/>
      </c:scatterChart>
      <c:valAx>
        <c:axId val="8499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970240"/>
        <c:crosses val="autoZero"/>
        <c:crossBetween val="midCat"/>
      </c:valAx>
      <c:valAx>
        <c:axId val="8499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9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全国累计死亡人数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全国!$U$1</c:f>
              <c:strCache>
                <c:ptCount val="1"/>
                <c:pt idx="0">
                  <c:v>死亡人数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全国!$R$2:$R$36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全国!$U$2:$U$36</c:f>
              <c:numCache>
                <c:formatCode>General</c:formatCode>
                <c:ptCount val="35"/>
                <c:pt idx="0">
                  <c:v>132</c:v>
                </c:pt>
                <c:pt idx="1">
                  <c:v>170</c:v>
                </c:pt>
                <c:pt idx="2">
                  <c:v>213</c:v>
                </c:pt>
                <c:pt idx="3">
                  <c:v>259</c:v>
                </c:pt>
                <c:pt idx="4">
                  <c:v>304</c:v>
                </c:pt>
                <c:pt idx="5">
                  <c:v>361</c:v>
                </c:pt>
                <c:pt idx="6">
                  <c:v>425</c:v>
                </c:pt>
                <c:pt idx="7">
                  <c:v>491</c:v>
                </c:pt>
                <c:pt idx="8">
                  <c:v>564</c:v>
                </c:pt>
                <c:pt idx="9">
                  <c:v>637</c:v>
                </c:pt>
                <c:pt idx="10">
                  <c:v>719</c:v>
                </c:pt>
                <c:pt idx="11">
                  <c:v>812</c:v>
                </c:pt>
                <c:pt idx="12">
                  <c:v>909</c:v>
                </c:pt>
                <c:pt idx="13">
                  <c:v>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4-4F3F-AF59-90A035B1E298}"/>
            </c:ext>
          </c:extLst>
        </c:ser>
        <c:ser>
          <c:idx val="1"/>
          <c:order val="1"/>
          <c:tx>
            <c:strRef>
              <c:f>全国!$Y$1</c:f>
              <c:strCache>
                <c:ptCount val="1"/>
                <c:pt idx="0">
                  <c:v>预测2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全国!$R$2:$R$36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全国!$Y$2:$Y$36</c:f>
              <c:numCache>
                <c:formatCode>0</c:formatCode>
                <c:ptCount val="35"/>
                <c:pt idx="0">
                  <c:v>134.1050907124426</c:v>
                </c:pt>
                <c:pt idx="1">
                  <c:v>171.05050047956712</c:v>
                </c:pt>
                <c:pt idx="2">
                  <c:v>210.20963671067881</c:v>
                </c:pt>
                <c:pt idx="3">
                  <c:v>254.41082299233736</c:v>
                </c:pt>
                <c:pt idx="4">
                  <c:v>304.35951761374383</c:v>
                </c:pt>
                <c:pt idx="5">
                  <c:v>360.42353018373768</c:v>
                </c:pt>
                <c:pt idx="6">
                  <c:v>422.72604092642933</c:v>
                </c:pt>
                <c:pt idx="7">
                  <c:v>491.13873733095642</c:v>
                </c:pt>
                <c:pt idx="8">
                  <c:v>565.26174956782893</c:v>
                </c:pt>
                <c:pt idx="9">
                  <c:v>644.41375976637119</c:v>
                </c:pt>
                <c:pt idx="10">
                  <c:v>727.64331339744422</c:v>
                </c:pt>
                <c:pt idx="11">
                  <c:v>813.76645256931613</c:v>
                </c:pt>
                <c:pt idx="12">
                  <c:v>901.43030478957326</c:v>
                </c:pt>
                <c:pt idx="13">
                  <c:v>989.19679735106297</c:v>
                </c:pt>
                <c:pt idx="14">
                  <c:v>1075.6362460490939</c:v>
                </c:pt>
                <c:pt idx="15">
                  <c:v>1159.4183756067882</c:v>
                </c:pt>
                <c:pt idx="16">
                  <c:v>1239.3889927772916</c:v>
                </c:pt>
                <c:pt idx="17">
                  <c:v>1314.6237654514091</c:v>
                </c:pt>
                <c:pt idx="18">
                  <c:v>1384.4552801250343</c:v>
                </c:pt>
                <c:pt idx="19">
                  <c:v>1448.4743491000602</c:v>
                </c:pt>
                <c:pt idx="20">
                  <c:v>1506.5102352995964</c:v>
                </c:pt>
                <c:pt idx="21">
                  <c:v>1558.5964509327209</c:v>
                </c:pt>
                <c:pt idx="22">
                  <c:v>1604.9290823908782</c:v>
                </c:pt>
                <c:pt idx="23">
                  <c:v>1645.8236416005816</c:v>
                </c:pt>
                <c:pt idx="24">
                  <c:v>1681.6748407882085</c:v>
                </c:pt>
                <c:pt idx="25">
                  <c:v>1712.9219624834157</c:v>
                </c:pt>
                <c:pt idx="26">
                  <c:v>1740.0210004374612</c:v>
                </c:pt>
                <c:pt idx="27">
                  <c:v>1763.4236414001059</c:v>
                </c:pt>
                <c:pt idx="28">
                  <c:v>1783.5624602806502</c:v>
                </c:pt>
                <c:pt idx="29">
                  <c:v>1800.8413478245816</c:v>
                </c:pt>
                <c:pt idx="30">
                  <c:v>1815.6300857183812</c:v>
                </c:pt>
                <c:pt idx="31">
                  <c:v>1828.2620366134315</c:v>
                </c:pt>
                <c:pt idx="32">
                  <c:v>1839.0340518354551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4-4F3F-AF59-90A035B1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63552"/>
        <c:axId val="1557366464"/>
      </c:scatterChart>
      <c:valAx>
        <c:axId val="15573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366464"/>
        <c:crosses val="autoZero"/>
        <c:crossBetween val="midCat"/>
      </c:valAx>
      <c:valAx>
        <c:axId val="15573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3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累计确诊人数增长速度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澎湃!$G$1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澎湃!$C$2:$C$44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澎湃!$G$2:$G$44</c:f>
              <c:numCache>
                <c:formatCode>0.000</c:formatCode>
                <c:ptCount val="43"/>
                <c:pt idx="1">
                  <c:v>17.831942204002395</c:v>
                </c:pt>
                <c:pt idx="2">
                  <c:v>25.357551968602813</c:v>
                </c:pt>
                <c:pt idx="3">
                  <c:v>36.04271627938067</c:v>
                </c:pt>
                <c:pt idx="4">
                  <c:v>51.197128497447849</c:v>
                </c:pt>
                <c:pt idx="5">
                  <c:v>72.656260029819833</c:v>
                </c:pt>
                <c:pt idx="6">
                  <c:v>102.97504643692054</c:v>
                </c:pt>
                <c:pt idx="7">
                  <c:v>145.67515049700683</c:v>
                </c:pt>
                <c:pt idx="8">
                  <c:v>205.54168379360453</c:v>
                </c:pt>
                <c:pt idx="9">
                  <c:v>288.94026317755822</c:v>
                </c:pt>
                <c:pt idx="10">
                  <c:v>404.07304428960708</c:v>
                </c:pt>
                <c:pt idx="11">
                  <c:v>560.99570888568337</c:v>
                </c:pt>
                <c:pt idx="12">
                  <c:v>771.06153340346259</c:v>
                </c:pt>
                <c:pt idx="13">
                  <c:v>1045.2573027352478</c:v>
                </c:pt>
                <c:pt idx="14">
                  <c:v>1390.7525470996625</c:v>
                </c:pt>
                <c:pt idx="15">
                  <c:v>1805.1866455656846</c:v>
                </c:pt>
                <c:pt idx="16">
                  <c:v>2269.2693838947207</c:v>
                </c:pt>
                <c:pt idx="17">
                  <c:v>2740.5449426712385</c:v>
                </c:pt>
                <c:pt idx="18">
                  <c:v>3153.8741925127324</c:v>
                </c:pt>
                <c:pt idx="19">
                  <c:v>3434.2785911075789</c:v>
                </c:pt>
                <c:pt idx="20">
                  <c:v>3521.5842261261714</c:v>
                </c:pt>
                <c:pt idx="21">
                  <c:v>3395.5397705089163</c:v>
                </c:pt>
                <c:pt idx="22">
                  <c:v>3085.1527646254326</c:v>
                </c:pt>
                <c:pt idx="23">
                  <c:v>2655.4470227161692</c:v>
                </c:pt>
                <c:pt idx="24">
                  <c:v>2181.175088645432</c:v>
                </c:pt>
                <c:pt idx="25" formatCode="General">
                  <c:v>1723.8261623755971</c:v>
                </c:pt>
                <c:pt idx="26" formatCode="General">
                  <c:v>1321.3122473138574</c:v>
                </c:pt>
                <c:pt idx="27" formatCode="General">
                  <c:v>989.22195286229544</c:v>
                </c:pt>
                <c:pt idx="28" formatCode="General">
                  <c:v>727.62117716050852</c:v>
                </c:pt>
                <c:pt idx="29" formatCode="General">
                  <c:v>528.27148102277715</c:v>
                </c:pt>
                <c:pt idx="30" formatCode="General">
                  <c:v>379.92035061829665</c:v>
                </c:pt>
                <c:pt idx="31" formatCode="General">
                  <c:v>271.37108162582444</c:v>
                </c:pt>
                <c:pt idx="32" formatCode="General">
                  <c:v>192.89239223844197</c:v>
                </c:pt>
                <c:pt idx="33" formatCode="General">
                  <c:v>136.6340789243477</c:v>
                </c:pt>
                <c:pt idx="34" formatCode="General">
                  <c:v>96.5460542376386</c:v>
                </c:pt>
                <c:pt idx="35" formatCode="General">
                  <c:v>68.101204079292074</c:v>
                </c:pt>
                <c:pt idx="36" formatCode="General">
                  <c:v>47.978005730779842</c:v>
                </c:pt>
                <c:pt idx="37" formatCode="General">
                  <c:v>33.771793092455482</c:v>
                </c:pt>
                <c:pt idx="38" formatCode="General">
                  <c:v>23.757553585855931</c:v>
                </c:pt>
                <c:pt idx="39" formatCode="General">
                  <c:v>16.705648880037188</c:v>
                </c:pt>
                <c:pt idx="40" formatCode="General">
                  <c:v>11.743409529997734</c:v>
                </c:pt>
                <c:pt idx="41" formatCode="General">
                  <c:v>8.2534044964486384</c:v>
                </c:pt>
                <c:pt idx="42" formatCode="General">
                  <c:v>5.7997255173977464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2-4FD2-AB82-4E7DC27E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84736"/>
        <c:axId val="915175168"/>
      </c:scatterChart>
      <c:valAx>
        <c:axId val="9151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175168"/>
        <c:crosses val="autoZero"/>
        <c:crossBetween val="midCat"/>
      </c:valAx>
      <c:valAx>
        <c:axId val="9151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1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累计确诊人数增长加速度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澎湃!$H$1</c:f>
              <c:strCache>
                <c:ptCount val="1"/>
                <c:pt idx="0">
                  <c:v>加速度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澎湃!$C$2:$C$44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澎湃!$H$2:$H$44</c:f>
              <c:numCache>
                <c:formatCode>0.000</c:formatCode>
                <c:ptCount val="43"/>
                <c:pt idx="2">
                  <c:v>7.5256097646004179</c:v>
                </c:pt>
                <c:pt idx="3">
                  <c:v>10.685164310777857</c:v>
                </c:pt>
                <c:pt idx="4">
                  <c:v>15.154412218067179</c:v>
                </c:pt>
                <c:pt idx="5">
                  <c:v>21.459131532371984</c:v>
                </c:pt>
                <c:pt idx="6">
                  <c:v>30.318786407100703</c:v>
                </c:pt>
                <c:pt idx="7">
                  <c:v>42.700104060086289</c:v>
                </c:pt>
                <c:pt idx="8">
                  <c:v>59.866533296597709</c:v>
                </c:pt>
                <c:pt idx="9">
                  <c:v>83.398579383953688</c:v>
                </c:pt>
                <c:pt idx="10">
                  <c:v>115.13278111204886</c:v>
                </c:pt>
                <c:pt idx="11">
                  <c:v>156.92266459607629</c:v>
                </c:pt>
                <c:pt idx="12">
                  <c:v>210.06582451777922</c:v>
                </c:pt>
                <c:pt idx="13">
                  <c:v>274.19576933178519</c:v>
                </c:pt>
                <c:pt idx="14">
                  <c:v>345.4952443644147</c:v>
                </c:pt>
                <c:pt idx="15">
                  <c:v>414.43409846602208</c:v>
                </c:pt>
                <c:pt idx="16">
                  <c:v>464.08273832903615</c:v>
                </c:pt>
                <c:pt idx="17">
                  <c:v>471.27555877651776</c:v>
                </c:pt>
                <c:pt idx="18">
                  <c:v>413.32924984149395</c:v>
                </c:pt>
                <c:pt idx="19">
                  <c:v>280.4043985948465</c:v>
                </c:pt>
                <c:pt idx="20">
                  <c:v>87.305635018592511</c:v>
                </c:pt>
                <c:pt idx="21">
                  <c:v>-126.04445561725515</c:v>
                </c:pt>
                <c:pt idx="22">
                  <c:v>-310.38700588348365</c:v>
                </c:pt>
                <c:pt idx="23">
                  <c:v>-429.70574190926345</c:v>
                </c:pt>
                <c:pt idx="24">
                  <c:v>-474.27193407073719</c:v>
                </c:pt>
                <c:pt idx="25" formatCode="General">
                  <c:v>-457.34892626983492</c:v>
                </c:pt>
                <c:pt idx="26" formatCode="General">
                  <c:v>-402.51391506173968</c:v>
                </c:pt>
                <c:pt idx="27" formatCode="General">
                  <c:v>-332.09029445156193</c:v>
                </c:pt>
                <c:pt idx="28" formatCode="General">
                  <c:v>-261.60077570178692</c:v>
                </c:pt>
                <c:pt idx="29" formatCode="General">
                  <c:v>-199.34969613773137</c:v>
                </c:pt>
                <c:pt idx="30" formatCode="General">
                  <c:v>-148.3511304044805</c:v>
                </c:pt>
                <c:pt idx="31" formatCode="General">
                  <c:v>-108.54926899247221</c:v>
                </c:pt>
                <c:pt idx="32" formatCode="General">
                  <c:v>-78.478689387382474</c:v>
                </c:pt>
                <c:pt idx="33" formatCode="General">
                  <c:v>-56.258313314094266</c:v>
                </c:pt>
                <c:pt idx="34" formatCode="General">
                  <c:v>-40.088024686709105</c:v>
                </c:pt>
                <c:pt idx="35" formatCode="General">
                  <c:v>-28.444850158346526</c:v>
                </c:pt>
                <c:pt idx="36" formatCode="General">
                  <c:v>-20.123198348512233</c:v>
                </c:pt>
                <c:pt idx="37" formatCode="General">
                  <c:v>-14.206212638324359</c:v>
                </c:pt>
                <c:pt idx="38" formatCode="General">
                  <c:v>-10.014239506599552</c:v>
                </c:pt>
                <c:pt idx="39" formatCode="General">
                  <c:v>-7.0519047058187425</c:v>
                </c:pt>
                <c:pt idx="40" formatCode="General">
                  <c:v>-4.9622393500394537</c:v>
                </c:pt>
                <c:pt idx="41" formatCode="General">
                  <c:v>-3.490005033549096</c:v>
                </c:pt>
                <c:pt idx="42" formatCode="General">
                  <c:v>-2.4536789790508919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9-4615-93F6-E3F5805E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23952"/>
        <c:axId val="769931440"/>
      </c:scatterChart>
      <c:valAx>
        <c:axId val="7699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931440"/>
        <c:crosses val="autoZero"/>
        <c:crossBetween val="midCat"/>
      </c:valAx>
      <c:valAx>
        <c:axId val="769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9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全国2!$D$1</c:f>
              <c:strCache>
                <c:ptCount val="1"/>
                <c:pt idx="0">
                  <c:v>确诊人数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全国2!$C$2:$C$22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全国2!$D$2:$D$22</c:f>
              <c:numCache>
                <c:formatCode>General</c:formatCode>
                <c:ptCount val="21"/>
                <c:pt idx="0">
                  <c:v>291</c:v>
                </c:pt>
                <c:pt idx="1">
                  <c:v>391</c:v>
                </c:pt>
                <c:pt idx="2">
                  <c:v>440</c:v>
                </c:pt>
                <c:pt idx="3">
                  <c:v>571</c:v>
                </c:pt>
                <c:pt idx="4">
                  <c:v>830</c:v>
                </c:pt>
                <c:pt idx="5">
                  <c:v>1287</c:v>
                </c:pt>
                <c:pt idx="6">
                  <c:v>1975</c:v>
                </c:pt>
                <c:pt idx="7">
                  <c:v>2744</c:v>
                </c:pt>
                <c:pt idx="8">
                  <c:v>4515</c:v>
                </c:pt>
                <c:pt idx="9">
                  <c:v>5975</c:v>
                </c:pt>
                <c:pt idx="10">
                  <c:v>5997</c:v>
                </c:pt>
                <c:pt idx="11">
                  <c:v>7736</c:v>
                </c:pt>
                <c:pt idx="12">
                  <c:v>9720</c:v>
                </c:pt>
                <c:pt idx="13">
                  <c:v>11821</c:v>
                </c:pt>
                <c:pt idx="14">
                  <c:v>14411</c:v>
                </c:pt>
                <c:pt idx="15">
                  <c:v>17238</c:v>
                </c:pt>
                <c:pt idx="16">
                  <c:v>20471</c:v>
                </c:pt>
                <c:pt idx="17">
                  <c:v>24363</c:v>
                </c:pt>
                <c:pt idx="18">
                  <c:v>28060</c:v>
                </c:pt>
                <c:pt idx="19">
                  <c:v>31211</c:v>
                </c:pt>
                <c:pt idx="20">
                  <c:v>34130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3-485E-9223-0B38B9E5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65904"/>
        <c:axId val="421376720"/>
      </c:scatterChart>
      <c:valAx>
        <c:axId val="4213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76720"/>
        <c:crosses val="autoZero"/>
        <c:crossBetween val="midCat"/>
      </c:valAx>
      <c:valAx>
        <c:axId val="421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26" Type="http://schemas.openxmlformats.org/officeDocument/2006/relationships/chart" Target="../charts/chart75.xml"/><Relationship Id="rId3" Type="http://schemas.openxmlformats.org/officeDocument/2006/relationships/chart" Target="../charts/chart55.xml"/><Relationship Id="rId21" Type="http://schemas.openxmlformats.org/officeDocument/2006/relationships/chart" Target="../charts/chart70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5" Type="http://schemas.openxmlformats.org/officeDocument/2006/relationships/chart" Target="../charts/chart74.xml"/><Relationship Id="rId2" Type="http://schemas.openxmlformats.org/officeDocument/2006/relationships/chart" Target="../charts/chart54.xml"/><Relationship Id="rId16" Type="http://schemas.openxmlformats.org/officeDocument/2006/relationships/chart" Target="../charts/chart66.xml"/><Relationship Id="rId20" Type="http://schemas.openxmlformats.org/officeDocument/2006/relationships/chart" Target="../charts/chart69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hart" Target="../charts/chart61.xml"/><Relationship Id="rId24" Type="http://schemas.openxmlformats.org/officeDocument/2006/relationships/chart" Target="../charts/chart73.xml"/><Relationship Id="rId5" Type="http://schemas.openxmlformats.org/officeDocument/2006/relationships/image" Target="../media/image2.png"/><Relationship Id="rId15" Type="http://schemas.openxmlformats.org/officeDocument/2006/relationships/chart" Target="../charts/chart65.xml"/><Relationship Id="rId23" Type="http://schemas.openxmlformats.org/officeDocument/2006/relationships/chart" Target="../charts/chart72.xml"/><Relationship Id="rId10" Type="http://schemas.openxmlformats.org/officeDocument/2006/relationships/chart" Target="../charts/chart60.xml"/><Relationship Id="rId19" Type="http://schemas.openxmlformats.org/officeDocument/2006/relationships/image" Target="../media/image4.png"/><Relationship Id="rId4" Type="http://schemas.openxmlformats.org/officeDocument/2006/relationships/chart" Target="../charts/chart56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Relationship Id="rId22" Type="http://schemas.openxmlformats.org/officeDocument/2006/relationships/chart" Target="../charts/chart71.xml"/><Relationship Id="rId27" Type="http://schemas.openxmlformats.org/officeDocument/2006/relationships/chart" Target="../charts/chart7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image" Target="../media/image5.png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38</xdr:row>
      <xdr:rowOff>61912</xdr:rowOff>
    </xdr:from>
    <xdr:to>
      <xdr:col>7</xdr:col>
      <xdr:colOff>490537</xdr:colOff>
      <xdr:row>53</xdr:row>
      <xdr:rowOff>90487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428624</xdr:colOff>
      <xdr:row>6</xdr:row>
      <xdr:rowOff>38100</xdr:rowOff>
    </xdr:from>
    <xdr:to>
      <xdr:col>18</xdr:col>
      <xdr:colOff>38100</xdr:colOff>
      <xdr:row>21</xdr:row>
      <xdr:rowOff>57149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414337</xdr:colOff>
      <xdr:row>29</xdr:row>
      <xdr:rowOff>157162</xdr:rowOff>
    </xdr:from>
    <xdr:to>
      <xdr:col>14</xdr:col>
      <xdr:colOff>0</xdr:colOff>
      <xdr:row>44</xdr:row>
      <xdr:rowOff>185737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119062</xdr:colOff>
      <xdr:row>30</xdr:row>
      <xdr:rowOff>23812</xdr:rowOff>
    </xdr:from>
    <xdr:to>
      <xdr:col>20</xdr:col>
      <xdr:colOff>576262</xdr:colOff>
      <xdr:row>45</xdr:row>
      <xdr:rowOff>52387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519112</xdr:colOff>
      <xdr:row>27</xdr:row>
      <xdr:rowOff>71437</xdr:rowOff>
    </xdr:from>
    <xdr:to>
      <xdr:col>25</xdr:col>
      <xdr:colOff>290512</xdr:colOff>
      <xdr:row>42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338137</xdr:colOff>
      <xdr:row>25</xdr:row>
      <xdr:rowOff>109537</xdr:rowOff>
    </xdr:from>
    <xdr:to>
      <xdr:col>33</xdr:col>
      <xdr:colOff>109537</xdr:colOff>
      <xdr:row>40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319087</xdr:colOff>
      <xdr:row>34</xdr:row>
      <xdr:rowOff>100012</xdr:rowOff>
    </xdr:from>
    <xdr:to>
      <xdr:col>7</xdr:col>
      <xdr:colOff>90487</xdr:colOff>
      <xdr:row>49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242887</xdr:colOff>
      <xdr:row>5</xdr:row>
      <xdr:rowOff>90487</xdr:rowOff>
    </xdr:from>
    <xdr:to>
      <xdr:col>33</xdr:col>
      <xdr:colOff>14287</xdr:colOff>
      <xdr:row>20</xdr:row>
      <xdr:rowOff>119062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35</xdr:row>
      <xdr:rowOff>166687</xdr:rowOff>
    </xdr:from>
    <xdr:to>
      <xdr:col>15</xdr:col>
      <xdr:colOff>314325</xdr:colOff>
      <xdr:row>50</xdr:row>
      <xdr:rowOff>195262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40</xdr:row>
      <xdr:rowOff>61912</xdr:rowOff>
    </xdr:from>
    <xdr:to>
      <xdr:col>13</xdr:col>
      <xdr:colOff>385762</xdr:colOff>
      <xdr:row>55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27</xdr:row>
      <xdr:rowOff>185737</xdr:rowOff>
    </xdr:from>
    <xdr:to>
      <xdr:col>16</xdr:col>
      <xdr:colOff>595312</xdr:colOff>
      <xdr:row>41</xdr:row>
      <xdr:rowOff>128587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61912</xdr:colOff>
      <xdr:row>14</xdr:row>
      <xdr:rowOff>90487</xdr:rowOff>
    </xdr:from>
    <xdr:to>
      <xdr:col>20</xdr:col>
      <xdr:colOff>519112</xdr:colOff>
      <xdr:row>28</xdr:row>
      <xdr:rowOff>23812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233362</xdr:colOff>
      <xdr:row>28</xdr:row>
      <xdr:rowOff>100012</xdr:rowOff>
    </xdr:from>
    <xdr:to>
      <xdr:col>25</xdr:col>
      <xdr:colOff>4762</xdr:colOff>
      <xdr:row>42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157162</xdr:rowOff>
    </xdr:from>
    <xdr:to>
      <xdr:col>5</xdr:col>
      <xdr:colOff>614362</xdr:colOff>
      <xdr:row>51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604837</xdr:colOff>
      <xdr:row>29</xdr:row>
      <xdr:rowOff>166687</xdr:rowOff>
    </xdr:from>
    <xdr:to>
      <xdr:col>34</xdr:col>
      <xdr:colOff>376237</xdr:colOff>
      <xdr:row>43</xdr:row>
      <xdr:rowOff>109537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176212</xdr:colOff>
      <xdr:row>42</xdr:row>
      <xdr:rowOff>119062</xdr:rowOff>
    </xdr:from>
    <xdr:to>
      <xdr:col>32</xdr:col>
      <xdr:colOff>633412</xdr:colOff>
      <xdr:row>56</xdr:row>
      <xdr:rowOff>52387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576262</xdr:colOff>
      <xdr:row>1</xdr:row>
      <xdr:rowOff>80962</xdr:rowOff>
    </xdr:from>
    <xdr:to>
      <xdr:col>18</xdr:col>
      <xdr:colOff>347662</xdr:colOff>
      <xdr:row>14</xdr:row>
      <xdr:rowOff>185737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11</xdr:row>
      <xdr:rowOff>42862</xdr:rowOff>
    </xdr:from>
    <xdr:to>
      <xdr:col>18</xdr:col>
      <xdr:colOff>85725</xdr:colOff>
      <xdr:row>26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461962</xdr:colOff>
      <xdr:row>17</xdr:row>
      <xdr:rowOff>61912</xdr:rowOff>
    </xdr:from>
    <xdr:to>
      <xdr:col>20</xdr:col>
      <xdr:colOff>233362</xdr:colOff>
      <xdr:row>32</xdr:row>
      <xdr:rowOff>90487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</xdr:colOff>
      <xdr:row>22</xdr:row>
      <xdr:rowOff>166687</xdr:rowOff>
    </xdr:from>
    <xdr:to>
      <xdr:col>16</xdr:col>
      <xdr:colOff>509587</xdr:colOff>
      <xdr:row>38</xdr:row>
      <xdr:rowOff>14287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204787</xdr:colOff>
      <xdr:row>3</xdr:row>
      <xdr:rowOff>100012</xdr:rowOff>
    </xdr:from>
    <xdr:to>
      <xdr:col>22</xdr:col>
      <xdr:colOff>661987</xdr:colOff>
      <xdr:row>18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352425</xdr:colOff>
      <xdr:row>27</xdr:row>
      <xdr:rowOff>4762</xdr:rowOff>
    </xdr:from>
    <xdr:to>
      <xdr:col>17</xdr:col>
      <xdr:colOff>104775</xdr:colOff>
      <xdr:row>42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266700</xdr:colOff>
      <xdr:row>0</xdr:row>
      <xdr:rowOff>171450</xdr:rowOff>
    </xdr:from>
    <xdr:to>
      <xdr:col>39</xdr:col>
      <xdr:colOff>266700</xdr:colOff>
      <xdr:row>10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266700</xdr:colOff>
      <xdr:row>2</xdr:row>
      <xdr:rowOff>171450</xdr:rowOff>
    </xdr:from>
    <xdr:to>
      <xdr:col>40</xdr:col>
      <xdr:colOff>266700</xdr:colOff>
      <xdr:row>12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266700</xdr:colOff>
      <xdr:row>4</xdr:row>
      <xdr:rowOff>171450</xdr:rowOff>
    </xdr:from>
    <xdr:to>
      <xdr:col>41</xdr:col>
      <xdr:colOff>266700</xdr:colOff>
      <xdr:row>14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190500</xdr:colOff>
      <xdr:row>0</xdr:row>
      <xdr:rowOff>171450</xdr:rowOff>
    </xdr:from>
    <xdr:to>
      <xdr:col>38</xdr:col>
      <xdr:colOff>190500</xdr:colOff>
      <xdr:row>10</xdr:row>
      <xdr:rowOff>171450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190500</xdr:colOff>
      <xdr:row>2</xdr:row>
      <xdr:rowOff>171450</xdr:rowOff>
    </xdr:from>
    <xdr:to>
      <xdr:col>39</xdr:col>
      <xdr:colOff>190500</xdr:colOff>
      <xdr:row>12</xdr:row>
      <xdr:rowOff>171450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190500</xdr:colOff>
      <xdr:row>4</xdr:row>
      <xdr:rowOff>171450</xdr:rowOff>
    </xdr:from>
    <xdr:to>
      <xdr:col>40</xdr:col>
      <xdr:colOff>190500</xdr:colOff>
      <xdr:row>14</xdr:row>
      <xdr:rowOff>171450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266700</xdr:colOff>
      <xdr:row>0</xdr:row>
      <xdr:rowOff>171450</xdr:rowOff>
    </xdr:from>
    <xdr:to>
      <xdr:col>57</xdr:col>
      <xdr:colOff>266700</xdr:colOff>
      <xdr:row>10</xdr:row>
      <xdr:rowOff>171450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266700</xdr:colOff>
      <xdr:row>2</xdr:row>
      <xdr:rowOff>171450</xdr:rowOff>
    </xdr:from>
    <xdr:to>
      <xdr:col>58</xdr:col>
      <xdr:colOff>266700</xdr:colOff>
      <xdr:row>12</xdr:row>
      <xdr:rowOff>171450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266700</xdr:colOff>
      <xdr:row>4</xdr:row>
      <xdr:rowOff>171450</xdr:rowOff>
    </xdr:from>
    <xdr:to>
      <xdr:col>59</xdr:col>
      <xdr:colOff>266700</xdr:colOff>
      <xdr:row>14</xdr:row>
      <xdr:rowOff>171450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95250</xdr:colOff>
      <xdr:row>29</xdr:row>
      <xdr:rowOff>128587</xdr:rowOff>
    </xdr:from>
    <xdr:to>
      <xdr:col>23</xdr:col>
      <xdr:colOff>552450</xdr:colOff>
      <xdr:row>44</xdr:row>
      <xdr:rowOff>147637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21</xdr:row>
      <xdr:rowOff>166687</xdr:rowOff>
    </xdr:from>
    <xdr:to>
      <xdr:col>13</xdr:col>
      <xdr:colOff>542925</xdr:colOff>
      <xdr:row>37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681037</xdr:colOff>
      <xdr:row>42</xdr:row>
      <xdr:rowOff>23812</xdr:rowOff>
    </xdr:from>
    <xdr:to>
      <xdr:col>14</xdr:col>
      <xdr:colOff>452437</xdr:colOff>
      <xdr:row>57</xdr:row>
      <xdr:rowOff>52387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261937</xdr:colOff>
      <xdr:row>8</xdr:row>
      <xdr:rowOff>109537</xdr:rowOff>
    </xdr:from>
    <xdr:to>
      <xdr:col>17</xdr:col>
      <xdr:colOff>33337</xdr:colOff>
      <xdr:row>23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261937</xdr:colOff>
      <xdr:row>31</xdr:row>
      <xdr:rowOff>119062</xdr:rowOff>
    </xdr:from>
    <xdr:to>
      <xdr:col>31</xdr:col>
      <xdr:colOff>33337</xdr:colOff>
      <xdr:row>46</xdr:row>
      <xdr:rowOff>147637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519112</xdr:colOff>
      <xdr:row>18</xdr:row>
      <xdr:rowOff>147637</xdr:rowOff>
    </xdr:from>
    <xdr:to>
      <xdr:col>39</xdr:col>
      <xdr:colOff>138112</xdr:colOff>
      <xdr:row>33</xdr:row>
      <xdr:rowOff>176212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433387</xdr:colOff>
      <xdr:row>53</xdr:row>
      <xdr:rowOff>61912</xdr:rowOff>
    </xdr:from>
    <xdr:to>
      <xdr:col>22</xdr:col>
      <xdr:colOff>204787</xdr:colOff>
      <xdr:row>68</xdr:row>
      <xdr:rowOff>90487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100012</xdr:rowOff>
    </xdr:from>
    <xdr:to>
      <xdr:col>6</xdr:col>
      <xdr:colOff>457200</xdr:colOff>
      <xdr:row>45</xdr:row>
      <xdr:rowOff>128587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14287</xdr:colOff>
      <xdr:row>34</xdr:row>
      <xdr:rowOff>4762</xdr:rowOff>
    </xdr:from>
    <xdr:to>
      <xdr:col>24</xdr:col>
      <xdr:colOff>471487</xdr:colOff>
      <xdr:row>49</xdr:row>
      <xdr:rowOff>33337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661987</xdr:colOff>
      <xdr:row>42</xdr:row>
      <xdr:rowOff>71437</xdr:rowOff>
    </xdr:from>
    <xdr:to>
      <xdr:col>20</xdr:col>
      <xdr:colOff>433387</xdr:colOff>
      <xdr:row>57</xdr:row>
      <xdr:rowOff>100012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433387</xdr:colOff>
      <xdr:row>14</xdr:row>
      <xdr:rowOff>157162</xdr:rowOff>
    </xdr:from>
    <xdr:to>
      <xdr:col>32</xdr:col>
      <xdr:colOff>204787</xdr:colOff>
      <xdr:row>30</xdr:row>
      <xdr:rowOff>4762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80962</xdr:rowOff>
    </xdr:from>
    <xdr:to>
      <xdr:col>8</xdr:col>
      <xdr:colOff>419100</xdr:colOff>
      <xdr:row>30</xdr:row>
      <xdr:rowOff>109537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300037</xdr:colOff>
      <xdr:row>7</xdr:row>
      <xdr:rowOff>52387</xdr:rowOff>
    </xdr:from>
    <xdr:to>
      <xdr:col>19</xdr:col>
      <xdr:colOff>71437</xdr:colOff>
      <xdr:row>22</xdr:row>
      <xdr:rowOff>100012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366712</xdr:colOff>
      <xdr:row>9</xdr:row>
      <xdr:rowOff>23812</xdr:rowOff>
    </xdr:from>
    <xdr:to>
      <xdr:col>25</xdr:col>
      <xdr:colOff>138112</xdr:colOff>
      <xdr:row>24</xdr:row>
      <xdr:rowOff>61912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585787</xdr:colOff>
      <xdr:row>34</xdr:row>
      <xdr:rowOff>147637</xdr:rowOff>
    </xdr:from>
    <xdr:to>
      <xdr:col>12</xdr:col>
      <xdr:colOff>338137</xdr:colOff>
      <xdr:row>49</xdr:row>
      <xdr:rowOff>176212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414337</xdr:colOff>
      <xdr:row>14</xdr:row>
      <xdr:rowOff>157162</xdr:rowOff>
    </xdr:from>
    <xdr:to>
      <xdr:col>37</xdr:col>
      <xdr:colOff>185737</xdr:colOff>
      <xdr:row>30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619125</xdr:colOff>
      <xdr:row>24</xdr:row>
      <xdr:rowOff>52387</xdr:rowOff>
    </xdr:from>
    <xdr:to>
      <xdr:col>43</xdr:col>
      <xdr:colOff>390525</xdr:colOff>
      <xdr:row>39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161925</xdr:colOff>
      <xdr:row>22</xdr:row>
      <xdr:rowOff>166687</xdr:rowOff>
    </xdr:from>
    <xdr:to>
      <xdr:col>32</xdr:col>
      <xdr:colOff>619125</xdr:colOff>
      <xdr:row>38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61912</xdr:colOff>
      <xdr:row>21</xdr:row>
      <xdr:rowOff>80962</xdr:rowOff>
    </xdr:from>
    <xdr:to>
      <xdr:col>44</xdr:col>
      <xdr:colOff>519112</xdr:colOff>
      <xdr:row>36</xdr:row>
      <xdr:rowOff>109537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585787</xdr:colOff>
      <xdr:row>16</xdr:row>
      <xdr:rowOff>4762</xdr:rowOff>
    </xdr:from>
    <xdr:to>
      <xdr:col>56</xdr:col>
      <xdr:colOff>357187</xdr:colOff>
      <xdr:row>31</xdr:row>
      <xdr:rowOff>33337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633412</xdr:colOff>
      <xdr:row>16</xdr:row>
      <xdr:rowOff>119062</xdr:rowOff>
    </xdr:from>
    <xdr:to>
      <xdr:col>39</xdr:col>
      <xdr:colOff>404812</xdr:colOff>
      <xdr:row>31</xdr:row>
      <xdr:rowOff>147637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109537</xdr:colOff>
      <xdr:row>14</xdr:row>
      <xdr:rowOff>33337</xdr:rowOff>
    </xdr:from>
    <xdr:to>
      <xdr:col>54</xdr:col>
      <xdr:colOff>566737</xdr:colOff>
      <xdr:row>29</xdr:row>
      <xdr:rowOff>61912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7</xdr:row>
      <xdr:rowOff>38100</xdr:rowOff>
    </xdr:from>
    <xdr:to>
      <xdr:col>7</xdr:col>
      <xdr:colOff>523473</xdr:colOff>
      <xdr:row>29</xdr:row>
      <xdr:rowOff>132840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1400175"/>
          <a:ext cx="3219048" cy="4076190"/>
        </a:xfrm>
        <a:prstGeom prst="rect">
          <a:avLst/>
        </a:prstGeom>
      </xdr:spPr>
    </xdr:pic>
    <xdr:clientData/>
  </xdr:twoCellAnchor>
  <xdr:twoCellAnchor>
    <xdr:from>
      <xdr:col>18</xdr:col>
      <xdr:colOff>457200</xdr:colOff>
      <xdr:row>35</xdr:row>
      <xdr:rowOff>138112</xdr:rowOff>
    </xdr:from>
    <xdr:to>
      <xdr:col>25</xdr:col>
      <xdr:colOff>228600</xdr:colOff>
      <xdr:row>50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39</xdr:row>
      <xdr:rowOff>128587</xdr:rowOff>
    </xdr:from>
    <xdr:to>
      <xdr:col>20</xdr:col>
      <xdr:colOff>619125</xdr:colOff>
      <xdr:row>54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185737</xdr:colOff>
      <xdr:row>27</xdr:row>
      <xdr:rowOff>128587</xdr:rowOff>
    </xdr:from>
    <xdr:to>
      <xdr:col>30</xdr:col>
      <xdr:colOff>642937</xdr:colOff>
      <xdr:row>42</xdr:row>
      <xdr:rowOff>157162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409575</xdr:colOff>
      <xdr:row>42</xdr:row>
      <xdr:rowOff>95250</xdr:rowOff>
    </xdr:from>
    <xdr:to>
      <xdr:col>8</xdr:col>
      <xdr:colOff>418748</xdr:colOff>
      <xdr:row>53</xdr:row>
      <xdr:rowOff>133096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52775" y="7791450"/>
          <a:ext cx="2819048" cy="20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11</xdr:row>
      <xdr:rowOff>38100</xdr:rowOff>
    </xdr:from>
    <xdr:to>
      <xdr:col>7</xdr:col>
      <xdr:colOff>390264</xdr:colOff>
      <xdr:row>33</xdr:row>
      <xdr:rowOff>9031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5150" y="2124075"/>
          <a:ext cx="2085714" cy="3952381"/>
        </a:xfrm>
        <a:prstGeom prst="rect">
          <a:avLst/>
        </a:prstGeom>
      </xdr:spPr>
    </xdr:pic>
    <xdr:clientData/>
  </xdr:twoCellAnchor>
  <xdr:twoCellAnchor>
    <xdr:from>
      <xdr:col>15</xdr:col>
      <xdr:colOff>619125</xdr:colOff>
      <xdr:row>36</xdr:row>
      <xdr:rowOff>176212</xdr:rowOff>
    </xdr:from>
    <xdr:to>
      <xdr:col>22</xdr:col>
      <xdr:colOff>390525</xdr:colOff>
      <xdr:row>52</xdr:row>
      <xdr:rowOff>23812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47625</xdr:colOff>
      <xdr:row>39</xdr:row>
      <xdr:rowOff>90487</xdr:rowOff>
    </xdr:from>
    <xdr:to>
      <xdr:col>16</xdr:col>
      <xdr:colOff>504825</xdr:colOff>
      <xdr:row>56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42862</xdr:colOff>
      <xdr:row>29</xdr:row>
      <xdr:rowOff>61912</xdr:rowOff>
    </xdr:from>
    <xdr:to>
      <xdr:col>28</xdr:col>
      <xdr:colOff>500062</xdr:colOff>
      <xdr:row>44</xdr:row>
      <xdr:rowOff>90487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257175</xdr:colOff>
      <xdr:row>33</xdr:row>
      <xdr:rowOff>90487</xdr:rowOff>
    </xdr:from>
    <xdr:to>
      <xdr:col>28</xdr:col>
      <xdr:colOff>28575</xdr:colOff>
      <xdr:row>48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314325</xdr:colOff>
      <xdr:row>32</xdr:row>
      <xdr:rowOff>14287</xdr:rowOff>
    </xdr:from>
    <xdr:to>
      <xdr:col>29</xdr:col>
      <xdr:colOff>85725</xdr:colOff>
      <xdr:row>47</xdr:row>
      <xdr:rowOff>42862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433387</xdr:colOff>
      <xdr:row>42</xdr:row>
      <xdr:rowOff>176212</xdr:rowOff>
    </xdr:from>
    <xdr:to>
      <xdr:col>38</xdr:col>
      <xdr:colOff>204787</xdr:colOff>
      <xdr:row>58</xdr:row>
      <xdr:rowOff>23812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214312</xdr:colOff>
      <xdr:row>28</xdr:row>
      <xdr:rowOff>147637</xdr:rowOff>
    </xdr:from>
    <xdr:to>
      <xdr:col>52</xdr:col>
      <xdr:colOff>671512</xdr:colOff>
      <xdr:row>43</xdr:row>
      <xdr:rowOff>176212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538162</xdr:colOff>
      <xdr:row>18</xdr:row>
      <xdr:rowOff>80962</xdr:rowOff>
    </xdr:from>
    <xdr:to>
      <xdr:col>62</xdr:col>
      <xdr:colOff>252412</xdr:colOff>
      <xdr:row>33</xdr:row>
      <xdr:rowOff>109537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280987</xdr:colOff>
      <xdr:row>5</xdr:row>
      <xdr:rowOff>71437</xdr:rowOff>
    </xdr:from>
    <xdr:to>
      <xdr:col>33</xdr:col>
      <xdr:colOff>52387</xdr:colOff>
      <xdr:row>20</xdr:row>
      <xdr:rowOff>100012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490537</xdr:colOff>
      <xdr:row>31</xdr:row>
      <xdr:rowOff>42862</xdr:rowOff>
    </xdr:from>
    <xdr:to>
      <xdr:col>37</xdr:col>
      <xdr:colOff>261937</xdr:colOff>
      <xdr:row>46</xdr:row>
      <xdr:rowOff>71437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652462</xdr:colOff>
      <xdr:row>21</xdr:row>
      <xdr:rowOff>147637</xdr:rowOff>
    </xdr:from>
    <xdr:to>
      <xdr:col>46</xdr:col>
      <xdr:colOff>366712</xdr:colOff>
      <xdr:row>36</xdr:row>
      <xdr:rowOff>176212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623887</xdr:colOff>
      <xdr:row>19</xdr:row>
      <xdr:rowOff>42862</xdr:rowOff>
    </xdr:from>
    <xdr:to>
      <xdr:col>51</xdr:col>
      <xdr:colOff>338137</xdr:colOff>
      <xdr:row>34</xdr:row>
      <xdr:rowOff>71437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43</xdr:col>
      <xdr:colOff>409575</xdr:colOff>
      <xdr:row>16</xdr:row>
      <xdr:rowOff>123825</xdr:rowOff>
    </xdr:from>
    <xdr:to>
      <xdr:col>46</xdr:col>
      <xdr:colOff>675640</xdr:colOff>
      <xdr:row>31</xdr:row>
      <xdr:rowOff>180340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965650" y="3133725"/>
          <a:ext cx="2380615" cy="2771140"/>
        </a:xfrm>
        <a:prstGeom prst="rect">
          <a:avLst/>
        </a:prstGeom>
      </xdr:spPr>
    </xdr:pic>
    <xdr:clientData/>
  </xdr:twoCellAnchor>
  <xdr:twoCellAnchor>
    <xdr:from>
      <xdr:col>43</xdr:col>
      <xdr:colOff>190500</xdr:colOff>
      <xdr:row>18</xdr:row>
      <xdr:rowOff>147637</xdr:rowOff>
    </xdr:from>
    <xdr:to>
      <xdr:col>49</xdr:col>
      <xdr:colOff>590550</xdr:colOff>
      <xdr:row>33</xdr:row>
      <xdr:rowOff>176212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152400</xdr:colOff>
      <xdr:row>26</xdr:row>
      <xdr:rowOff>109537</xdr:rowOff>
    </xdr:from>
    <xdr:to>
      <xdr:col>40</xdr:col>
      <xdr:colOff>609600</xdr:colOff>
      <xdr:row>41</xdr:row>
      <xdr:rowOff>138112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47</xdr:col>
      <xdr:colOff>385762</xdr:colOff>
      <xdr:row>22</xdr:row>
      <xdr:rowOff>71437</xdr:rowOff>
    </xdr:from>
    <xdr:to>
      <xdr:col>54</xdr:col>
      <xdr:colOff>157162</xdr:colOff>
      <xdr:row>37</xdr:row>
      <xdr:rowOff>100012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80962</xdr:colOff>
      <xdr:row>17</xdr:row>
      <xdr:rowOff>138112</xdr:rowOff>
    </xdr:from>
    <xdr:to>
      <xdr:col>48</xdr:col>
      <xdr:colOff>481012</xdr:colOff>
      <xdr:row>32</xdr:row>
      <xdr:rowOff>166687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557212</xdr:colOff>
      <xdr:row>19</xdr:row>
      <xdr:rowOff>80962</xdr:rowOff>
    </xdr:from>
    <xdr:to>
      <xdr:col>49</xdr:col>
      <xdr:colOff>271462</xdr:colOff>
      <xdr:row>34</xdr:row>
      <xdr:rowOff>109537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47</xdr:col>
      <xdr:colOff>71437</xdr:colOff>
      <xdr:row>23</xdr:row>
      <xdr:rowOff>4762</xdr:rowOff>
    </xdr:from>
    <xdr:to>
      <xdr:col>53</xdr:col>
      <xdr:colOff>528637</xdr:colOff>
      <xdr:row>38</xdr:row>
      <xdr:rowOff>33337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414337</xdr:colOff>
      <xdr:row>14</xdr:row>
      <xdr:rowOff>119062</xdr:rowOff>
    </xdr:from>
    <xdr:to>
      <xdr:col>42</xdr:col>
      <xdr:colOff>185737</xdr:colOff>
      <xdr:row>29</xdr:row>
      <xdr:rowOff>147637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414337</xdr:colOff>
      <xdr:row>14</xdr:row>
      <xdr:rowOff>119062</xdr:rowOff>
    </xdr:from>
    <xdr:to>
      <xdr:col>52</xdr:col>
      <xdr:colOff>128587</xdr:colOff>
      <xdr:row>29</xdr:row>
      <xdr:rowOff>147637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14</xdr:row>
      <xdr:rowOff>90487</xdr:rowOff>
    </xdr:from>
    <xdr:to>
      <xdr:col>18</xdr:col>
      <xdr:colOff>400050</xdr:colOff>
      <xdr:row>28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614362</xdr:colOff>
      <xdr:row>5</xdr:row>
      <xdr:rowOff>195262</xdr:rowOff>
    </xdr:from>
    <xdr:to>
      <xdr:col>15</xdr:col>
      <xdr:colOff>385762</xdr:colOff>
      <xdr:row>19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214312</xdr:colOff>
      <xdr:row>3</xdr:row>
      <xdr:rowOff>80962</xdr:rowOff>
    </xdr:from>
    <xdr:to>
      <xdr:col>22</xdr:col>
      <xdr:colOff>671512</xdr:colOff>
      <xdr:row>17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19</xdr:row>
      <xdr:rowOff>33337</xdr:rowOff>
    </xdr:from>
    <xdr:to>
      <xdr:col>17</xdr:col>
      <xdr:colOff>319087</xdr:colOff>
      <xdr:row>32</xdr:row>
      <xdr:rowOff>176212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604837</xdr:colOff>
      <xdr:row>25</xdr:row>
      <xdr:rowOff>128587</xdr:rowOff>
    </xdr:from>
    <xdr:to>
      <xdr:col>19</xdr:col>
      <xdr:colOff>376237</xdr:colOff>
      <xdr:row>39</xdr:row>
      <xdr:rowOff>71437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409575</xdr:colOff>
      <xdr:row>17</xdr:row>
      <xdr:rowOff>133350</xdr:rowOff>
    </xdr:from>
    <xdr:to>
      <xdr:col>24</xdr:col>
      <xdr:colOff>66118</xdr:colOff>
      <xdr:row>40</xdr:row>
      <xdr:rowOff>66108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3450" y="3533775"/>
          <a:ext cx="4457143" cy="4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workbookViewId="0">
      <selection activeCell="H15" sqref="H15"/>
    </sheetView>
  </sheetViews>
  <sheetFormatPr defaultColWidth="9" defaultRowHeight="13.9" x14ac:dyDescent="0.4"/>
  <cols>
    <col min="1" max="11" width="9" style="25"/>
    <col min="12" max="12" width="11.1328125" style="25" bestFit="1" customWidth="1"/>
    <col min="13" max="28" width="9" style="25"/>
    <col min="29" max="29" width="18" style="25" bestFit="1" customWidth="1"/>
    <col min="30" max="16384" width="9" style="25"/>
  </cols>
  <sheetData>
    <row r="1" spans="1:38" x14ac:dyDescent="0.4">
      <c r="A1" s="25" t="s">
        <v>108</v>
      </c>
      <c r="B1" s="25" t="s">
        <v>110</v>
      </c>
      <c r="C1" s="25" t="s">
        <v>105</v>
      </c>
      <c r="D1" s="25" t="s">
        <v>104</v>
      </c>
      <c r="E1" s="25" t="s">
        <v>74</v>
      </c>
      <c r="F1" s="25" t="s">
        <v>18</v>
      </c>
      <c r="G1" s="25" t="s">
        <v>98</v>
      </c>
      <c r="H1" s="25" t="s">
        <v>111</v>
      </c>
      <c r="I1" s="25" t="s">
        <v>112</v>
      </c>
      <c r="K1" s="29">
        <v>52500</v>
      </c>
      <c r="R1" s="25" t="s">
        <v>70</v>
      </c>
      <c r="S1" s="25" t="s">
        <v>113</v>
      </c>
      <c r="T1" s="25" t="s">
        <v>114</v>
      </c>
      <c r="U1" s="25" t="s">
        <v>105</v>
      </c>
      <c r="V1" s="25" t="s">
        <v>115</v>
      </c>
      <c r="W1" s="25" t="s">
        <v>85</v>
      </c>
      <c r="X1" s="25" t="s">
        <v>18</v>
      </c>
      <c r="Y1" s="25" t="s">
        <v>109</v>
      </c>
      <c r="Z1" s="25" t="s">
        <v>82</v>
      </c>
      <c r="AA1" s="25" t="s">
        <v>116</v>
      </c>
      <c r="AC1" s="25">
        <v>1900</v>
      </c>
      <c r="AJ1" s="25" t="s">
        <v>53</v>
      </c>
      <c r="AK1" s="25" t="s">
        <v>70</v>
      </c>
      <c r="AL1" s="25" t="s">
        <v>57</v>
      </c>
    </row>
    <row r="2" spans="1:38" x14ac:dyDescent="0.4">
      <c r="A2" s="25">
        <v>28</v>
      </c>
      <c r="B2" s="25">
        <v>5997</v>
      </c>
      <c r="C2" s="25">
        <v>132</v>
      </c>
      <c r="D2" s="25">
        <v>0</v>
      </c>
      <c r="E2" s="25">
        <v>5997</v>
      </c>
      <c r="F2" s="25">
        <f t="shared" ref="F2:F14" si="0">LN($K$1/E2-1)</f>
        <v>2.0482574824548943</v>
      </c>
      <c r="G2" s="26">
        <f t="shared" ref="G2:G34" si="1">$K$1/(1+$K$2*EXP(-$K$3*D2))</f>
        <v>6055.5165071054789</v>
      </c>
      <c r="H2" s="26"/>
      <c r="I2" s="26"/>
      <c r="K2" s="30">
        <f>EXP(2.03728802  )</f>
        <v>7.6697806765776395</v>
      </c>
      <c r="R2" s="25">
        <v>0</v>
      </c>
      <c r="S2" s="25">
        <v>28</v>
      </c>
      <c r="T2" s="25">
        <v>5997</v>
      </c>
      <c r="U2" s="25">
        <v>132</v>
      </c>
      <c r="V2" s="45">
        <f>R2^$AC$5</f>
        <v>0</v>
      </c>
      <c r="W2" s="25">
        <v>132</v>
      </c>
      <c r="X2" s="25">
        <f>LN($AC$1/W2-1)</f>
        <v>2.5948023206112181</v>
      </c>
      <c r="Y2" s="26">
        <f>$AC$1/(1+$AC$2*EXP(-$AC$3*V2))</f>
        <v>134.1050907124426</v>
      </c>
      <c r="AC2" s="39">
        <f>EXP(2.57778912  )</f>
        <v>13.167993100829491</v>
      </c>
      <c r="AJ2" s="25">
        <v>28</v>
      </c>
      <c r="AK2" s="25">
        <v>0</v>
      </c>
      <c r="AL2" s="25">
        <v>6055.5165071054789</v>
      </c>
    </row>
    <row r="3" spans="1:38" x14ac:dyDescent="0.4">
      <c r="A3" s="25">
        <v>29</v>
      </c>
      <c r="B3" s="25">
        <v>7736</v>
      </c>
      <c r="C3" s="25">
        <v>170</v>
      </c>
      <c r="D3" s="25">
        <v>1</v>
      </c>
      <c r="E3" s="25">
        <v>7736</v>
      </c>
      <c r="F3" s="25">
        <f t="shared" si="0"/>
        <v>1.7555194868047874</v>
      </c>
      <c r="G3" s="26">
        <f t="shared" si="1"/>
        <v>7649.0319832853902</v>
      </c>
      <c r="H3" s="26">
        <f>G3-G2</f>
        <v>1593.5154761799113</v>
      </c>
      <c r="I3" s="26"/>
      <c r="K3" s="30">
        <v>0.26852195000000001</v>
      </c>
      <c r="R3" s="25">
        <v>1</v>
      </c>
      <c r="S3" s="25">
        <v>29</v>
      </c>
      <c r="T3" s="25">
        <v>7736</v>
      </c>
      <c r="U3" s="25">
        <v>170</v>
      </c>
      <c r="V3" s="45">
        <f t="shared" ref="V3:V34" si="2">R3^$AC$5</f>
        <v>1</v>
      </c>
      <c r="W3" s="25">
        <v>170</v>
      </c>
      <c r="X3" s="25">
        <f t="shared" ref="X3:X14" si="3">LN($AC$1/W3-1)</f>
        <v>2.3200782504415627</v>
      </c>
      <c r="Y3" s="26">
        <f t="shared" ref="Y3:Y34" si="4">$AC$1/(1+$AC$2*EXP(-$AC$3*V3))</f>
        <v>171.05050047956712</v>
      </c>
      <c r="Z3" s="40">
        <f>Y3-Y2</f>
        <v>36.945409767124517</v>
      </c>
      <c r="AA3" s="40"/>
      <c r="AC3" s="25">
        <v>0.26447868000000002</v>
      </c>
      <c r="AD3" s="25">
        <f>AC3^(1/0.9)</f>
        <v>0.2281454721801274</v>
      </c>
      <c r="AE3" s="25">
        <f>AD3^0.9</f>
        <v>0.26447868000000002</v>
      </c>
      <c r="AJ3" s="25">
        <v>29</v>
      </c>
      <c r="AK3" s="25">
        <v>1</v>
      </c>
      <c r="AL3" s="25">
        <v>7649.0319832853902</v>
      </c>
    </row>
    <row r="4" spans="1:38" x14ac:dyDescent="0.4">
      <c r="A4" s="25">
        <v>30</v>
      </c>
      <c r="B4" s="25">
        <v>9720</v>
      </c>
      <c r="C4" s="25">
        <v>213</v>
      </c>
      <c r="D4" s="25">
        <v>2</v>
      </c>
      <c r="E4" s="25">
        <v>9720</v>
      </c>
      <c r="F4" s="25">
        <f t="shared" si="0"/>
        <v>1.4818850851819119</v>
      </c>
      <c r="G4" s="26">
        <f t="shared" si="1"/>
        <v>9575.4286423499689</v>
      </c>
      <c r="H4" s="26">
        <f t="shared" ref="H4:I34" si="5">G4-G3</f>
        <v>1926.3966590645787</v>
      </c>
      <c r="I4" s="26">
        <f>H4-H3</f>
        <v>332.8811828846674</v>
      </c>
      <c r="K4" s="30">
        <v>0.99975336999999997</v>
      </c>
      <c r="R4" s="25">
        <v>2</v>
      </c>
      <c r="S4" s="25">
        <v>30</v>
      </c>
      <c r="T4" s="25">
        <v>9720</v>
      </c>
      <c r="U4" s="25">
        <v>213</v>
      </c>
      <c r="V4" s="45">
        <f t="shared" si="2"/>
        <v>1.8660659830736148</v>
      </c>
      <c r="W4" s="25">
        <v>213</v>
      </c>
      <c r="X4" s="25">
        <f t="shared" si="3"/>
        <v>2.0694149168365432</v>
      </c>
      <c r="Y4" s="26">
        <f t="shared" si="4"/>
        <v>210.20963671067881</v>
      </c>
      <c r="Z4" s="40">
        <f t="shared" ref="Z4:AA34" si="6">Y4-Y3</f>
        <v>39.159136231111688</v>
      </c>
      <c r="AA4" s="40">
        <f t="shared" si="6"/>
        <v>2.2137264639871717</v>
      </c>
      <c r="AC4" s="59">
        <v>0.99977068000000002</v>
      </c>
      <c r="AJ4" s="25">
        <v>30</v>
      </c>
      <c r="AK4" s="25">
        <v>2</v>
      </c>
      <c r="AL4" s="25">
        <v>9575.4286423499689</v>
      </c>
    </row>
    <row r="5" spans="1:38" x14ac:dyDescent="0.4">
      <c r="A5" s="32">
        <v>31</v>
      </c>
      <c r="B5" s="25">
        <v>11821</v>
      </c>
      <c r="C5" s="25">
        <v>259</v>
      </c>
      <c r="D5" s="25">
        <v>3</v>
      </c>
      <c r="E5" s="25">
        <v>11821</v>
      </c>
      <c r="F5" s="25">
        <f t="shared" si="0"/>
        <v>1.2358343780057464</v>
      </c>
      <c r="G5" s="26">
        <f t="shared" si="1"/>
        <v>11858.707761992446</v>
      </c>
      <c r="H5" s="26">
        <f t="shared" si="5"/>
        <v>2283.2791196424769</v>
      </c>
      <c r="I5" s="26">
        <f t="shared" si="5"/>
        <v>356.8824605778982</v>
      </c>
      <c r="R5" s="25">
        <v>3</v>
      </c>
      <c r="S5" s="29">
        <v>31</v>
      </c>
      <c r="T5" s="25">
        <v>11821</v>
      </c>
      <c r="U5" s="25">
        <v>259</v>
      </c>
      <c r="V5" s="45">
        <f t="shared" si="2"/>
        <v>2.6878753795222869</v>
      </c>
      <c r="W5" s="25">
        <v>259</v>
      </c>
      <c r="X5" s="25">
        <f t="shared" si="3"/>
        <v>1.8462330293905531</v>
      </c>
      <c r="Y5" s="26">
        <f t="shared" si="4"/>
        <v>254.41082299233736</v>
      </c>
      <c r="Z5" s="40">
        <f t="shared" si="6"/>
        <v>44.201186281658551</v>
      </c>
      <c r="AA5" s="40">
        <f t="shared" si="6"/>
        <v>5.0420500505468624</v>
      </c>
      <c r="AC5" s="25">
        <v>0.9</v>
      </c>
      <c r="AJ5" s="25">
        <v>31</v>
      </c>
      <c r="AK5" s="25">
        <v>3</v>
      </c>
      <c r="AL5" s="25">
        <v>11858.707761992446</v>
      </c>
    </row>
    <row r="6" spans="1:38" x14ac:dyDescent="0.4">
      <c r="A6" s="44">
        <v>1</v>
      </c>
      <c r="B6" s="25">
        <v>14411</v>
      </c>
      <c r="C6" s="25">
        <v>304</v>
      </c>
      <c r="D6" s="25">
        <v>4</v>
      </c>
      <c r="E6" s="25">
        <v>14411</v>
      </c>
      <c r="F6" s="25">
        <f t="shared" si="0"/>
        <v>0.97193372267978473</v>
      </c>
      <c r="G6" s="26">
        <f t="shared" si="1"/>
        <v>14502.490550450731</v>
      </c>
      <c r="H6" s="26">
        <f t="shared" si="5"/>
        <v>2643.7827884582857</v>
      </c>
      <c r="I6" s="26">
        <f t="shared" si="5"/>
        <v>360.50366881580885</v>
      </c>
      <c r="R6" s="25">
        <v>4</v>
      </c>
      <c r="S6" s="25">
        <v>1</v>
      </c>
      <c r="T6" s="25">
        <v>14411</v>
      </c>
      <c r="U6" s="25">
        <v>304</v>
      </c>
      <c r="V6" s="45">
        <f t="shared" si="2"/>
        <v>3.4822022531844965</v>
      </c>
      <c r="W6" s="25">
        <v>304</v>
      </c>
      <c r="X6" s="25">
        <f t="shared" si="3"/>
        <v>1.6582280766035324</v>
      </c>
      <c r="Y6" s="26">
        <f t="shared" si="4"/>
        <v>304.35951761374383</v>
      </c>
      <c r="Z6" s="40">
        <f t="shared" si="6"/>
        <v>49.948694621406474</v>
      </c>
      <c r="AA6" s="40">
        <f t="shared" si="6"/>
        <v>5.7475083397479239</v>
      </c>
      <c r="AJ6" s="25">
        <v>1</v>
      </c>
      <c r="AK6" s="25">
        <v>4</v>
      </c>
      <c r="AL6" s="25">
        <v>14502.490550450731</v>
      </c>
    </row>
    <row r="7" spans="1:38" x14ac:dyDescent="0.4">
      <c r="A7" s="32">
        <v>2</v>
      </c>
      <c r="B7" s="25">
        <v>17238</v>
      </c>
      <c r="C7" s="25">
        <v>361</v>
      </c>
      <c r="D7" s="25">
        <v>5</v>
      </c>
      <c r="E7" s="25">
        <v>17238</v>
      </c>
      <c r="F7" s="25">
        <f t="shared" si="0"/>
        <v>0.71568964763336085</v>
      </c>
      <c r="G7" s="26">
        <f t="shared" si="1"/>
        <v>17482.141850425374</v>
      </c>
      <c r="H7" s="26">
        <f t="shared" si="5"/>
        <v>2979.6512999746428</v>
      </c>
      <c r="I7" s="26">
        <f t="shared" si="5"/>
        <v>335.8685115163571</v>
      </c>
      <c r="R7" s="25">
        <v>5</v>
      </c>
      <c r="S7" s="25">
        <v>2</v>
      </c>
      <c r="T7" s="25">
        <v>17238</v>
      </c>
      <c r="U7" s="25">
        <v>361</v>
      </c>
      <c r="V7" s="45">
        <f t="shared" si="2"/>
        <v>4.2566996126039234</v>
      </c>
      <c r="W7" s="25">
        <v>361</v>
      </c>
      <c r="X7" s="25">
        <f t="shared" si="3"/>
        <v>1.4500101755059984</v>
      </c>
      <c r="Y7" s="26">
        <f t="shared" si="4"/>
        <v>360.42353018373768</v>
      </c>
      <c r="Z7" s="40">
        <f t="shared" si="6"/>
        <v>56.064012569993849</v>
      </c>
      <c r="AA7" s="40">
        <f t="shared" si="6"/>
        <v>6.115317948587375</v>
      </c>
      <c r="AJ7" s="25">
        <v>2</v>
      </c>
      <c r="AK7" s="25">
        <v>5</v>
      </c>
      <c r="AL7" s="25">
        <v>17482.141850425374</v>
      </c>
    </row>
    <row r="8" spans="1:38" x14ac:dyDescent="0.4">
      <c r="A8" s="32">
        <v>3</v>
      </c>
      <c r="B8" s="25">
        <v>20471</v>
      </c>
      <c r="C8" s="25">
        <v>425</v>
      </c>
      <c r="D8" s="25">
        <v>6</v>
      </c>
      <c r="E8" s="25">
        <v>20471</v>
      </c>
      <c r="F8" s="25">
        <f t="shared" si="0"/>
        <v>0.44763249194464017</v>
      </c>
      <c r="G8" s="26">
        <f t="shared" si="1"/>
        <v>20739.838317982616</v>
      </c>
      <c r="H8" s="26">
        <f t="shared" si="5"/>
        <v>3257.6964675572417</v>
      </c>
      <c r="I8" s="26">
        <f t="shared" si="5"/>
        <v>278.04516758259888</v>
      </c>
      <c r="R8" s="25">
        <v>6</v>
      </c>
      <c r="S8" s="25">
        <v>3</v>
      </c>
      <c r="T8" s="25">
        <v>20471</v>
      </c>
      <c r="U8" s="25">
        <v>425</v>
      </c>
      <c r="V8" s="45">
        <f t="shared" si="2"/>
        <v>5.0157528124676221</v>
      </c>
      <c r="W8" s="25">
        <v>425</v>
      </c>
      <c r="X8" s="25">
        <f t="shared" si="3"/>
        <v>1.2443240998495033</v>
      </c>
      <c r="Y8" s="26">
        <f t="shared" si="4"/>
        <v>422.72604092642933</v>
      </c>
      <c r="Z8" s="40">
        <f t="shared" si="6"/>
        <v>62.302510742691652</v>
      </c>
      <c r="AA8" s="40">
        <f t="shared" si="6"/>
        <v>6.2384981726978026</v>
      </c>
      <c r="AJ8" s="25">
        <v>3</v>
      </c>
      <c r="AK8" s="25">
        <v>6</v>
      </c>
      <c r="AL8" s="25">
        <v>20739.838317982616</v>
      </c>
    </row>
    <row r="9" spans="1:38" x14ac:dyDescent="0.4">
      <c r="A9" s="32">
        <v>4</v>
      </c>
      <c r="B9" s="25">
        <v>24363</v>
      </c>
      <c r="C9" s="25">
        <v>491</v>
      </c>
      <c r="D9" s="25">
        <v>7</v>
      </c>
      <c r="E9" s="25">
        <v>24363</v>
      </c>
      <c r="F9" s="25">
        <f t="shared" si="0"/>
        <v>0.14401984822652761</v>
      </c>
      <c r="G9" s="26">
        <f t="shared" si="1"/>
        <v>24185.322485397526</v>
      </c>
      <c r="H9" s="26">
        <f t="shared" si="5"/>
        <v>3445.4841674149102</v>
      </c>
      <c r="I9" s="26">
        <f t="shared" si="5"/>
        <v>187.78769985766849</v>
      </c>
      <c r="R9" s="25">
        <v>7</v>
      </c>
      <c r="S9" s="25">
        <v>4</v>
      </c>
      <c r="T9" s="25">
        <v>24363</v>
      </c>
      <c r="U9" s="25">
        <v>491</v>
      </c>
      <c r="V9" s="45">
        <f t="shared" si="2"/>
        <v>5.7621987779513102</v>
      </c>
      <c r="W9" s="25">
        <v>491</v>
      </c>
      <c r="X9" s="25">
        <f t="shared" si="3"/>
        <v>1.0541913841041597</v>
      </c>
      <c r="Y9" s="26">
        <f t="shared" si="4"/>
        <v>491.13873733095642</v>
      </c>
      <c r="Z9" s="40">
        <f t="shared" si="6"/>
        <v>68.412696404527082</v>
      </c>
      <c r="AA9" s="40">
        <f t="shared" si="6"/>
        <v>6.1101856618354304</v>
      </c>
      <c r="AJ9" s="25">
        <v>4</v>
      </c>
      <c r="AK9" s="25">
        <v>7</v>
      </c>
      <c r="AL9" s="25">
        <v>24185.322485397526</v>
      </c>
    </row>
    <row r="10" spans="1:38" x14ac:dyDescent="0.4">
      <c r="A10" s="44">
        <v>5</v>
      </c>
      <c r="B10" s="25">
        <v>28060</v>
      </c>
      <c r="C10" s="25">
        <v>564</v>
      </c>
      <c r="D10" s="25">
        <v>8</v>
      </c>
      <c r="E10" s="25">
        <v>28060</v>
      </c>
      <c r="F10" s="25">
        <f t="shared" si="0"/>
        <v>-0.13812394037092018</v>
      </c>
      <c r="G10" s="26">
        <f t="shared" si="1"/>
        <v>27703.910012879031</v>
      </c>
      <c r="H10" s="38">
        <f t="shared" si="5"/>
        <v>3518.5875274815044</v>
      </c>
      <c r="I10" s="26">
        <f t="shared" si="5"/>
        <v>73.103360066594178</v>
      </c>
      <c r="K10" s="29"/>
      <c r="R10" s="25">
        <v>8</v>
      </c>
      <c r="S10" s="29">
        <v>5</v>
      </c>
      <c r="T10" s="25">
        <v>28060</v>
      </c>
      <c r="U10" s="25">
        <v>564</v>
      </c>
      <c r="V10" s="45">
        <f t="shared" si="2"/>
        <v>6.4980191708498829</v>
      </c>
      <c r="W10" s="25">
        <v>564</v>
      </c>
      <c r="X10" s="25">
        <f t="shared" si="3"/>
        <v>0.86238110259853218</v>
      </c>
      <c r="Y10" s="26">
        <f t="shared" si="4"/>
        <v>565.26174956782893</v>
      </c>
      <c r="Z10" s="41">
        <f t="shared" si="6"/>
        <v>74.123012236872512</v>
      </c>
      <c r="AA10" s="40">
        <f t="shared" si="6"/>
        <v>5.7103158323454295</v>
      </c>
      <c r="AB10" s="29"/>
      <c r="AJ10" s="25">
        <v>5</v>
      </c>
      <c r="AK10" s="25">
        <v>8</v>
      </c>
      <c r="AL10" s="25">
        <v>27703.910012879031</v>
      </c>
    </row>
    <row r="11" spans="1:38" x14ac:dyDescent="0.4">
      <c r="A11" s="32">
        <v>6</v>
      </c>
      <c r="B11" s="25">
        <v>31211</v>
      </c>
      <c r="C11" s="25">
        <v>637</v>
      </c>
      <c r="D11" s="25">
        <v>9</v>
      </c>
      <c r="E11" s="25">
        <v>31211</v>
      </c>
      <c r="F11" s="25">
        <f t="shared" si="0"/>
        <v>-0.38258008938828053</v>
      </c>
      <c r="G11" s="26">
        <f t="shared" si="1"/>
        <v>31170.86074513556</v>
      </c>
      <c r="H11" s="26">
        <f t="shared" si="5"/>
        <v>3466.9507322565296</v>
      </c>
      <c r="I11" s="26">
        <f t="shared" si="5"/>
        <v>-51.636795224974776</v>
      </c>
      <c r="R11" s="25">
        <v>9</v>
      </c>
      <c r="S11" s="25">
        <v>6</v>
      </c>
      <c r="T11" s="25">
        <v>31211</v>
      </c>
      <c r="U11" s="25">
        <v>637</v>
      </c>
      <c r="V11" s="45">
        <f t="shared" si="2"/>
        <v>7.2246740558420779</v>
      </c>
      <c r="W11" s="25">
        <v>637</v>
      </c>
      <c r="X11" s="25">
        <f t="shared" si="3"/>
        <v>0.68447546677832771</v>
      </c>
      <c r="Y11" s="26">
        <f t="shared" si="4"/>
        <v>644.41375976637119</v>
      </c>
      <c r="Z11" s="40">
        <f t="shared" si="6"/>
        <v>79.152010198542257</v>
      </c>
      <c r="AA11" s="40">
        <f t="shared" si="6"/>
        <v>5.0289979616697451</v>
      </c>
      <c r="AJ11" s="25">
        <v>6</v>
      </c>
      <c r="AK11" s="25">
        <v>9</v>
      </c>
      <c r="AL11" s="25">
        <v>31170.86074513556</v>
      </c>
    </row>
    <row r="12" spans="1:38" x14ac:dyDescent="0.4">
      <c r="A12" s="32">
        <v>7</v>
      </c>
      <c r="B12" s="37">
        <v>34598</v>
      </c>
      <c r="C12" s="37">
        <v>719</v>
      </c>
      <c r="D12" s="37">
        <v>10</v>
      </c>
      <c r="E12" s="37">
        <v>34598</v>
      </c>
      <c r="F12" s="25">
        <f t="shared" si="0"/>
        <v>-0.65888343847603847</v>
      </c>
      <c r="G12" s="26">
        <f t="shared" si="1"/>
        <v>34468.569195091717</v>
      </c>
      <c r="H12" s="26">
        <f t="shared" si="5"/>
        <v>3297.708449956157</v>
      </c>
      <c r="I12" s="26">
        <f t="shared" si="5"/>
        <v>-169.24228230037261</v>
      </c>
      <c r="R12" s="25">
        <v>10</v>
      </c>
      <c r="S12" s="25">
        <v>7</v>
      </c>
      <c r="T12" s="37">
        <v>34598</v>
      </c>
      <c r="U12" s="37">
        <v>719</v>
      </c>
      <c r="V12" s="45">
        <f t="shared" si="2"/>
        <v>7.9432823472428176</v>
      </c>
      <c r="W12" s="29">
        <v>723</v>
      </c>
      <c r="X12" s="25">
        <f t="shared" si="3"/>
        <v>0.487314885101512</v>
      </c>
      <c r="Y12" s="26">
        <f t="shared" si="4"/>
        <v>727.64331339744422</v>
      </c>
      <c r="Z12" s="40">
        <f t="shared" si="6"/>
        <v>83.229553631073031</v>
      </c>
      <c r="AA12" s="40">
        <f t="shared" si="6"/>
        <v>4.0775434325307742</v>
      </c>
      <c r="AJ12" s="25">
        <v>7</v>
      </c>
      <c r="AK12" s="25">
        <v>10</v>
      </c>
      <c r="AL12" s="25">
        <v>34468.569195091717</v>
      </c>
    </row>
    <row r="13" spans="1:38" x14ac:dyDescent="0.4">
      <c r="A13" s="32">
        <v>8</v>
      </c>
      <c r="B13" s="37">
        <v>37251</v>
      </c>
      <c r="C13" s="31">
        <v>812</v>
      </c>
      <c r="D13" s="37">
        <v>11</v>
      </c>
      <c r="E13" s="37">
        <v>37251</v>
      </c>
      <c r="F13" s="25">
        <f t="shared" si="0"/>
        <v>-0.89316486296993969</v>
      </c>
      <c r="G13" s="26">
        <f t="shared" si="1"/>
        <v>37501.743133429234</v>
      </c>
      <c r="H13" s="26">
        <f t="shared" si="5"/>
        <v>3033.173938337517</v>
      </c>
      <c r="I13" s="26">
        <f t="shared" si="5"/>
        <v>-264.53451161863995</v>
      </c>
      <c r="R13" s="25">
        <v>11</v>
      </c>
      <c r="S13" s="25">
        <v>8</v>
      </c>
      <c r="T13" s="37">
        <v>37251</v>
      </c>
      <c r="U13" s="31">
        <v>812</v>
      </c>
      <c r="V13" s="45">
        <f t="shared" si="2"/>
        <v>8.654727864164494</v>
      </c>
      <c r="W13" s="29">
        <v>812</v>
      </c>
      <c r="X13" s="25">
        <f t="shared" si="3"/>
        <v>0.2925960872542101</v>
      </c>
      <c r="Y13" s="26">
        <f t="shared" si="4"/>
        <v>813.76645256931613</v>
      </c>
      <c r="Z13" s="40">
        <f t="shared" si="6"/>
        <v>86.123139171871912</v>
      </c>
      <c r="AA13" s="40">
        <f t="shared" si="6"/>
        <v>2.8935855407988811</v>
      </c>
      <c r="AB13" s="25">
        <f>U13-U12</f>
        <v>93</v>
      </c>
      <c r="AJ13" s="25">
        <v>8</v>
      </c>
      <c r="AK13" s="25">
        <v>11</v>
      </c>
      <c r="AL13" s="25">
        <v>37501.743133429234</v>
      </c>
    </row>
    <row r="14" spans="1:38" x14ac:dyDescent="0.4">
      <c r="A14" s="32">
        <v>9</v>
      </c>
      <c r="B14" s="37">
        <v>40235</v>
      </c>
      <c r="C14" s="37">
        <v>909</v>
      </c>
      <c r="D14" s="37">
        <v>12</v>
      </c>
      <c r="E14" s="37">
        <v>40235</v>
      </c>
      <c r="F14" s="25">
        <f t="shared" si="0"/>
        <v>-1.1879875858876436</v>
      </c>
      <c r="G14" s="26">
        <f t="shared" si="1"/>
        <v>40206.663566067538</v>
      </c>
      <c r="H14" s="26">
        <f t="shared" si="5"/>
        <v>2704.9204326383042</v>
      </c>
      <c r="I14" s="26">
        <f t="shared" si="5"/>
        <v>-328.25350569921284</v>
      </c>
      <c r="R14" s="25">
        <v>12</v>
      </c>
      <c r="S14" s="25">
        <v>9</v>
      </c>
      <c r="T14" s="37">
        <v>40235</v>
      </c>
      <c r="U14" s="37">
        <v>909</v>
      </c>
      <c r="V14" s="45">
        <f t="shared" si="2"/>
        <v>9.359725702851641</v>
      </c>
      <c r="W14" s="25">
        <v>909</v>
      </c>
      <c r="X14" s="25">
        <f t="shared" si="3"/>
        <v>8.6369440152508997E-2</v>
      </c>
      <c r="Y14" s="26">
        <f t="shared" si="4"/>
        <v>901.43030478957326</v>
      </c>
      <c r="Z14" s="40">
        <f t="shared" si="6"/>
        <v>87.663852220257127</v>
      </c>
      <c r="AA14" s="40">
        <f t="shared" si="6"/>
        <v>1.5407130483852143</v>
      </c>
      <c r="AB14" s="25">
        <f>U14-U13</f>
        <v>97</v>
      </c>
      <c r="AJ14" s="25">
        <v>9</v>
      </c>
      <c r="AK14" s="25">
        <v>12</v>
      </c>
      <c r="AL14" s="25">
        <v>40206.663566067538</v>
      </c>
    </row>
    <row r="15" spans="1:38" x14ac:dyDescent="0.4">
      <c r="A15" s="32">
        <v>10</v>
      </c>
      <c r="B15" s="29">
        <v>42708</v>
      </c>
      <c r="C15" s="29">
        <v>1017</v>
      </c>
      <c r="D15" s="25">
        <v>13</v>
      </c>
      <c r="G15" s="26">
        <f t="shared" si="1"/>
        <v>42553.144882880195</v>
      </c>
      <c r="H15" s="26">
        <f t="shared" si="5"/>
        <v>2346.4813168126566</v>
      </c>
      <c r="I15" s="26">
        <f t="shared" si="5"/>
        <v>-358.4391158256476</v>
      </c>
      <c r="R15" s="25">
        <v>13</v>
      </c>
      <c r="S15" s="25">
        <v>10</v>
      </c>
      <c r="T15" s="29">
        <v>42708</v>
      </c>
      <c r="U15" s="29">
        <v>1017</v>
      </c>
      <c r="V15" s="45">
        <f t="shared" si="2"/>
        <v>10.058865869794326</v>
      </c>
      <c r="Y15" s="26">
        <f t="shared" si="4"/>
        <v>989.19679735106297</v>
      </c>
      <c r="Z15" s="40">
        <f t="shared" si="6"/>
        <v>87.766492561489713</v>
      </c>
      <c r="AA15" s="40">
        <f t="shared" si="6"/>
        <v>0.10264034123258625</v>
      </c>
      <c r="AJ15" s="25">
        <v>10</v>
      </c>
      <c r="AK15" s="25">
        <v>13</v>
      </c>
      <c r="AL15" s="25">
        <v>42553.144882880195</v>
      </c>
    </row>
    <row r="16" spans="1:38" x14ac:dyDescent="0.4">
      <c r="A16" s="44">
        <v>11</v>
      </c>
      <c r="D16" s="25">
        <v>14</v>
      </c>
      <c r="G16" s="26">
        <f t="shared" si="1"/>
        <v>44540.409351704235</v>
      </c>
      <c r="H16" s="26">
        <f t="shared" si="5"/>
        <v>1987.2644688240398</v>
      </c>
      <c r="I16" s="38">
        <f t="shared" si="5"/>
        <v>-359.21684798861679</v>
      </c>
      <c r="R16" s="25">
        <v>14</v>
      </c>
      <c r="S16" s="29">
        <v>11</v>
      </c>
      <c r="V16" s="45">
        <f t="shared" si="2"/>
        <v>10.752643127243289</v>
      </c>
      <c r="Y16" s="26">
        <f t="shared" si="4"/>
        <v>1075.6362460490939</v>
      </c>
      <c r="Z16" s="40">
        <f t="shared" si="6"/>
        <v>86.439448698030901</v>
      </c>
      <c r="AA16" s="40">
        <f t="shared" si="6"/>
        <v>-1.3270438634588118</v>
      </c>
      <c r="AJ16" s="25">
        <v>11</v>
      </c>
      <c r="AK16" s="25">
        <v>14</v>
      </c>
      <c r="AL16" s="25">
        <v>44540.409351704235</v>
      </c>
    </row>
    <row r="17" spans="1:38" x14ac:dyDescent="0.4">
      <c r="A17" s="25">
        <v>12</v>
      </c>
      <c r="D17" s="25">
        <v>15</v>
      </c>
      <c r="G17" s="26">
        <f t="shared" si="1"/>
        <v>46189.520226862878</v>
      </c>
      <c r="H17" s="26">
        <f t="shared" si="5"/>
        <v>1649.1108751586435</v>
      </c>
      <c r="I17" s="26">
        <f t="shared" si="5"/>
        <v>-338.15359366539633</v>
      </c>
      <c r="R17" s="25">
        <v>15</v>
      </c>
      <c r="S17" s="25">
        <v>12</v>
      </c>
      <c r="V17" s="45">
        <f t="shared" si="2"/>
        <v>11.441478086740142</v>
      </c>
      <c r="Y17" s="26">
        <f t="shared" si="4"/>
        <v>1159.4183756067882</v>
      </c>
      <c r="Z17" s="40">
        <f t="shared" si="6"/>
        <v>83.782129557694361</v>
      </c>
      <c r="AA17" s="40">
        <f t="shared" si="6"/>
        <v>-2.6573191403365399</v>
      </c>
      <c r="AJ17" s="25">
        <v>12</v>
      </c>
      <c r="AK17" s="25">
        <v>15</v>
      </c>
      <c r="AL17" s="25">
        <v>46189.520226862878</v>
      </c>
    </row>
    <row r="18" spans="1:38" x14ac:dyDescent="0.4">
      <c r="A18" s="25">
        <v>13</v>
      </c>
      <c r="D18" s="25">
        <v>16</v>
      </c>
      <c r="G18" s="26">
        <f t="shared" si="1"/>
        <v>47535.045834036937</v>
      </c>
      <c r="H18" s="26">
        <f t="shared" si="5"/>
        <v>1345.5256071740587</v>
      </c>
      <c r="I18" s="26">
        <f t="shared" si="5"/>
        <v>-303.58526798458479</v>
      </c>
      <c r="R18" s="25">
        <v>16</v>
      </c>
      <c r="S18" s="25">
        <v>13</v>
      </c>
      <c r="V18" s="45">
        <f t="shared" si="2"/>
        <v>12.125732532083184</v>
      </c>
      <c r="Y18" s="26">
        <f t="shared" si="4"/>
        <v>1239.3889927772916</v>
      </c>
      <c r="Z18" s="40">
        <f t="shared" si="6"/>
        <v>79.970617170503374</v>
      </c>
      <c r="AA18" s="40">
        <f t="shared" si="6"/>
        <v>-3.8115123871909873</v>
      </c>
      <c r="AJ18" s="25">
        <v>13</v>
      </c>
      <c r="AK18" s="25">
        <v>16</v>
      </c>
      <c r="AL18" s="25">
        <v>47535.045834036937</v>
      </c>
    </row>
    <row r="19" spans="1:38" x14ac:dyDescent="0.4">
      <c r="A19" s="25">
        <v>14</v>
      </c>
      <c r="D19" s="25">
        <v>17</v>
      </c>
      <c r="G19" s="26">
        <f t="shared" si="1"/>
        <v>48617.790703931081</v>
      </c>
      <c r="H19" s="26">
        <f t="shared" si="5"/>
        <v>1082.7448698941444</v>
      </c>
      <c r="I19" s="26">
        <f t="shared" si="5"/>
        <v>-262.78073727991432</v>
      </c>
      <c r="R19" s="25">
        <v>17</v>
      </c>
      <c r="S19" s="25">
        <v>14</v>
      </c>
      <c r="V19" s="45">
        <f t="shared" si="2"/>
        <v>12.805720813725667</v>
      </c>
      <c r="Y19" s="26">
        <f t="shared" si="4"/>
        <v>1314.6237654514091</v>
      </c>
      <c r="Z19" s="40">
        <f t="shared" si="6"/>
        <v>75.234772674117494</v>
      </c>
      <c r="AA19" s="40">
        <f t="shared" si="6"/>
        <v>-4.7358444963858801</v>
      </c>
      <c r="AJ19" s="25">
        <v>14</v>
      </c>
      <c r="AK19" s="25">
        <v>17</v>
      </c>
      <c r="AL19" s="25">
        <v>48617.790703931081</v>
      </c>
    </row>
    <row r="20" spans="1:38" x14ac:dyDescent="0.4">
      <c r="A20" s="25">
        <v>15</v>
      </c>
      <c r="D20" s="25">
        <v>18</v>
      </c>
      <c r="G20" s="26">
        <f t="shared" si="1"/>
        <v>49479.417495902569</v>
      </c>
      <c r="H20" s="26">
        <f t="shared" si="5"/>
        <v>861.62679197148827</v>
      </c>
      <c r="I20" s="26">
        <f t="shared" si="5"/>
        <v>-221.11807792265608</v>
      </c>
      <c r="R20" s="25">
        <v>18</v>
      </c>
      <c r="S20" s="25">
        <v>15</v>
      </c>
      <c r="V20" s="45">
        <f t="shared" si="2"/>
        <v>13.481718494401385</v>
      </c>
      <c r="Y20" s="26">
        <f t="shared" si="4"/>
        <v>1384.4552801250343</v>
      </c>
      <c r="Z20" s="40">
        <f t="shared" si="6"/>
        <v>69.831514673625179</v>
      </c>
      <c r="AA20" s="40">
        <f t="shared" si="6"/>
        <v>-5.4032580004923147</v>
      </c>
      <c r="AJ20" s="25">
        <v>15</v>
      </c>
      <c r="AK20" s="25">
        <v>18</v>
      </c>
      <c r="AL20" s="25">
        <v>49479.417495902569</v>
      </c>
    </row>
    <row r="21" spans="1:38" x14ac:dyDescent="0.4">
      <c r="A21" s="25">
        <v>16</v>
      </c>
      <c r="D21" s="25">
        <v>19</v>
      </c>
      <c r="G21" s="26">
        <f t="shared" si="1"/>
        <v>50159.020707795135</v>
      </c>
      <c r="H21" s="26">
        <f t="shared" si="5"/>
        <v>679.60321189256501</v>
      </c>
      <c r="I21" s="26">
        <f t="shared" si="5"/>
        <v>-182.02358007892326</v>
      </c>
      <c r="R21" s="25">
        <v>19</v>
      </c>
      <c r="S21" s="25">
        <v>16</v>
      </c>
      <c r="V21" s="45">
        <f t="shared" si="2"/>
        <v>14.153969025366555</v>
      </c>
      <c r="Y21" s="26">
        <f t="shared" si="4"/>
        <v>1448.4743491000602</v>
      </c>
      <c r="Z21" s="40">
        <f t="shared" si="6"/>
        <v>64.019068975025903</v>
      </c>
      <c r="AA21" s="40">
        <f t="shared" si="6"/>
        <v>-5.8124456985992765</v>
      </c>
      <c r="AJ21" s="25">
        <v>16</v>
      </c>
      <c r="AK21" s="25">
        <v>19</v>
      </c>
      <c r="AL21" s="25">
        <v>50159.020707795135</v>
      </c>
    </row>
    <row r="22" spans="1:38" x14ac:dyDescent="0.4">
      <c r="A22" s="25">
        <v>17</v>
      </c>
      <c r="D22" s="25">
        <v>20</v>
      </c>
      <c r="G22" s="26">
        <f t="shared" si="1"/>
        <v>50691.308796432735</v>
      </c>
      <c r="H22" s="26">
        <f t="shared" si="5"/>
        <v>532.28808863760059</v>
      </c>
      <c r="I22" s="26">
        <f t="shared" si="5"/>
        <v>-147.31512325496442</v>
      </c>
      <c r="R22" s="25">
        <v>20</v>
      </c>
      <c r="S22" s="25">
        <v>17</v>
      </c>
      <c r="V22" s="45">
        <f t="shared" si="2"/>
        <v>14.822688982138953</v>
      </c>
      <c r="Y22" s="26">
        <f t="shared" si="4"/>
        <v>1506.5102352995964</v>
      </c>
      <c r="Z22" s="40">
        <f t="shared" si="6"/>
        <v>58.035886199536208</v>
      </c>
      <c r="AA22" s="40">
        <f t="shared" si="6"/>
        <v>-5.9831827754896949</v>
      </c>
      <c r="AJ22" s="25">
        <v>17</v>
      </c>
      <c r="AK22" s="25">
        <v>20</v>
      </c>
      <c r="AL22" s="25">
        <v>50691.308796432735</v>
      </c>
    </row>
    <row r="23" spans="1:38" x14ac:dyDescent="0.4">
      <c r="A23" s="25">
        <v>18</v>
      </c>
      <c r="D23" s="25">
        <v>21</v>
      </c>
      <c r="G23" s="26">
        <f t="shared" si="1"/>
        <v>51105.929889864565</v>
      </c>
      <c r="H23" s="26">
        <f t="shared" si="5"/>
        <v>414.62109343182965</v>
      </c>
      <c r="I23" s="26">
        <f t="shared" si="5"/>
        <v>-117.66699520577095</v>
      </c>
      <c r="R23" s="25">
        <v>21</v>
      </c>
      <c r="S23" s="25">
        <v>18</v>
      </c>
      <c r="V23" s="45">
        <f t="shared" si="2"/>
        <v>15.488072227168733</v>
      </c>
      <c r="Y23" s="26">
        <f t="shared" si="4"/>
        <v>1558.5964509327209</v>
      </c>
      <c r="Z23" s="40">
        <f t="shared" si="6"/>
        <v>52.086215633124539</v>
      </c>
      <c r="AA23" s="40">
        <f t="shared" si="6"/>
        <v>-5.9496705664116689</v>
      </c>
      <c r="AJ23" s="25">
        <v>18</v>
      </c>
      <c r="AK23" s="25">
        <v>21</v>
      </c>
      <c r="AL23" s="25">
        <v>51105.929889864565</v>
      </c>
    </row>
    <row r="24" spans="1:38" x14ac:dyDescent="0.4">
      <c r="A24" s="25">
        <v>19</v>
      </c>
      <c r="D24" s="25">
        <v>22</v>
      </c>
      <c r="G24" s="26">
        <f t="shared" si="1"/>
        <v>51427.514921407514</v>
      </c>
      <c r="H24" s="26">
        <f t="shared" si="5"/>
        <v>321.58503154294885</v>
      </c>
      <c r="I24" s="26">
        <f t="shared" si="5"/>
        <v>-93.036061888880795</v>
      </c>
      <c r="R24" s="25">
        <v>22</v>
      </c>
      <c r="S24" s="25">
        <v>19</v>
      </c>
      <c r="V24" s="45">
        <f t="shared" si="2"/>
        <v>16.150293260076726</v>
      </c>
      <c r="Y24" s="26">
        <f t="shared" si="4"/>
        <v>1604.9290823908782</v>
      </c>
      <c r="Z24" s="40">
        <f t="shared" si="6"/>
        <v>46.332631458157266</v>
      </c>
      <c r="AA24" s="40">
        <f t="shared" si="6"/>
        <v>-5.7535841749672727</v>
      </c>
      <c r="AJ24" s="25">
        <v>19</v>
      </c>
      <c r="AK24" s="25">
        <v>22</v>
      </c>
      <c r="AL24" s="25">
        <v>51427.514921407514</v>
      </c>
    </row>
    <row r="25" spans="1:38" x14ac:dyDescent="0.4">
      <c r="A25" s="25">
        <v>20</v>
      </c>
      <c r="D25" s="25">
        <v>23</v>
      </c>
      <c r="G25" s="26">
        <f t="shared" si="1"/>
        <v>51676.112425682499</v>
      </c>
      <c r="H25" s="26">
        <f t="shared" si="5"/>
        <v>248.59750427498511</v>
      </c>
      <c r="I25" s="26">
        <f t="shared" si="5"/>
        <v>-72.987527267963742</v>
      </c>
      <c r="R25" s="25">
        <v>23</v>
      </c>
      <c r="S25" s="25">
        <v>20</v>
      </c>
      <c r="V25" s="45">
        <f t="shared" si="2"/>
        <v>16.809509943796453</v>
      </c>
      <c r="Y25" s="26">
        <f t="shared" si="4"/>
        <v>1645.8236416005816</v>
      </c>
      <c r="Z25" s="40">
        <f t="shared" si="6"/>
        <v>40.894559209703402</v>
      </c>
      <c r="AA25" s="40">
        <f t="shared" si="6"/>
        <v>-5.4380722484538637</v>
      </c>
      <c r="AJ25" s="25">
        <v>20</v>
      </c>
      <c r="AK25" s="25">
        <v>23</v>
      </c>
      <c r="AL25" s="25">
        <v>51676.112425682499</v>
      </c>
    </row>
    <row r="26" spans="1:38" x14ac:dyDescent="0.4">
      <c r="A26" s="25">
        <v>21</v>
      </c>
      <c r="D26" s="25">
        <v>24</v>
      </c>
      <c r="G26" s="26">
        <f t="shared" si="1"/>
        <v>51867.794458053439</v>
      </c>
      <c r="H26" s="26">
        <f t="shared" si="5"/>
        <v>191.68203237093985</v>
      </c>
      <c r="I26" s="26">
        <f t="shared" si="5"/>
        <v>-56.915471904045262</v>
      </c>
      <c r="R26" s="25">
        <v>24</v>
      </c>
      <c r="S26" s="25">
        <v>21</v>
      </c>
      <c r="V26" s="45">
        <f t="shared" si="2"/>
        <v>17.46586574499123</v>
      </c>
      <c r="Y26" s="26">
        <f t="shared" si="4"/>
        <v>1681.6748407882085</v>
      </c>
      <c r="Z26" s="40">
        <f t="shared" si="6"/>
        <v>35.851199187626889</v>
      </c>
      <c r="AA26" s="40">
        <f t="shared" si="6"/>
        <v>-5.0433600220765129</v>
      </c>
      <c r="AJ26" s="25">
        <v>21</v>
      </c>
      <c r="AK26" s="25">
        <v>24</v>
      </c>
      <c r="AL26" s="25">
        <v>51867.794458053439</v>
      </c>
    </row>
    <row r="27" spans="1:38" x14ac:dyDescent="0.4">
      <c r="A27" s="25">
        <v>22</v>
      </c>
      <c r="D27" s="25">
        <v>25</v>
      </c>
      <c r="G27" s="26">
        <f t="shared" si="1"/>
        <v>52015.298889620382</v>
      </c>
      <c r="H27" s="26">
        <f t="shared" si="5"/>
        <v>147.50443156694382</v>
      </c>
      <c r="I27" s="26">
        <f t="shared" si="5"/>
        <v>-44.177600803996029</v>
      </c>
      <c r="R27" s="25">
        <v>25</v>
      </c>
      <c r="S27" s="25">
        <v>22</v>
      </c>
      <c r="V27" s="45">
        <f t="shared" si="2"/>
        <v>18.119491591942388</v>
      </c>
      <c r="Y27" s="26">
        <f t="shared" si="4"/>
        <v>1712.9219624834157</v>
      </c>
      <c r="Z27" s="40">
        <f t="shared" si="6"/>
        <v>31.24712169520717</v>
      </c>
      <c r="AA27" s="40">
        <f t="shared" si="6"/>
        <v>-4.6040774924197194</v>
      </c>
      <c r="AJ27" s="25">
        <v>22</v>
      </c>
      <c r="AK27" s="25">
        <v>25</v>
      </c>
      <c r="AL27" s="25">
        <v>52015.298889620382</v>
      </c>
    </row>
    <row r="28" spans="1:38" x14ac:dyDescent="0.4">
      <c r="A28" s="25">
        <v>23</v>
      </c>
      <c r="D28" s="25">
        <v>26</v>
      </c>
      <c r="G28" s="26">
        <f t="shared" si="1"/>
        <v>52128.634407650869</v>
      </c>
      <c r="H28" s="26">
        <f t="shared" si="5"/>
        <v>113.33551803048613</v>
      </c>
      <c r="I28" s="26">
        <f t="shared" si="5"/>
        <v>-34.168913536457694</v>
      </c>
      <c r="R28" s="25">
        <v>26</v>
      </c>
      <c r="S28" s="25">
        <v>23</v>
      </c>
      <c r="V28" s="45">
        <f t="shared" si="2"/>
        <v>18.770507427923384</v>
      </c>
      <c r="Y28" s="26">
        <f t="shared" si="4"/>
        <v>1740.0210004374612</v>
      </c>
      <c r="Z28" s="40">
        <f t="shared" si="6"/>
        <v>27.099037954045571</v>
      </c>
      <c r="AA28" s="40">
        <f t="shared" si="6"/>
        <v>-4.1480837411615994</v>
      </c>
      <c r="AJ28" s="25">
        <v>23</v>
      </c>
      <c r="AK28" s="25">
        <v>26</v>
      </c>
      <c r="AL28" s="25">
        <v>52128.634407650869</v>
      </c>
    </row>
    <row r="29" spans="1:38" x14ac:dyDescent="0.4">
      <c r="A29" s="25">
        <v>24</v>
      </c>
      <c r="D29" s="25">
        <v>27</v>
      </c>
      <c r="G29" s="26">
        <f t="shared" si="1"/>
        <v>52215.614071378375</v>
      </c>
      <c r="H29" s="26">
        <f t="shared" si="5"/>
        <v>86.979663727506704</v>
      </c>
      <c r="I29" s="26">
        <f t="shared" si="5"/>
        <v>-26.355854302979424</v>
      </c>
      <c r="R29" s="25">
        <v>27</v>
      </c>
      <c r="S29" s="25">
        <v>24</v>
      </c>
      <c r="V29" s="45">
        <f t="shared" si="2"/>
        <v>19.41902351977134</v>
      </c>
      <c r="Y29" s="26">
        <f t="shared" si="4"/>
        <v>1763.4236414001059</v>
      </c>
      <c r="Z29" s="40">
        <f t="shared" si="6"/>
        <v>23.402640962644682</v>
      </c>
      <c r="AA29" s="40">
        <f t="shared" si="6"/>
        <v>-3.6963969914008885</v>
      </c>
      <c r="AJ29" s="25">
        <v>24</v>
      </c>
      <c r="AK29" s="25">
        <v>27</v>
      </c>
      <c r="AL29" s="25">
        <v>52215.614071378375</v>
      </c>
    </row>
    <row r="30" spans="1:38" x14ac:dyDescent="0.4">
      <c r="A30" s="25">
        <v>25</v>
      </c>
      <c r="D30" s="25">
        <v>28</v>
      </c>
      <c r="G30" s="26">
        <f t="shared" si="1"/>
        <v>52282.306804638138</v>
      </c>
      <c r="H30" s="26">
        <f t="shared" si="5"/>
        <v>66.692733259762463</v>
      </c>
      <c r="I30" s="26">
        <f t="shared" si="5"/>
        <v>-20.286930467744241</v>
      </c>
      <c r="R30" s="25">
        <v>28</v>
      </c>
      <c r="S30" s="25">
        <v>25</v>
      </c>
      <c r="V30" s="45">
        <f t="shared" si="2"/>
        <v>20.065141567878999</v>
      </c>
      <c r="Y30" s="26">
        <f t="shared" si="4"/>
        <v>1783.5624602806502</v>
      </c>
      <c r="Z30" s="40">
        <f t="shared" si="6"/>
        <v>20.13881888054425</v>
      </c>
      <c r="AA30" s="40">
        <f t="shared" si="6"/>
        <v>-3.2638220821004325</v>
      </c>
      <c r="AJ30" s="25">
        <v>25</v>
      </c>
      <c r="AK30" s="25">
        <v>28</v>
      </c>
      <c r="AL30" s="25">
        <v>52282.306804638138</v>
      </c>
    </row>
    <row r="31" spans="1:38" x14ac:dyDescent="0.4">
      <c r="A31" s="25">
        <v>26</v>
      </c>
      <c r="D31" s="25">
        <v>29</v>
      </c>
      <c r="G31" s="26">
        <f t="shared" si="1"/>
        <v>52333.408999193562</v>
      </c>
      <c r="H31" s="26">
        <f t="shared" si="5"/>
        <v>51.102194555423921</v>
      </c>
      <c r="I31" s="26">
        <f t="shared" si="5"/>
        <v>-15.590538704338542</v>
      </c>
      <c r="R31" s="25">
        <v>29</v>
      </c>
      <c r="S31" s="25">
        <v>26</v>
      </c>
      <c r="V31" s="45">
        <f t="shared" si="2"/>
        <v>20.708955653761308</v>
      </c>
      <c r="Y31" s="26">
        <f t="shared" si="4"/>
        <v>1800.8413478245816</v>
      </c>
      <c r="Z31" s="40">
        <f t="shared" si="6"/>
        <v>17.278887543931432</v>
      </c>
      <c r="AA31" s="40">
        <f t="shared" si="6"/>
        <v>-2.8599313366128172</v>
      </c>
      <c r="AJ31" s="25">
        <v>26</v>
      </c>
      <c r="AK31" s="25">
        <v>29</v>
      </c>
      <c r="AL31" s="25">
        <v>52333.408999193562</v>
      </c>
    </row>
    <row r="32" spans="1:38" x14ac:dyDescent="0.4">
      <c r="A32" s="25">
        <v>27</v>
      </c>
      <c r="D32" s="25">
        <v>30</v>
      </c>
      <c r="G32" s="26">
        <f t="shared" si="1"/>
        <v>52372.54449885551</v>
      </c>
      <c r="H32" s="26">
        <f t="shared" si="5"/>
        <v>39.135499661948415</v>
      </c>
      <c r="I32" s="26">
        <f t="shared" si="5"/>
        <v>-11.966694893475506</v>
      </c>
      <c r="R32" s="25">
        <v>30</v>
      </c>
      <c r="S32" s="25">
        <v>27</v>
      </c>
      <c r="V32" s="45">
        <f t="shared" si="2"/>
        <v>21.350553053747966</v>
      </c>
      <c r="Y32" s="26">
        <f t="shared" si="4"/>
        <v>1815.6300857183812</v>
      </c>
      <c r="Z32" s="40">
        <f t="shared" si="6"/>
        <v>14.788737893799635</v>
      </c>
      <c r="AA32" s="40">
        <f t="shared" si="6"/>
        <v>-2.4901496501317979</v>
      </c>
      <c r="AJ32" s="25">
        <v>27</v>
      </c>
      <c r="AK32" s="25">
        <v>30</v>
      </c>
      <c r="AL32" s="25">
        <v>52372.54449885551</v>
      </c>
    </row>
    <row r="33" spans="1:38" x14ac:dyDescent="0.4">
      <c r="A33" s="25">
        <v>28</v>
      </c>
      <c r="D33" s="25">
        <v>31</v>
      </c>
      <c r="G33" s="26">
        <f t="shared" si="1"/>
        <v>52402.503428379518</v>
      </c>
      <c r="H33" s="26">
        <f t="shared" si="5"/>
        <v>29.958929524007544</v>
      </c>
      <c r="I33" s="26">
        <f t="shared" si="5"/>
        <v>-9.1765701379408711</v>
      </c>
      <c r="R33" s="25">
        <v>31</v>
      </c>
      <c r="S33" s="25">
        <v>28</v>
      </c>
      <c r="V33" s="45">
        <f t="shared" si="2"/>
        <v>21.990014941549536</v>
      </c>
      <c r="Y33" s="26">
        <f t="shared" si="4"/>
        <v>1828.2620366134315</v>
      </c>
      <c r="Z33" s="40">
        <f t="shared" si="6"/>
        <v>12.631950895050295</v>
      </c>
      <c r="AA33" s="40">
        <f t="shared" si="6"/>
        <v>-2.1567869987493395</v>
      </c>
      <c r="AJ33" s="25">
        <v>28</v>
      </c>
      <c r="AK33" s="25">
        <v>31</v>
      </c>
      <c r="AL33" s="25">
        <v>52402.503428379518</v>
      </c>
    </row>
    <row r="34" spans="1:38" x14ac:dyDescent="0.4">
      <c r="A34" s="25">
        <v>29</v>
      </c>
      <c r="D34" s="25">
        <v>32</v>
      </c>
      <c r="G34" s="26">
        <f t="shared" si="1"/>
        <v>52425.430417267678</v>
      </c>
      <c r="H34" s="26">
        <f t="shared" si="5"/>
        <v>22.926988888160849</v>
      </c>
      <c r="I34" s="26">
        <f t="shared" si="5"/>
        <v>-7.0319406358466949</v>
      </c>
      <c r="R34" s="25">
        <v>32</v>
      </c>
      <c r="S34" s="25">
        <v>29</v>
      </c>
      <c r="V34" s="45">
        <f t="shared" si="2"/>
        <v>22.627416997969519</v>
      </c>
      <c r="Y34" s="26">
        <f t="shared" si="4"/>
        <v>1839.0340518354551</v>
      </c>
      <c r="Z34" s="40">
        <f t="shared" si="6"/>
        <v>10.772015222023583</v>
      </c>
      <c r="AA34" s="40">
        <f t="shared" si="6"/>
        <v>-1.8599356730267118</v>
      </c>
      <c r="AC34" s="25">
        <v>4</v>
      </c>
      <c r="AJ34" s="25">
        <v>29</v>
      </c>
      <c r="AK34" s="25">
        <v>32</v>
      </c>
      <c r="AL34" s="25">
        <v>52425.430417267678</v>
      </c>
    </row>
    <row r="35" spans="1:38" x14ac:dyDescent="0.4">
      <c r="AC35" s="25">
        <v>10</v>
      </c>
    </row>
    <row r="36" spans="1:38" x14ac:dyDescent="0.4">
      <c r="AC36" s="25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workbookViewId="0">
      <selection activeCell="F25" sqref="F25"/>
    </sheetView>
  </sheetViews>
  <sheetFormatPr defaultColWidth="9" defaultRowHeight="15.4" x14ac:dyDescent="0.4"/>
  <cols>
    <col min="1" max="5" width="9.265625" style="8" bestFit="1" customWidth="1"/>
    <col min="6" max="6" width="10.265625" style="8" bestFit="1" customWidth="1"/>
    <col min="7" max="8" width="9.3984375" style="8" bestFit="1" customWidth="1"/>
    <col min="9" max="9" width="9.265625" style="8" bestFit="1" customWidth="1"/>
    <col min="10" max="18" width="9" style="8"/>
    <col min="19" max="23" width="9" style="13"/>
    <col min="24" max="26" width="9" style="8"/>
    <col min="27" max="28" width="9.265625" style="8" bestFit="1" customWidth="1"/>
    <col min="29" max="29" width="11.73046875" style="8" bestFit="1" customWidth="1"/>
    <col min="30" max="30" width="9.265625" style="8" bestFit="1" customWidth="1"/>
    <col min="31" max="35" width="9" style="8"/>
    <col min="36" max="36" width="9.265625" style="8" bestFit="1" customWidth="1"/>
    <col min="37" max="37" width="13.86328125" style="8" bestFit="1" customWidth="1"/>
    <col min="38" max="39" width="11.59765625" style="8" bestFit="1" customWidth="1"/>
    <col min="40" max="40" width="9.265625" style="8" bestFit="1" customWidth="1"/>
    <col min="41" max="44" width="13.86328125" style="8" bestFit="1" customWidth="1"/>
    <col min="45" max="45" width="11.265625" style="8" customWidth="1"/>
    <col min="46" max="47" width="9.265625" style="8" bestFit="1" customWidth="1"/>
    <col min="48" max="16384" width="9" style="8"/>
  </cols>
  <sheetData>
    <row r="1" spans="1:44" ht="15.75" x14ac:dyDescent="0.4">
      <c r="A1" s="8" t="s">
        <v>117</v>
      </c>
      <c r="B1" s="8" t="s">
        <v>118</v>
      </c>
      <c r="C1" s="8" t="s">
        <v>119</v>
      </c>
      <c r="D1" s="8" t="s">
        <v>30</v>
      </c>
      <c r="E1" s="8" t="s">
        <v>29</v>
      </c>
      <c r="F1" s="8" t="s">
        <v>120</v>
      </c>
      <c r="G1" s="8" t="s">
        <v>121</v>
      </c>
      <c r="H1" s="8" t="s">
        <v>122</v>
      </c>
      <c r="I1" s="9">
        <v>50186.273671851348</v>
      </c>
      <c r="AA1" s="8" t="s">
        <v>52</v>
      </c>
      <c r="AB1" s="8" t="s">
        <v>30</v>
      </c>
      <c r="AC1" s="8" t="s">
        <v>14</v>
      </c>
      <c r="AD1" s="8" t="s">
        <v>14</v>
      </c>
      <c r="AJ1" s="8" t="s">
        <v>35</v>
      </c>
    </row>
    <row r="2" spans="1:44" ht="15.75" thickBot="1" x14ac:dyDescent="0.45">
      <c r="A2" s="8">
        <v>18</v>
      </c>
      <c r="B2" s="9">
        <v>291</v>
      </c>
      <c r="C2" s="8">
        <v>0</v>
      </c>
      <c r="D2" s="8">
        <v>291</v>
      </c>
      <c r="E2" s="8">
        <f>LN($I$1/D2-1)</f>
        <v>5.1443582940873114</v>
      </c>
      <c r="F2" s="23">
        <f>$I$1/(1+$I$2*EXP(-$I$3*C2))</f>
        <v>309.46403966291547</v>
      </c>
      <c r="G2" s="23"/>
      <c r="H2" s="23"/>
      <c r="I2" s="9">
        <f>EXP(5.08246954)</f>
        <v>161.17158454506338</v>
      </c>
      <c r="T2" s="27"/>
      <c r="AA2" s="8">
        <v>1</v>
      </c>
      <c r="AB2" s="8">
        <v>291</v>
      </c>
      <c r="AC2" s="8">
        <f>AB2^2</f>
        <v>84681</v>
      </c>
      <c r="AD2" s="8">
        <f>AB3</f>
        <v>391</v>
      </c>
    </row>
    <row r="3" spans="1:44" x14ac:dyDescent="0.4">
      <c r="A3" s="8">
        <v>19</v>
      </c>
      <c r="B3" s="9">
        <v>391</v>
      </c>
      <c r="C3" s="8">
        <v>1</v>
      </c>
      <c r="D3" s="8">
        <v>391</v>
      </c>
      <c r="E3" s="8">
        <f t="shared" ref="E3:E24" si="0">LN($I$1/D3-1)</f>
        <v>4.8469677923357777</v>
      </c>
      <c r="F3" s="23">
        <f t="shared" ref="F3:F44" si="1">$I$1/(1+$I$2*EXP(-$I$3*C3))</f>
        <v>415.82553116218702</v>
      </c>
      <c r="G3" s="23">
        <f>F3-F2</f>
        <v>106.36149149927155</v>
      </c>
      <c r="H3" s="23"/>
      <c r="I3" s="9">
        <v>0.29755863999999999</v>
      </c>
      <c r="T3" s="27"/>
      <c r="AA3" s="8">
        <v>2</v>
      </c>
      <c r="AB3" s="8">
        <v>391</v>
      </c>
      <c r="AC3" s="8">
        <f t="shared" ref="AC3:AC24" si="2">AB3^2</f>
        <v>152881</v>
      </c>
      <c r="AD3" s="8">
        <f t="shared" ref="AD3:AD24" si="3">AB4</f>
        <v>440</v>
      </c>
      <c r="AJ3" s="53" t="s">
        <v>123</v>
      </c>
      <c r="AK3" s="53"/>
    </row>
    <row r="4" spans="1:44" x14ac:dyDescent="0.4">
      <c r="A4" s="8">
        <v>20</v>
      </c>
      <c r="B4" s="9">
        <v>440</v>
      </c>
      <c r="C4" s="8">
        <v>2</v>
      </c>
      <c r="D4" s="8">
        <v>440</v>
      </c>
      <c r="E4" s="8">
        <f t="shared" si="0"/>
        <v>4.7279161118008926</v>
      </c>
      <c r="F4" s="23">
        <f t="shared" si="1"/>
        <v>558.33380362927505</v>
      </c>
      <c r="G4" s="23">
        <f t="shared" ref="G4:H44" si="4">F4-F3</f>
        <v>142.50827246708803</v>
      </c>
      <c r="H4" s="23">
        <f>G4-G3</f>
        <v>36.146780967816483</v>
      </c>
      <c r="I4" s="58">
        <v>0.99345561999999998</v>
      </c>
      <c r="T4" s="27"/>
      <c r="AA4" s="8">
        <v>3</v>
      </c>
      <c r="AB4" s="8">
        <v>440</v>
      </c>
      <c r="AC4" s="8">
        <f t="shared" si="2"/>
        <v>193600</v>
      </c>
      <c r="AD4" s="8">
        <f t="shared" si="3"/>
        <v>571</v>
      </c>
      <c r="AJ4" s="54" t="s">
        <v>36</v>
      </c>
      <c r="AK4" s="54">
        <v>0.9997290670231358</v>
      </c>
    </row>
    <row r="5" spans="1:44" x14ac:dyDescent="0.4">
      <c r="A5" s="8">
        <v>21</v>
      </c>
      <c r="B5" s="9">
        <v>571</v>
      </c>
      <c r="C5" s="8">
        <v>3</v>
      </c>
      <c r="D5" s="8">
        <v>571</v>
      </c>
      <c r="E5" s="8">
        <f t="shared" si="0"/>
        <v>4.4646647925866496</v>
      </c>
      <c r="F5" s="23">
        <f t="shared" si="1"/>
        <v>748.94639392162844</v>
      </c>
      <c r="G5" s="23">
        <f t="shared" si="4"/>
        <v>190.61259029235339</v>
      </c>
      <c r="H5" s="23">
        <f t="shared" si="4"/>
        <v>48.104317825265355</v>
      </c>
      <c r="V5" s="27"/>
      <c r="AA5" s="8">
        <v>4</v>
      </c>
      <c r="AB5" s="8">
        <v>571</v>
      </c>
      <c r="AC5" s="8">
        <f t="shared" si="2"/>
        <v>326041</v>
      </c>
      <c r="AD5" s="8">
        <f t="shared" si="3"/>
        <v>830</v>
      </c>
      <c r="AJ5" s="54" t="s">
        <v>37</v>
      </c>
      <c r="AK5" s="54">
        <v>0.9994582074509496</v>
      </c>
    </row>
    <row r="6" spans="1:44" x14ac:dyDescent="0.4">
      <c r="A6" s="8">
        <v>22</v>
      </c>
      <c r="B6" s="9">
        <v>830</v>
      </c>
      <c r="C6" s="8">
        <v>4</v>
      </c>
      <c r="D6" s="8">
        <v>830</v>
      </c>
      <c r="E6" s="8">
        <f t="shared" si="0"/>
        <v>4.0853944620671641</v>
      </c>
      <c r="F6" s="23">
        <f t="shared" si="1"/>
        <v>1003.3176523783322</v>
      </c>
      <c r="G6" s="23">
        <f t="shared" si="4"/>
        <v>254.3712584567038</v>
      </c>
      <c r="H6" s="23">
        <f t="shared" si="4"/>
        <v>63.758668164350411</v>
      </c>
      <c r="T6" s="27"/>
      <c r="V6" s="27"/>
      <c r="AA6" s="8">
        <v>5</v>
      </c>
      <c r="AB6" s="8">
        <v>830</v>
      </c>
      <c r="AC6" s="8">
        <f t="shared" si="2"/>
        <v>688900</v>
      </c>
      <c r="AD6" s="8">
        <f t="shared" si="3"/>
        <v>1287</v>
      </c>
      <c r="AJ6" s="54" t="s">
        <v>38</v>
      </c>
      <c r="AK6" s="54">
        <v>0.94943111782349709</v>
      </c>
    </row>
    <row r="7" spans="1:44" x14ac:dyDescent="0.4">
      <c r="A7" s="8">
        <v>23</v>
      </c>
      <c r="B7" s="9">
        <v>1287</v>
      </c>
      <c r="C7" s="8">
        <v>5</v>
      </c>
      <c r="D7" s="8">
        <v>1287</v>
      </c>
      <c r="E7" s="8">
        <f t="shared" si="0"/>
        <v>3.6374486144201517</v>
      </c>
      <c r="F7" s="23">
        <f t="shared" si="1"/>
        <v>1341.7385019929516</v>
      </c>
      <c r="G7" s="23">
        <f t="shared" si="4"/>
        <v>338.42084961461933</v>
      </c>
      <c r="H7" s="23">
        <f t="shared" si="4"/>
        <v>84.049591157915529</v>
      </c>
      <c r="T7" s="27"/>
      <c r="V7" s="27"/>
      <c r="AA7" s="8">
        <v>6</v>
      </c>
      <c r="AB7" s="8">
        <v>1287</v>
      </c>
      <c r="AC7" s="8">
        <f t="shared" si="2"/>
        <v>1656369</v>
      </c>
      <c r="AD7" s="8">
        <f t="shared" si="3"/>
        <v>1975</v>
      </c>
      <c r="AJ7" s="54" t="s">
        <v>124</v>
      </c>
      <c r="AK7" s="54">
        <v>461.16845166651467</v>
      </c>
    </row>
    <row r="8" spans="1:44" ht="15.75" thickBot="1" x14ac:dyDescent="0.45">
      <c r="A8" s="8">
        <v>24</v>
      </c>
      <c r="B8" s="9">
        <v>1975</v>
      </c>
      <c r="C8" s="8">
        <v>6</v>
      </c>
      <c r="D8" s="8">
        <v>1975</v>
      </c>
      <c r="E8" s="8">
        <f t="shared" si="0"/>
        <v>3.1950244889614985</v>
      </c>
      <c r="F8" s="23">
        <f t="shared" si="1"/>
        <v>1790.1544984997665</v>
      </c>
      <c r="G8" s="23">
        <f t="shared" si="4"/>
        <v>448.41599650681496</v>
      </c>
      <c r="H8" s="23">
        <f t="shared" si="4"/>
        <v>109.99514689219563</v>
      </c>
      <c r="T8" s="27"/>
      <c r="V8" s="27"/>
      <c r="AA8" s="8">
        <v>7</v>
      </c>
      <c r="AB8" s="8">
        <v>1975</v>
      </c>
      <c r="AC8" s="8">
        <f t="shared" si="2"/>
        <v>3900625</v>
      </c>
      <c r="AD8" s="8">
        <f t="shared" si="3"/>
        <v>2744</v>
      </c>
      <c r="AJ8" s="55" t="s">
        <v>125</v>
      </c>
      <c r="AK8" s="55">
        <v>22</v>
      </c>
    </row>
    <row r="9" spans="1:44" x14ac:dyDescent="0.4">
      <c r="A9" s="8">
        <v>25</v>
      </c>
      <c r="B9" s="9">
        <v>2744</v>
      </c>
      <c r="C9" s="8">
        <v>7</v>
      </c>
      <c r="D9" s="8">
        <v>2744</v>
      </c>
      <c r="E9" s="8">
        <f t="shared" si="0"/>
        <v>2.8500969709929391</v>
      </c>
      <c r="F9" s="23">
        <f t="shared" si="1"/>
        <v>2381.1277703669443</v>
      </c>
      <c r="G9" s="23">
        <f t="shared" si="4"/>
        <v>590.9732718671778</v>
      </c>
      <c r="H9" s="23">
        <f t="shared" si="4"/>
        <v>142.55727536036284</v>
      </c>
      <c r="V9" s="27"/>
      <c r="AA9" s="9">
        <v>8</v>
      </c>
      <c r="AB9" s="8">
        <v>2744</v>
      </c>
      <c r="AC9" s="8">
        <f t="shared" si="2"/>
        <v>7529536</v>
      </c>
      <c r="AD9" s="8">
        <f t="shared" si="3"/>
        <v>4515</v>
      </c>
    </row>
    <row r="10" spans="1:44" ht="15.75" thickBot="1" x14ac:dyDescent="0.45">
      <c r="A10" s="8">
        <v>26</v>
      </c>
      <c r="B10" s="9">
        <v>4515</v>
      </c>
      <c r="C10" s="8">
        <v>8</v>
      </c>
      <c r="D10" s="8">
        <v>4515</v>
      </c>
      <c r="E10" s="8">
        <f t="shared" si="0"/>
        <v>2.3140643285278979</v>
      </c>
      <c r="F10" s="23">
        <f t="shared" si="1"/>
        <v>3154.4792593438037</v>
      </c>
      <c r="G10" s="23">
        <f t="shared" si="4"/>
        <v>773.3514889768594</v>
      </c>
      <c r="H10" s="23">
        <f t="shared" si="4"/>
        <v>182.3782171096816</v>
      </c>
      <c r="V10" s="27"/>
      <c r="AA10" s="8">
        <v>9</v>
      </c>
      <c r="AB10" s="8">
        <v>4515</v>
      </c>
      <c r="AC10" s="8">
        <f t="shared" si="2"/>
        <v>20385225</v>
      </c>
      <c r="AD10" s="8">
        <f t="shared" si="3"/>
        <v>5975</v>
      </c>
      <c r="AJ10" s="8" t="s">
        <v>126</v>
      </c>
    </row>
    <row r="11" spans="1:44" x14ac:dyDescent="0.4">
      <c r="A11" s="8">
        <v>27</v>
      </c>
      <c r="B11" s="9">
        <v>5975</v>
      </c>
      <c r="C11" s="12">
        <v>9</v>
      </c>
      <c r="D11" s="8">
        <v>5975</v>
      </c>
      <c r="E11" s="8">
        <f t="shared" si="0"/>
        <v>2.0013957191928173</v>
      </c>
      <c r="F11" s="23">
        <f t="shared" si="1"/>
        <v>4157.1606610389417</v>
      </c>
      <c r="G11" s="23">
        <f t="shared" si="4"/>
        <v>1002.681401695138</v>
      </c>
      <c r="H11" s="23">
        <f t="shared" si="4"/>
        <v>229.32991271827859</v>
      </c>
      <c r="V11" s="27"/>
      <c r="AA11" s="8">
        <v>10</v>
      </c>
      <c r="AB11" s="8">
        <v>5975</v>
      </c>
      <c r="AC11" s="8">
        <f t="shared" si="2"/>
        <v>35700625</v>
      </c>
      <c r="AD11" s="9">
        <f t="shared" si="3"/>
        <v>5997</v>
      </c>
      <c r="AJ11" s="56"/>
      <c r="AK11" s="56" t="s">
        <v>40</v>
      </c>
      <c r="AL11" s="56" t="s">
        <v>41</v>
      </c>
      <c r="AM11" s="56" t="s">
        <v>42</v>
      </c>
      <c r="AN11" s="56" t="s">
        <v>43</v>
      </c>
      <c r="AO11" s="56" t="s">
        <v>44</v>
      </c>
    </row>
    <row r="12" spans="1:44" x14ac:dyDescent="0.4">
      <c r="A12" s="8">
        <v>28</v>
      </c>
      <c r="B12" s="10">
        <v>5997</v>
      </c>
      <c r="C12" s="8">
        <v>10</v>
      </c>
      <c r="D12" s="8">
        <v>5997</v>
      </c>
      <c r="E12" s="8">
        <f t="shared" si="0"/>
        <v>1.9972227383389902</v>
      </c>
      <c r="F12" s="23">
        <f t="shared" si="1"/>
        <v>5441.67829658552</v>
      </c>
      <c r="G12" s="23">
        <f t="shared" si="4"/>
        <v>1284.5176355465783</v>
      </c>
      <c r="H12" s="23">
        <f t="shared" si="4"/>
        <v>281.83623385144028</v>
      </c>
      <c r="V12" s="27"/>
      <c r="AA12" s="8">
        <v>11</v>
      </c>
      <c r="AB12" s="8">
        <v>5997</v>
      </c>
      <c r="AC12" s="8">
        <f t="shared" si="2"/>
        <v>35964009</v>
      </c>
      <c r="AD12" s="8">
        <f t="shared" si="3"/>
        <v>7736</v>
      </c>
      <c r="AJ12" s="54" t="s">
        <v>127</v>
      </c>
      <c r="AK12" s="54">
        <v>2</v>
      </c>
      <c r="AL12" s="54">
        <v>7846586843.1837502</v>
      </c>
      <c r="AM12" s="54">
        <v>3923293421.5918751</v>
      </c>
      <c r="AN12" s="54">
        <v>18447.24902922281</v>
      </c>
      <c r="AO12" s="54">
        <v>5.7530716844612688E-32</v>
      </c>
    </row>
    <row r="13" spans="1:44" x14ac:dyDescent="0.4">
      <c r="A13" s="8">
        <v>29</v>
      </c>
      <c r="B13" s="8">
        <v>7736</v>
      </c>
      <c r="C13" s="12">
        <v>11</v>
      </c>
      <c r="D13" s="8">
        <v>7736</v>
      </c>
      <c r="E13" s="8">
        <f t="shared" si="0"/>
        <v>1.702448601507875</v>
      </c>
      <c r="F13" s="23">
        <f t="shared" si="1"/>
        <v>7062.2016830950506</v>
      </c>
      <c r="G13" s="23">
        <f t="shared" si="4"/>
        <v>1620.5233865095306</v>
      </c>
      <c r="H13" s="23">
        <f t="shared" si="4"/>
        <v>336.00575096295233</v>
      </c>
      <c r="V13" s="27"/>
      <c r="AA13" s="8">
        <v>12</v>
      </c>
      <c r="AB13" s="8">
        <v>7736</v>
      </c>
      <c r="AC13" s="8">
        <f t="shared" si="2"/>
        <v>59845696</v>
      </c>
      <c r="AD13" s="8">
        <f t="shared" si="3"/>
        <v>9720</v>
      </c>
      <c r="AJ13" s="54" t="s">
        <v>128</v>
      </c>
      <c r="AK13" s="54">
        <v>20</v>
      </c>
      <c r="AL13" s="54">
        <v>4253526.8162498102</v>
      </c>
      <c r="AM13" s="54">
        <v>212676.3408124905</v>
      </c>
      <c r="AN13" s="54"/>
      <c r="AO13" s="54"/>
    </row>
    <row r="14" spans="1:44" ht="15.75" thickBot="1" x14ac:dyDescent="0.45">
      <c r="A14" s="8">
        <v>30</v>
      </c>
      <c r="B14" s="8">
        <v>9720</v>
      </c>
      <c r="C14" s="8">
        <v>12</v>
      </c>
      <c r="D14" s="8">
        <v>9720</v>
      </c>
      <c r="E14" s="8">
        <f t="shared" si="0"/>
        <v>1.4262832598690354</v>
      </c>
      <c r="F14" s="23">
        <f t="shared" si="1"/>
        <v>9067.5174242787816</v>
      </c>
      <c r="G14" s="23">
        <f t="shared" si="4"/>
        <v>2005.315741183731</v>
      </c>
      <c r="H14" s="23">
        <f t="shared" si="4"/>
        <v>384.7923546742004</v>
      </c>
      <c r="V14" s="27"/>
      <c r="AA14" s="8">
        <v>13</v>
      </c>
      <c r="AB14" s="8">
        <v>9720</v>
      </c>
      <c r="AC14" s="8">
        <f t="shared" si="2"/>
        <v>94478400</v>
      </c>
      <c r="AD14" s="8">
        <f t="shared" si="3"/>
        <v>11821</v>
      </c>
      <c r="AJ14" s="55" t="s">
        <v>129</v>
      </c>
      <c r="AK14" s="55">
        <v>22</v>
      </c>
      <c r="AL14" s="55">
        <v>7850840370</v>
      </c>
      <c r="AM14" s="55"/>
      <c r="AN14" s="55"/>
      <c r="AO14" s="55"/>
    </row>
    <row r="15" spans="1:44" ht="15.75" thickBot="1" x14ac:dyDescent="0.45">
      <c r="A15" s="12">
        <v>31</v>
      </c>
      <c r="B15" s="8">
        <v>11821</v>
      </c>
      <c r="C15" s="8">
        <v>13</v>
      </c>
      <c r="D15" s="8">
        <v>11821</v>
      </c>
      <c r="E15" s="8">
        <f t="shared" si="0"/>
        <v>1.1772751082088473</v>
      </c>
      <c r="F15" s="23">
        <f t="shared" si="1"/>
        <v>11490.522677328392</v>
      </c>
      <c r="G15" s="23">
        <f t="shared" si="4"/>
        <v>2423.0052530496105</v>
      </c>
      <c r="H15" s="23">
        <f t="shared" si="4"/>
        <v>417.68951186587947</v>
      </c>
      <c r="V15" s="28"/>
      <c r="AA15" s="8">
        <v>14</v>
      </c>
      <c r="AB15" s="8">
        <v>11821</v>
      </c>
      <c r="AC15" s="8">
        <f t="shared" si="2"/>
        <v>139736041</v>
      </c>
      <c r="AD15" s="8">
        <f t="shared" si="3"/>
        <v>14411</v>
      </c>
    </row>
    <row r="16" spans="1:44" x14ac:dyDescent="0.4">
      <c r="A16" s="8">
        <v>1</v>
      </c>
      <c r="B16" s="8">
        <v>14411</v>
      </c>
      <c r="C16" s="8">
        <v>14</v>
      </c>
      <c r="D16" s="8">
        <v>14411</v>
      </c>
      <c r="E16" s="8">
        <f t="shared" si="0"/>
        <v>0.90926517136419605</v>
      </c>
      <c r="F16" s="23">
        <f t="shared" si="1"/>
        <v>14335.270500782362</v>
      </c>
      <c r="G16" s="23">
        <f t="shared" si="4"/>
        <v>2844.7478234539703</v>
      </c>
      <c r="H16" s="23">
        <f t="shared" si="4"/>
        <v>421.74257040435987</v>
      </c>
      <c r="AA16" s="8">
        <v>15</v>
      </c>
      <c r="AB16" s="8">
        <v>14411</v>
      </c>
      <c r="AC16" s="8">
        <f t="shared" si="2"/>
        <v>207676921</v>
      </c>
      <c r="AD16" s="8">
        <f t="shared" si="3"/>
        <v>17238</v>
      </c>
      <c r="AJ16" s="56"/>
      <c r="AK16" s="56" t="s">
        <v>45</v>
      </c>
      <c r="AL16" s="56" t="s">
        <v>124</v>
      </c>
      <c r="AM16" s="56" t="s">
        <v>46</v>
      </c>
      <c r="AN16" s="56" t="s">
        <v>47</v>
      </c>
      <c r="AO16" s="56" t="s">
        <v>48</v>
      </c>
      <c r="AP16" s="56" t="s">
        <v>49</v>
      </c>
      <c r="AQ16" s="56" t="s">
        <v>130</v>
      </c>
      <c r="AR16" s="56" t="s">
        <v>131</v>
      </c>
    </row>
    <row r="17" spans="1:47" x14ac:dyDescent="0.4">
      <c r="A17" s="8">
        <v>2</v>
      </c>
      <c r="B17" s="8">
        <v>17238</v>
      </c>
      <c r="C17" s="8">
        <v>15</v>
      </c>
      <c r="D17" s="8">
        <v>17238</v>
      </c>
      <c r="E17" s="8">
        <f t="shared" si="0"/>
        <v>0.64782261799422114</v>
      </c>
      <c r="F17" s="23">
        <f t="shared" si="1"/>
        <v>17564.616567810623</v>
      </c>
      <c r="G17" s="23">
        <f t="shared" si="4"/>
        <v>3229.3460670282602</v>
      </c>
      <c r="H17" s="23">
        <f t="shared" si="4"/>
        <v>384.59824357428988</v>
      </c>
      <c r="AA17" s="8">
        <v>16</v>
      </c>
      <c r="AB17" s="8">
        <v>17238</v>
      </c>
      <c r="AC17" s="8">
        <f t="shared" si="2"/>
        <v>297148644</v>
      </c>
      <c r="AD17" s="8">
        <f t="shared" si="3"/>
        <v>20471</v>
      </c>
      <c r="AJ17" s="54" t="s">
        <v>39</v>
      </c>
      <c r="AK17" s="54">
        <v>0</v>
      </c>
      <c r="AL17" s="54" t="e">
        <v>#N/A</v>
      </c>
      <c r="AM17" s="54" t="e">
        <v>#N/A</v>
      </c>
      <c r="AN17" s="54" t="e">
        <v>#N/A</v>
      </c>
      <c r="AO17" s="54" t="e">
        <v>#N/A</v>
      </c>
      <c r="AP17" s="54" t="e">
        <v>#N/A</v>
      </c>
      <c r="AQ17" s="54" t="e">
        <v>#N/A</v>
      </c>
      <c r="AR17" s="54" t="e">
        <v>#N/A</v>
      </c>
    </row>
    <row r="18" spans="1:47" x14ac:dyDescent="0.4">
      <c r="A18" s="8">
        <v>3</v>
      </c>
      <c r="B18" s="8">
        <v>20471</v>
      </c>
      <c r="C18" s="8">
        <v>16</v>
      </c>
      <c r="D18" s="8">
        <v>20471</v>
      </c>
      <c r="E18" s="8">
        <f t="shared" si="0"/>
        <v>0.37265192820671916</v>
      </c>
      <c r="F18" s="23">
        <f t="shared" si="1"/>
        <v>21093.421494546488</v>
      </c>
      <c r="G18" s="24">
        <f t="shared" si="4"/>
        <v>3528.8049267358656</v>
      </c>
      <c r="H18" s="23">
        <f t="shared" si="4"/>
        <v>299.45885970760537</v>
      </c>
      <c r="AA18" s="8">
        <v>17</v>
      </c>
      <c r="AB18" s="8">
        <v>20471</v>
      </c>
      <c r="AC18" s="8">
        <f t="shared" si="2"/>
        <v>419061841</v>
      </c>
      <c r="AD18" s="8">
        <f t="shared" si="3"/>
        <v>24363</v>
      </c>
      <c r="AJ18" s="54" t="s">
        <v>30</v>
      </c>
      <c r="AK18" s="54">
        <v>1.2825402214166799</v>
      </c>
      <c r="AL18" s="54">
        <v>2.1163618856615309E-2</v>
      </c>
      <c r="AM18" s="54">
        <v>60.601177431230617</v>
      </c>
      <c r="AN18" s="54">
        <v>3.8385064562885702E-24</v>
      </c>
      <c r="AO18" s="54">
        <v>1.2383936860699163</v>
      </c>
      <c r="AP18" s="54">
        <v>1.3266867567634484</v>
      </c>
      <c r="AQ18" s="54">
        <v>1.2383936860699163</v>
      </c>
      <c r="AR18" s="54">
        <v>1.3266867567634484</v>
      </c>
      <c r="AS18" s="8">
        <f>AK18-1</f>
        <v>0.28254022141667989</v>
      </c>
      <c r="AT18" s="8">
        <f>AO18-1</f>
        <v>0.23839368606991629</v>
      </c>
      <c r="AU18" s="8">
        <f>AP18-1</f>
        <v>0.32668675676344838</v>
      </c>
    </row>
    <row r="19" spans="1:47" ht="15.75" thickBot="1" x14ac:dyDescent="0.45">
      <c r="A19" s="12">
        <v>4</v>
      </c>
      <c r="B19" s="8">
        <v>24363</v>
      </c>
      <c r="C19" s="8">
        <v>17</v>
      </c>
      <c r="D19" s="8">
        <v>24363</v>
      </c>
      <c r="E19" s="8">
        <f t="shared" si="0"/>
        <v>5.8210577633589715E-2</v>
      </c>
      <c r="F19" s="23">
        <f t="shared" si="1"/>
        <v>24792.376620555089</v>
      </c>
      <c r="G19" s="23">
        <f t="shared" si="4"/>
        <v>3698.9551260086009</v>
      </c>
      <c r="H19" s="23">
        <f t="shared" si="4"/>
        <v>170.15019927273534</v>
      </c>
      <c r="AA19" s="8">
        <v>18</v>
      </c>
      <c r="AB19" s="8">
        <v>24363</v>
      </c>
      <c r="AC19" s="8">
        <f t="shared" si="2"/>
        <v>593555769</v>
      </c>
      <c r="AD19" s="8">
        <f t="shared" si="3"/>
        <v>28060</v>
      </c>
      <c r="AJ19" s="55" t="s">
        <v>30</v>
      </c>
      <c r="AK19" s="55">
        <v>-5.6298306438151042E-6</v>
      </c>
      <c r="AL19" s="55">
        <v>7.0945787304942587E-7</v>
      </c>
      <c r="AM19" s="55">
        <v>-7.9353980802506232</v>
      </c>
      <c r="AN19" s="55">
        <v>1.3209160629888491E-7</v>
      </c>
      <c r="AO19" s="55">
        <v>-7.1097338343711931E-6</v>
      </c>
      <c r="AP19" s="55">
        <v>-4.1499274532590153E-6</v>
      </c>
      <c r="AQ19" s="55">
        <v>-7.1097338343711931E-6</v>
      </c>
      <c r="AR19" s="55">
        <v>-4.1499274532590153E-6</v>
      </c>
      <c r="AS19" s="9">
        <f>-AS18/AK19</f>
        <v>50186.273671851348</v>
      </c>
      <c r="AT19" s="8">
        <f>-AT18/AO19</f>
        <v>33530.606296037324</v>
      </c>
      <c r="AU19" s="8">
        <f>-AU18/AP19</f>
        <v>78721.076559277004</v>
      </c>
    </row>
    <row r="20" spans="1:47" x14ac:dyDescent="0.4">
      <c r="A20" s="8">
        <v>5</v>
      </c>
      <c r="B20" s="8">
        <v>28060</v>
      </c>
      <c r="C20" s="8">
        <v>18</v>
      </c>
      <c r="D20" s="8">
        <v>28060</v>
      </c>
      <c r="E20" s="8">
        <f t="shared" si="0"/>
        <v>-0.2375793183479166</v>
      </c>
      <c r="F20" s="23">
        <f t="shared" si="1"/>
        <v>28504.450681029804</v>
      </c>
      <c r="G20" s="23">
        <f t="shared" si="4"/>
        <v>3712.0740604747152</v>
      </c>
      <c r="H20" s="23">
        <f t="shared" si="4"/>
        <v>13.118934466114297</v>
      </c>
      <c r="AA20" s="8">
        <v>19</v>
      </c>
      <c r="AB20" s="8">
        <v>28060</v>
      </c>
      <c r="AC20" s="8">
        <f t="shared" si="2"/>
        <v>787363600</v>
      </c>
      <c r="AD20" s="8">
        <f t="shared" si="3"/>
        <v>31211</v>
      </c>
    </row>
    <row r="21" spans="1:47" x14ac:dyDescent="0.4">
      <c r="A21" s="8">
        <v>6</v>
      </c>
      <c r="B21" s="8">
        <v>31211</v>
      </c>
      <c r="C21" s="8">
        <v>19</v>
      </c>
      <c r="D21" s="8">
        <v>31211</v>
      </c>
      <c r="E21" s="8">
        <f t="shared" si="0"/>
        <v>-0.49763385084523071</v>
      </c>
      <c r="F21" s="23">
        <f t="shared" si="1"/>
        <v>32070.396365371431</v>
      </c>
      <c r="G21" s="23">
        <f t="shared" si="4"/>
        <v>3565.9456843416265</v>
      </c>
      <c r="H21" s="23">
        <f t="shared" si="4"/>
        <v>-146.12837613308875</v>
      </c>
      <c r="AA21" s="8">
        <v>20</v>
      </c>
      <c r="AB21" s="8">
        <v>31211</v>
      </c>
      <c r="AC21" s="8">
        <f t="shared" si="2"/>
        <v>974126521</v>
      </c>
      <c r="AD21" s="8">
        <f t="shared" si="3"/>
        <v>34130</v>
      </c>
    </row>
    <row r="22" spans="1:47" x14ac:dyDescent="0.4">
      <c r="A22" s="8">
        <v>7</v>
      </c>
      <c r="B22" s="8">
        <v>34130</v>
      </c>
      <c r="C22" s="8">
        <v>20</v>
      </c>
      <c r="D22" s="8">
        <v>34130</v>
      </c>
      <c r="E22" s="8">
        <f t="shared" si="0"/>
        <v>-0.75407710673604911</v>
      </c>
      <c r="F22" s="23">
        <f t="shared" si="1"/>
        <v>35355.015382185193</v>
      </c>
      <c r="G22" s="23">
        <f t="shared" si="4"/>
        <v>3284.6190168137618</v>
      </c>
      <c r="H22" s="23">
        <f t="shared" si="4"/>
        <v>-281.32666752786463</v>
      </c>
      <c r="AA22" s="8">
        <v>21</v>
      </c>
      <c r="AB22" s="8">
        <v>34130</v>
      </c>
      <c r="AC22" s="8">
        <f t="shared" si="2"/>
        <v>1164856900</v>
      </c>
      <c r="AD22" s="8">
        <f t="shared" si="3"/>
        <v>37251</v>
      </c>
    </row>
    <row r="23" spans="1:47" x14ac:dyDescent="0.4">
      <c r="A23" s="12">
        <v>8</v>
      </c>
      <c r="B23" s="8">
        <v>37251</v>
      </c>
      <c r="C23" s="8">
        <v>21</v>
      </c>
      <c r="D23" s="8">
        <v>37251</v>
      </c>
      <c r="E23" s="8">
        <f t="shared" si="0"/>
        <v>-1.0577208172204242</v>
      </c>
      <c r="F23" s="23">
        <f t="shared" si="1"/>
        <v>38265.461442915526</v>
      </c>
      <c r="G23" s="23">
        <f t="shared" si="4"/>
        <v>2910.4460607303336</v>
      </c>
      <c r="H23" s="23">
        <f t="shared" si="4"/>
        <v>-374.17295608342829</v>
      </c>
      <c r="AA23" s="8">
        <v>22</v>
      </c>
      <c r="AB23" s="8">
        <v>37251</v>
      </c>
      <c r="AC23" s="8">
        <f t="shared" si="2"/>
        <v>1387637001</v>
      </c>
      <c r="AD23" s="8">
        <f t="shared" si="3"/>
        <v>40235</v>
      </c>
      <c r="AJ23" s="8" t="s">
        <v>50</v>
      </c>
      <c r="AO23" s="8" t="s">
        <v>51</v>
      </c>
    </row>
    <row r="24" spans="1:47" ht="15.75" thickBot="1" x14ac:dyDescent="0.45">
      <c r="A24" s="8">
        <v>9</v>
      </c>
      <c r="B24" s="8">
        <v>40235</v>
      </c>
      <c r="C24" s="8">
        <v>22</v>
      </c>
      <c r="D24" s="8">
        <v>40235</v>
      </c>
      <c r="E24" s="8">
        <f t="shared" si="0"/>
        <v>-1.3970367133985788</v>
      </c>
      <c r="F24" s="23">
        <f t="shared" si="1"/>
        <v>40757.091940996397</v>
      </c>
      <c r="G24" s="23">
        <f t="shared" si="4"/>
        <v>2491.6304980808709</v>
      </c>
      <c r="H24" s="23">
        <f t="shared" si="4"/>
        <v>-418.81556264946266</v>
      </c>
      <c r="AA24" s="8">
        <v>23</v>
      </c>
      <c r="AB24" s="8">
        <v>40235</v>
      </c>
      <c r="AC24" s="8">
        <f t="shared" si="2"/>
        <v>1618855225</v>
      </c>
      <c r="AD24" s="8">
        <f t="shared" si="3"/>
        <v>0</v>
      </c>
    </row>
    <row r="25" spans="1:47" x14ac:dyDescent="0.4">
      <c r="A25" s="8">
        <v>10</v>
      </c>
      <c r="B25" s="9">
        <v>42708</v>
      </c>
      <c r="C25" s="8">
        <v>23</v>
      </c>
      <c r="F25" s="23">
        <f t="shared" si="1"/>
        <v>42828.078087106776</v>
      </c>
      <c r="G25" s="23">
        <f t="shared" si="4"/>
        <v>2070.9861461103792</v>
      </c>
      <c r="H25" s="23">
        <f t="shared" si="4"/>
        <v>-420.6443519704917</v>
      </c>
      <c r="AJ25" s="56" t="s">
        <v>125</v>
      </c>
      <c r="AK25" s="56" t="s">
        <v>132</v>
      </c>
      <c r="AL25" s="56" t="s">
        <v>128</v>
      </c>
      <c r="AM25" s="56" t="s">
        <v>133</v>
      </c>
      <c r="AO25" s="56" t="s">
        <v>134</v>
      </c>
      <c r="AP25" s="56" t="s">
        <v>30</v>
      </c>
    </row>
    <row r="26" spans="1:47" x14ac:dyDescent="0.4">
      <c r="A26" s="8">
        <v>11</v>
      </c>
      <c r="C26" s="8">
        <v>24</v>
      </c>
      <c r="F26" s="23">
        <f t="shared" si="1"/>
        <v>44507.577618847186</v>
      </c>
      <c r="G26" s="23">
        <f t="shared" si="4"/>
        <v>1679.49953174041</v>
      </c>
      <c r="H26" s="23">
        <f t="shared" si="4"/>
        <v>-391.48661436996917</v>
      </c>
      <c r="T26" s="27"/>
      <c r="AJ26" s="54">
        <v>1</v>
      </c>
      <c r="AK26" s="54">
        <v>372.74246474350565</v>
      </c>
      <c r="AL26" s="54">
        <v>18.25753525649435</v>
      </c>
      <c r="AM26" s="54">
        <v>4.1522060872968773E-2</v>
      </c>
      <c r="AO26" s="54">
        <v>2.2727272727272729</v>
      </c>
      <c r="AP26" s="54">
        <v>391</v>
      </c>
    </row>
    <row r="27" spans="1:47" x14ac:dyDescent="0.4">
      <c r="A27" s="8">
        <v>12</v>
      </c>
      <c r="C27" s="8">
        <v>25</v>
      </c>
      <c r="F27" s="23">
        <f t="shared" si="1"/>
        <v>45842.612412644114</v>
      </c>
      <c r="G27" s="23">
        <f t="shared" si="4"/>
        <v>1335.0347937969273</v>
      </c>
      <c r="H27" s="23">
        <f t="shared" si="4"/>
        <v>-344.46473794348276</v>
      </c>
      <c r="AJ27" s="54">
        <v>2</v>
      </c>
      <c r="AK27" s="54">
        <v>500.61253243526568</v>
      </c>
      <c r="AL27" s="54">
        <v>-60.612532435265678</v>
      </c>
      <c r="AM27" s="54">
        <v>-0.13784759147851927</v>
      </c>
      <c r="AN27" s="8">
        <f>AM27-AM26</f>
        <v>-0.17936965235148805</v>
      </c>
      <c r="AO27" s="54">
        <v>6.8181818181818183</v>
      </c>
      <c r="AP27" s="54">
        <v>440</v>
      </c>
    </row>
    <row r="28" spans="1:47" x14ac:dyDescent="0.4">
      <c r="A28" s="8">
        <v>13</v>
      </c>
      <c r="C28" s="8">
        <v>26</v>
      </c>
      <c r="F28" s="23">
        <f t="shared" si="1"/>
        <v>46887.052379318222</v>
      </c>
      <c r="G28" s="23">
        <f t="shared" si="4"/>
        <v>1044.4399666741083</v>
      </c>
      <c r="H28" s="23">
        <f t="shared" si="4"/>
        <v>-290.59482712281897</v>
      </c>
      <c r="AJ28" s="54">
        <v>3</v>
      </c>
      <c r="AK28" s="54">
        <v>563.22776221069762</v>
      </c>
      <c r="AL28" s="54">
        <v>7.7722377893023804</v>
      </c>
      <c r="AM28" s="54">
        <v>1.7675952754455607E-2</v>
      </c>
      <c r="AN28" s="8">
        <f t="shared" ref="AN28:AN47" si="5">AM28-AM27</f>
        <v>0.15552354423297488</v>
      </c>
      <c r="AO28" s="54">
        <v>11.363636363636365</v>
      </c>
      <c r="AP28" s="54">
        <v>571</v>
      </c>
    </row>
    <row r="29" spans="1:47" x14ac:dyDescent="0.4">
      <c r="A29" s="8">
        <v>14</v>
      </c>
      <c r="C29" s="8">
        <v>27</v>
      </c>
      <c r="F29" s="23">
        <f t="shared" si="1"/>
        <v>47694.008411123956</v>
      </c>
      <c r="G29" s="23">
        <f t="shared" si="4"/>
        <v>806.9560318057338</v>
      </c>
      <c r="H29" s="23">
        <f t="shared" si="4"/>
        <v>-237.48393486837449</v>
      </c>
      <c r="AJ29" s="54">
        <v>4</v>
      </c>
      <c r="AK29" s="54">
        <v>730.49491081598558</v>
      </c>
      <c r="AL29" s="54">
        <v>99.505089184014423</v>
      </c>
      <c r="AM29" s="54">
        <v>0.22629869323676485</v>
      </c>
      <c r="AN29" s="8">
        <f t="shared" si="5"/>
        <v>0.20862274048230925</v>
      </c>
      <c r="AO29" s="54">
        <v>15.90909090909091</v>
      </c>
      <c r="AP29" s="54">
        <v>830</v>
      </c>
    </row>
    <row r="30" spans="1:47" x14ac:dyDescent="0.4">
      <c r="A30" s="8">
        <v>15</v>
      </c>
      <c r="C30" s="8">
        <v>28</v>
      </c>
      <c r="F30" s="23">
        <f t="shared" si="1"/>
        <v>48311.483209058097</v>
      </c>
      <c r="G30" s="23">
        <f t="shared" si="4"/>
        <v>617.47479793414095</v>
      </c>
      <c r="H30" s="23">
        <f t="shared" si="4"/>
        <v>-189.48123387159285</v>
      </c>
      <c r="AJ30" s="54">
        <v>5</v>
      </c>
      <c r="AK30" s="54">
        <v>1060.629993445322</v>
      </c>
      <c r="AL30" s="54">
        <v>226.37000655467796</v>
      </c>
      <c r="AM30" s="54">
        <v>0.51482026790194779</v>
      </c>
      <c r="AN30" s="8">
        <f t="shared" si="5"/>
        <v>0.28852157466518291</v>
      </c>
      <c r="AO30" s="54">
        <v>20.454545454545457</v>
      </c>
      <c r="AP30" s="54">
        <v>1287</v>
      </c>
    </row>
    <row r="31" spans="1:47" x14ac:dyDescent="0.4">
      <c r="A31" s="8">
        <v>16</v>
      </c>
      <c r="C31" s="8">
        <v>29</v>
      </c>
      <c r="F31" s="23">
        <f t="shared" si="1"/>
        <v>48780.483855273327</v>
      </c>
      <c r="G31" s="23">
        <f t="shared" si="4"/>
        <v>469.00064621523052</v>
      </c>
      <c r="H31" s="23">
        <f t="shared" si="4"/>
        <v>-148.47415171891043</v>
      </c>
      <c r="AJ31" s="54">
        <v>6</v>
      </c>
      <c r="AK31" s="54">
        <v>1641.3041880096048</v>
      </c>
      <c r="AL31" s="54">
        <v>333.69581199039521</v>
      </c>
      <c r="AM31" s="54">
        <v>0.75890516566804045</v>
      </c>
      <c r="AN31" s="8">
        <f t="shared" si="5"/>
        <v>0.24408489776609266</v>
      </c>
      <c r="AO31" s="54">
        <v>25.000000000000004</v>
      </c>
      <c r="AP31" s="54">
        <v>1975</v>
      </c>
    </row>
    <row r="32" spans="1:47" x14ac:dyDescent="0.4">
      <c r="A32" s="8">
        <v>17</v>
      </c>
      <c r="C32" s="8">
        <v>30</v>
      </c>
      <c r="F32" s="23">
        <f t="shared" si="1"/>
        <v>49134.712283485344</v>
      </c>
      <c r="G32" s="23">
        <f t="shared" si="4"/>
        <v>354.2284282120163</v>
      </c>
      <c r="H32" s="23">
        <f t="shared" si="4"/>
        <v>-114.77221800321422</v>
      </c>
      <c r="AJ32" s="54">
        <v>7</v>
      </c>
      <c r="AK32" s="54">
        <v>2511.0570791429163</v>
      </c>
      <c r="AL32" s="54">
        <v>232.94292085708366</v>
      </c>
      <c r="AM32" s="54">
        <v>0.5297686683263817</v>
      </c>
      <c r="AN32" s="8">
        <f t="shared" si="5"/>
        <v>-0.22913649734165875</v>
      </c>
      <c r="AO32" s="54">
        <v>29.545454545454547</v>
      </c>
      <c r="AP32" s="54">
        <v>2744</v>
      </c>
    </row>
    <row r="33" spans="1:42" x14ac:dyDescent="0.4">
      <c r="A33" s="8">
        <v>18</v>
      </c>
      <c r="C33" s="8">
        <v>31</v>
      </c>
      <c r="F33" s="23">
        <f t="shared" si="1"/>
        <v>49401.119523881156</v>
      </c>
      <c r="G33" s="23">
        <f t="shared" si="4"/>
        <v>266.40724039581255</v>
      </c>
      <c r="H33" s="23">
        <f t="shared" si="4"/>
        <v>-87.821187816203746</v>
      </c>
      <c r="AJ33" s="54">
        <v>8</v>
      </c>
      <c r="AK33" s="54">
        <v>3476.9003550608677</v>
      </c>
      <c r="AL33" s="54">
        <v>1038.0996449391323</v>
      </c>
      <c r="AM33" s="57">
        <v>2.3608902321049867</v>
      </c>
      <c r="AN33" s="8">
        <f t="shared" si="5"/>
        <v>1.8311215637786051</v>
      </c>
      <c r="AO33" s="54">
        <v>34.090909090909093</v>
      </c>
      <c r="AP33" s="54">
        <v>4515</v>
      </c>
    </row>
    <row r="34" spans="1:42" x14ac:dyDescent="0.4">
      <c r="A34" s="8">
        <v>19</v>
      </c>
      <c r="C34" s="8">
        <v>32</v>
      </c>
      <c r="F34" s="23">
        <f t="shared" si="1"/>
        <v>49600.838139170919</v>
      </c>
      <c r="G34" s="23">
        <f t="shared" si="4"/>
        <v>199.71861528976297</v>
      </c>
      <c r="H34" s="23">
        <f t="shared" si="4"/>
        <v>-66.688625106049585</v>
      </c>
      <c r="AJ34" s="54">
        <v>9</v>
      </c>
      <c r="AK34" s="54">
        <v>5675.9037353102549</v>
      </c>
      <c r="AL34" s="54">
        <v>299.09626468974511</v>
      </c>
      <c r="AM34" s="54">
        <v>0.68021740803746267</v>
      </c>
      <c r="AN34" s="8">
        <f t="shared" si="5"/>
        <v>-1.6806728240675239</v>
      </c>
      <c r="AO34" s="54">
        <v>38.63636363636364</v>
      </c>
      <c r="AP34" s="54">
        <v>5975</v>
      </c>
    </row>
    <row r="35" spans="1:42" x14ac:dyDescent="0.4">
      <c r="A35" s="8">
        <v>20</v>
      </c>
      <c r="C35" s="8">
        <v>33</v>
      </c>
      <c r="F35" s="23">
        <f t="shared" si="1"/>
        <v>49750.203033992635</v>
      </c>
      <c r="G35" s="23">
        <f t="shared" si="4"/>
        <v>149.36489482171601</v>
      </c>
      <c r="H35" s="23">
        <f t="shared" si="4"/>
        <v>-50.353720468046959</v>
      </c>
      <c r="AJ35" s="54">
        <v>10</v>
      </c>
      <c r="AK35" s="54">
        <v>7462.1893503363253</v>
      </c>
      <c r="AL35" s="54">
        <v>-1465.1893503363253</v>
      </c>
      <c r="AM35" s="57">
        <v>-3.3321957504340585</v>
      </c>
      <c r="AN35" s="8">
        <f t="shared" si="5"/>
        <v>-4.0124131584715208</v>
      </c>
      <c r="AO35" s="54">
        <v>43.181818181818187</v>
      </c>
      <c r="AP35" s="54">
        <v>5997</v>
      </c>
    </row>
    <row r="36" spans="1:42" x14ac:dyDescent="0.4">
      <c r="A36" s="8">
        <v>21</v>
      </c>
      <c r="C36" s="8">
        <v>34</v>
      </c>
      <c r="F36" s="23">
        <f t="shared" si="1"/>
        <v>49861.709129227042</v>
      </c>
      <c r="G36" s="23">
        <f t="shared" si="4"/>
        <v>111.50609523440653</v>
      </c>
      <c r="H36" s="23">
        <f t="shared" si="4"/>
        <v>-37.858799587309477</v>
      </c>
      <c r="AJ36" s="54">
        <v>11</v>
      </c>
      <c r="AK36" s="54">
        <v>7488.9224278932015</v>
      </c>
      <c r="AL36" s="54">
        <v>247.07757210679847</v>
      </c>
      <c r="AM36" s="54">
        <v>0.56191429156433093</v>
      </c>
      <c r="AN36" s="8">
        <f t="shared" si="5"/>
        <v>3.8941100419983892</v>
      </c>
      <c r="AO36" s="54">
        <v>47.727272727272734</v>
      </c>
      <c r="AP36" s="54">
        <v>7736</v>
      </c>
    </row>
    <row r="37" spans="1:42" x14ac:dyDescent="0.4">
      <c r="A37" s="8">
        <v>22</v>
      </c>
      <c r="C37" s="8">
        <v>35</v>
      </c>
      <c r="F37" s="23">
        <f t="shared" si="1"/>
        <v>49944.840761472544</v>
      </c>
      <c r="G37" s="23">
        <f t="shared" si="4"/>
        <v>83.13163224550226</v>
      </c>
      <c r="H37" s="23">
        <f t="shared" si="4"/>
        <v>-28.37446298890427</v>
      </c>
      <c r="AJ37" s="54">
        <v>12</v>
      </c>
      <c r="AK37" s="54">
        <v>9584.8100196382111</v>
      </c>
      <c r="AL37" s="54">
        <v>135.18998036178891</v>
      </c>
      <c r="AM37" s="54">
        <v>0.30745478593562808</v>
      </c>
      <c r="AN37" s="8">
        <f t="shared" si="5"/>
        <v>-0.25445950562870284</v>
      </c>
      <c r="AO37" s="54">
        <v>52.27272727272728</v>
      </c>
      <c r="AP37" s="54">
        <v>9720</v>
      </c>
    </row>
    <row r="38" spans="1:42" x14ac:dyDescent="0.4">
      <c r="A38" s="8">
        <v>23</v>
      </c>
      <c r="C38" s="8">
        <v>36</v>
      </c>
      <c r="F38" s="23">
        <f t="shared" si="1"/>
        <v>50006.756314503218</v>
      </c>
      <c r="G38" s="23">
        <f t="shared" si="4"/>
        <v>61.915553030674346</v>
      </c>
      <c r="H38" s="23">
        <f t="shared" si="4"/>
        <v>-21.216079214827914</v>
      </c>
      <c r="AJ38" s="54">
        <v>13</v>
      </c>
      <c r="AK38" s="54">
        <v>11934.393560671531</v>
      </c>
      <c r="AL38" s="54">
        <v>-113.3935606715313</v>
      </c>
      <c r="AM38" s="54">
        <v>-0.25788444402051525</v>
      </c>
      <c r="AN38" s="8">
        <f t="shared" si="5"/>
        <v>-0.56533922995614327</v>
      </c>
      <c r="AO38" s="54">
        <v>56.81818181818182</v>
      </c>
      <c r="AP38" s="54">
        <v>11821</v>
      </c>
    </row>
    <row r="39" spans="1:42" x14ac:dyDescent="0.4">
      <c r="A39" s="8">
        <v>24</v>
      </c>
      <c r="C39" s="8">
        <v>37</v>
      </c>
      <c r="F39" s="23">
        <f t="shared" si="1"/>
        <v>50052.836024597222</v>
      </c>
      <c r="G39" s="23">
        <f t="shared" si="4"/>
        <v>46.079710094003531</v>
      </c>
      <c r="H39" s="23">
        <f t="shared" si="4"/>
        <v>-15.835842936670815</v>
      </c>
      <c r="AJ39" s="54">
        <v>14</v>
      </c>
      <c r="AK39" s="54">
        <v>14374.217711699399</v>
      </c>
      <c r="AL39" s="54">
        <v>36.782288300601067</v>
      </c>
      <c r="AM39" s="54">
        <v>8.3651839769630476E-2</v>
      </c>
      <c r="AN39" s="8">
        <f t="shared" si="5"/>
        <v>0.34153628379014572</v>
      </c>
      <c r="AO39" s="54">
        <v>61.363636363636367</v>
      </c>
      <c r="AP39" s="54">
        <v>14411</v>
      </c>
    </row>
    <row r="40" spans="1:42" x14ac:dyDescent="0.4">
      <c r="A40" s="8">
        <v>25</v>
      </c>
      <c r="C40" s="8">
        <v>38</v>
      </c>
      <c r="F40" s="23">
        <f t="shared" si="1"/>
        <v>50087.111142823618</v>
      </c>
      <c r="G40" s="23">
        <f t="shared" si="4"/>
        <v>34.275118226396444</v>
      </c>
      <c r="H40" s="23">
        <f t="shared" si="4"/>
        <v>-11.804591867607087</v>
      </c>
      <c r="AJ40" s="54">
        <v>15</v>
      </c>
      <c r="AK40" s="54">
        <v>17313.501236976841</v>
      </c>
      <c r="AL40" s="54">
        <v>-75.501236976841028</v>
      </c>
      <c r="AM40" s="54">
        <v>-0.1717081146876987</v>
      </c>
      <c r="AN40" s="8">
        <f t="shared" si="5"/>
        <v>-0.25535995445732917</v>
      </c>
      <c r="AO40" s="54">
        <v>65.909090909090907</v>
      </c>
      <c r="AP40" s="54">
        <v>17238</v>
      </c>
    </row>
    <row r="41" spans="1:42" x14ac:dyDescent="0.4">
      <c r="A41" s="8">
        <v>26</v>
      </c>
      <c r="C41" s="8">
        <v>39</v>
      </c>
      <c r="F41" s="23">
        <f t="shared" si="1"/>
        <v>50112.595230510473</v>
      </c>
      <c r="G41" s="23">
        <f t="shared" si="4"/>
        <v>25.484087686854764</v>
      </c>
      <c r="H41" s="23">
        <f t="shared" si="4"/>
        <v>-8.7910305395416799</v>
      </c>
      <c r="AJ41" s="54">
        <v>16</v>
      </c>
      <c r="AK41" s="54">
        <v>20435.531795021463</v>
      </c>
      <c r="AL41" s="54">
        <v>35.46820497853696</v>
      </c>
      <c r="AM41" s="54">
        <v>8.0663295756194159E-2</v>
      </c>
      <c r="AN41" s="8">
        <f t="shared" si="5"/>
        <v>0.25237141044389289</v>
      </c>
      <c r="AO41" s="54">
        <v>70.454545454545453</v>
      </c>
      <c r="AP41" s="54">
        <v>20471</v>
      </c>
    </row>
    <row r="42" spans="1:42" x14ac:dyDescent="0.4">
      <c r="A42" s="8">
        <v>27</v>
      </c>
      <c r="C42" s="8">
        <v>40</v>
      </c>
      <c r="F42" s="23">
        <f t="shared" si="1"/>
        <v>50131.537240167265</v>
      </c>
      <c r="G42" s="23">
        <f t="shared" si="4"/>
        <v>18.942009656791924</v>
      </c>
      <c r="H42" s="23">
        <f t="shared" si="4"/>
        <v>-6.5420780300628394</v>
      </c>
      <c r="AJ42" s="54">
        <v>17</v>
      </c>
      <c r="AK42" s="54">
        <v>23895.633678505532</v>
      </c>
      <c r="AL42" s="54">
        <v>467.36632149446814</v>
      </c>
      <c r="AM42" s="54">
        <v>1.0629043065473982</v>
      </c>
      <c r="AN42" s="8">
        <f t="shared" si="5"/>
        <v>0.98224101079120407</v>
      </c>
      <c r="AO42" s="54">
        <v>75</v>
      </c>
      <c r="AP42" s="54">
        <v>24363</v>
      </c>
    </row>
    <row r="43" spans="1:42" x14ac:dyDescent="0.4">
      <c r="A43" s="8">
        <v>28</v>
      </c>
      <c r="C43" s="8">
        <v>41</v>
      </c>
      <c r="F43" s="23">
        <f t="shared" si="1"/>
        <v>50145.613394887856</v>
      </c>
      <c r="G43" s="23">
        <f t="shared" si="4"/>
        <v>14.076154720591148</v>
      </c>
      <c r="H43" s="23">
        <f t="shared" si="4"/>
        <v>-4.8658549362007761</v>
      </c>
      <c r="AJ43" s="54">
        <v>18</v>
      </c>
      <c r="AK43" s="54">
        <v>27904.908957245192</v>
      </c>
      <c r="AL43" s="54">
        <v>155.09104275480786</v>
      </c>
      <c r="AM43" s="54">
        <v>0.35271462591461694</v>
      </c>
      <c r="AN43" s="8">
        <f t="shared" si="5"/>
        <v>-0.71018968063278121</v>
      </c>
      <c r="AO43" s="54">
        <v>79.545454545454547</v>
      </c>
      <c r="AP43" s="54">
        <v>28060</v>
      </c>
    </row>
    <row r="44" spans="1:42" x14ac:dyDescent="0.4">
      <c r="A44" s="8">
        <v>29</v>
      </c>
      <c r="C44" s="8">
        <v>42</v>
      </c>
      <c r="F44" s="23">
        <f t="shared" si="1"/>
        <v>50156.071872001601</v>
      </c>
      <c r="G44" s="23">
        <f t="shared" si="4"/>
        <v>10.458477113745175</v>
      </c>
      <c r="H44" s="23">
        <f t="shared" si="4"/>
        <v>-3.6176776068459731</v>
      </c>
      <c r="AJ44" s="54">
        <v>19</v>
      </c>
      <c r="AK44" s="54">
        <v>31555.354889847527</v>
      </c>
      <c r="AL44" s="54">
        <v>-344.35488984752737</v>
      </c>
      <c r="AM44" s="54">
        <v>-0.78314649251834045</v>
      </c>
      <c r="AN44" s="8">
        <f t="shared" si="5"/>
        <v>-1.1358611184329575</v>
      </c>
      <c r="AO44" s="54">
        <v>84.090909090909093</v>
      </c>
      <c r="AP44" s="54">
        <v>31211</v>
      </c>
    </row>
    <row r="45" spans="1:42" x14ac:dyDescent="0.4">
      <c r="H45" s="23"/>
      <c r="AJ45" s="54">
        <v>20</v>
      </c>
      <c r="AK45" s="54">
        <v>34545.195511757272</v>
      </c>
      <c r="AL45" s="54">
        <v>-415.19551175727247</v>
      </c>
      <c r="AM45" s="54">
        <v>-0.94425523879169648</v>
      </c>
      <c r="AN45" s="8">
        <f t="shared" si="5"/>
        <v>-0.16110874627335603</v>
      </c>
      <c r="AO45" s="54">
        <v>88.63636363636364</v>
      </c>
      <c r="AP45" s="54">
        <v>34130</v>
      </c>
    </row>
    <row r="46" spans="1:42" x14ac:dyDescent="0.4">
      <c r="H46" s="23"/>
      <c r="AJ46" s="54">
        <v>21</v>
      </c>
      <c r="AK46" s="54">
        <v>37215.150685671906</v>
      </c>
      <c r="AL46" s="54">
        <v>35.849314328093897</v>
      </c>
      <c r="AM46" s="54">
        <v>8.1530030799519995E-2</v>
      </c>
      <c r="AN46" s="8">
        <f t="shared" si="5"/>
        <v>1.0257852695912164</v>
      </c>
      <c r="AO46" s="54">
        <v>93.181818181818187</v>
      </c>
      <c r="AP46" s="54">
        <v>37251</v>
      </c>
    </row>
    <row r="47" spans="1:42" ht="15.75" thickBot="1" x14ac:dyDescent="0.45">
      <c r="AJ47" s="55">
        <v>22</v>
      </c>
      <c r="AK47" s="55">
        <v>39963.74447727135</v>
      </c>
      <c r="AL47" s="55">
        <v>271.25552272865025</v>
      </c>
      <c r="AM47" s="55">
        <v>0.61690081211052905</v>
      </c>
      <c r="AN47" s="8">
        <f t="shared" si="5"/>
        <v>0.53537078131100901</v>
      </c>
      <c r="AO47" s="55">
        <v>97.727272727272734</v>
      </c>
      <c r="AP47" s="55">
        <v>40235</v>
      </c>
    </row>
    <row r="49" spans="39:40" x14ac:dyDescent="0.4">
      <c r="AM49" s="8">
        <f>SUMSQ(AM26:AM47)</f>
        <v>22</v>
      </c>
      <c r="AN49" s="8">
        <f>SUMSQ(AN26:AN47)</f>
        <v>42.49049560025292</v>
      </c>
    </row>
    <row r="50" spans="39:40" x14ac:dyDescent="0.4">
      <c r="AN50" s="8">
        <f>AN49/AM49</f>
        <v>1.93138616364786</v>
      </c>
    </row>
  </sheetData>
  <sortState ref="AP26:AP47">
    <sortCondition ref="AP26"/>
  </sortState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38"/>
  <sheetViews>
    <sheetView tabSelected="1" workbookViewId="0">
      <selection activeCell="G13" sqref="G13"/>
    </sheetView>
  </sheetViews>
  <sheetFormatPr defaultColWidth="9" defaultRowHeight="13.9" x14ac:dyDescent="0.4"/>
  <cols>
    <col min="1" max="1" width="9.73046875" style="32" customWidth="1"/>
    <col min="2" max="4" width="9" style="32"/>
    <col min="5" max="10" width="9" style="25"/>
    <col min="11" max="11" width="9.265625" style="25" bestFit="1" customWidth="1"/>
    <col min="12" max="16384" width="9" style="25"/>
  </cols>
  <sheetData>
    <row r="1" spans="1:51" x14ac:dyDescent="0.4">
      <c r="A1" s="31" t="s">
        <v>76</v>
      </c>
      <c r="B1" s="31" t="s">
        <v>77</v>
      </c>
      <c r="C1" s="32" t="s">
        <v>78</v>
      </c>
      <c r="D1" s="32" t="s">
        <v>79</v>
      </c>
      <c r="E1" s="25" t="s">
        <v>80</v>
      </c>
      <c r="F1" s="25" t="s">
        <v>18</v>
      </c>
      <c r="G1" s="25" t="s">
        <v>81</v>
      </c>
      <c r="H1" s="25" t="s">
        <v>82</v>
      </c>
      <c r="I1" s="25" t="s">
        <v>83</v>
      </c>
      <c r="K1" s="29">
        <v>380</v>
      </c>
      <c r="Y1" s="25" t="s">
        <v>35</v>
      </c>
      <c r="AQ1" s="25" t="s">
        <v>35</v>
      </c>
    </row>
    <row r="2" spans="1:51" ht="14.25" thickBot="1" x14ac:dyDescent="0.45">
      <c r="A2" s="31">
        <v>29</v>
      </c>
      <c r="B2" s="31">
        <v>111</v>
      </c>
      <c r="D2" s="32">
        <v>0</v>
      </c>
      <c r="E2" s="25">
        <v>111</v>
      </c>
      <c r="F2" s="25">
        <f>LN($K$1/E2-1)</f>
        <v>0.88518117828950504</v>
      </c>
      <c r="G2" s="26">
        <f>$K$1/(1+$K$2*EXP(-$K$3*D2))</f>
        <v>103.77248857048944</v>
      </c>
      <c r="K2" s="30">
        <f>EXP(+ 0.97902395  )</f>
        <v>2.6618568681802186</v>
      </c>
    </row>
    <row r="3" spans="1:51" x14ac:dyDescent="0.4">
      <c r="A3" s="31">
        <v>30</v>
      </c>
      <c r="B3" s="31">
        <v>121</v>
      </c>
      <c r="D3" s="32">
        <v>1</v>
      </c>
      <c r="E3" s="25">
        <v>121</v>
      </c>
      <c r="F3" s="25">
        <f t="shared" ref="F3:F11" si="0">LN($K$1/E3-1)</f>
        <v>0.7610375161027968</v>
      </c>
      <c r="G3" s="26">
        <f t="shared" ref="G3:G34" si="1">$K$1/(1+$K$2*EXP(-$K$3*D3))</f>
        <v>126.26462080106838</v>
      </c>
      <c r="H3" s="42">
        <f>G3-G2</f>
        <v>22.492132230578932</v>
      </c>
      <c r="I3" s="42"/>
      <c r="K3" s="30">
        <v>0.28111191000000002</v>
      </c>
      <c r="Y3" s="33" t="s">
        <v>61</v>
      </c>
      <c r="Z3" s="33"/>
      <c r="AQ3" s="33" t="s">
        <v>61</v>
      </c>
      <c r="AR3" s="33"/>
    </row>
    <row r="4" spans="1:51" x14ac:dyDescent="0.4">
      <c r="A4" s="31">
        <v>31</v>
      </c>
      <c r="B4" s="31">
        <v>139</v>
      </c>
      <c r="D4" s="32">
        <v>2</v>
      </c>
      <c r="E4" s="25">
        <v>139</v>
      </c>
      <c r="F4" s="25">
        <f t="shared" si="0"/>
        <v>0.55032300035996318</v>
      </c>
      <c r="G4" s="26">
        <f t="shared" si="1"/>
        <v>150.96742748229414</v>
      </c>
      <c r="H4" s="42">
        <f t="shared" ref="H4:I34" si="2">G4-G3</f>
        <v>24.702806681225766</v>
      </c>
      <c r="I4" s="42">
        <f t="shared" si="2"/>
        <v>2.2106744506468345</v>
      </c>
      <c r="K4" s="29">
        <v>0.99309999999999998</v>
      </c>
      <c r="Y4" s="34" t="s">
        <v>36</v>
      </c>
      <c r="Z4" s="34">
        <v>0.99466084015266087</v>
      </c>
      <c r="AQ4" s="34" t="s">
        <v>36</v>
      </c>
      <c r="AR4" s="34">
        <v>0.99655597958098219</v>
      </c>
    </row>
    <row r="5" spans="1:51" x14ac:dyDescent="0.4">
      <c r="A5" s="31">
        <v>1</v>
      </c>
      <c r="B5" s="31">
        <v>183</v>
      </c>
      <c r="D5" s="32">
        <v>3</v>
      </c>
      <c r="E5" s="25">
        <v>183</v>
      </c>
      <c r="F5" s="25">
        <f t="shared" si="0"/>
        <v>7.3717575896567647E-2</v>
      </c>
      <c r="G5" s="26">
        <f t="shared" si="1"/>
        <v>177.12936013668156</v>
      </c>
      <c r="H5" s="42">
        <f t="shared" si="2"/>
        <v>26.161932654387414</v>
      </c>
      <c r="I5" s="42">
        <f t="shared" si="2"/>
        <v>1.4591259731616475</v>
      </c>
      <c r="Y5" s="34" t="s">
        <v>37</v>
      </c>
      <c r="Z5" s="34">
        <v>0.9893501869331971</v>
      </c>
      <c r="AQ5" s="34" t="s">
        <v>37</v>
      </c>
      <c r="AR5" s="34">
        <v>0.99312382043861092</v>
      </c>
    </row>
    <row r="6" spans="1:51" x14ac:dyDescent="0.4">
      <c r="A6" s="31">
        <v>2</v>
      </c>
      <c r="B6" s="31">
        <v>212</v>
      </c>
      <c r="D6" s="32">
        <v>4</v>
      </c>
      <c r="E6" s="25">
        <v>212</v>
      </c>
      <c r="F6" s="25">
        <f t="shared" si="0"/>
        <v>-0.23262229526875347</v>
      </c>
      <c r="G6" s="26">
        <f t="shared" si="1"/>
        <v>203.79095479581736</v>
      </c>
      <c r="H6" s="42">
        <f t="shared" si="2"/>
        <v>26.661594659135801</v>
      </c>
      <c r="I6" s="42">
        <f t="shared" si="2"/>
        <v>0.49966200474838729</v>
      </c>
      <c r="Y6" s="34" t="s">
        <v>38</v>
      </c>
      <c r="Z6" s="34">
        <v>0.98801896029984682</v>
      </c>
      <c r="AQ6" s="34" t="s">
        <v>38</v>
      </c>
      <c r="AR6" s="34">
        <v>0.99226429799343729</v>
      </c>
    </row>
    <row r="7" spans="1:51" x14ac:dyDescent="0.4">
      <c r="A7" s="31">
        <v>3</v>
      </c>
      <c r="B7" s="31">
        <v>228</v>
      </c>
      <c r="D7" s="32">
        <v>5</v>
      </c>
      <c r="E7" s="25">
        <v>228</v>
      </c>
      <c r="F7" s="25">
        <f t="shared" si="0"/>
        <v>-0.40546510810816427</v>
      </c>
      <c r="G7" s="26">
        <f t="shared" si="1"/>
        <v>229.91751761446614</v>
      </c>
      <c r="H7" s="42">
        <f t="shared" si="2"/>
        <v>26.126562818648779</v>
      </c>
      <c r="I7" s="42">
        <f t="shared" si="2"/>
        <v>-0.53503184048702224</v>
      </c>
      <c r="Y7" s="34" t="s">
        <v>62</v>
      </c>
      <c r="Z7" s="34">
        <v>8.0144755400349332</v>
      </c>
      <c r="AQ7" s="34" t="s">
        <v>62</v>
      </c>
      <c r="AR7" s="34">
        <v>7.5116117245274283E-2</v>
      </c>
    </row>
    <row r="8" spans="1:51" ht="14.25" thickBot="1" x14ac:dyDescent="0.45">
      <c r="A8" s="31">
        <v>4</v>
      </c>
      <c r="B8" s="31">
        <v>253</v>
      </c>
      <c r="D8" s="32">
        <v>6</v>
      </c>
      <c r="E8" s="25">
        <v>253</v>
      </c>
      <c r="F8" s="25">
        <f t="shared" si="0"/>
        <v>-0.68920240226892904</v>
      </c>
      <c r="G8" s="26">
        <f t="shared" si="1"/>
        <v>254.55483217198994</v>
      </c>
      <c r="H8" s="42">
        <f t="shared" si="2"/>
        <v>24.637314557523808</v>
      </c>
      <c r="I8" s="42">
        <f t="shared" si="2"/>
        <v>-1.4892482611249704</v>
      </c>
      <c r="Y8" s="35" t="s">
        <v>63</v>
      </c>
      <c r="Z8" s="35">
        <v>10</v>
      </c>
      <c r="AQ8" s="35" t="s">
        <v>63</v>
      </c>
      <c r="AR8" s="35">
        <v>10</v>
      </c>
    </row>
    <row r="9" spans="1:51" x14ac:dyDescent="0.4">
      <c r="A9" s="31">
        <v>5</v>
      </c>
      <c r="B9" s="31">
        <v>274</v>
      </c>
      <c r="D9" s="32">
        <v>7</v>
      </c>
      <c r="E9" s="25">
        <v>274</v>
      </c>
      <c r="F9" s="25">
        <f t="shared" si="0"/>
        <v>-0.94968901227600289</v>
      </c>
      <c r="G9" s="26">
        <f t="shared" si="1"/>
        <v>276.96026967808893</v>
      </c>
      <c r="H9" s="42">
        <f t="shared" si="2"/>
        <v>22.405437506098991</v>
      </c>
      <c r="I9" s="42">
        <f t="shared" si="2"/>
        <v>-2.2318770514248172</v>
      </c>
    </row>
    <row r="10" spans="1:51" ht="14.25" thickBot="1" x14ac:dyDescent="0.45">
      <c r="A10" s="31">
        <v>6</v>
      </c>
      <c r="B10" s="31">
        <v>297</v>
      </c>
      <c r="D10" s="32">
        <v>8</v>
      </c>
      <c r="E10" s="25">
        <v>297</v>
      </c>
      <c r="F10" s="25">
        <f t="shared" si="0"/>
        <v>-1.274891531006102</v>
      </c>
      <c r="G10" s="26">
        <f t="shared" si="1"/>
        <v>296.67387395503692</v>
      </c>
      <c r="H10" s="43">
        <f t="shared" si="2"/>
        <v>19.71360427694799</v>
      </c>
      <c r="I10" s="42">
        <f t="shared" si="2"/>
        <v>-2.6918332291510012</v>
      </c>
      <c r="J10" s="29"/>
      <c r="Y10" s="25" t="s">
        <v>64</v>
      </c>
      <c r="AQ10" s="25" t="s">
        <v>64</v>
      </c>
    </row>
    <row r="11" spans="1:51" x14ac:dyDescent="0.4">
      <c r="A11" s="31">
        <v>7</v>
      </c>
      <c r="B11" s="31">
        <v>315</v>
      </c>
      <c r="D11" s="32">
        <v>9</v>
      </c>
      <c r="E11" s="25">
        <v>315</v>
      </c>
      <c r="F11" s="25">
        <f t="shared" si="0"/>
        <v>-1.5781853689299963</v>
      </c>
      <c r="G11" s="26">
        <f t="shared" si="1"/>
        <v>313.52116481189012</v>
      </c>
      <c r="H11" s="42">
        <f t="shared" si="2"/>
        <v>16.847290856853192</v>
      </c>
      <c r="I11" s="42">
        <f t="shared" si="2"/>
        <v>-2.8663134200947979</v>
      </c>
      <c r="Y11" s="36"/>
      <c r="Z11" s="36" t="s">
        <v>40</v>
      </c>
      <c r="AA11" s="36" t="s">
        <v>41</v>
      </c>
      <c r="AB11" s="36" t="s">
        <v>42</v>
      </c>
      <c r="AC11" s="36" t="s">
        <v>43</v>
      </c>
      <c r="AD11" s="36" t="s">
        <v>44</v>
      </c>
      <c r="AQ11" s="36"/>
      <c r="AR11" s="36" t="s">
        <v>40</v>
      </c>
      <c r="AS11" s="36" t="s">
        <v>41</v>
      </c>
      <c r="AT11" s="36" t="s">
        <v>42</v>
      </c>
      <c r="AU11" s="36" t="s">
        <v>43</v>
      </c>
      <c r="AV11" s="36" t="s">
        <v>44</v>
      </c>
    </row>
    <row r="12" spans="1:51" x14ac:dyDescent="0.4">
      <c r="A12" s="31">
        <v>8</v>
      </c>
      <c r="B12" s="31">
        <v>326</v>
      </c>
      <c r="D12" s="32">
        <v>10</v>
      </c>
      <c r="E12" s="37">
        <v>326</v>
      </c>
      <c r="G12" s="26">
        <f t="shared" si="1"/>
        <v>327.56422927874803</v>
      </c>
      <c r="H12" s="42">
        <f t="shared" si="2"/>
        <v>14.043064466857913</v>
      </c>
      <c r="I12" s="42">
        <f t="shared" si="2"/>
        <v>-2.8042263899952786</v>
      </c>
      <c r="K12" s="38"/>
      <c r="Y12" s="34" t="s">
        <v>65</v>
      </c>
      <c r="Z12" s="34">
        <v>1</v>
      </c>
      <c r="AA12" s="34">
        <v>47736.245454545453</v>
      </c>
      <c r="AB12" s="34">
        <v>47736.245454545453</v>
      </c>
      <c r="AC12" s="34">
        <v>743.18689406269846</v>
      </c>
      <c r="AD12" s="34">
        <v>3.5325189670697626E-9</v>
      </c>
      <c r="AQ12" s="34" t="s">
        <v>65</v>
      </c>
      <c r="AR12" s="34">
        <v>1</v>
      </c>
      <c r="AS12" s="34">
        <v>6.5194722165442274</v>
      </c>
      <c r="AT12" s="34">
        <v>6.5194722165442274</v>
      </c>
      <c r="AU12" s="34">
        <v>1155.4367498081876</v>
      </c>
      <c r="AV12" s="34">
        <v>6.1297806088380436E-10</v>
      </c>
    </row>
    <row r="13" spans="1:51" x14ac:dyDescent="0.4">
      <c r="A13" s="31">
        <v>9</v>
      </c>
      <c r="B13" s="31">
        <v>337</v>
      </c>
      <c r="D13" s="32">
        <v>11</v>
      </c>
      <c r="E13" s="37">
        <v>337</v>
      </c>
      <c r="G13" s="26">
        <f t="shared" si="1"/>
        <v>339.02848495440981</v>
      </c>
      <c r="H13" s="42">
        <f t="shared" si="2"/>
        <v>11.464255675661775</v>
      </c>
      <c r="I13" s="42">
        <f t="shared" si="2"/>
        <v>-2.5788087911961384</v>
      </c>
      <c r="K13" s="38"/>
      <c r="Y13" s="34" t="s">
        <v>66</v>
      </c>
      <c r="Z13" s="34">
        <v>8</v>
      </c>
      <c r="AA13" s="34">
        <v>513.85454545454581</v>
      </c>
      <c r="AB13" s="34">
        <v>64.231818181818227</v>
      </c>
      <c r="AC13" s="34"/>
      <c r="AD13" s="34"/>
      <c r="AQ13" s="34" t="s">
        <v>66</v>
      </c>
      <c r="AR13" s="34">
        <v>8</v>
      </c>
      <c r="AS13" s="34">
        <v>4.5139448560046341E-2</v>
      </c>
      <c r="AT13" s="34">
        <v>5.6424310700057927E-3</v>
      </c>
      <c r="AU13" s="34"/>
      <c r="AV13" s="34"/>
    </row>
    <row r="14" spans="1:51" ht="14.25" thickBot="1" x14ac:dyDescent="0.45">
      <c r="A14" s="31">
        <v>10</v>
      </c>
      <c r="D14" s="32">
        <v>12</v>
      </c>
      <c r="G14" s="26">
        <f t="shared" si="1"/>
        <v>348.22936639739544</v>
      </c>
      <c r="H14" s="42">
        <f t="shared" si="2"/>
        <v>9.2008814429856329</v>
      </c>
      <c r="I14" s="42">
        <f t="shared" si="2"/>
        <v>-2.2633742326761421</v>
      </c>
      <c r="Y14" s="35" t="s">
        <v>67</v>
      </c>
      <c r="Z14" s="35">
        <v>9</v>
      </c>
      <c r="AA14" s="35">
        <v>48250.1</v>
      </c>
      <c r="AB14" s="35"/>
      <c r="AC14" s="35"/>
      <c r="AD14" s="35"/>
      <c r="AQ14" s="35" t="s">
        <v>67</v>
      </c>
      <c r="AR14" s="35">
        <v>9</v>
      </c>
      <c r="AS14" s="35">
        <v>6.5646116651042741</v>
      </c>
      <c r="AT14" s="35"/>
      <c r="AU14" s="35"/>
      <c r="AV14" s="35"/>
    </row>
    <row r="15" spans="1:51" ht="14.25" thickBot="1" x14ac:dyDescent="0.45">
      <c r="A15" s="31">
        <v>11</v>
      </c>
      <c r="D15" s="32">
        <v>13</v>
      </c>
      <c r="G15" s="26">
        <f t="shared" si="1"/>
        <v>355.51326179651841</v>
      </c>
      <c r="H15" s="42">
        <f t="shared" si="2"/>
        <v>7.2838953991229687</v>
      </c>
      <c r="I15" s="42">
        <f t="shared" si="2"/>
        <v>-1.9169860438626642</v>
      </c>
    </row>
    <row r="16" spans="1:51" x14ac:dyDescent="0.4">
      <c r="A16" s="31">
        <v>12</v>
      </c>
      <c r="D16" s="32">
        <v>14</v>
      </c>
      <c r="G16" s="26">
        <f t="shared" si="1"/>
        <v>361.21728762903069</v>
      </c>
      <c r="H16" s="42">
        <f t="shared" si="2"/>
        <v>5.7040258325122863</v>
      </c>
      <c r="I16" s="42">
        <f t="shared" si="2"/>
        <v>-1.5798695666106823</v>
      </c>
      <c r="Y16" s="36"/>
      <c r="Z16" s="36" t="s">
        <v>45</v>
      </c>
      <c r="AA16" s="36" t="s">
        <v>62</v>
      </c>
      <c r="AB16" s="36" t="s">
        <v>46</v>
      </c>
      <c r="AC16" s="36" t="s">
        <v>47</v>
      </c>
      <c r="AD16" s="36" t="s">
        <v>48</v>
      </c>
      <c r="AE16" s="36" t="s">
        <v>49</v>
      </c>
      <c r="AF16" s="36" t="s">
        <v>68</v>
      </c>
      <c r="AG16" s="36" t="s">
        <v>69</v>
      </c>
      <c r="AQ16" s="36"/>
      <c r="AR16" s="36" t="s">
        <v>45</v>
      </c>
      <c r="AS16" s="36" t="s">
        <v>62</v>
      </c>
      <c r="AT16" s="36" t="s">
        <v>46</v>
      </c>
      <c r="AU16" s="36" t="s">
        <v>47</v>
      </c>
      <c r="AV16" s="36" t="s">
        <v>48</v>
      </c>
      <c r="AW16" s="36" t="s">
        <v>49</v>
      </c>
      <c r="AX16" s="36" t="s">
        <v>68</v>
      </c>
      <c r="AY16" s="36" t="s">
        <v>69</v>
      </c>
    </row>
    <row r="17" spans="1:51" x14ac:dyDescent="0.4">
      <c r="A17" s="31">
        <v>13</v>
      </c>
      <c r="D17" s="32">
        <v>15</v>
      </c>
      <c r="G17" s="26">
        <f t="shared" si="1"/>
        <v>365.64624442223834</v>
      </c>
      <c r="H17" s="42">
        <f t="shared" si="2"/>
        <v>4.4289567932076466</v>
      </c>
      <c r="I17" s="42">
        <f t="shared" si="2"/>
        <v>-1.2750690393046398</v>
      </c>
      <c r="Y17" s="34" t="s">
        <v>39</v>
      </c>
      <c r="Z17" s="34">
        <v>105.05454545454548</v>
      </c>
      <c r="AA17" s="34">
        <v>4.7105385630221761</v>
      </c>
      <c r="AB17" s="34">
        <v>22.302024290646042</v>
      </c>
      <c r="AC17" s="34">
        <v>1.727879287522347E-8</v>
      </c>
      <c r="AD17" s="34">
        <v>94.192024049177647</v>
      </c>
      <c r="AE17" s="34">
        <v>115.91706685991331</v>
      </c>
      <c r="AF17" s="34">
        <v>94.192024049177647</v>
      </c>
      <c r="AG17" s="34">
        <v>115.91706685991331</v>
      </c>
      <c r="AQ17" s="34" t="s">
        <v>39</v>
      </c>
      <c r="AR17" s="34">
        <v>0.97902394796782133</v>
      </c>
      <c r="AS17" s="34">
        <v>4.4149784377134342E-2</v>
      </c>
      <c r="AT17" s="34">
        <v>22.175056158934915</v>
      </c>
      <c r="AU17" s="34">
        <v>1.807447010496439E-8</v>
      </c>
      <c r="AV17" s="34">
        <v>0.87721436262577723</v>
      </c>
      <c r="AW17" s="34">
        <v>1.0808335333098655</v>
      </c>
      <c r="AX17" s="34">
        <v>0.87721436262577723</v>
      </c>
      <c r="AY17" s="34">
        <v>1.0808335333098655</v>
      </c>
    </row>
    <row r="18" spans="1:51" ht="14.25" thickBot="1" x14ac:dyDescent="0.45">
      <c r="A18" s="31">
        <v>14</v>
      </c>
      <c r="D18" s="32">
        <v>16</v>
      </c>
      <c r="G18" s="26">
        <f t="shared" si="1"/>
        <v>369.06247721741556</v>
      </c>
      <c r="H18" s="42">
        <f t="shared" si="2"/>
        <v>3.4162327951772227</v>
      </c>
      <c r="I18" s="42">
        <f t="shared" si="2"/>
        <v>-1.0127239980304239</v>
      </c>
      <c r="Y18" s="35" t="s">
        <v>70</v>
      </c>
      <c r="Z18" s="35">
        <v>24.054545454545451</v>
      </c>
      <c r="AA18" s="35">
        <v>0.88236471660699822</v>
      </c>
      <c r="AB18" s="35">
        <v>27.261454364407967</v>
      </c>
      <c r="AC18" s="35">
        <v>3.5325189670697754E-9</v>
      </c>
      <c r="AD18" s="35">
        <v>22.019808769291458</v>
      </c>
      <c r="AE18" s="35">
        <v>26.089282139799444</v>
      </c>
      <c r="AF18" s="35">
        <v>22.019808769291458</v>
      </c>
      <c r="AG18" s="35">
        <v>26.089282139799444</v>
      </c>
      <c r="AQ18" s="35" t="s">
        <v>70</v>
      </c>
      <c r="AR18" s="35">
        <v>-0.28111190948638509</v>
      </c>
      <c r="AS18" s="35">
        <v>8.2700123264030333E-3</v>
      </c>
      <c r="AT18" s="35">
        <v>-33.991715899733386</v>
      </c>
      <c r="AU18" s="35">
        <v>6.1297806088380436E-10</v>
      </c>
      <c r="AV18" s="35">
        <v>-0.3001825921092599</v>
      </c>
      <c r="AW18" s="35">
        <v>-0.26204122686351028</v>
      </c>
      <c r="AX18" s="35">
        <v>-0.3001825921092599</v>
      </c>
      <c r="AY18" s="35">
        <v>-0.26204122686351028</v>
      </c>
    </row>
    <row r="19" spans="1:51" x14ac:dyDescent="0.4">
      <c r="A19" s="31">
        <v>15</v>
      </c>
      <c r="D19" s="32">
        <v>17</v>
      </c>
      <c r="G19" s="26">
        <f t="shared" si="1"/>
        <v>371.68412899699888</v>
      </c>
      <c r="H19" s="42">
        <f t="shared" si="2"/>
        <v>2.621651779583317</v>
      </c>
      <c r="I19" s="42">
        <f t="shared" si="2"/>
        <v>-0.7945810155939057</v>
      </c>
    </row>
    <row r="20" spans="1:51" x14ac:dyDescent="0.4">
      <c r="A20" s="31">
        <v>16</v>
      </c>
      <c r="D20" s="32">
        <v>18</v>
      </c>
      <c r="G20" s="26">
        <f t="shared" si="1"/>
        <v>373.68813524556015</v>
      </c>
      <c r="H20" s="42">
        <f t="shared" si="2"/>
        <v>2.004006248561268</v>
      </c>
      <c r="I20" s="42">
        <f t="shared" si="2"/>
        <v>-0.617645531022049</v>
      </c>
    </row>
    <row r="21" spans="1:51" x14ac:dyDescent="0.4">
      <c r="A21" s="31">
        <v>17</v>
      </c>
      <c r="D21" s="32">
        <v>19</v>
      </c>
      <c r="G21" s="26">
        <f t="shared" si="1"/>
        <v>375.2154212868586</v>
      </c>
      <c r="H21" s="42">
        <f t="shared" si="2"/>
        <v>1.5272860412984528</v>
      </c>
      <c r="I21" s="42">
        <f t="shared" si="2"/>
        <v>-0.47672020726281517</v>
      </c>
    </row>
    <row r="22" spans="1:51" x14ac:dyDescent="0.4">
      <c r="A22" s="31">
        <v>18</v>
      </c>
      <c r="D22" s="32">
        <v>20</v>
      </c>
      <c r="G22" s="26">
        <f t="shared" si="1"/>
        <v>376.37673215230154</v>
      </c>
      <c r="H22" s="42">
        <f t="shared" si="2"/>
        <v>1.1613108654429425</v>
      </c>
      <c r="I22" s="42">
        <f t="shared" si="2"/>
        <v>-0.36597517585551032</v>
      </c>
      <c r="Y22" s="25" t="s">
        <v>50</v>
      </c>
      <c r="AD22" s="25" t="s">
        <v>51</v>
      </c>
      <c r="AQ22" s="25" t="s">
        <v>50</v>
      </c>
      <c r="AV22" s="25" t="s">
        <v>51</v>
      </c>
    </row>
    <row r="23" spans="1:51" ht="14.25" thickBot="1" x14ac:dyDescent="0.45">
      <c r="A23" s="31">
        <v>19</v>
      </c>
      <c r="D23" s="32">
        <v>21</v>
      </c>
      <c r="G23" s="26">
        <f t="shared" si="1"/>
        <v>377.25822984773373</v>
      </c>
      <c r="H23" s="42">
        <f t="shared" si="2"/>
        <v>0.88149769543218781</v>
      </c>
      <c r="I23" s="42">
        <f t="shared" si="2"/>
        <v>-0.27981317001075467</v>
      </c>
    </row>
    <row r="24" spans="1:51" x14ac:dyDescent="0.4">
      <c r="A24" s="31">
        <v>20</v>
      </c>
      <c r="D24" s="32">
        <v>22</v>
      </c>
      <c r="G24" s="26">
        <f t="shared" si="1"/>
        <v>377.926451204888</v>
      </c>
      <c r="H24" s="42">
        <f t="shared" si="2"/>
        <v>0.66822135715426612</v>
      </c>
      <c r="I24" s="42">
        <f t="shared" si="2"/>
        <v>-0.2132763382779217</v>
      </c>
      <c r="Y24" s="36" t="s">
        <v>63</v>
      </c>
      <c r="Z24" s="36" t="s">
        <v>71</v>
      </c>
      <c r="AA24" s="36" t="s">
        <v>66</v>
      </c>
      <c r="AB24" s="36" t="s">
        <v>72</v>
      </c>
      <c r="AD24" s="36" t="s">
        <v>73</v>
      </c>
      <c r="AE24" s="36" t="s">
        <v>74</v>
      </c>
      <c r="AQ24" s="36" t="s">
        <v>63</v>
      </c>
      <c r="AR24" s="36" t="s">
        <v>75</v>
      </c>
      <c r="AS24" s="36" t="s">
        <v>66</v>
      </c>
      <c r="AT24" s="36" t="s">
        <v>72</v>
      </c>
      <c r="AV24" s="36" t="s">
        <v>73</v>
      </c>
      <c r="AW24" s="36" t="s">
        <v>60</v>
      </c>
    </row>
    <row r="25" spans="1:51" x14ac:dyDescent="0.4">
      <c r="A25" s="31">
        <v>21</v>
      </c>
      <c r="D25" s="32">
        <v>23</v>
      </c>
      <c r="G25" s="26">
        <f t="shared" si="1"/>
        <v>378.4324910272851</v>
      </c>
      <c r="H25" s="42">
        <f t="shared" si="2"/>
        <v>0.50603982239709921</v>
      </c>
      <c r="I25" s="42">
        <f t="shared" si="2"/>
        <v>-0.1621815347571669</v>
      </c>
      <c r="Y25" s="34">
        <v>1</v>
      </c>
      <c r="Z25" s="34">
        <v>105.05454545454548</v>
      </c>
      <c r="AA25" s="34">
        <v>5.945454545454524</v>
      </c>
      <c r="AB25" s="34">
        <v>0.78683961389486357</v>
      </c>
      <c r="AD25" s="34">
        <v>5</v>
      </c>
      <c r="AE25" s="34">
        <v>111</v>
      </c>
      <c r="AQ25" s="34">
        <v>1</v>
      </c>
      <c r="AR25" s="34">
        <v>0.97902394796782133</v>
      </c>
      <c r="AS25" s="34">
        <v>-9.3842769678316285E-2</v>
      </c>
      <c r="AT25" s="34">
        <v>-1.3250856388421628</v>
      </c>
      <c r="AV25" s="34">
        <v>5</v>
      </c>
      <c r="AW25" s="34">
        <v>-1.5781853689299963</v>
      </c>
    </row>
    <row r="26" spans="1:51" x14ac:dyDescent="0.4">
      <c r="A26" s="31">
        <v>22</v>
      </c>
      <c r="D26" s="32">
        <v>24</v>
      </c>
      <c r="G26" s="26">
        <f t="shared" si="1"/>
        <v>378.81542130299187</v>
      </c>
      <c r="H26" s="42">
        <f t="shared" si="2"/>
        <v>0.38293027570676941</v>
      </c>
      <c r="I26" s="42">
        <f t="shared" si="2"/>
        <v>-0.12310954669032981</v>
      </c>
      <c r="Y26" s="34">
        <v>2</v>
      </c>
      <c r="Z26" s="34">
        <v>129.10909090909092</v>
      </c>
      <c r="AA26" s="34">
        <v>-8.1090909090909236</v>
      </c>
      <c r="AB26" s="34">
        <v>-1.0731818587067616</v>
      </c>
      <c r="AC26" s="25">
        <f>AB26-AB25</f>
        <v>-1.8600214726016251</v>
      </c>
      <c r="AD26" s="34">
        <v>15</v>
      </c>
      <c r="AE26" s="34">
        <v>121</v>
      </c>
      <c r="AQ26" s="34">
        <v>2</v>
      </c>
      <c r="AR26" s="34">
        <v>0.69791203848143624</v>
      </c>
      <c r="AS26" s="34">
        <v>6.312547762136056E-2</v>
      </c>
      <c r="AT26" s="34">
        <v>0.89134905254661256</v>
      </c>
      <c r="AU26" s="25">
        <f>AT26-AT25</f>
        <v>2.2164346913887751</v>
      </c>
      <c r="AV26" s="34">
        <v>15</v>
      </c>
      <c r="AW26" s="34">
        <v>-1.274891531006102</v>
      </c>
    </row>
    <row r="27" spans="1:51" x14ac:dyDescent="0.4">
      <c r="A27" s="31">
        <v>23</v>
      </c>
      <c r="D27" s="32">
        <v>25</v>
      </c>
      <c r="G27" s="26">
        <f t="shared" si="1"/>
        <v>379.10502591825036</v>
      </c>
      <c r="H27" s="42">
        <f t="shared" si="2"/>
        <v>0.28960461525849723</v>
      </c>
      <c r="I27" s="42">
        <f t="shared" si="2"/>
        <v>-9.3325660448272174E-2</v>
      </c>
      <c r="Y27" s="34">
        <v>3</v>
      </c>
      <c r="Z27" s="34">
        <v>153.16363636363639</v>
      </c>
      <c r="AA27" s="34">
        <v>-14.163636363636385</v>
      </c>
      <c r="AB27" s="34">
        <v>-1.8744588967097915</v>
      </c>
      <c r="AC27" s="25">
        <f t="shared" ref="AC27:AC34" si="3">AB27-AB26</f>
        <v>-0.80127703800302985</v>
      </c>
      <c r="AD27" s="34">
        <v>25</v>
      </c>
      <c r="AE27" s="34">
        <v>139</v>
      </c>
      <c r="AQ27" s="34">
        <v>3</v>
      </c>
      <c r="AR27" s="34">
        <v>0.41680012899505114</v>
      </c>
      <c r="AS27" s="34">
        <v>0.13352287136491203</v>
      </c>
      <c r="AT27" s="34">
        <v>1.8853795546434775</v>
      </c>
      <c r="AU27" s="25">
        <f t="shared" ref="AU27:AU34" si="4">AT27-AT26</f>
        <v>0.99403050209686494</v>
      </c>
      <c r="AV27" s="34">
        <v>25</v>
      </c>
      <c r="AW27" s="34">
        <v>-0.94968901227600289</v>
      </c>
    </row>
    <row r="28" spans="1:51" x14ac:dyDescent="0.4">
      <c r="A28" s="31">
        <v>24</v>
      </c>
      <c r="D28" s="32">
        <v>26</v>
      </c>
      <c r="G28" s="26">
        <f t="shared" si="1"/>
        <v>379.323954642589</v>
      </c>
      <c r="H28" s="42">
        <f t="shared" si="2"/>
        <v>0.21892872433863886</v>
      </c>
      <c r="I28" s="42">
        <f t="shared" si="2"/>
        <v>-7.0675890919858375E-2</v>
      </c>
      <c r="Y28" s="34">
        <v>4</v>
      </c>
      <c r="Z28" s="34">
        <v>177.21818181818185</v>
      </c>
      <c r="AA28" s="34">
        <v>5.7818181818181529</v>
      </c>
      <c r="AB28" s="34">
        <v>0.76518347773261852</v>
      </c>
      <c r="AC28" s="25">
        <f t="shared" si="3"/>
        <v>2.6396423744424098</v>
      </c>
      <c r="AD28" s="34">
        <v>35</v>
      </c>
      <c r="AE28" s="34">
        <v>183</v>
      </c>
      <c r="AQ28" s="34">
        <v>4</v>
      </c>
      <c r="AR28" s="34">
        <v>0.13568821950866605</v>
      </c>
      <c r="AS28" s="34">
        <v>-6.1970643612098406E-2</v>
      </c>
      <c r="AT28" s="34">
        <v>-0.87504247968899818</v>
      </c>
      <c r="AU28" s="25">
        <f t="shared" si="4"/>
        <v>-2.7604220343324757</v>
      </c>
      <c r="AV28" s="34">
        <v>35</v>
      </c>
      <c r="AW28" s="34">
        <v>-0.68920240226892904</v>
      </c>
    </row>
    <row r="29" spans="1:51" x14ac:dyDescent="0.4">
      <c r="A29" s="31">
        <v>25</v>
      </c>
      <c r="D29" s="32">
        <v>27</v>
      </c>
      <c r="G29" s="26">
        <f t="shared" si="1"/>
        <v>379.48940111205394</v>
      </c>
      <c r="H29" s="42">
        <f t="shared" si="2"/>
        <v>0.16544646946493913</v>
      </c>
      <c r="I29" s="42">
        <f t="shared" si="2"/>
        <v>-5.3482254873699731E-2</v>
      </c>
      <c r="Y29" s="34">
        <v>5</v>
      </c>
      <c r="Z29" s="34">
        <v>201.27272727272728</v>
      </c>
      <c r="AA29" s="34">
        <v>10.72727272727272</v>
      </c>
      <c r="AB29" s="34">
        <v>1.419680037302663</v>
      </c>
      <c r="AC29" s="25">
        <f t="shared" si="3"/>
        <v>0.65449655957004449</v>
      </c>
      <c r="AD29" s="34">
        <v>45</v>
      </c>
      <c r="AE29" s="34">
        <v>212</v>
      </c>
      <c r="AQ29" s="34">
        <v>5</v>
      </c>
      <c r="AR29" s="34">
        <v>-0.14542368997771904</v>
      </c>
      <c r="AS29" s="34">
        <v>-8.7198605291034431E-2</v>
      </c>
      <c r="AT29" s="34">
        <v>-1.2312682159136488</v>
      </c>
      <c r="AU29" s="25">
        <f t="shared" si="4"/>
        <v>-0.35622573622465059</v>
      </c>
      <c r="AV29" s="34">
        <v>45</v>
      </c>
      <c r="AW29" s="34">
        <v>-0.40546510810816427</v>
      </c>
    </row>
    <row r="30" spans="1:51" x14ac:dyDescent="0.4">
      <c r="A30" s="31">
        <v>26</v>
      </c>
      <c r="D30" s="32">
        <v>28</v>
      </c>
      <c r="G30" s="26">
        <f t="shared" si="1"/>
        <v>379.61439954278387</v>
      </c>
      <c r="H30" s="42">
        <f t="shared" si="2"/>
        <v>0.12499843072993144</v>
      </c>
      <c r="I30" s="42">
        <f t="shared" si="2"/>
        <v>-4.0448038735007685E-2</v>
      </c>
      <c r="Y30" s="34">
        <v>6</v>
      </c>
      <c r="Z30" s="34">
        <v>225.32727272727271</v>
      </c>
      <c r="AA30" s="34">
        <v>2.6727272727272862</v>
      </c>
      <c r="AB30" s="34">
        <v>0.35371689064998757</v>
      </c>
      <c r="AC30" s="25">
        <f t="shared" si="3"/>
        <v>-1.0659631466526753</v>
      </c>
      <c r="AD30" s="34">
        <v>55</v>
      </c>
      <c r="AE30" s="34">
        <v>228</v>
      </c>
      <c r="AQ30" s="34">
        <v>6</v>
      </c>
      <c r="AR30" s="34">
        <v>-0.42653559946410402</v>
      </c>
      <c r="AS30" s="34">
        <v>2.1070491355939747E-2</v>
      </c>
      <c r="AT30" s="34">
        <v>0.29752111531673014</v>
      </c>
      <c r="AU30" s="25">
        <f t="shared" si="4"/>
        <v>1.5287893312303789</v>
      </c>
      <c r="AV30" s="34">
        <v>55</v>
      </c>
      <c r="AW30" s="34">
        <v>-0.23262229526875347</v>
      </c>
    </row>
    <row r="31" spans="1:51" x14ac:dyDescent="0.4">
      <c r="A31" s="31">
        <v>27</v>
      </c>
      <c r="D31" s="32">
        <v>29</v>
      </c>
      <c r="G31" s="26">
        <f t="shared" si="1"/>
        <v>379.70882090133364</v>
      </c>
      <c r="H31" s="42">
        <f t="shared" si="2"/>
        <v>9.442135854976641E-2</v>
      </c>
      <c r="I31" s="42">
        <f t="shared" si="2"/>
        <v>-3.0577072180165032E-2</v>
      </c>
      <c r="Y31" s="34">
        <v>7</v>
      </c>
      <c r="Z31" s="34">
        <v>249.38181818181818</v>
      </c>
      <c r="AA31" s="34">
        <v>3.6181818181818244</v>
      </c>
      <c r="AB31" s="34">
        <v>0.47884123292072989</v>
      </c>
      <c r="AC31" s="25">
        <f t="shared" si="3"/>
        <v>0.12512434227074232</v>
      </c>
      <c r="AD31" s="34">
        <v>65</v>
      </c>
      <c r="AE31" s="34">
        <v>253</v>
      </c>
      <c r="AQ31" s="34">
        <v>7</v>
      </c>
      <c r="AR31" s="34">
        <v>-0.70764750895048922</v>
      </c>
      <c r="AS31" s="34">
        <v>1.8445106681560186E-2</v>
      </c>
      <c r="AT31" s="34">
        <v>0.26044996385368352</v>
      </c>
      <c r="AU31" s="25">
        <f t="shared" si="4"/>
        <v>-3.7071151463046625E-2</v>
      </c>
      <c r="AV31" s="34">
        <v>65</v>
      </c>
      <c r="AW31" s="34">
        <v>7.3717575896567647E-2</v>
      </c>
    </row>
    <row r="32" spans="1:51" x14ac:dyDescent="0.4">
      <c r="A32" s="31">
        <v>28</v>
      </c>
      <c r="D32" s="32">
        <v>30</v>
      </c>
      <c r="G32" s="26">
        <f t="shared" si="1"/>
        <v>379.78013484607112</v>
      </c>
      <c r="H32" s="42">
        <f t="shared" si="2"/>
        <v>7.1313944737482871E-2</v>
      </c>
      <c r="I32" s="42">
        <f t="shared" si="2"/>
        <v>-2.3107413812283539E-2</v>
      </c>
      <c r="Y32" s="34">
        <v>8</v>
      </c>
      <c r="Z32" s="34">
        <v>273.43636363636364</v>
      </c>
      <c r="AA32" s="34">
        <v>0.5636363636363626</v>
      </c>
      <c r="AB32" s="34">
        <v>7.4593357892173737E-2</v>
      </c>
      <c r="AC32" s="25">
        <f t="shared" si="3"/>
        <v>-0.40424787502855614</v>
      </c>
      <c r="AD32" s="34">
        <v>75</v>
      </c>
      <c r="AE32" s="34">
        <v>274</v>
      </c>
      <c r="AQ32" s="34">
        <v>8</v>
      </c>
      <c r="AR32" s="34">
        <v>-0.98875941843687443</v>
      </c>
      <c r="AS32" s="34">
        <v>3.907040616087154E-2</v>
      </c>
      <c r="AT32" s="34">
        <v>0.55168484780414373</v>
      </c>
      <c r="AU32" s="25">
        <f t="shared" si="4"/>
        <v>0.29123488395046021</v>
      </c>
      <c r="AV32" s="34">
        <v>75</v>
      </c>
      <c r="AW32" s="34">
        <v>0.55032300035996318</v>
      </c>
    </row>
    <row r="33" spans="1:49" x14ac:dyDescent="0.4">
      <c r="A33" s="31">
        <v>29</v>
      </c>
      <c r="D33" s="32">
        <v>31</v>
      </c>
      <c r="G33" s="26">
        <f t="shared" si="1"/>
        <v>379.83399061723304</v>
      </c>
      <c r="H33" s="42">
        <f t="shared" si="2"/>
        <v>5.3855771161920529E-2</v>
      </c>
      <c r="I33" s="42">
        <f t="shared" si="2"/>
        <v>-1.7458173575562341E-2</v>
      </c>
      <c r="Y33" s="34">
        <v>9</v>
      </c>
      <c r="Z33" s="34">
        <v>297.4909090909091</v>
      </c>
      <c r="AA33" s="34">
        <v>-0.49090909090909918</v>
      </c>
      <c r="AB33" s="34">
        <v>-6.4968408486733173E-2</v>
      </c>
      <c r="AC33" s="25">
        <f t="shared" si="3"/>
        <v>-0.13956176637890691</v>
      </c>
      <c r="AD33" s="34">
        <v>85</v>
      </c>
      <c r="AE33" s="34">
        <v>297</v>
      </c>
      <c r="AQ33" s="34">
        <v>9</v>
      </c>
      <c r="AR33" s="34">
        <v>-1.2698713279232594</v>
      </c>
      <c r="AS33" s="34">
        <v>-5.020203082842567E-3</v>
      </c>
      <c r="AT33" s="34">
        <v>-7.0886644031808915E-2</v>
      </c>
      <c r="AU33" s="25">
        <f t="shared" si="4"/>
        <v>-0.62257149183595262</v>
      </c>
      <c r="AV33" s="34">
        <v>85</v>
      </c>
      <c r="AW33" s="34">
        <v>0.7610375161027968</v>
      </c>
    </row>
    <row r="34" spans="1:49" ht="14.25" thickBot="1" x14ac:dyDescent="0.45">
      <c r="A34" s="31">
        <v>30</v>
      </c>
      <c r="D34" s="32">
        <v>32</v>
      </c>
      <c r="G34" s="26">
        <f t="shared" si="1"/>
        <v>379.87465881963209</v>
      </c>
      <c r="H34" s="42">
        <f t="shared" si="2"/>
        <v>4.0668202399047004E-2</v>
      </c>
      <c r="I34" s="42">
        <f t="shared" si="2"/>
        <v>-1.3187568762873525E-2</v>
      </c>
      <c r="Y34" s="35">
        <v>10</v>
      </c>
      <c r="Z34" s="35">
        <v>321.54545454545456</v>
      </c>
      <c r="AA34" s="35">
        <v>-6.545454545454561</v>
      </c>
      <c r="AB34" s="35">
        <v>-0.8662454464897632</v>
      </c>
      <c r="AC34" s="25">
        <f t="shared" si="3"/>
        <v>-0.80127703800303007</v>
      </c>
      <c r="AD34" s="35">
        <v>95</v>
      </c>
      <c r="AE34" s="35">
        <v>315</v>
      </c>
      <c r="AQ34" s="35">
        <v>10</v>
      </c>
      <c r="AR34" s="35">
        <v>-1.5509832374096444</v>
      </c>
      <c r="AS34" s="35">
        <v>-2.7202131520351891E-2</v>
      </c>
      <c r="AT34" s="35">
        <v>-0.3841015556880219</v>
      </c>
      <c r="AU34" s="25">
        <f t="shared" si="4"/>
        <v>-0.31321491165621296</v>
      </c>
      <c r="AV34" s="35">
        <v>95</v>
      </c>
      <c r="AW34" s="35">
        <v>0.88518117828950504</v>
      </c>
    </row>
    <row r="36" spans="1:49" x14ac:dyDescent="0.4">
      <c r="AB36" s="25">
        <f>SUMSQ(AB25:AB34)</f>
        <v>9</v>
      </c>
      <c r="AC36" s="25">
        <f>SUMSQ(AC25:AC34)</f>
        <v>13.474674635392185</v>
      </c>
      <c r="AT36" s="25">
        <f>SUMSQ(AT25:AT34)</f>
        <v>9.0000000000000053</v>
      </c>
      <c r="AU36" s="25">
        <f>SUMSQ(AU25:AU34)</f>
        <v>16.556593653582553</v>
      </c>
    </row>
    <row r="37" spans="1:49" x14ac:dyDescent="0.4">
      <c r="AC37" s="39">
        <f>AC36/AB36</f>
        <v>1.4971860705991318</v>
      </c>
      <c r="AU37" s="39">
        <f>AU36/AT36</f>
        <v>1.839621517064727</v>
      </c>
    </row>
    <row r="38" spans="1:49" x14ac:dyDescent="0.4">
      <c r="AU38" s="39">
        <v>1.4971860705991318</v>
      </c>
    </row>
  </sheetData>
  <sortState ref="AW25:AW34">
    <sortCondition ref="AW2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2"/>
  <sheetViews>
    <sheetView workbookViewId="0">
      <selection activeCell="U18" sqref="U18"/>
    </sheetView>
  </sheetViews>
  <sheetFormatPr defaultColWidth="9" defaultRowHeight="13.9" x14ac:dyDescent="0.4"/>
  <cols>
    <col min="1" max="1" width="9" style="31"/>
    <col min="2" max="34" width="9" style="25"/>
    <col min="35" max="35" width="11" style="25" bestFit="1" customWidth="1"/>
    <col min="36" max="16384" width="9" style="25"/>
  </cols>
  <sheetData>
    <row r="1" spans="1:37" x14ac:dyDescent="0.4">
      <c r="A1" s="31" t="s">
        <v>76</v>
      </c>
      <c r="B1" s="25" t="s">
        <v>99</v>
      </c>
      <c r="C1" s="25" t="s">
        <v>100</v>
      </c>
      <c r="D1" s="25" t="s">
        <v>101</v>
      </c>
      <c r="E1" s="25" t="s">
        <v>74</v>
      </c>
      <c r="F1" s="25" t="s">
        <v>18</v>
      </c>
      <c r="G1" s="25" t="s">
        <v>98</v>
      </c>
      <c r="H1" s="25" t="s">
        <v>102</v>
      </c>
      <c r="I1" s="25" t="s">
        <v>103</v>
      </c>
      <c r="K1" s="29">
        <v>39400</v>
      </c>
      <c r="L1" s="29"/>
      <c r="M1" s="29">
        <v>42000</v>
      </c>
      <c r="R1" s="25" t="s">
        <v>53</v>
      </c>
      <c r="S1" s="25" t="s">
        <v>104</v>
      </c>
      <c r="T1" s="25" t="s">
        <v>105</v>
      </c>
      <c r="U1" s="25" t="s">
        <v>18</v>
      </c>
      <c r="V1" s="25" t="s">
        <v>98</v>
      </c>
      <c r="W1" s="25" t="s">
        <v>106</v>
      </c>
      <c r="X1" s="25" t="s">
        <v>107</v>
      </c>
      <c r="Z1" s="25">
        <v>1400</v>
      </c>
      <c r="AB1" s="25">
        <v>1200</v>
      </c>
    </row>
    <row r="2" spans="1:37" x14ac:dyDescent="0.4">
      <c r="A2" s="31">
        <v>29</v>
      </c>
      <c r="B2" s="25">
        <v>4586</v>
      </c>
      <c r="C2" s="25">
        <v>162</v>
      </c>
      <c r="D2" s="25">
        <v>0</v>
      </c>
      <c r="E2" s="25">
        <v>4586</v>
      </c>
      <c r="F2" s="25">
        <f>LN($K$1/E2-1)</f>
        <v>2.0270114202948046</v>
      </c>
      <c r="G2" s="26">
        <f>$K$1/(1+$K$2*EXP(-$K$3*D2))</f>
        <v>4477.5809839422873</v>
      </c>
      <c r="K2" s="30">
        <f>EXP(2.05404606   )</f>
        <v>7.7993941687036239</v>
      </c>
      <c r="L2" s="29"/>
      <c r="M2" s="29">
        <v>8.3093662298810358</v>
      </c>
      <c r="R2" s="25">
        <v>29</v>
      </c>
      <c r="S2" s="25">
        <v>0</v>
      </c>
      <c r="T2" s="25">
        <v>162</v>
      </c>
      <c r="U2" s="25">
        <f>LN($Z$1/T2-1)</f>
        <v>2.0336561180121571</v>
      </c>
      <c r="V2" s="26">
        <f>$Z$1/(1+$Z$2*EXP(-$Z$3*S2))</f>
        <v>161.08495717569011</v>
      </c>
      <c r="W2" s="26"/>
      <c r="X2" s="26"/>
      <c r="Z2" s="39">
        <v>7.6910660346333</v>
      </c>
      <c r="AB2" s="25">
        <v>6.5405455537852788</v>
      </c>
      <c r="AI2" s="26"/>
      <c r="AK2" s="42"/>
    </row>
    <row r="3" spans="1:37" x14ac:dyDescent="0.4">
      <c r="A3" s="31">
        <v>30</v>
      </c>
      <c r="B3" s="25">
        <v>5806</v>
      </c>
      <c r="C3" s="25">
        <v>204</v>
      </c>
      <c r="D3" s="25">
        <v>1</v>
      </c>
      <c r="E3" s="25">
        <v>5806</v>
      </c>
      <c r="F3" s="25">
        <f t="shared" ref="F3:F13" si="0">LN($K$1/E3-1)</f>
        <v>1.7554556139923729</v>
      </c>
      <c r="G3" s="26">
        <f t="shared" ref="G3:G34" si="1">$K$1/(1+$K$2*EXP(-$K$3*D3))</f>
        <v>5750.0176853766088</v>
      </c>
      <c r="H3" s="25">
        <f>G3-G2</f>
        <v>1272.4367014343215</v>
      </c>
      <c r="K3" s="30">
        <v>0.28723646000000003</v>
      </c>
      <c r="L3" s="29"/>
      <c r="M3" s="29">
        <v>0.27900933</v>
      </c>
      <c r="R3" s="25">
        <v>30</v>
      </c>
      <c r="S3" s="25">
        <v>1</v>
      </c>
      <c r="T3" s="25">
        <v>204</v>
      </c>
      <c r="U3" s="25">
        <f t="shared" ref="U3:U14" si="2">LN($Z$1/T3-1)</f>
        <v>1.7686179406663607</v>
      </c>
      <c r="V3" s="26">
        <f t="shared" ref="V3:V34" si="3">$Z$1/(1+$Z$2*EXP(-$Z$3*S3))</f>
        <v>196.54543469010758</v>
      </c>
      <c r="W3" s="26">
        <f>V3-V2</f>
        <v>35.460477514417477</v>
      </c>
      <c r="X3" s="26"/>
      <c r="Z3" s="25">
        <v>0.22800152000000001</v>
      </c>
      <c r="AB3" s="25">
        <v>0.24316267</v>
      </c>
      <c r="AI3" s="26"/>
      <c r="AK3" s="42"/>
    </row>
    <row r="4" spans="1:37" ht="17.649999999999999" x14ac:dyDescent="0.4">
      <c r="A4" s="31">
        <v>31</v>
      </c>
      <c r="B4" s="25">
        <v>7153</v>
      </c>
      <c r="C4" s="25">
        <v>249</v>
      </c>
      <c r="D4" s="25">
        <v>2</v>
      </c>
      <c r="E4" s="25">
        <v>7153</v>
      </c>
      <c r="F4" s="25">
        <f t="shared" si="0"/>
        <v>1.5058931665327893</v>
      </c>
      <c r="G4" s="26">
        <f t="shared" si="1"/>
        <v>7308.3809636854248</v>
      </c>
      <c r="H4" s="25">
        <f t="shared" ref="H4:I34" si="4">G4-G3</f>
        <v>1558.363278308816</v>
      </c>
      <c r="I4" s="25">
        <f t="shared" si="4"/>
        <v>285.92657687449446</v>
      </c>
      <c r="K4" s="52">
        <v>0.99946732999999999</v>
      </c>
      <c r="L4" s="29"/>
      <c r="M4" s="29">
        <v>0.99937721000000002</v>
      </c>
      <c r="R4" s="25">
        <v>31</v>
      </c>
      <c r="S4" s="25">
        <v>2</v>
      </c>
      <c r="T4" s="25">
        <v>249</v>
      </c>
      <c r="U4" s="25">
        <f t="shared" si="2"/>
        <v>1.530933512257175</v>
      </c>
      <c r="V4" s="26">
        <f t="shared" si="3"/>
        <v>238.31047721186542</v>
      </c>
      <c r="W4" s="26">
        <f t="shared" ref="W4:W34" si="5">V4-V3</f>
        <v>41.765042521757834</v>
      </c>
      <c r="X4" s="26">
        <f t="shared" ref="X4:X34" si="6">W4-W3</f>
        <v>6.3045650073403579</v>
      </c>
      <c r="Z4" s="46">
        <v>0.99474777000000003</v>
      </c>
      <c r="AB4" s="25">
        <v>0.99112836000000004</v>
      </c>
      <c r="AI4" s="26"/>
      <c r="AK4" s="42"/>
    </row>
    <row r="5" spans="1:37" x14ac:dyDescent="0.4">
      <c r="A5" s="31">
        <v>1</v>
      </c>
      <c r="B5" s="25">
        <v>9074</v>
      </c>
      <c r="C5" s="25">
        <v>249</v>
      </c>
      <c r="D5" s="25">
        <v>3</v>
      </c>
      <c r="E5" s="25">
        <v>9074</v>
      </c>
      <c r="F5" s="25">
        <f t="shared" si="0"/>
        <v>1.2065922491369752</v>
      </c>
      <c r="G5" s="26">
        <f t="shared" si="1"/>
        <v>9173.9465470552368</v>
      </c>
      <c r="H5" s="25">
        <f t="shared" si="4"/>
        <v>1865.565583369812</v>
      </c>
      <c r="I5" s="25">
        <f t="shared" si="4"/>
        <v>307.20230506099597</v>
      </c>
      <c r="R5" s="25">
        <v>1</v>
      </c>
      <c r="S5" s="25">
        <v>3</v>
      </c>
      <c r="T5" s="25">
        <v>249</v>
      </c>
      <c r="U5" s="25">
        <f t="shared" si="2"/>
        <v>1.530933512257175</v>
      </c>
      <c r="V5" s="26">
        <f t="shared" si="3"/>
        <v>286.83513928651143</v>
      </c>
      <c r="W5" s="26">
        <f t="shared" si="5"/>
        <v>48.524662074646017</v>
      </c>
      <c r="X5" s="26">
        <f t="shared" si="6"/>
        <v>6.7596195528881822</v>
      </c>
      <c r="AI5" s="26"/>
      <c r="AK5" s="42"/>
    </row>
    <row r="6" spans="1:37" x14ac:dyDescent="0.4">
      <c r="A6" s="47">
        <v>2</v>
      </c>
      <c r="B6" s="25">
        <v>11177</v>
      </c>
      <c r="C6" s="25">
        <v>350</v>
      </c>
      <c r="D6" s="25">
        <v>4</v>
      </c>
      <c r="E6" s="25">
        <v>11177</v>
      </c>
      <c r="F6" s="25">
        <f t="shared" si="0"/>
        <v>0.92627915295421714</v>
      </c>
      <c r="G6" s="26">
        <f t="shared" si="1"/>
        <v>11347.339053958829</v>
      </c>
      <c r="H6" s="25">
        <f t="shared" si="4"/>
        <v>2173.3925069035922</v>
      </c>
      <c r="I6" s="25">
        <f t="shared" si="4"/>
        <v>307.82692353378025</v>
      </c>
      <c r="R6" s="48">
        <v>2</v>
      </c>
      <c r="S6" s="25">
        <v>4</v>
      </c>
      <c r="T6" s="25">
        <v>350</v>
      </c>
      <c r="U6" s="25">
        <f t="shared" si="2"/>
        <v>1.0986122886681098</v>
      </c>
      <c r="V6" s="26">
        <f t="shared" si="3"/>
        <v>342.3287457801847</v>
      </c>
      <c r="W6" s="26">
        <f t="shared" si="5"/>
        <v>55.493606493673269</v>
      </c>
      <c r="X6" s="26">
        <f t="shared" si="6"/>
        <v>6.9689444190272525</v>
      </c>
      <c r="AI6" s="26"/>
      <c r="AK6" s="42"/>
    </row>
    <row r="7" spans="1:37" x14ac:dyDescent="0.4">
      <c r="A7" s="31">
        <v>3</v>
      </c>
      <c r="B7" s="25">
        <v>13522</v>
      </c>
      <c r="C7" s="25">
        <v>414</v>
      </c>
      <c r="D7" s="25">
        <v>5</v>
      </c>
      <c r="E7" s="25">
        <v>13522</v>
      </c>
      <c r="F7" s="25">
        <f t="shared" si="0"/>
        <v>0.64907519822527493</v>
      </c>
      <c r="G7" s="26">
        <f t="shared" si="1"/>
        <v>13800.537988605127</v>
      </c>
      <c r="H7" s="25">
        <f t="shared" si="4"/>
        <v>2453.1989346462979</v>
      </c>
      <c r="I7" s="25">
        <f t="shared" si="4"/>
        <v>279.80642774270564</v>
      </c>
      <c r="R7" s="25">
        <v>3</v>
      </c>
      <c r="S7" s="25">
        <v>5</v>
      </c>
      <c r="T7" s="25">
        <v>414</v>
      </c>
      <c r="U7" s="25">
        <f t="shared" si="2"/>
        <v>0.86779038077732096</v>
      </c>
      <c r="V7" s="26">
        <f t="shared" si="3"/>
        <v>404.65579360555409</v>
      </c>
      <c r="W7" s="26">
        <f t="shared" si="5"/>
        <v>62.327047825369391</v>
      </c>
      <c r="X7" s="26">
        <f t="shared" si="6"/>
        <v>6.8334413316961218</v>
      </c>
      <c r="AI7" s="26"/>
      <c r="AK7" s="42"/>
    </row>
    <row r="8" spans="1:37" x14ac:dyDescent="0.4">
      <c r="A8" s="31">
        <v>4</v>
      </c>
      <c r="B8" s="25">
        <v>16678</v>
      </c>
      <c r="C8" s="25">
        <v>479</v>
      </c>
      <c r="D8" s="25">
        <v>6</v>
      </c>
      <c r="E8" s="25">
        <v>16678</v>
      </c>
      <c r="F8" s="25">
        <f t="shared" si="0"/>
        <v>0.30924313248291929</v>
      </c>
      <c r="G8" s="26">
        <f t="shared" si="1"/>
        <v>16472.667169968354</v>
      </c>
      <c r="H8" s="25">
        <f t="shared" si="4"/>
        <v>2672.129181363227</v>
      </c>
      <c r="I8" s="25">
        <f t="shared" si="4"/>
        <v>218.9302467169291</v>
      </c>
      <c r="R8" s="25">
        <v>4</v>
      </c>
      <c r="S8" s="25">
        <v>6</v>
      </c>
      <c r="T8" s="25">
        <v>479</v>
      </c>
      <c r="U8" s="25">
        <f t="shared" si="2"/>
        <v>0.65375943884439169</v>
      </c>
      <c r="V8" s="26">
        <f t="shared" si="3"/>
        <v>473.25306130586387</v>
      </c>
      <c r="W8" s="26">
        <f t="shared" si="5"/>
        <v>68.597267700309771</v>
      </c>
      <c r="X8" s="26">
        <f t="shared" si="6"/>
        <v>6.2702198749403806</v>
      </c>
      <c r="AI8" s="26"/>
      <c r="AK8" s="42"/>
    </row>
    <row r="9" spans="1:37" x14ac:dyDescent="0.4">
      <c r="A9" s="31">
        <v>5</v>
      </c>
      <c r="B9" s="25">
        <v>19665</v>
      </c>
      <c r="C9" s="25">
        <v>549</v>
      </c>
      <c r="D9" s="25">
        <v>7</v>
      </c>
      <c r="E9" s="25">
        <v>19665</v>
      </c>
      <c r="F9" s="25">
        <f t="shared" si="0"/>
        <v>3.5533032310376411E-3</v>
      </c>
      <c r="G9" s="26">
        <f t="shared" si="1"/>
        <v>19272.667271154816</v>
      </c>
      <c r="H9" s="25">
        <f t="shared" si="4"/>
        <v>2800.0001011864624</v>
      </c>
      <c r="I9" s="25">
        <f t="shared" si="4"/>
        <v>127.87091982323545</v>
      </c>
      <c r="R9" s="25">
        <v>5</v>
      </c>
      <c r="S9" s="25">
        <v>7</v>
      </c>
      <c r="T9" s="25">
        <v>549</v>
      </c>
      <c r="U9" s="25">
        <f t="shared" si="2"/>
        <v>0.43831368706384349</v>
      </c>
      <c r="V9" s="26">
        <f t="shared" si="3"/>
        <v>547.08731669638121</v>
      </c>
      <c r="W9" s="26">
        <f t="shared" si="5"/>
        <v>73.834255390517342</v>
      </c>
      <c r="X9" s="26">
        <f t="shared" si="6"/>
        <v>5.2369876902075703</v>
      </c>
      <c r="AI9" s="26"/>
      <c r="AK9" s="42"/>
    </row>
    <row r="10" spans="1:37" x14ac:dyDescent="0.4">
      <c r="A10" s="47">
        <v>6</v>
      </c>
      <c r="B10" s="25">
        <v>22112</v>
      </c>
      <c r="C10" s="25">
        <v>618</v>
      </c>
      <c r="D10" s="32">
        <v>8</v>
      </c>
      <c r="E10" s="25">
        <v>22112</v>
      </c>
      <c r="F10" s="25">
        <f t="shared" si="0"/>
        <v>-0.24610782838067444</v>
      </c>
      <c r="G10" s="26">
        <f t="shared" si="1"/>
        <v>22090.048250991891</v>
      </c>
      <c r="H10" s="29">
        <f t="shared" si="4"/>
        <v>2817.3809798370748</v>
      </c>
      <c r="I10" s="25">
        <f t="shared" si="4"/>
        <v>17.380878650612431</v>
      </c>
      <c r="J10" s="29"/>
      <c r="R10" s="49">
        <v>6</v>
      </c>
      <c r="S10" s="45">
        <v>8</v>
      </c>
      <c r="T10" s="25">
        <v>618</v>
      </c>
      <c r="U10" s="25">
        <f t="shared" si="2"/>
        <v>0.23536628308762045</v>
      </c>
      <c r="V10" s="26">
        <f t="shared" si="3"/>
        <v>624.67622527545495</v>
      </c>
      <c r="W10" s="38">
        <f t="shared" si="5"/>
        <v>77.588908579073745</v>
      </c>
      <c r="X10" s="26">
        <f t="shared" si="6"/>
        <v>3.7546531885564036</v>
      </c>
      <c r="Y10" s="29"/>
      <c r="AI10" s="26"/>
      <c r="AK10" s="42"/>
    </row>
    <row r="11" spans="1:37" x14ac:dyDescent="0.4">
      <c r="A11" s="31">
        <v>7</v>
      </c>
      <c r="B11" s="25">
        <v>24953</v>
      </c>
      <c r="C11" s="25">
        <v>699</v>
      </c>
      <c r="D11" s="25">
        <v>9</v>
      </c>
      <c r="E11" s="25">
        <v>24953</v>
      </c>
      <c r="F11" s="25">
        <f t="shared" si="0"/>
        <v>-0.54650727490293793</v>
      </c>
      <c r="G11" s="26">
        <f t="shared" si="1"/>
        <v>24811.576909954249</v>
      </c>
      <c r="H11" s="25">
        <f t="shared" si="4"/>
        <v>2721.5286589623574</v>
      </c>
      <c r="I11" s="25">
        <f t="shared" si="4"/>
        <v>-95.852320874717407</v>
      </c>
      <c r="R11" s="29">
        <v>7</v>
      </c>
      <c r="S11" s="25">
        <v>9</v>
      </c>
      <c r="T11" s="25">
        <v>699</v>
      </c>
      <c r="U11" s="25">
        <f t="shared" si="2"/>
        <v>2.857144800779744E-3</v>
      </c>
      <c r="V11" s="26">
        <f t="shared" si="3"/>
        <v>704.18394817459193</v>
      </c>
      <c r="W11" s="51">
        <f t="shared" si="5"/>
        <v>79.507722899136979</v>
      </c>
      <c r="X11" s="26">
        <f t="shared" si="6"/>
        <v>1.9188143200632339</v>
      </c>
      <c r="AI11" s="26"/>
      <c r="AK11" s="42"/>
    </row>
    <row r="12" spans="1:37" x14ac:dyDescent="0.4">
      <c r="A12" s="31">
        <v>8</v>
      </c>
      <c r="B12" s="37">
        <v>27100</v>
      </c>
      <c r="C12" s="37">
        <v>780</v>
      </c>
      <c r="D12" s="37">
        <v>10</v>
      </c>
      <c r="E12" s="37">
        <v>27100</v>
      </c>
      <c r="F12" s="25">
        <f t="shared" si="0"/>
        <v>-0.7899344655072833</v>
      </c>
      <c r="G12" s="26">
        <f t="shared" si="1"/>
        <v>27338.844273972369</v>
      </c>
      <c r="H12" s="25">
        <f t="shared" si="4"/>
        <v>2527.2673640181201</v>
      </c>
      <c r="I12" s="25">
        <f t="shared" si="4"/>
        <v>-194.26129494423731</v>
      </c>
      <c r="R12" s="25">
        <v>8</v>
      </c>
      <c r="S12" s="25">
        <v>10</v>
      </c>
      <c r="T12" s="37">
        <v>780</v>
      </c>
      <c r="U12" s="37">
        <f t="shared" si="2"/>
        <v>-0.22957444164450011</v>
      </c>
      <c r="V12" s="60">
        <f t="shared" si="3"/>
        <v>783.58385958057227</v>
      </c>
      <c r="W12" s="26">
        <f t="shared" si="5"/>
        <v>79.399911405980333</v>
      </c>
      <c r="X12" s="26">
        <f t="shared" si="6"/>
        <v>-0.10781149315664607</v>
      </c>
      <c r="AI12" s="26"/>
      <c r="AK12" s="42"/>
    </row>
    <row r="13" spans="1:37" x14ac:dyDescent="0.4">
      <c r="A13" s="31">
        <v>9</v>
      </c>
      <c r="B13" s="37">
        <v>29631</v>
      </c>
      <c r="C13" s="37">
        <v>871</v>
      </c>
      <c r="D13" s="37">
        <v>11</v>
      </c>
      <c r="E13" s="37">
        <v>29631</v>
      </c>
      <c r="F13" s="25">
        <f t="shared" si="0"/>
        <v>-1.1096070039232946</v>
      </c>
      <c r="G13" s="26">
        <f t="shared" si="1"/>
        <v>29601.200207240301</v>
      </c>
      <c r="H13" s="25">
        <f t="shared" si="4"/>
        <v>2262.3559332679324</v>
      </c>
      <c r="I13" s="25">
        <f t="shared" si="4"/>
        <v>-264.91143075018772</v>
      </c>
      <c r="R13" s="25">
        <v>9</v>
      </c>
      <c r="S13" s="25">
        <v>11</v>
      </c>
      <c r="T13" s="37">
        <v>871</v>
      </c>
      <c r="U13" s="37">
        <f t="shared" si="2"/>
        <v>-0.49865354499420328</v>
      </c>
      <c r="V13" s="60">
        <f t="shared" si="3"/>
        <v>860.86023466821325</v>
      </c>
      <c r="W13" s="26">
        <f t="shared" si="5"/>
        <v>77.276375087640986</v>
      </c>
      <c r="X13" s="26">
        <f t="shared" si="6"/>
        <v>-2.1235363183393474</v>
      </c>
    </row>
    <row r="14" spans="1:37" x14ac:dyDescent="0.4">
      <c r="A14" s="31">
        <v>10</v>
      </c>
      <c r="B14" s="29">
        <v>31728</v>
      </c>
      <c r="C14" s="29">
        <v>974</v>
      </c>
      <c r="D14" s="25">
        <v>12</v>
      </c>
      <c r="G14" s="25">
        <f t="shared" si="1"/>
        <v>31560.877891234111</v>
      </c>
      <c r="H14" s="25">
        <f t="shared" si="4"/>
        <v>1959.6776839938102</v>
      </c>
      <c r="I14" s="25">
        <f t="shared" si="4"/>
        <v>-302.67824927412221</v>
      </c>
      <c r="R14" s="25">
        <v>10</v>
      </c>
      <c r="S14" s="25">
        <v>12</v>
      </c>
      <c r="T14" s="25">
        <v>974</v>
      </c>
      <c r="U14" s="25">
        <f t="shared" si="2"/>
        <v>-0.82697195737316476</v>
      </c>
      <c r="V14" s="26">
        <f t="shared" si="3"/>
        <v>934.20766153094473</v>
      </c>
      <c r="W14" s="26">
        <f t="shared" si="5"/>
        <v>73.347426862731481</v>
      </c>
      <c r="X14" s="26">
        <f t="shared" si="6"/>
        <v>-3.9289482249095045</v>
      </c>
    </row>
    <row r="15" spans="1:37" x14ac:dyDescent="0.4">
      <c r="A15" s="47">
        <v>11</v>
      </c>
      <c r="D15" s="25">
        <v>13</v>
      </c>
      <c r="G15" s="25">
        <f t="shared" si="1"/>
        <v>33210.584189005378</v>
      </c>
      <c r="H15" s="25">
        <f t="shared" si="4"/>
        <v>1649.7062977712667</v>
      </c>
      <c r="I15" s="25">
        <f t="shared" si="4"/>
        <v>-309.97138622254352</v>
      </c>
      <c r="R15" s="37">
        <v>11</v>
      </c>
      <c r="S15" s="25">
        <v>13</v>
      </c>
      <c r="V15" s="26">
        <f t="shared" si="3"/>
        <v>1002.1877161042931</v>
      </c>
      <c r="W15" s="26">
        <f t="shared" si="5"/>
        <v>67.980054573348411</v>
      </c>
      <c r="X15" s="26">
        <f t="shared" si="6"/>
        <v>-5.36737228938307</v>
      </c>
    </row>
    <row r="16" spans="1:37" x14ac:dyDescent="0.4">
      <c r="A16" s="31">
        <v>12</v>
      </c>
      <c r="D16" s="25">
        <v>14</v>
      </c>
      <c r="G16" s="25">
        <f t="shared" si="1"/>
        <v>34566.288893458885</v>
      </c>
      <c r="H16" s="25">
        <f t="shared" si="4"/>
        <v>1355.7047044535066</v>
      </c>
      <c r="I16" s="25">
        <f t="shared" si="4"/>
        <v>-294.00159331776013</v>
      </c>
      <c r="R16" s="49">
        <v>12</v>
      </c>
      <c r="S16" s="25">
        <v>14</v>
      </c>
      <c r="V16" s="26">
        <f t="shared" si="3"/>
        <v>1063.8167118281992</v>
      </c>
      <c r="W16" s="26">
        <f t="shared" si="5"/>
        <v>61.628995723906087</v>
      </c>
      <c r="X16" s="26">
        <f t="shared" si="6"/>
        <v>-6.3510588494423246</v>
      </c>
    </row>
    <row r="17" spans="1:24" x14ac:dyDescent="0.4">
      <c r="A17" s="31">
        <v>13</v>
      </c>
      <c r="D17" s="25">
        <v>15</v>
      </c>
      <c r="G17" s="25">
        <f t="shared" si="1"/>
        <v>35658.499637423229</v>
      </c>
      <c r="H17" s="25">
        <f t="shared" si="4"/>
        <v>1092.2107439643441</v>
      </c>
      <c r="I17" s="25">
        <f t="shared" si="4"/>
        <v>-263.49396048916242</v>
      </c>
      <c r="R17" s="25">
        <v>13</v>
      </c>
      <c r="S17" s="25">
        <v>15</v>
      </c>
      <c r="V17" s="26">
        <f t="shared" si="3"/>
        <v>1118.5791708906825</v>
      </c>
      <c r="W17" s="26">
        <f t="shared" si="5"/>
        <v>54.762459062483231</v>
      </c>
      <c r="X17" s="26">
        <f t="shared" si="6"/>
        <v>-6.866536661422856</v>
      </c>
    </row>
    <row r="18" spans="1:24" x14ac:dyDescent="0.4">
      <c r="A18" s="31">
        <v>14</v>
      </c>
      <c r="D18" s="25">
        <v>16</v>
      </c>
      <c r="G18" s="25">
        <f t="shared" si="1"/>
        <v>36524.448296513234</v>
      </c>
      <c r="H18" s="25">
        <f t="shared" si="4"/>
        <v>865.94865909000509</v>
      </c>
      <c r="I18" s="25">
        <f t="shared" si="4"/>
        <v>-226.26208487433905</v>
      </c>
      <c r="R18" s="50">
        <v>14</v>
      </c>
      <c r="S18" s="25">
        <v>16</v>
      </c>
      <c r="V18" s="26">
        <f t="shared" si="3"/>
        <v>1166.3801108247633</v>
      </c>
      <c r="W18" s="26">
        <f t="shared" si="5"/>
        <v>47.800939934080816</v>
      </c>
      <c r="X18" s="26">
        <f t="shared" si="6"/>
        <v>-6.9615191284024149</v>
      </c>
    </row>
    <row r="19" spans="1:24" x14ac:dyDescent="0.4">
      <c r="A19" s="31">
        <v>15</v>
      </c>
      <c r="D19" s="25">
        <v>17</v>
      </c>
      <c r="G19" s="25">
        <f t="shared" si="1"/>
        <v>37202.330154585397</v>
      </c>
      <c r="H19" s="25">
        <f t="shared" si="4"/>
        <v>677.8818580721636</v>
      </c>
      <c r="I19" s="25">
        <f t="shared" si="4"/>
        <v>-188.0668010178415</v>
      </c>
      <c r="R19" s="25">
        <v>15</v>
      </c>
      <c r="S19" s="25">
        <v>17</v>
      </c>
      <c r="V19" s="26">
        <f t="shared" si="3"/>
        <v>1207.459353304977</v>
      </c>
      <c r="W19" s="26">
        <f t="shared" si="5"/>
        <v>41.079242480213679</v>
      </c>
      <c r="X19" s="26">
        <f t="shared" si="6"/>
        <v>-6.7216974538671366</v>
      </c>
    </row>
    <row r="20" spans="1:24" x14ac:dyDescent="0.4">
      <c r="A20" s="31">
        <v>16</v>
      </c>
      <c r="D20" s="25">
        <v>18</v>
      </c>
      <c r="G20" s="25">
        <f t="shared" si="1"/>
        <v>37727.724935163656</v>
      </c>
      <c r="H20" s="25">
        <f t="shared" si="4"/>
        <v>525.39478057825909</v>
      </c>
      <c r="I20" s="25">
        <f t="shared" si="4"/>
        <v>-152.48707749390451</v>
      </c>
      <c r="R20" s="25">
        <v>16</v>
      </c>
      <c r="S20" s="25">
        <v>18</v>
      </c>
      <c r="V20" s="26">
        <f t="shared" si="3"/>
        <v>1242.291977942903</v>
      </c>
      <c r="W20" s="26">
        <f t="shared" si="5"/>
        <v>34.832624637926074</v>
      </c>
      <c r="X20" s="26">
        <f t="shared" si="6"/>
        <v>-6.2466178422876055</v>
      </c>
    </row>
    <row r="21" spans="1:24" x14ac:dyDescent="0.4">
      <c r="A21" s="31">
        <v>17</v>
      </c>
      <c r="D21" s="25">
        <v>19</v>
      </c>
      <c r="G21" s="25">
        <f t="shared" si="1"/>
        <v>38131.795916017349</v>
      </c>
      <c r="H21" s="25">
        <f t="shared" si="4"/>
        <v>404.07098085369216</v>
      </c>
      <c r="I21" s="25">
        <f t="shared" si="4"/>
        <v>-121.32379972456692</v>
      </c>
      <c r="R21" s="25">
        <v>17</v>
      </c>
      <c r="S21" s="25">
        <v>19</v>
      </c>
      <c r="V21" s="26">
        <f t="shared" si="3"/>
        <v>1271.4936743585163</v>
      </c>
      <c r="W21" s="26">
        <f t="shared" si="5"/>
        <v>29.201696415613242</v>
      </c>
      <c r="X21" s="26">
        <f t="shared" si="6"/>
        <v>-5.6309282223128321</v>
      </c>
    </row>
    <row r="22" spans="1:24" x14ac:dyDescent="0.4">
      <c r="A22" s="31">
        <v>18</v>
      </c>
      <c r="D22" s="25">
        <v>20</v>
      </c>
      <c r="G22" s="25">
        <f t="shared" si="1"/>
        <v>38440.713962964546</v>
      </c>
      <c r="H22" s="25">
        <f t="shared" si="4"/>
        <v>308.91804694719758</v>
      </c>
      <c r="I22" s="25">
        <f t="shared" si="4"/>
        <v>-95.152933906494582</v>
      </c>
      <c r="R22" s="25">
        <v>18</v>
      </c>
      <c r="S22" s="25">
        <v>20</v>
      </c>
      <c r="V22" s="26">
        <f t="shared" si="3"/>
        <v>1295.7420784807343</v>
      </c>
      <c r="W22" s="26">
        <f t="shared" si="5"/>
        <v>24.248404122218062</v>
      </c>
      <c r="X22" s="26">
        <f t="shared" si="6"/>
        <v>-4.9532922933951795</v>
      </c>
    </row>
    <row r="23" spans="1:24" x14ac:dyDescent="0.4">
      <c r="A23" s="31">
        <v>19</v>
      </c>
      <c r="D23" s="25">
        <v>21</v>
      </c>
      <c r="G23" s="25">
        <f t="shared" si="1"/>
        <v>38675.812679946554</v>
      </c>
      <c r="H23" s="25">
        <f t="shared" si="4"/>
        <v>235.09871698200732</v>
      </c>
      <c r="I23" s="25">
        <f t="shared" si="4"/>
        <v>-73.819329965190263</v>
      </c>
      <c r="R23" s="25">
        <v>19</v>
      </c>
      <c r="S23" s="25">
        <v>21</v>
      </c>
      <c r="V23" s="26">
        <f t="shared" si="3"/>
        <v>1315.7182404650498</v>
      </c>
      <c r="W23" s="26">
        <f t="shared" si="5"/>
        <v>19.976161984315468</v>
      </c>
      <c r="X23" s="26">
        <f t="shared" si="6"/>
        <v>-4.2722421379025945</v>
      </c>
    </row>
    <row r="24" spans="1:24" x14ac:dyDescent="0.4">
      <c r="A24" s="31">
        <v>20</v>
      </c>
      <c r="D24" s="25">
        <v>22</v>
      </c>
      <c r="G24" s="25">
        <f t="shared" si="1"/>
        <v>38854.112373229786</v>
      </c>
      <c r="H24" s="25">
        <f t="shared" si="4"/>
        <v>178.29969328323205</v>
      </c>
      <c r="I24" s="25">
        <f t="shared" si="4"/>
        <v>-56.799023698775272</v>
      </c>
      <c r="R24" s="25">
        <v>20</v>
      </c>
      <c r="S24" s="25">
        <v>22</v>
      </c>
      <c r="V24" s="26">
        <f t="shared" si="3"/>
        <v>1332.0675697828117</v>
      </c>
      <c r="W24" s="26">
        <f t="shared" si="5"/>
        <v>16.349329317761885</v>
      </c>
      <c r="X24" s="26">
        <f t="shared" si="6"/>
        <v>-3.6268326665535824</v>
      </c>
    </row>
    <row r="25" spans="1:24" x14ac:dyDescent="0.4">
      <c r="A25" s="31">
        <v>21</v>
      </c>
      <c r="D25" s="25">
        <v>23</v>
      </c>
      <c r="G25" s="25">
        <f t="shared" si="1"/>
        <v>38988.980030111321</v>
      </c>
      <c r="H25" s="25">
        <f t="shared" si="4"/>
        <v>134.86765688153537</v>
      </c>
      <c r="I25" s="25">
        <f t="shared" si="4"/>
        <v>-43.432036401696678</v>
      </c>
      <c r="R25" s="25">
        <v>21</v>
      </c>
      <c r="S25" s="25">
        <v>23</v>
      </c>
      <c r="V25" s="26">
        <f t="shared" si="3"/>
        <v>1345.377055080435</v>
      </c>
      <c r="W25" s="26">
        <f t="shared" si="5"/>
        <v>13.309485297623269</v>
      </c>
      <c r="X25" s="26">
        <f t="shared" si="6"/>
        <v>-3.0398440201386165</v>
      </c>
    </row>
    <row r="26" spans="1:24" x14ac:dyDescent="0.4">
      <c r="A26" s="31">
        <v>22</v>
      </c>
      <c r="D26" s="25">
        <v>24</v>
      </c>
      <c r="G26" s="25">
        <f t="shared" si="1"/>
        <v>39090.792291467224</v>
      </c>
      <c r="H26" s="25">
        <f t="shared" si="4"/>
        <v>101.81226135590259</v>
      </c>
      <c r="I26" s="25">
        <f t="shared" si="4"/>
        <v>-33.055395525632775</v>
      </c>
      <c r="R26" s="25">
        <v>22</v>
      </c>
      <c r="S26" s="25">
        <v>24</v>
      </c>
      <c r="V26" s="26">
        <f t="shared" si="3"/>
        <v>1356.1647249494952</v>
      </c>
      <c r="W26" s="26">
        <f t="shared" si="5"/>
        <v>10.78766986906021</v>
      </c>
      <c r="X26" s="26">
        <f t="shared" si="6"/>
        <v>-2.521815428563059</v>
      </c>
    </row>
    <row r="27" spans="1:24" x14ac:dyDescent="0.4">
      <c r="A27" s="31">
        <v>23</v>
      </c>
      <c r="D27" s="25">
        <v>25</v>
      </c>
      <c r="G27" s="25">
        <f t="shared" si="1"/>
        <v>39167.535374878491</v>
      </c>
      <c r="H27" s="25">
        <f t="shared" si="4"/>
        <v>76.743083411267435</v>
      </c>
      <c r="I27" s="25">
        <f t="shared" si="4"/>
        <v>-25.069177944635157</v>
      </c>
      <c r="R27" s="25">
        <v>23</v>
      </c>
      <c r="S27" s="25">
        <v>25</v>
      </c>
      <c r="V27" s="26">
        <f t="shared" si="3"/>
        <v>1364.8775202277909</v>
      </c>
      <c r="W27" s="26">
        <f t="shared" si="5"/>
        <v>8.7127952782957436</v>
      </c>
      <c r="X27" s="26">
        <f t="shared" si="6"/>
        <v>-2.0748745907644661</v>
      </c>
    </row>
    <row r="28" spans="1:24" x14ac:dyDescent="0.4">
      <c r="A28" s="31">
        <v>24</v>
      </c>
      <c r="D28" s="25">
        <v>26</v>
      </c>
      <c r="G28" s="25">
        <f t="shared" si="1"/>
        <v>39225.31650324387</v>
      </c>
      <c r="H28" s="25">
        <f t="shared" si="4"/>
        <v>57.781128365379118</v>
      </c>
      <c r="I28" s="25">
        <f t="shared" si="4"/>
        <v>-18.961955045888317</v>
      </c>
      <c r="R28" s="25">
        <v>24</v>
      </c>
      <c r="S28" s="25">
        <v>26</v>
      </c>
      <c r="V28" s="26">
        <f t="shared" si="3"/>
        <v>1371.8944310486631</v>
      </c>
      <c r="W28" s="26">
        <f t="shared" si="5"/>
        <v>7.0169108208722264</v>
      </c>
      <c r="X28" s="26">
        <f t="shared" si="6"/>
        <v>-1.6958844574235172</v>
      </c>
    </row>
    <row r="29" spans="1:24" x14ac:dyDescent="0.4">
      <c r="A29" s="31">
        <v>25</v>
      </c>
      <c r="D29" s="25">
        <v>27</v>
      </c>
      <c r="G29" s="25">
        <f t="shared" si="1"/>
        <v>39268.78373822134</v>
      </c>
      <c r="H29" s="25">
        <f t="shared" si="4"/>
        <v>43.467234977470071</v>
      </c>
      <c r="I29" s="25">
        <f t="shared" si="4"/>
        <v>-14.313893387909047</v>
      </c>
      <c r="R29" s="25">
        <v>25</v>
      </c>
      <c r="S29" s="25">
        <v>27</v>
      </c>
      <c r="V29" s="26">
        <f t="shared" si="3"/>
        <v>1377.5325514280878</v>
      </c>
      <c r="W29" s="26">
        <f t="shared" si="5"/>
        <v>5.638120379424663</v>
      </c>
      <c r="X29" s="26">
        <f t="shared" si="6"/>
        <v>-1.3787904414475634</v>
      </c>
    </row>
    <row r="30" spans="1:24" x14ac:dyDescent="0.4">
      <c r="A30" s="31">
        <v>26</v>
      </c>
      <c r="D30" s="25">
        <v>28</v>
      </c>
      <c r="G30" s="25">
        <f t="shared" si="1"/>
        <v>39301.462008099246</v>
      </c>
      <c r="H30" s="25">
        <f t="shared" si="4"/>
        <v>32.678269877906132</v>
      </c>
      <c r="I30" s="25">
        <f t="shared" si="4"/>
        <v>-10.788965099563939</v>
      </c>
      <c r="R30" s="25">
        <v>26</v>
      </c>
      <c r="S30" s="25">
        <v>28</v>
      </c>
      <c r="V30" s="26">
        <f t="shared" si="3"/>
        <v>1382.0544310508185</v>
      </c>
      <c r="W30" s="26">
        <f t="shared" si="5"/>
        <v>4.5218796227306939</v>
      </c>
      <c r="X30" s="26">
        <f t="shared" si="6"/>
        <v>-1.1162407566939692</v>
      </c>
    </row>
    <row r="31" spans="1:24" x14ac:dyDescent="0.4">
      <c r="A31" s="31">
        <v>27</v>
      </c>
      <c r="D31" s="25">
        <v>29</v>
      </c>
      <c r="G31" s="25">
        <f t="shared" si="1"/>
        <v>39326.017371292946</v>
      </c>
      <c r="H31" s="25">
        <f t="shared" si="4"/>
        <v>24.555363193700032</v>
      </c>
      <c r="I31" s="25">
        <f t="shared" si="4"/>
        <v>-8.1229066842061002</v>
      </c>
      <c r="R31" s="25">
        <v>27</v>
      </c>
      <c r="S31" s="25">
        <v>29</v>
      </c>
      <c r="V31" s="26">
        <f t="shared" si="3"/>
        <v>1385.675684490958</v>
      </c>
      <c r="W31" s="26">
        <f t="shared" si="5"/>
        <v>3.621253440139526</v>
      </c>
      <c r="X31" s="26">
        <f t="shared" si="6"/>
        <v>-0.90062618259116789</v>
      </c>
    </row>
    <row r="32" spans="1:24" x14ac:dyDescent="0.4">
      <c r="A32" s="31">
        <v>28</v>
      </c>
      <c r="D32" s="25">
        <v>30</v>
      </c>
      <c r="G32" s="25">
        <f t="shared" si="1"/>
        <v>39344.462260891989</v>
      </c>
      <c r="H32" s="25">
        <f t="shared" si="4"/>
        <v>18.444889599042654</v>
      </c>
      <c r="I32" s="25">
        <f t="shared" si="4"/>
        <v>-6.1104735946573783</v>
      </c>
      <c r="R32" s="25">
        <v>28</v>
      </c>
      <c r="S32" s="25">
        <v>30</v>
      </c>
      <c r="V32" s="26">
        <f t="shared" si="3"/>
        <v>1388.5722439708845</v>
      </c>
      <c r="W32" s="26">
        <f t="shared" si="5"/>
        <v>2.8965594799265091</v>
      </c>
      <c r="X32" s="26">
        <f t="shared" si="6"/>
        <v>-0.72469396021301691</v>
      </c>
    </row>
    <row r="33" spans="1:24" x14ac:dyDescent="0.4">
      <c r="A33" s="31">
        <v>29</v>
      </c>
      <c r="D33" s="25">
        <v>31</v>
      </c>
      <c r="G33" s="25">
        <f t="shared" si="1"/>
        <v>39358.313459740239</v>
      </c>
      <c r="H33" s="25">
        <f t="shared" si="4"/>
        <v>13.851198848249624</v>
      </c>
      <c r="I33" s="25">
        <f t="shared" si="4"/>
        <v>-4.59369075079303</v>
      </c>
      <c r="R33" s="25">
        <v>29</v>
      </c>
      <c r="S33" s="25">
        <v>31</v>
      </c>
      <c r="V33" s="26">
        <f t="shared" si="3"/>
        <v>1390.8869342103853</v>
      </c>
      <c r="W33" s="26">
        <f t="shared" si="5"/>
        <v>2.3146902395008055</v>
      </c>
      <c r="X33" s="26">
        <f t="shared" si="6"/>
        <v>-0.58186924042570354</v>
      </c>
    </row>
    <row r="34" spans="1:24" x14ac:dyDescent="0.4">
      <c r="A34" s="31">
        <v>30</v>
      </c>
      <c r="D34" s="25">
        <v>32</v>
      </c>
      <c r="G34" s="25">
        <f t="shared" si="1"/>
        <v>39368.712895029916</v>
      </c>
      <c r="H34" s="25">
        <f t="shared" si="4"/>
        <v>10.399435289677058</v>
      </c>
      <c r="I34" s="25">
        <f t="shared" si="4"/>
        <v>-3.4517635585725657</v>
      </c>
      <c r="R34" s="25">
        <v>30</v>
      </c>
      <c r="S34" s="25">
        <v>32</v>
      </c>
      <c r="V34" s="26">
        <f t="shared" si="3"/>
        <v>1392.7352371833988</v>
      </c>
      <c r="W34" s="26">
        <f t="shared" si="5"/>
        <v>1.8483029730134604</v>
      </c>
      <c r="X34" s="26">
        <f t="shared" si="6"/>
        <v>-0.46638726648734519</v>
      </c>
    </row>
    <row r="35" spans="1:24" x14ac:dyDescent="0.4">
      <c r="V35" s="26"/>
      <c r="W35" s="26"/>
      <c r="X35" s="26"/>
    </row>
    <row r="36" spans="1:24" x14ac:dyDescent="0.4">
      <c r="V36" s="26"/>
      <c r="W36" s="26"/>
      <c r="X36" s="26"/>
    </row>
    <row r="37" spans="1:24" x14ac:dyDescent="0.4">
      <c r="V37" s="26"/>
      <c r="W37" s="26"/>
      <c r="X37" s="26"/>
    </row>
    <row r="38" spans="1:24" x14ac:dyDescent="0.4">
      <c r="V38" s="26"/>
      <c r="W38" s="26"/>
      <c r="X38" s="26"/>
    </row>
    <row r="39" spans="1:24" x14ac:dyDescent="0.4">
      <c r="V39" s="26"/>
      <c r="W39" s="26"/>
      <c r="X39" s="26"/>
    </row>
    <row r="40" spans="1:24" x14ac:dyDescent="0.4">
      <c r="V40" s="26"/>
      <c r="W40" s="26"/>
      <c r="X40" s="26"/>
    </row>
    <row r="41" spans="1:24" x14ac:dyDescent="0.4">
      <c r="V41" s="26"/>
      <c r="W41" s="26"/>
      <c r="X41" s="26"/>
    </row>
    <row r="42" spans="1:24" x14ac:dyDescent="0.4">
      <c r="V42" s="26"/>
      <c r="W42" s="26"/>
      <c r="X42" s="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R34"/>
  <sheetViews>
    <sheetView workbookViewId="0">
      <selection activeCell="J1" sqref="J1:J4"/>
    </sheetView>
  </sheetViews>
  <sheetFormatPr defaultColWidth="9" defaultRowHeight="13.9" x14ac:dyDescent="0.4"/>
  <cols>
    <col min="1" max="1" width="9" style="31"/>
    <col min="2" max="9" width="9" style="25"/>
    <col min="10" max="10" width="9.265625" style="25" bestFit="1" customWidth="1"/>
    <col min="11" max="43" width="9" style="25"/>
    <col min="44" max="44" width="13" style="25" bestFit="1" customWidth="1"/>
    <col min="45" max="57" width="9" style="25"/>
    <col min="58" max="58" width="8.59765625" style="25" customWidth="1"/>
    <col min="59" max="16384" width="9" style="25"/>
  </cols>
  <sheetData>
    <row r="1" spans="1:70" x14ac:dyDescent="0.4">
      <c r="A1" s="31" t="s">
        <v>84</v>
      </c>
      <c r="B1" s="25" t="s">
        <v>74</v>
      </c>
      <c r="C1" s="25" t="s">
        <v>85</v>
      </c>
      <c r="D1" s="25" t="s">
        <v>86</v>
      </c>
      <c r="E1" s="25" t="s">
        <v>74</v>
      </c>
      <c r="F1" s="25" t="s">
        <v>18</v>
      </c>
      <c r="G1" s="25" t="s">
        <v>87</v>
      </c>
      <c r="H1" s="25" t="s">
        <v>88</v>
      </c>
      <c r="I1" s="25" t="s">
        <v>89</v>
      </c>
      <c r="J1" s="29">
        <v>12000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AA1" s="25" t="s">
        <v>85</v>
      </c>
      <c r="AG1" s="25" t="s">
        <v>53</v>
      </c>
      <c r="AH1" s="25" t="s">
        <v>70</v>
      </c>
      <c r="AI1" s="25" t="s">
        <v>90</v>
      </c>
      <c r="AJ1" s="25" t="s">
        <v>91</v>
      </c>
      <c r="AK1" s="25" t="s">
        <v>53</v>
      </c>
      <c r="AL1" s="25" t="s">
        <v>92</v>
      </c>
      <c r="AM1" s="25" t="s">
        <v>93</v>
      </c>
      <c r="AN1" s="25" t="s">
        <v>94</v>
      </c>
      <c r="AO1" s="25" t="s">
        <v>87</v>
      </c>
      <c r="AP1" s="25" t="s">
        <v>55</v>
      </c>
      <c r="AQ1" s="25" t="s">
        <v>54</v>
      </c>
      <c r="AS1" s="25" t="s">
        <v>70</v>
      </c>
      <c r="AT1" s="25" t="s">
        <v>53</v>
      </c>
      <c r="AU1" s="25" t="s">
        <v>74</v>
      </c>
      <c r="AW1" s="25" t="s">
        <v>87</v>
      </c>
      <c r="AX1" s="25" t="s">
        <v>53</v>
      </c>
      <c r="AY1" s="25" t="s">
        <v>70</v>
      </c>
      <c r="BA1" s="25" t="s">
        <v>57</v>
      </c>
      <c r="BC1" s="25" t="s">
        <v>95</v>
      </c>
      <c r="BD1" s="25" t="s">
        <v>96</v>
      </c>
      <c r="BE1" s="25" t="s">
        <v>97</v>
      </c>
      <c r="BF1" s="25" t="s">
        <v>98</v>
      </c>
      <c r="BG1" s="25" t="s">
        <v>59</v>
      </c>
      <c r="BH1" s="25" t="s">
        <v>58</v>
      </c>
    </row>
    <row r="2" spans="1:70" x14ac:dyDescent="0.4">
      <c r="A2" s="31">
        <v>29</v>
      </c>
      <c r="B2" s="25">
        <v>3150</v>
      </c>
      <c r="C2" s="25">
        <v>8</v>
      </c>
      <c r="D2" s="25">
        <v>0</v>
      </c>
      <c r="E2" s="25">
        <v>3150</v>
      </c>
      <c r="F2" s="25">
        <f t="shared" ref="F2:F11" si="0">LN($J$1/E2-1)</f>
        <v>1.0330150061822965</v>
      </c>
      <c r="G2" s="26">
        <f t="shared" ref="G2:G34" si="1">$J$1/(1+$J$2*EXP(-$J$3*D2))</f>
        <v>3183.9394727825097</v>
      </c>
      <c r="H2" s="26"/>
      <c r="I2" s="26"/>
      <c r="J2" s="30">
        <f>EXP(1.01845586  )</f>
        <v>2.7689158674593002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AA2" s="25">
        <v>132</v>
      </c>
      <c r="AF2" s="25">
        <f>4.9611*AH2^0.8744</f>
        <v>4.9611000000000001</v>
      </c>
      <c r="AG2" s="25">
        <v>29</v>
      </c>
      <c r="AH2" s="25">
        <v>1</v>
      </c>
      <c r="AI2" s="25">
        <v>7649.0319832853902</v>
      </c>
      <c r="AJ2" s="25">
        <v>4477.5809839422873</v>
      </c>
      <c r="AK2" s="25">
        <v>29</v>
      </c>
      <c r="AL2" s="25">
        <v>7736</v>
      </c>
      <c r="AM2" s="25">
        <v>4586</v>
      </c>
      <c r="AN2" s="25">
        <f>AL2-AM2</f>
        <v>3150</v>
      </c>
      <c r="AO2" s="26">
        <f>AI2-AJ2</f>
        <v>3171.4509993431029</v>
      </c>
      <c r="AP2" s="25">
        <v>4586</v>
      </c>
      <c r="AQ2" s="25">
        <v>7736</v>
      </c>
      <c r="AS2" s="25">
        <v>1</v>
      </c>
      <c r="AT2" s="25">
        <v>29</v>
      </c>
      <c r="AU2" s="25">
        <v>7736</v>
      </c>
      <c r="AW2" s="25">
        <v>171.05050047956712</v>
      </c>
      <c r="AX2" s="25">
        <v>29</v>
      </c>
      <c r="AY2" s="25">
        <v>0</v>
      </c>
      <c r="BA2" s="25">
        <v>161.08495717569011</v>
      </c>
      <c r="BC2" s="25">
        <v>170</v>
      </c>
      <c r="BD2" s="25">
        <v>162</v>
      </c>
      <c r="BE2" s="25">
        <f>BC2-BD2</f>
        <v>8</v>
      </c>
      <c r="BF2" s="26">
        <f>AW2-BA2</f>
        <v>9.9655433038770127</v>
      </c>
      <c r="BG2" s="25">
        <v>162</v>
      </c>
      <c r="BH2" s="25">
        <v>170</v>
      </c>
      <c r="BI2" s="25">
        <f>BG2/BH2</f>
        <v>0.95294117647058818</v>
      </c>
      <c r="BJ2" s="25" t="s">
        <v>53</v>
      </c>
      <c r="BK2" s="25" t="s">
        <v>54</v>
      </c>
      <c r="BL2" s="25" t="s">
        <v>55</v>
      </c>
      <c r="BM2" s="25" t="s">
        <v>56</v>
      </c>
      <c r="BN2" s="25" t="s">
        <v>57</v>
      </c>
      <c r="BO2" s="25" t="s">
        <v>58</v>
      </c>
      <c r="BP2" s="25" t="s">
        <v>59</v>
      </c>
      <c r="BQ2" s="25" t="s">
        <v>56</v>
      </c>
      <c r="BR2" s="25" t="s">
        <v>57</v>
      </c>
    </row>
    <row r="3" spans="1:70" x14ac:dyDescent="0.4">
      <c r="A3" s="31">
        <v>30</v>
      </c>
      <c r="B3" s="25">
        <v>3914</v>
      </c>
      <c r="C3" s="25">
        <v>9</v>
      </c>
      <c r="D3" s="25">
        <v>1</v>
      </c>
      <c r="E3" s="25">
        <v>3914</v>
      </c>
      <c r="F3" s="25">
        <f t="shared" si="0"/>
        <v>0.72557430224469455</v>
      </c>
      <c r="G3" s="26">
        <f t="shared" si="1"/>
        <v>3849.0929039824091</v>
      </c>
      <c r="H3" s="26">
        <f>G3-G2</f>
        <v>665.15343119989939</v>
      </c>
      <c r="I3" s="26"/>
      <c r="J3" s="30">
        <v>0.26816414999999999</v>
      </c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AA3" s="25">
        <v>170</v>
      </c>
      <c r="AE3" s="25">
        <f>AF3/AF2</f>
        <v>1.8332455024746739</v>
      </c>
      <c r="AF3" s="25">
        <f t="shared" ref="AF3:AF14" si="2">4.9611*AH3^0.8744</f>
        <v>9.0949142623271051</v>
      </c>
      <c r="AG3" s="25">
        <v>30</v>
      </c>
      <c r="AH3" s="25">
        <v>2</v>
      </c>
      <c r="AI3" s="25">
        <v>9575.4286423499689</v>
      </c>
      <c r="AJ3" s="25">
        <v>5750.0176853766088</v>
      </c>
      <c r="AK3" s="25">
        <v>30</v>
      </c>
      <c r="AL3" s="25">
        <v>9720</v>
      </c>
      <c r="AM3" s="25">
        <v>5806</v>
      </c>
      <c r="AN3" s="25">
        <f t="shared" ref="AN3:AN13" si="3">AL3-AM3</f>
        <v>3914</v>
      </c>
      <c r="AO3" s="26">
        <f t="shared" ref="AO3:AO33" si="4">AI3-AJ3</f>
        <v>3825.41095697336</v>
      </c>
      <c r="AP3" s="25">
        <v>5806</v>
      </c>
      <c r="AQ3" s="25">
        <v>9720</v>
      </c>
      <c r="AR3" s="25">
        <f>(AQ3-AQ2)/AQ2/((AP3-AP2)/AP2)</f>
        <v>0.96404970586739447</v>
      </c>
      <c r="AS3" s="25">
        <v>2</v>
      </c>
      <c r="AT3" s="25">
        <v>30</v>
      </c>
      <c r="AU3" s="25">
        <v>9720</v>
      </c>
      <c r="AW3" s="25">
        <v>210.20963671067881</v>
      </c>
      <c r="AX3" s="25">
        <v>30</v>
      </c>
      <c r="AY3" s="25">
        <v>1</v>
      </c>
      <c r="BA3" s="25">
        <v>196.54543469010758</v>
      </c>
      <c r="BC3" s="25">
        <v>213</v>
      </c>
      <c r="BD3" s="25">
        <v>204</v>
      </c>
      <c r="BE3" s="25">
        <f t="shared" ref="BE3:BE13" si="5">BC3-BD3</f>
        <v>9</v>
      </c>
      <c r="BF3" s="26">
        <f t="shared" ref="BF3:BF34" si="6">AW3-BA3</f>
        <v>13.664202020571224</v>
      </c>
      <c r="BG3" s="25">
        <v>204</v>
      </c>
      <c r="BH3" s="25">
        <v>213</v>
      </c>
      <c r="BI3" s="25">
        <f t="shared" ref="BI3:BI13" si="7">BG3/BH3</f>
        <v>0.95774647887323938</v>
      </c>
      <c r="BJ3" s="25">
        <v>29</v>
      </c>
      <c r="BK3" s="25">
        <v>7736</v>
      </c>
      <c r="BL3" s="25">
        <v>4586</v>
      </c>
      <c r="BM3" s="25">
        <v>3150</v>
      </c>
      <c r="BN3" s="26">
        <v>3171.4509993431029</v>
      </c>
      <c r="BO3" s="25">
        <v>170</v>
      </c>
      <c r="BP3" s="25">
        <v>162</v>
      </c>
      <c r="BQ3" s="25">
        <v>8</v>
      </c>
      <c r="BR3" s="26">
        <v>9.9655433038770127</v>
      </c>
    </row>
    <row r="4" spans="1:70" x14ac:dyDescent="0.4">
      <c r="A4" s="31">
        <v>31</v>
      </c>
      <c r="B4" s="25">
        <v>4668</v>
      </c>
      <c r="C4" s="25">
        <v>10</v>
      </c>
      <c r="D4" s="25">
        <v>2</v>
      </c>
      <c r="E4" s="25">
        <v>4668</v>
      </c>
      <c r="F4" s="25">
        <f t="shared" si="0"/>
        <v>0.45151761555314907</v>
      </c>
      <c r="G4" s="26">
        <f t="shared" si="1"/>
        <v>4580.9983072001205</v>
      </c>
      <c r="H4" s="26">
        <f t="shared" ref="H4:I34" si="8">G4-G3</f>
        <v>731.90540321771141</v>
      </c>
      <c r="I4" s="26">
        <f t="shared" si="8"/>
        <v>66.751972017812022</v>
      </c>
      <c r="J4" s="29">
        <v>0.99939999999999996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AA4" s="25">
        <v>213</v>
      </c>
      <c r="AE4" s="25">
        <f t="shared" ref="AE4:AE13" si="9">AF4/AF3</f>
        <v>1.4255228953662871</v>
      </c>
      <c r="AF4" s="25">
        <f t="shared" si="2"/>
        <v>12.965008512340674</v>
      </c>
      <c r="AG4" s="25">
        <v>31</v>
      </c>
      <c r="AH4" s="25">
        <v>3</v>
      </c>
      <c r="AI4" s="25">
        <v>11858.707761992446</v>
      </c>
      <c r="AJ4" s="25">
        <v>7308.3809636854248</v>
      </c>
      <c r="AK4" s="25">
        <v>31</v>
      </c>
      <c r="AL4" s="25">
        <v>11821</v>
      </c>
      <c r="AM4" s="25">
        <v>7153</v>
      </c>
      <c r="AN4" s="25">
        <f t="shared" si="3"/>
        <v>4668</v>
      </c>
      <c r="AO4" s="26">
        <f t="shared" si="4"/>
        <v>4550.3267983070209</v>
      </c>
      <c r="AP4" s="25">
        <v>7153</v>
      </c>
      <c r="AQ4" s="25">
        <v>11821</v>
      </c>
      <c r="AR4" s="25">
        <f t="shared" ref="AR4:AR13" si="10">(AQ4-AQ3)/AQ3/((AP4-AP3)/AP3)</f>
        <v>0.93168525698015103</v>
      </c>
      <c r="AS4" s="25">
        <v>3</v>
      </c>
      <c r="AT4" s="25">
        <v>31</v>
      </c>
      <c r="AU4" s="25">
        <v>11821</v>
      </c>
      <c r="AW4" s="25">
        <v>254.41082299233736</v>
      </c>
      <c r="AX4" s="25">
        <v>31</v>
      </c>
      <c r="AY4" s="25">
        <v>2</v>
      </c>
      <c r="BA4" s="25">
        <v>238.31047721186542</v>
      </c>
      <c r="BC4" s="25">
        <v>259</v>
      </c>
      <c r="BD4" s="25">
        <v>249</v>
      </c>
      <c r="BE4" s="25">
        <f t="shared" si="5"/>
        <v>10</v>
      </c>
      <c r="BF4" s="26">
        <f t="shared" si="6"/>
        <v>16.10034578047194</v>
      </c>
      <c r="BG4" s="25">
        <v>249</v>
      </c>
      <c r="BH4" s="25">
        <v>259</v>
      </c>
      <c r="BI4" s="25">
        <f t="shared" si="7"/>
        <v>0.96138996138996136</v>
      </c>
      <c r="BJ4" s="25">
        <v>30</v>
      </c>
      <c r="BK4" s="25">
        <v>9720</v>
      </c>
      <c r="BL4" s="25">
        <v>5806</v>
      </c>
      <c r="BM4" s="25">
        <v>3914</v>
      </c>
      <c r="BN4" s="26">
        <v>3825.41095697336</v>
      </c>
      <c r="BO4" s="25">
        <v>213</v>
      </c>
      <c r="BP4" s="25">
        <v>204</v>
      </c>
      <c r="BQ4" s="25">
        <v>9</v>
      </c>
      <c r="BR4" s="26">
        <v>13.664202020571224</v>
      </c>
    </row>
    <row r="5" spans="1:70" x14ac:dyDescent="0.4">
      <c r="A5" s="31">
        <v>1</v>
      </c>
      <c r="B5" s="25">
        <v>5337</v>
      </c>
      <c r="C5" s="25">
        <v>55</v>
      </c>
      <c r="D5" s="25">
        <v>3</v>
      </c>
      <c r="E5" s="25">
        <v>5337</v>
      </c>
      <c r="F5" s="25">
        <f t="shared" si="0"/>
        <v>0.22190613622859237</v>
      </c>
      <c r="G5" s="26">
        <f t="shared" si="1"/>
        <v>5360.5474403281969</v>
      </c>
      <c r="H5" s="26">
        <f t="shared" si="8"/>
        <v>779.54913312807639</v>
      </c>
      <c r="I5" s="26">
        <f t="shared" si="8"/>
        <v>47.643729910364982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AA5" s="25">
        <v>259</v>
      </c>
      <c r="AE5" s="25">
        <f t="shared" si="9"/>
        <v>1.2860161758423549</v>
      </c>
      <c r="AF5" s="25">
        <f t="shared" si="2"/>
        <v>16.673210666803932</v>
      </c>
      <c r="AG5" s="25">
        <v>1</v>
      </c>
      <c r="AH5" s="25">
        <v>4</v>
      </c>
      <c r="AI5" s="25">
        <v>14502.490550450731</v>
      </c>
      <c r="AJ5" s="25">
        <v>9173.9465470552368</v>
      </c>
      <c r="AK5" s="25">
        <v>1</v>
      </c>
      <c r="AL5" s="25">
        <v>14411</v>
      </c>
      <c r="AM5" s="25">
        <v>9074</v>
      </c>
      <c r="AN5" s="25">
        <f t="shared" si="3"/>
        <v>5337</v>
      </c>
      <c r="AO5" s="26">
        <f t="shared" si="4"/>
        <v>5328.5440033954947</v>
      </c>
      <c r="AP5" s="25">
        <v>9074</v>
      </c>
      <c r="AQ5" s="25">
        <v>14411</v>
      </c>
      <c r="AR5" s="25">
        <f t="shared" si="10"/>
        <v>0.81584265308199377</v>
      </c>
      <c r="AS5" s="25">
        <v>4</v>
      </c>
      <c r="AT5" s="25">
        <v>1</v>
      </c>
      <c r="AU5" s="25">
        <v>14411</v>
      </c>
      <c r="AW5" s="25">
        <v>304.35951761374383</v>
      </c>
      <c r="AX5" s="25">
        <v>1</v>
      </c>
      <c r="AY5" s="25">
        <v>3</v>
      </c>
      <c r="BA5" s="25">
        <v>286.83513928651143</v>
      </c>
      <c r="BC5" s="25">
        <v>304</v>
      </c>
      <c r="BD5" s="25">
        <v>249</v>
      </c>
      <c r="BE5" s="25">
        <f t="shared" si="5"/>
        <v>55</v>
      </c>
      <c r="BF5" s="26">
        <f t="shared" si="6"/>
        <v>17.524378327232398</v>
      </c>
      <c r="BG5" s="25">
        <v>249</v>
      </c>
      <c r="BH5" s="25">
        <v>304</v>
      </c>
      <c r="BI5" s="25">
        <f t="shared" si="7"/>
        <v>0.81907894736842102</v>
      </c>
      <c r="BJ5" s="25">
        <v>31</v>
      </c>
      <c r="BK5" s="25">
        <v>11821</v>
      </c>
      <c r="BL5" s="25">
        <v>7153</v>
      </c>
      <c r="BM5" s="25">
        <v>4668</v>
      </c>
      <c r="BN5" s="26">
        <v>4550.3267983070209</v>
      </c>
      <c r="BO5" s="25">
        <v>259</v>
      </c>
      <c r="BP5" s="25">
        <v>249</v>
      </c>
      <c r="BQ5" s="25">
        <v>10</v>
      </c>
      <c r="BR5" s="26">
        <v>16.10034578047194</v>
      </c>
    </row>
    <row r="6" spans="1:70" x14ac:dyDescent="0.4">
      <c r="A6" s="31">
        <v>2</v>
      </c>
      <c r="B6" s="25">
        <v>6061</v>
      </c>
      <c r="C6" s="25">
        <v>11</v>
      </c>
      <c r="D6" s="25">
        <v>4</v>
      </c>
      <c r="E6" s="25">
        <v>6061</v>
      </c>
      <c r="F6" s="25">
        <f t="shared" si="0"/>
        <v>-2.0334033935424937E-2</v>
      </c>
      <c r="G6" s="26">
        <f t="shared" si="1"/>
        <v>6162.5624250381934</v>
      </c>
      <c r="H6" s="26">
        <f t="shared" si="8"/>
        <v>802.0149847099965</v>
      </c>
      <c r="I6" s="26">
        <f t="shared" si="8"/>
        <v>22.465851581920106</v>
      </c>
      <c r="L6" s="32"/>
      <c r="M6" s="32"/>
      <c r="N6" s="32"/>
      <c r="O6" s="44"/>
      <c r="P6" s="32"/>
      <c r="Q6" s="32"/>
      <c r="R6" s="44"/>
      <c r="S6" s="32"/>
      <c r="T6" s="32"/>
      <c r="U6" s="32"/>
      <c r="V6" s="32"/>
      <c r="AA6" s="25">
        <v>304</v>
      </c>
      <c r="AE6" s="25">
        <f t="shared" si="9"/>
        <v>1.215452847409412</v>
      </c>
      <c r="AF6" s="25">
        <f t="shared" si="2"/>
        <v>20.265501380423821</v>
      </c>
      <c r="AG6" s="25">
        <v>2</v>
      </c>
      <c r="AH6" s="25">
        <v>5</v>
      </c>
      <c r="AI6" s="25">
        <v>17482.141850425374</v>
      </c>
      <c r="AJ6" s="25">
        <v>11347.339053958829</v>
      </c>
      <c r="AK6" s="25">
        <v>2</v>
      </c>
      <c r="AL6" s="25">
        <v>17238</v>
      </c>
      <c r="AM6" s="25">
        <v>11177</v>
      </c>
      <c r="AN6" s="25">
        <f t="shared" si="3"/>
        <v>6061</v>
      </c>
      <c r="AO6" s="26">
        <f t="shared" si="4"/>
        <v>6134.8027964665453</v>
      </c>
      <c r="AP6" s="25">
        <v>11177</v>
      </c>
      <c r="AQ6" s="25">
        <v>17238</v>
      </c>
      <c r="AR6" s="25">
        <f t="shared" si="10"/>
        <v>0.84643028240995044</v>
      </c>
      <c r="AS6" s="25">
        <v>5</v>
      </c>
      <c r="AT6" s="25">
        <v>2</v>
      </c>
      <c r="AU6" s="25">
        <v>17238</v>
      </c>
      <c r="AW6" s="25">
        <v>360.42353018373768</v>
      </c>
      <c r="AX6" s="25">
        <v>2</v>
      </c>
      <c r="AY6" s="25">
        <v>4</v>
      </c>
      <c r="BA6" s="25">
        <v>342.3287457801847</v>
      </c>
      <c r="BC6" s="25">
        <v>361</v>
      </c>
      <c r="BD6" s="25">
        <v>350</v>
      </c>
      <c r="BE6" s="25">
        <f t="shared" si="5"/>
        <v>11</v>
      </c>
      <c r="BF6" s="26">
        <f t="shared" si="6"/>
        <v>18.094784403552978</v>
      </c>
      <c r="BG6" s="25">
        <v>350</v>
      </c>
      <c r="BH6" s="25">
        <v>361</v>
      </c>
      <c r="BI6" s="25">
        <f t="shared" si="7"/>
        <v>0.96952908587257614</v>
      </c>
      <c r="BJ6" s="25">
        <v>1</v>
      </c>
      <c r="BK6" s="25">
        <v>14411</v>
      </c>
      <c r="BL6" s="25">
        <v>9074</v>
      </c>
      <c r="BM6" s="25">
        <v>5337</v>
      </c>
      <c r="BN6" s="26">
        <v>5328.5440033954947</v>
      </c>
      <c r="BO6" s="25">
        <v>304</v>
      </c>
      <c r="BP6" s="25">
        <v>249</v>
      </c>
      <c r="BQ6" s="25">
        <v>55</v>
      </c>
      <c r="BR6" s="26">
        <v>17.524378327232398</v>
      </c>
    </row>
    <row r="7" spans="1:70" x14ac:dyDescent="0.4">
      <c r="A7" s="31">
        <v>3</v>
      </c>
      <c r="B7" s="25">
        <v>6949</v>
      </c>
      <c r="C7" s="25">
        <v>11</v>
      </c>
      <c r="D7" s="25">
        <v>5</v>
      </c>
      <c r="E7" s="25">
        <v>6949</v>
      </c>
      <c r="F7" s="25">
        <f t="shared" si="0"/>
        <v>-0.31901152084627488</v>
      </c>
      <c r="G7" s="26">
        <f t="shared" si="1"/>
        <v>6958.8058271754717</v>
      </c>
      <c r="H7" s="26">
        <f t="shared" si="8"/>
        <v>796.24340213727828</v>
      </c>
      <c r="I7" s="26">
        <f t="shared" si="8"/>
        <v>-5.7715825727182164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AA7" s="25">
        <v>361</v>
      </c>
      <c r="AE7" s="25">
        <f t="shared" si="9"/>
        <v>1.1728327416440825</v>
      </c>
      <c r="AF7" s="25">
        <f t="shared" si="2"/>
        <v>23.768043544794406</v>
      </c>
      <c r="AG7" s="25">
        <v>3</v>
      </c>
      <c r="AH7" s="25">
        <v>6</v>
      </c>
      <c r="AI7" s="25">
        <v>20739.838317982616</v>
      </c>
      <c r="AJ7" s="25">
        <v>13800.537988605127</v>
      </c>
      <c r="AK7" s="25">
        <v>3</v>
      </c>
      <c r="AL7" s="25">
        <v>20471</v>
      </c>
      <c r="AM7" s="25">
        <v>13522</v>
      </c>
      <c r="AN7" s="25">
        <f t="shared" si="3"/>
        <v>6949</v>
      </c>
      <c r="AO7" s="26">
        <f t="shared" si="4"/>
        <v>6939.3003293774891</v>
      </c>
      <c r="AP7" s="25">
        <v>13522</v>
      </c>
      <c r="AQ7" s="25">
        <v>20471</v>
      </c>
      <c r="AR7" s="25">
        <f t="shared" si="10"/>
        <v>0.89392530658823621</v>
      </c>
      <c r="AS7" s="25">
        <v>6</v>
      </c>
      <c r="AT7" s="25">
        <v>3</v>
      </c>
      <c r="AU7" s="25">
        <v>20471</v>
      </c>
      <c r="AW7" s="25">
        <v>422.72604092642933</v>
      </c>
      <c r="AX7" s="25">
        <v>3</v>
      </c>
      <c r="AY7" s="25">
        <v>5</v>
      </c>
      <c r="BA7" s="25">
        <v>404.65579360555409</v>
      </c>
      <c r="BC7" s="25">
        <v>425</v>
      </c>
      <c r="BD7" s="25">
        <v>414</v>
      </c>
      <c r="BE7" s="25">
        <f t="shared" si="5"/>
        <v>11</v>
      </c>
      <c r="BF7" s="26">
        <f t="shared" si="6"/>
        <v>18.070247320875239</v>
      </c>
      <c r="BG7" s="25">
        <v>414</v>
      </c>
      <c r="BH7" s="25">
        <v>425</v>
      </c>
      <c r="BI7" s="25">
        <f t="shared" si="7"/>
        <v>0.97411764705882353</v>
      </c>
      <c r="BJ7" s="25">
        <v>2</v>
      </c>
      <c r="BK7" s="25">
        <v>17238</v>
      </c>
      <c r="BL7" s="25">
        <v>11177</v>
      </c>
      <c r="BM7" s="25">
        <v>6061</v>
      </c>
      <c r="BN7" s="26">
        <v>6134.8027964665453</v>
      </c>
      <c r="BO7" s="25">
        <v>361</v>
      </c>
      <c r="BP7" s="25">
        <v>350</v>
      </c>
      <c r="BQ7" s="25">
        <v>11</v>
      </c>
      <c r="BR7" s="26">
        <v>18.094784403552978</v>
      </c>
    </row>
    <row r="8" spans="1:70" x14ac:dyDescent="0.4">
      <c r="A8" s="31">
        <v>4</v>
      </c>
      <c r="B8" s="25">
        <v>7685</v>
      </c>
      <c r="C8" s="25">
        <v>12</v>
      </c>
      <c r="D8" s="25">
        <v>6</v>
      </c>
      <c r="E8" s="25">
        <v>7685</v>
      </c>
      <c r="F8" s="25">
        <f t="shared" si="0"/>
        <v>-0.57717305245516792</v>
      </c>
      <c r="G8" s="26">
        <f t="shared" si="1"/>
        <v>7721.8382739310282</v>
      </c>
      <c r="H8" s="26">
        <f t="shared" si="8"/>
        <v>763.03244675555652</v>
      </c>
      <c r="I8" s="26">
        <f t="shared" si="8"/>
        <v>-33.21095538172176</v>
      </c>
      <c r="L8" s="32"/>
      <c r="M8" s="32"/>
      <c r="N8" s="32"/>
      <c r="O8" s="32"/>
      <c r="P8" s="32"/>
      <c r="Q8" s="32"/>
      <c r="R8" s="44"/>
      <c r="S8" s="32"/>
      <c r="T8" s="32"/>
      <c r="U8" s="32"/>
      <c r="V8" s="32"/>
      <c r="AA8" s="25">
        <v>425</v>
      </c>
      <c r="AE8" s="25">
        <f t="shared" si="9"/>
        <v>1.1442957181511801</v>
      </c>
      <c r="AF8" s="25">
        <f t="shared" si="2"/>
        <v>27.197670457139036</v>
      </c>
      <c r="AG8" s="25">
        <v>4</v>
      </c>
      <c r="AH8" s="25">
        <v>7</v>
      </c>
      <c r="AI8" s="25">
        <v>24185.322485397526</v>
      </c>
      <c r="AJ8" s="25">
        <v>16472.667169968354</v>
      </c>
      <c r="AK8" s="25">
        <v>4</v>
      </c>
      <c r="AL8" s="25">
        <v>24363</v>
      </c>
      <c r="AM8" s="25">
        <v>16678</v>
      </c>
      <c r="AN8" s="25">
        <f t="shared" si="3"/>
        <v>7685</v>
      </c>
      <c r="AO8" s="26">
        <f t="shared" si="4"/>
        <v>7712.6553154291723</v>
      </c>
      <c r="AP8" s="25">
        <v>16678</v>
      </c>
      <c r="AQ8" s="25">
        <v>24363</v>
      </c>
      <c r="AR8" s="25">
        <f t="shared" si="10"/>
        <v>0.81458744166761243</v>
      </c>
      <c r="AS8" s="25">
        <v>7</v>
      </c>
      <c r="AT8" s="25">
        <v>4</v>
      </c>
      <c r="AU8" s="25">
        <v>24363</v>
      </c>
      <c r="AW8" s="25">
        <v>491.13873733095642</v>
      </c>
      <c r="AX8" s="25">
        <v>4</v>
      </c>
      <c r="AY8" s="25">
        <v>6</v>
      </c>
      <c r="BA8" s="25">
        <v>473.25306130586387</v>
      </c>
      <c r="BC8" s="25">
        <v>491</v>
      </c>
      <c r="BD8" s="25">
        <v>479</v>
      </c>
      <c r="BE8" s="25">
        <f t="shared" si="5"/>
        <v>12</v>
      </c>
      <c r="BF8" s="26">
        <f t="shared" si="6"/>
        <v>17.88567602509255</v>
      </c>
      <c r="BG8" s="25">
        <v>479</v>
      </c>
      <c r="BH8" s="25">
        <v>491</v>
      </c>
      <c r="BI8" s="25">
        <f t="shared" si="7"/>
        <v>0.97556008146639506</v>
      </c>
      <c r="BJ8" s="25">
        <v>3</v>
      </c>
      <c r="BK8" s="25">
        <v>20471</v>
      </c>
      <c r="BL8" s="25">
        <v>13522</v>
      </c>
      <c r="BM8" s="25">
        <v>6949</v>
      </c>
      <c r="BN8" s="26">
        <v>6939.3003293774891</v>
      </c>
      <c r="BO8" s="25">
        <v>425</v>
      </c>
      <c r="BP8" s="25">
        <v>414</v>
      </c>
      <c r="BQ8" s="25">
        <v>11</v>
      </c>
      <c r="BR8" s="26">
        <v>18.070247320875239</v>
      </c>
    </row>
    <row r="9" spans="1:70" x14ac:dyDescent="0.4">
      <c r="A9" s="31">
        <v>5</v>
      </c>
      <c r="B9" s="25">
        <v>8395</v>
      </c>
      <c r="C9" s="25">
        <v>15</v>
      </c>
      <c r="D9" s="25">
        <v>7</v>
      </c>
      <c r="E9" s="25">
        <v>8395</v>
      </c>
      <c r="F9" s="25">
        <f t="shared" si="0"/>
        <v>-0.84531451979259176</v>
      </c>
      <c r="G9" s="26">
        <f t="shared" si="1"/>
        <v>8428.6506239321825</v>
      </c>
      <c r="H9" s="26">
        <f t="shared" si="8"/>
        <v>706.8123500011543</v>
      </c>
      <c r="I9" s="26">
        <f t="shared" si="8"/>
        <v>-56.220096754402221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AA9" s="25">
        <v>491</v>
      </c>
      <c r="AE9" s="25">
        <f t="shared" si="9"/>
        <v>1.123849504497098</v>
      </c>
      <c r="AF9" s="25">
        <f t="shared" si="2"/>
        <v>30.566088466731063</v>
      </c>
      <c r="AG9" s="25">
        <v>5</v>
      </c>
      <c r="AH9" s="25">
        <v>8</v>
      </c>
      <c r="AI9" s="25">
        <v>27703.910012879031</v>
      </c>
      <c r="AJ9" s="25">
        <v>19272.667271154816</v>
      </c>
      <c r="AK9" s="25">
        <v>5</v>
      </c>
      <c r="AL9" s="25">
        <v>28060</v>
      </c>
      <c r="AM9" s="25">
        <v>19665</v>
      </c>
      <c r="AN9" s="25">
        <f t="shared" si="3"/>
        <v>8395</v>
      </c>
      <c r="AO9" s="26">
        <f t="shared" si="4"/>
        <v>8431.2427417242143</v>
      </c>
      <c r="AP9" s="25">
        <v>19665</v>
      </c>
      <c r="AQ9" s="25">
        <v>28060</v>
      </c>
      <c r="AR9" s="25">
        <f t="shared" si="10"/>
        <v>0.84728093104570956</v>
      </c>
      <c r="AS9" s="25">
        <v>8</v>
      </c>
      <c r="AT9" s="25">
        <v>5</v>
      </c>
      <c r="AU9" s="25">
        <v>28060</v>
      </c>
      <c r="AW9" s="25">
        <v>565.26174956782893</v>
      </c>
      <c r="AX9" s="25">
        <v>5</v>
      </c>
      <c r="AY9" s="25">
        <v>7</v>
      </c>
      <c r="BA9" s="25">
        <v>547.08731669638121</v>
      </c>
      <c r="BC9" s="25">
        <v>564</v>
      </c>
      <c r="BD9" s="25">
        <v>549</v>
      </c>
      <c r="BE9" s="25">
        <f t="shared" si="5"/>
        <v>15</v>
      </c>
      <c r="BF9" s="26">
        <f t="shared" si="6"/>
        <v>18.174432871447721</v>
      </c>
      <c r="BG9" s="25">
        <v>549</v>
      </c>
      <c r="BH9" s="25">
        <v>564</v>
      </c>
      <c r="BI9" s="25">
        <f t="shared" si="7"/>
        <v>0.97340425531914898</v>
      </c>
      <c r="BJ9" s="25">
        <v>4</v>
      </c>
      <c r="BK9" s="25">
        <v>24363</v>
      </c>
      <c r="BL9" s="25">
        <v>16678</v>
      </c>
      <c r="BM9" s="25">
        <v>7685</v>
      </c>
      <c r="BN9" s="26">
        <v>7712.6553154291723</v>
      </c>
      <c r="BO9" s="25">
        <v>491</v>
      </c>
      <c r="BP9" s="25">
        <v>479</v>
      </c>
      <c r="BQ9" s="25">
        <v>12</v>
      </c>
      <c r="BR9" s="26">
        <v>17.88567602509255</v>
      </c>
    </row>
    <row r="10" spans="1:70" x14ac:dyDescent="0.4">
      <c r="A10" s="31">
        <v>6</v>
      </c>
      <c r="B10" s="25">
        <v>9099</v>
      </c>
      <c r="C10" s="25">
        <v>19</v>
      </c>
      <c r="D10" s="45">
        <v>8</v>
      </c>
      <c r="E10" s="25">
        <v>9099</v>
      </c>
      <c r="F10" s="25">
        <f t="shared" si="0"/>
        <v>-1.1431090122352872</v>
      </c>
      <c r="G10" s="26">
        <f t="shared" si="1"/>
        <v>9063.1015935011565</v>
      </c>
      <c r="H10" s="38">
        <f t="shared" si="8"/>
        <v>634.45096956897396</v>
      </c>
      <c r="I10" s="26">
        <f t="shared" si="8"/>
        <v>-72.36138043218034</v>
      </c>
      <c r="L10" s="32"/>
      <c r="M10" s="32"/>
      <c r="N10" s="32"/>
      <c r="O10" s="44"/>
      <c r="P10" s="32"/>
      <c r="Q10" s="32"/>
      <c r="R10" s="44"/>
      <c r="S10" s="32"/>
      <c r="T10" s="32"/>
      <c r="U10" s="32"/>
      <c r="V10" s="32"/>
      <c r="AA10" s="25">
        <v>564</v>
      </c>
      <c r="AE10" s="25">
        <f t="shared" si="9"/>
        <v>1.1084797548775416</v>
      </c>
      <c r="AF10" s="25">
        <f t="shared" si="2"/>
        <v>33.881890251167299</v>
      </c>
      <c r="AG10" s="25">
        <v>6</v>
      </c>
      <c r="AH10" s="25">
        <v>9</v>
      </c>
      <c r="AI10" s="25">
        <v>31170.86074513556</v>
      </c>
      <c r="AJ10" s="25">
        <v>22090.048250991891</v>
      </c>
      <c r="AK10" s="25">
        <v>6</v>
      </c>
      <c r="AL10" s="25">
        <v>31211</v>
      </c>
      <c r="AM10" s="25">
        <v>22112</v>
      </c>
      <c r="AN10" s="25">
        <f t="shared" si="3"/>
        <v>9099</v>
      </c>
      <c r="AO10" s="26">
        <f t="shared" si="4"/>
        <v>9080.812494143669</v>
      </c>
      <c r="AP10" s="25">
        <v>22112</v>
      </c>
      <c r="AQ10" s="25">
        <v>31211</v>
      </c>
      <c r="AR10" s="25">
        <f t="shared" si="10"/>
        <v>0.9024449476441545</v>
      </c>
      <c r="AS10" s="25">
        <v>9</v>
      </c>
      <c r="AT10" s="25">
        <v>6</v>
      </c>
      <c r="AU10" s="25">
        <v>31211</v>
      </c>
      <c r="AW10" s="25">
        <v>644.41375976637119</v>
      </c>
      <c r="AX10" s="25">
        <v>6</v>
      </c>
      <c r="AY10" s="25">
        <v>8</v>
      </c>
      <c r="BA10" s="25">
        <v>624.67622527545495</v>
      </c>
      <c r="BC10" s="25">
        <v>637</v>
      </c>
      <c r="BD10" s="25">
        <v>618</v>
      </c>
      <c r="BE10" s="25">
        <f t="shared" si="5"/>
        <v>19</v>
      </c>
      <c r="BF10" s="26">
        <f t="shared" si="6"/>
        <v>19.737534490916232</v>
      </c>
      <c r="BG10" s="25">
        <v>618</v>
      </c>
      <c r="BH10" s="25">
        <v>637</v>
      </c>
      <c r="BI10" s="25">
        <f t="shared" si="7"/>
        <v>0.97017268445839877</v>
      </c>
      <c r="BJ10" s="25">
        <v>5</v>
      </c>
      <c r="BK10" s="25">
        <v>28060</v>
      </c>
      <c r="BL10" s="25">
        <v>19665</v>
      </c>
      <c r="BM10" s="25">
        <v>8395</v>
      </c>
      <c r="BN10" s="26">
        <v>8431.2427417242143</v>
      </c>
      <c r="BO10" s="25">
        <v>564</v>
      </c>
      <c r="BP10" s="25">
        <v>549</v>
      </c>
      <c r="BQ10" s="25">
        <v>15</v>
      </c>
      <c r="BR10" s="26">
        <v>18.174432871447721</v>
      </c>
    </row>
    <row r="11" spans="1:70" x14ac:dyDescent="0.4">
      <c r="A11" s="31">
        <v>7</v>
      </c>
      <c r="B11" s="25">
        <v>9645</v>
      </c>
      <c r="C11" s="25">
        <v>20</v>
      </c>
      <c r="D11" s="25">
        <v>9</v>
      </c>
      <c r="E11" s="25">
        <v>9645</v>
      </c>
      <c r="F11" s="25">
        <f t="shared" si="0"/>
        <v>-1.4098989188893114</v>
      </c>
      <c r="G11" s="26">
        <f t="shared" si="1"/>
        <v>9616.7122264529062</v>
      </c>
      <c r="H11" s="26">
        <f t="shared" si="8"/>
        <v>553.61063295174972</v>
      </c>
      <c r="I11" s="26">
        <f t="shared" si="8"/>
        <v>-80.840336617224239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AA11" s="25">
        <v>637</v>
      </c>
      <c r="AE11" s="25">
        <f t="shared" si="9"/>
        <v>1.0965043268144206</v>
      </c>
      <c r="AF11" s="25">
        <f t="shared" si="2"/>
        <v>37.151639261056275</v>
      </c>
      <c r="AG11" s="25">
        <v>7</v>
      </c>
      <c r="AH11" s="25">
        <v>10</v>
      </c>
      <c r="AI11" s="25">
        <v>34468.569195091717</v>
      </c>
      <c r="AJ11" s="25">
        <v>24811.576909954249</v>
      </c>
      <c r="AK11" s="25">
        <v>7</v>
      </c>
      <c r="AL11" s="25">
        <v>34598</v>
      </c>
      <c r="AM11" s="25">
        <v>24953</v>
      </c>
      <c r="AN11" s="25">
        <f t="shared" si="3"/>
        <v>9645</v>
      </c>
      <c r="AO11" s="26">
        <f t="shared" si="4"/>
        <v>9656.9922851374686</v>
      </c>
      <c r="AP11" s="25">
        <v>24953</v>
      </c>
      <c r="AQ11" s="25">
        <v>34598</v>
      </c>
      <c r="AR11" s="25">
        <f t="shared" si="10"/>
        <v>0.84462572542909464</v>
      </c>
      <c r="AS11" s="25">
        <v>10</v>
      </c>
      <c r="AT11" s="25">
        <v>7</v>
      </c>
      <c r="AU11" s="25">
        <v>34598</v>
      </c>
      <c r="AW11" s="25">
        <v>727.64331339744422</v>
      </c>
      <c r="AX11" s="25">
        <v>7</v>
      </c>
      <c r="AY11" s="25">
        <v>9</v>
      </c>
      <c r="BA11" s="25">
        <v>704.18394817459193</v>
      </c>
      <c r="BC11" s="25">
        <v>719</v>
      </c>
      <c r="BD11" s="25">
        <v>699</v>
      </c>
      <c r="BE11" s="25">
        <f t="shared" si="5"/>
        <v>20</v>
      </c>
      <c r="BF11" s="26">
        <f t="shared" si="6"/>
        <v>23.459365222852284</v>
      </c>
      <c r="BG11" s="25">
        <v>699</v>
      </c>
      <c r="BH11" s="25">
        <v>719</v>
      </c>
      <c r="BI11" s="25">
        <f t="shared" si="7"/>
        <v>0.97218358831710705</v>
      </c>
      <c r="BJ11" s="25">
        <v>6</v>
      </c>
      <c r="BK11" s="25">
        <v>31211</v>
      </c>
      <c r="BL11" s="25">
        <v>22112</v>
      </c>
      <c r="BM11" s="25">
        <v>9099</v>
      </c>
      <c r="BN11" s="26">
        <v>9080.812494143669</v>
      </c>
      <c r="BO11" s="25">
        <v>637</v>
      </c>
      <c r="BP11" s="25">
        <v>618</v>
      </c>
      <c r="BQ11" s="25">
        <v>19</v>
      </c>
      <c r="BR11" s="26">
        <v>19.737534490916232</v>
      </c>
    </row>
    <row r="12" spans="1:70" x14ac:dyDescent="0.4">
      <c r="A12" s="31">
        <v>8</v>
      </c>
      <c r="B12" s="29">
        <v>10151</v>
      </c>
      <c r="C12" s="29">
        <v>32</v>
      </c>
      <c r="D12" s="25">
        <v>10</v>
      </c>
      <c r="E12" s="29"/>
      <c r="G12" s="38">
        <f t="shared" si="1"/>
        <v>10087.982087517892</v>
      </c>
      <c r="H12" s="26">
        <f t="shared" si="8"/>
        <v>471.26986106498589</v>
      </c>
      <c r="I12" s="26">
        <f t="shared" si="8"/>
        <v>-82.340771886763832</v>
      </c>
      <c r="L12" s="32"/>
      <c r="M12" s="32"/>
      <c r="N12" s="32"/>
      <c r="O12" s="32"/>
      <c r="P12" s="44"/>
      <c r="Q12" s="44"/>
      <c r="R12" s="44"/>
      <c r="S12" s="32"/>
      <c r="T12" s="32"/>
      <c r="U12" s="32"/>
      <c r="V12" s="32"/>
      <c r="AA12" s="25">
        <v>719</v>
      </c>
      <c r="AE12" s="25">
        <f t="shared" si="9"/>
        <v>1.0869104491089099</v>
      </c>
      <c r="AF12" s="25">
        <f t="shared" si="2"/>
        <v>40.380504914366888</v>
      </c>
      <c r="AG12" s="25">
        <v>8</v>
      </c>
      <c r="AH12" s="25">
        <v>11</v>
      </c>
      <c r="AI12" s="25">
        <v>37501.743133429234</v>
      </c>
      <c r="AJ12" s="25">
        <v>27338.844273972369</v>
      </c>
      <c r="AK12" s="25">
        <v>8</v>
      </c>
      <c r="AL12" s="25">
        <v>37251</v>
      </c>
      <c r="AM12" s="25">
        <v>27100</v>
      </c>
      <c r="AN12" s="25">
        <f t="shared" si="3"/>
        <v>10151</v>
      </c>
      <c r="AO12" s="26">
        <f t="shared" si="4"/>
        <v>10162.898859456865</v>
      </c>
      <c r="AP12" s="25">
        <v>27100</v>
      </c>
      <c r="AQ12" s="25">
        <v>37251</v>
      </c>
      <c r="AR12" s="25">
        <f t="shared" si="10"/>
        <v>0.89120369366935748</v>
      </c>
      <c r="AS12" s="25">
        <v>11</v>
      </c>
      <c r="AT12" s="25">
        <v>8</v>
      </c>
      <c r="AU12" s="25">
        <v>37251</v>
      </c>
      <c r="AW12" s="25">
        <v>813.76645256931613</v>
      </c>
      <c r="AX12" s="25">
        <v>8</v>
      </c>
      <c r="AY12" s="25">
        <v>10</v>
      </c>
      <c r="BA12" s="25">
        <v>783.58385958057227</v>
      </c>
      <c r="BC12" s="25">
        <v>812</v>
      </c>
      <c r="BD12" s="25">
        <v>780</v>
      </c>
      <c r="BE12" s="25">
        <f t="shared" si="5"/>
        <v>32</v>
      </c>
      <c r="BF12" s="26">
        <f t="shared" si="6"/>
        <v>30.182592988743863</v>
      </c>
      <c r="BG12" s="25">
        <v>780</v>
      </c>
      <c r="BH12" s="25">
        <v>812</v>
      </c>
      <c r="BI12" s="25">
        <f t="shared" si="7"/>
        <v>0.96059113300492616</v>
      </c>
      <c r="BJ12" s="25">
        <v>7</v>
      </c>
      <c r="BK12" s="25">
        <v>34598</v>
      </c>
      <c r="BL12" s="25">
        <v>24953</v>
      </c>
      <c r="BM12" s="25">
        <v>9645</v>
      </c>
      <c r="BN12" s="26">
        <v>9656.9922851374686</v>
      </c>
      <c r="BO12" s="25">
        <v>719</v>
      </c>
      <c r="BP12" s="25">
        <v>699</v>
      </c>
      <c r="BQ12" s="25">
        <v>20</v>
      </c>
      <c r="BR12" s="26">
        <v>23.459365222852284</v>
      </c>
    </row>
    <row r="13" spans="1:70" x14ac:dyDescent="0.4">
      <c r="A13" s="31">
        <v>9</v>
      </c>
      <c r="B13" s="29">
        <v>10604</v>
      </c>
      <c r="C13" s="25">
        <v>38</v>
      </c>
      <c r="D13" s="25">
        <v>11</v>
      </c>
      <c r="G13" s="38">
        <f t="shared" si="1"/>
        <v>10480.784951458794</v>
      </c>
      <c r="H13" s="26">
        <f t="shared" si="8"/>
        <v>392.80286394090217</v>
      </c>
      <c r="I13" s="26">
        <f t="shared" si="8"/>
        <v>-78.466997124083719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AA13" s="25">
        <v>812</v>
      </c>
      <c r="AE13" s="25">
        <f t="shared" si="9"/>
        <v>1.0790518598892982</v>
      </c>
      <c r="AF13" s="25">
        <f t="shared" si="2"/>
        <v>43.572658931116536</v>
      </c>
      <c r="AG13" s="25">
        <v>9</v>
      </c>
      <c r="AH13" s="25">
        <v>12</v>
      </c>
      <c r="AI13" s="25">
        <v>40206.663566067538</v>
      </c>
      <c r="AJ13" s="25">
        <v>29601.200207240301</v>
      </c>
      <c r="AK13" s="25">
        <v>9</v>
      </c>
      <c r="AL13" s="25">
        <v>40235</v>
      </c>
      <c r="AM13" s="25">
        <v>29631</v>
      </c>
      <c r="AN13" s="25">
        <f t="shared" si="3"/>
        <v>10604</v>
      </c>
      <c r="AO13" s="26">
        <f t="shared" si="4"/>
        <v>10605.463358827237</v>
      </c>
      <c r="AP13" s="25">
        <v>29631</v>
      </c>
      <c r="AQ13" s="25">
        <v>40235</v>
      </c>
      <c r="AR13" s="25">
        <f t="shared" si="10"/>
        <v>0.85770517155816361</v>
      </c>
      <c r="AS13" s="25">
        <v>12</v>
      </c>
      <c r="AT13" s="25">
        <v>9</v>
      </c>
      <c r="AU13" s="25">
        <v>40235</v>
      </c>
      <c r="AW13" s="25">
        <v>901.43030478957326</v>
      </c>
      <c r="AX13" s="25">
        <v>9</v>
      </c>
      <c r="AY13" s="25">
        <v>11</v>
      </c>
      <c r="BA13" s="25">
        <v>860.86023466821325</v>
      </c>
      <c r="BC13" s="25">
        <v>909</v>
      </c>
      <c r="BD13" s="25">
        <v>871</v>
      </c>
      <c r="BE13" s="25">
        <f t="shared" si="5"/>
        <v>38</v>
      </c>
      <c r="BF13" s="26">
        <f t="shared" si="6"/>
        <v>40.570070121360004</v>
      </c>
      <c r="BG13" s="25">
        <v>871</v>
      </c>
      <c r="BH13" s="25">
        <v>909</v>
      </c>
      <c r="BI13" s="25">
        <f t="shared" si="7"/>
        <v>0.95819581958195821</v>
      </c>
      <c r="BJ13" s="25">
        <v>8</v>
      </c>
      <c r="BK13" s="25">
        <v>37251</v>
      </c>
      <c r="BL13" s="25">
        <v>27100</v>
      </c>
      <c r="BM13" s="25">
        <v>10151</v>
      </c>
      <c r="BN13" s="26">
        <v>10162.898859456865</v>
      </c>
      <c r="BO13" s="25">
        <v>812</v>
      </c>
      <c r="BP13" s="25">
        <v>780</v>
      </c>
      <c r="BQ13" s="25">
        <v>32</v>
      </c>
      <c r="BR13" s="26">
        <v>30.182592988743863</v>
      </c>
    </row>
    <row r="14" spans="1:70" x14ac:dyDescent="0.4">
      <c r="A14" s="31">
        <v>10</v>
      </c>
      <c r="D14" s="25">
        <v>12</v>
      </c>
      <c r="G14" s="26">
        <f t="shared" si="1"/>
        <v>10802.470248480107</v>
      </c>
      <c r="H14" s="26">
        <f t="shared" si="8"/>
        <v>321.68529702131309</v>
      </c>
      <c r="I14" s="26">
        <f t="shared" si="8"/>
        <v>-71.11756691958908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AA14" s="25">
        <v>909</v>
      </c>
      <c r="AF14" s="25">
        <f t="shared" si="2"/>
        <v>46.73153518955764</v>
      </c>
      <c r="AG14" s="25">
        <v>10</v>
      </c>
      <c r="AH14" s="25">
        <v>13</v>
      </c>
      <c r="AI14" s="25">
        <v>42553.144882880195</v>
      </c>
      <c r="AJ14" s="25">
        <v>31560.877891234111</v>
      </c>
      <c r="AO14" s="26">
        <f t="shared" si="4"/>
        <v>10992.266991646084</v>
      </c>
      <c r="AS14" s="25">
        <v>13</v>
      </c>
      <c r="AT14" s="25">
        <v>10</v>
      </c>
      <c r="AW14" s="25">
        <v>989.19679735106297</v>
      </c>
      <c r="AX14" s="25">
        <v>10</v>
      </c>
      <c r="AY14" s="25">
        <v>12</v>
      </c>
      <c r="BA14" s="25">
        <v>934.20766153094473</v>
      </c>
      <c r="BF14" s="26">
        <f t="shared" si="6"/>
        <v>54.989135820118236</v>
      </c>
      <c r="BJ14" s="25">
        <v>9</v>
      </c>
      <c r="BK14" s="25">
        <v>40235</v>
      </c>
      <c r="BL14" s="25">
        <v>29631</v>
      </c>
      <c r="BM14" s="25">
        <v>10604</v>
      </c>
      <c r="BN14" s="26">
        <v>10605.463358827237</v>
      </c>
      <c r="BO14" s="25">
        <v>909</v>
      </c>
      <c r="BP14" s="25">
        <v>871</v>
      </c>
      <c r="BQ14" s="25">
        <v>38</v>
      </c>
      <c r="BR14" s="26">
        <v>40.570070121360004</v>
      </c>
    </row>
    <row r="15" spans="1:70" x14ac:dyDescent="0.4">
      <c r="A15" s="31">
        <v>11</v>
      </c>
      <c r="D15" s="25">
        <v>13</v>
      </c>
      <c r="G15" s="26">
        <f t="shared" si="1"/>
        <v>11062.135701150293</v>
      </c>
      <c r="H15" s="26">
        <f t="shared" si="8"/>
        <v>259.66545267018591</v>
      </c>
      <c r="I15" s="26">
        <f t="shared" si="8"/>
        <v>-62.019844351127176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AG15" s="25">
        <v>11</v>
      </c>
      <c r="AH15" s="25">
        <v>14</v>
      </c>
      <c r="AI15" s="25">
        <v>44540.409351704235</v>
      </c>
      <c r="AJ15" s="25">
        <v>33210.584189005378</v>
      </c>
      <c r="AO15" s="26">
        <f t="shared" si="4"/>
        <v>11329.825162698857</v>
      </c>
      <c r="AR15" s="25">
        <f>AVERAGE(AR3:AR13)</f>
        <v>0.87361646508561985</v>
      </c>
      <c r="AS15" s="25">
        <v>14</v>
      </c>
      <c r="AT15" s="25">
        <v>11</v>
      </c>
      <c r="AW15" s="25">
        <v>1075.6362460490939</v>
      </c>
      <c r="AX15" s="25">
        <v>11</v>
      </c>
      <c r="AY15" s="25">
        <v>13</v>
      </c>
      <c r="BA15" s="25">
        <v>1002.1877161042931</v>
      </c>
      <c r="BF15" s="26">
        <f t="shared" si="6"/>
        <v>73.448529944800725</v>
      </c>
    </row>
    <row r="16" spans="1:70" x14ac:dyDescent="0.4">
      <c r="A16" s="31">
        <v>12</v>
      </c>
      <c r="D16" s="25">
        <v>14</v>
      </c>
      <c r="G16" s="26">
        <f t="shared" si="1"/>
        <v>11269.305301265631</v>
      </c>
      <c r="H16" s="26">
        <f t="shared" si="8"/>
        <v>207.16960011533774</v>
      </c>
      <c r="I16" s="26">
        <f t="shared" si="8"/>
        <v>-52.49585255484817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AG16" s="25">
        <v>12</v>
      </c>
      <c r="AH16" s="25">
        <v>15</v>
      </c>
      <c r="AI16" s="25">
        <v>46189.520226862878</v>
      </c>
      <c r="AJ16" s="25">
        <v>34566.288893458885</v>
      </c>
      <c r="AO16" s="26">
        <f t="shared" si="4"/>
        <v>11623.231333403994</v>
      </c>
      <c r="AS16" s="25">
        <v>15</v>
      </c>
      <c r="AT16" s="25">
        <v>12</v>
      </c>
      <c r="AW16" s="25">
        <v>1159.4183756067882</v>
      </c>
      <c r="AX16" s="25">
        <v>12</v>
      </c>
      <c r="AY16" s="25">
        <v>14</v>
      </c>
      <c r="BA16" s="25">
        <v>1063.8167118281992</v>
      </c>
      <c r="BF16" s="26">
        <f t="shared" si="6"/>
        <v>95.601663778589</v>
      </c>
      <c r="BI16" s="25">
        <f>AVERAGE(BI2:BI13)</f>
        <v>0.95374257159846187</v>
      </c>
    </row>
    <row r="17" spans="1:58" x14ac:dyDescent="0.4">
      <c r="A17" s="31">
        <v>13</v>
      </c>
      <c r="D17" s="25">
        <v>15</v>
      </c>
      <c r="G17" s="26">
        <f t="shared" si="1"/>
        <v>11433.0575317721</v>
      </c>
      <c r="H17" s="26">
        <f t="shared" si="8"/>
        <v>163.75223050646855</v>
      </c>
      <c r="I17" s="26">
        <f t="shared" si="8"/>
        <v>-43.417369608869194</v>
      </c>
      <c r="AG17" s="25">
        <v>13</v>
      </c>
      <c r="AH17" s="25">
        <v>16</v>
      </c>
      <c r="AI17" s="25">
        <v>47535.045834036937</v>
      </c>
      <c r="AJ17" s="25">
        <v>35658.499637423229</v>
      </c>
      <c r="AO17" s="26">
        <f t="shared" si="4"/>
        <v>11876.546196613708</v>
      </c>
      <c r="AS17" s="25">
        <v>16</v>
      </c>
      <c r="AT17" s="25">
        <v>13</v>
      </c>
      <c r="AW17" s="25">
        <v>1239.3889927772916</v>
      </c>
      <c r="AX17" s="25">
        <v>13</v>
      </c>
      <c r="AY17" s="25">
        <v>15</v>
      </c>
      <c r="BA17" s="25">
        <v>1118.5791708906825</v>
      </c>
      <c r="BF17" s="26">
        <f t="shared" si="6"/>
        <v>120.80982188660914</v>
      </c>
    </row>
    <row r="18" spans="1:58" x14ac:dyDescent="0.4">
      <c r="A18" s="31">
        <v>14</v>
      </c>
      <c r="D18" s="25">
        <v>16</v>
      </c>
      <c r="G18" s="26">
        <f t="shared" si="1"/>
        <v>11561.539905473388</v>
      </c>
      <c r="H18" s="26">
        <f t="shared" si="8"/>
        <v>128.48237370128845</v>
      </c>
      <c r="I18" s="26">
        <f t="shared" si="8"/>
        <v>-35.269856805180098</v>
      </c>
      <c r="AG18" s="25">
        <v>14</v>
      </c>
      <c r="AH18" s="25">
        <v>17</v>
      </c>
      <c r="AI18" s="25">
        <v>48617.790703931081</v>
      </c>
      <c r="AJ18" s="25">
        <v>36524.448296513234</v>
      </c>
      <c r="AO18" s="26">
        <f t="shared" si="4"/>
        <v>12093.342407417847</v>
      </c>
      <c r="AS18" s="25">
        <v>17</v>
      </c>
      <c r="AT18" s="25">
        <v>14</v>
      </c>
      <c r="AW18" s="25">
        <v>1314.6237654514091</v>
      </c>
      <c r="AX18" s="25">
        <v>14</v>
      </c>
      <c r="AY18" s="25">
        <v>16</v>
      </c>
      <c r="BA18" s="25">
        <v>1166.3801108247633</v>
      </c>
      <c r="BF18" s="26">
        <f t="shared" si="6"/>
        <v>148.24365462664582</v>
      </c>
    </row>
    <row r="19" spans="1:58" x14ac:dyDescent="0.4">
      <c r="A19" s="31">
        <v>15</v>
      </c>
      <c r="D19" s="25">
        <v>17</v>
      </c>
      <c r="G19" s="26">
        <f t="shared" si="1"/>
        <v>11661.766574314548</v>
      </c>
      <c r="H19" s="26">
        <f t="shared" si="8"/>
        <v>100.22666884116006</v>
      </c>
      <c r="I19" s="26">
        <f t="shared" si="8"/>
        <v>-28.25570486012839</v>
      </c>
      <c r="AG19" s="25">
        <v>15</v>
      </c>
      <c r="AH19" s="25">
        <v>18</v>
      </c>
      <c r="AI19" s="25">
        <v>49479.417495902569</v>
      </c>
      <c r="AJ19" s="25">
        <v>37202.330154585397</v>
      </c>
      <c r="AO19" s="26">
        <f t="shared" si="4"/>
        <v>12277.087341317172</v>
      </c>
      <c r="AS19" s="25">
        <v>18</v>
      </c>
      <c r="AT19" s="25">
        <v>15</v>
      </c>
      <c r="AW19" s="25">
        <v>1384.4552801250343</v>
      </c>
      <c r="AX19" s="25">
        <v>15</v>
      </c>
      <c r="AY19" s="25">
        <v>17</v>
      </c>
      <c r="BA19" s="25">
        <v>1207.459353304977</v>
      </c>
      <c r="BF19" s="26">
        <f t="shared" si="6"/>
        <v>176.99592682005732</v>
      </c>
    </row>
    <row r="20" spans="1:58" x14ac:dyDescent="0.4">
      <c r="A20" s="31">
        <v>16</v>
      </c>
      <c r="D20" s="25">
        <v>18</v>
      </c>
      <c r="G20" s="26">
        <f t="shared" si="1"/>
        <v>11739.598657234101</v>
      </c>
      <c r="H20" s="26">
        <f t="shared" si="8"/>
        <v>77.832082919552704</v>
      </c>
      <c r="I20" s="26">
        <f t="shared" si="8"/>
        <v>-22.394585921607359</v>
      </c>
      <c r="AG20" s="25">
        <v>16</v>
      </c>
      <c r="AH20" s="25">
        <v>19</v>
      </c>
      <c r="AI20" s="25">
        <v>50159.020707795135</v>
      </c>
      <c r="AJ20" s="25">
        <v>37727.724935163656</v>
      </c>
      <c r="AO20" s="26">
        <f t="shared" si="4"/>
        <v>12431.295772631478</v>
      </c>
      <c r="AS20" s="25">
        <v>19</v>
      </c>
      <c r="AT20" s="25">
        <v>16</v>
      </c>
      <c r="AW20" s="25">
        <v>1448.4743491000602</v>
      </c>
      <c r="AX20" s="25">
        <v>16</v>
      </c>
      <c r="AY20" s="25">
        <v>18</v>
      </c>
      <c r="BA20" s="25">
        <v>1242.291977942903</v>
      </c>
      <c r="BF20" s="26">
        <f t="shared" si="6"/>
        <v>206.18237115715715</v>
      </c>
    </row>
    <row r="21" spans="1:58" x14ac:dyDescent="0.4">
      <c r="A21" s="31">
        <v>17</v>
      </c>
      <c r="D21" s="25">
        <v>19</v>
      </c>
      <c r="G21" s="26">
        <f t="shared" si="1"/>
        <v>11799.827951359346</v>
      </c>
      <c r="H21" s="26">
        <f t="shared" si="8"/>
        <v>60.22929412524536</v>
      </c>
      <c r="I21" s="26">
        <f t="shared" si="8"/>
        <v>-17.602788794307344</v>
      </c>
      <c r="AG21" s="25">
        <v>17</v>
      </c>
      <c r="AH21" s="25">
        <v>20</v>
      </c>
      <c r="AI21" s="25">
        <v>50691.308796432735</v>
      </c>
      <c r="AJ21" s="25">
        <v>38131.795916017349</v>
      </c>
      <c r="AO21" s="26">
        <f t="shared" si="4"/>
        <v>12559.512880415386</v>
      </c>
      <c r="AS21" s="25">
        <v>20</v>
      </c>
      <c r="AT21" s="25">
        <v>17</v>
      </c>
      <c r="AW21" s="25">
        <v>1506.5102352995964</v>
      </c>
      <c r="AX21" s="25">
        <v>17</v>
      </c>
      <c r="AY21" s="25">
        <v>19</v>
      </c>
      <c r="BA21" s="25">
        <v>1271.4936743585163</v>
      </c>
      <c r="BF21" s="26">
        <f t="shared" si="6"/>
        <v>235.01656094108012</v>
      </c>
    </row>
    <row r="22" spans="1:58" x14ac:dyDescent="0.4">
      <c r="A22" s="31">
        <v>18</v>
      </c>
      <c r="D22" s="25">
        <v>20</v>
      </c>
      <c r="G22" s="26">
        <f t="shared" si="1"/>
        <v>11846.30894112422</v>
      </c>
      <c r="H22" s="26">
        <f t="shared" si="8"/>
        <v>46.480989764873812</v>
      </c>
      <c r="I22" s="26">
        <f t="shared" si="8"/>
        <v>-13.748304360371549</v>
      </c>
      <c r="AG22" s="25">
        <v>18</v>
      </c>
      <c r="AH22" s="25">
        <v>21</v>
      </c>
      <c r="AI22" s="25">
        <v>51105.929889864565</v>
      </c>
      <c r="AJ22" s="25">
        <v>38440.713962964546</v>
      </c>
      <c r="AO22" s="26">
        <f t="shared" si="4"/>
        <v>12665.215926900019</v>
      </c>
      <c r="AS22" s="25">
        <v>21</v>
      </c>
      <c r="AT22" s="25">
        <v>18</v>
      </c>
      <c r="AW22" s="25">
        <v>1558.5964509327209</v>
      </c>
      <c r="AX22" s="25">
        <v>18</v>
      </c>
      <c r="AY22" s="25">
        <v>20</v>
      </c>
      <c r="BA22" s="25">
        <v>1295.7420784807343</v>
      </c>
      <c r="BF22" s="26">
        <f t="shared" si="6"/>
        <v>262.85437245198659</v>
      </c>
    </row>
    <row r="23" spans="1:58" x14ac:dyDescent="0.4">
      <c r="A23" s="31">
        <v>19</v>
      </c>
      <c r="D23" s="25">
        <v>21</v>
      </c>
      <c r="G23" s="26">
        <f t="shared" si="1"/>
        <v>11882.104640689664</v>
      </c>
      <c r="H23" s="26">
        <f t="shared" si="8"/>
        <v>35.795699565444011</v>
      </c>
      <c r="I23" s="26">
        <f t="shared" si="8"/>
        <v>-10.685290199429801</v>
      </c>
      <c r="AG23" s="25">
        <v>19</v>
      </c>
      <c r="AH23" s="25">
        <v>22</v>
      </c>
      <c r="AI23" s="25">
        <v>51427.514921407514</v>
      </c>
      <c r="AJ23" s="25">
        <v>38675.812679946554</v>
      </c>
      <c r="AO23" s="26">
        <f t="shared" si="4"/>
        <v>12751.70224146096</v>
      </c>
      <c r="AS23" s="25">
        <v>22</v>
      </c>
      <c r="AT23" s="25">
        <v>19</v>
      </c>
      <c r="AW23" s="25">
        <v>1604.9290823908782</v>
      </c>
      <c r="AX23" s="25">
        <v>19</v>
      </c>
      <c r="AY23" s="25">
        <v>21</v>
      </c>
      <c r="BA23" s="25">
        <v>1315.7182404650498</v>
      </c>
      <c r="BF23" s="26">
        <f t="shared" si="6"/>
        <v>289.21084192582839</v>
      </c>
    </row>
    <row r="24" spans="1:58" x14ac:dyDescent="0.4">
      <c r="A24" s="31">
        <v>20</v>
      </c>
      <c r="D24" s="25">
        <v>22</v>
      </c>
      <c r="G24" s="26">
        <f t="shared" si="1"/>
        <v>11909.626878608557</v>
      </c>
      <c r="H24" s="26">
        <f t="shared" si="8"/>
        <v>27.522237918892642</v>
      </c>
      <c r="I24" s="26">
        <f t="shared" si="8"/>
        <v>-8.2734616465513682</v>
      </c>
      <c r="AG24" s="25">
        <v>20</v>
      </c>
      <c r="AH24" s="25">
        <v>23</v>
      </c>
      <c r="AI24" s="25">
        <v>51676.112425682499</v>
      </c>
      <c r="AJ24" s="25">
        <v>38854.112373229786</v>
      </c>
      <c r="AO24" s="26">
        <f t="shared" si="4"/>
        <v>12822.000052452713</v>
      </c>
      <c r="AS24" s="25">
        <v>23</v>
      </c>
      <c r="AT24" s="25">
        <v>20</v>
      </c>
      <c r="AW24" s="25">
        <v>1645.8236416005816</v>
      </c>
      <c r="AX24" s="25">
        <v>20</v>
      </c>
      <c r="AY24" s="25">
        <v>22</v>
      </c>
      <c r="BA24" s="25">
        <v>1332.0675697828117</v>
      </c>
      <c r="BF24" s="26">
        <f t="shared" si="6"/>
        <v>313.75607181776991</v>
      </c>
    </row>
    <row r="25" spans="1:58" x14ac:dyDescent="0.4">
      <c r="A25" s="31">
        <v>21</v>
      </c>
      <c r="D25" s="25">
        <v>23</v>
      </c>
      <c r="G25" s="26">
        <f t="shared" si="1"/>
        <v>11930.761590355354</v>
      </c>
      <c r="H25" s="26">
        <f t="shared" si="8"/>
        <v>21.13471174679762</v>
      </c>
      <c r="I25" s="26">
        <f t="shared" si="8"/>
        <v>-6.387526172095022</v>
      </c>
      <c r="AG25" s="25">
        <v>21</v>
      </c>
      <c r="AH25" s="25">
        <v>24</v>
      </c>
      <c r="AI25" s="25">
        <v>51867.794458053439</v>
      </c>
      <c r="AJ25" s="25">
        <v>38988.980030111321</v>
      </c>
      <c r="AO25" s="26">
        <f t="shared" si="4"/>
        <v>12878.814427942118</v>
      </c>
      <c r="AS25" s="25">
        <v>24</v>
      </c>
      <c r="AT25" s="25">
        <v>21</v>
      </c>
      <c r="AW25" s="25">
        <v>1681.6748407882085</v>
      </c>
      <c r="AX25" s="25">
        <v>21</v>
      </c>
      <c r="AY25" s="25">
        <v>23</v>
      </c>
      <c r="BA25" s="25">
        <v>1345.377055080435</v>
      </c>
      <c r="BF25" s="26">
        <f t="shared" si="6"/>
        <v>336.29778570777353</v>
      </c>
    </row>
    <row r="26" spans="1:58" x14ac:dyDescent="0.4">
      <c r="A26" s="31">
        <v>22</v>
      </c>
      <c r="D26" s="25">
        <v>24</v>
      </c>
      <c r="G26" s="26">
        <f t="shared" si="1"/>
        <v>11946.975731315639</v>
      </c>
      <c r="H26" s="26">
        <f t="shared" si="8"/>
        <v>16.214140960284567</v>
      </c>
      <c r="I26" s="26">
        <f t="shared" si="8"/>
        <v>-4.9205707865130535</v>
      </c>
      <c r="AG26" s="25">
        <v>22</v>
      </c>
      <c r="AH26" s="25">
        <v>25</v>
      </c>
      <c r="AI26" s="25">
        <v>52015.298889620382</v>
      </c>
      <c r="AJ26" s="25">
        <v>39090.792291467224</v>
      </c>
      <c r="AO26" s="26">
        <f t="shared" si="4"/>
        <v>12924.506598153159</v>
      </c>
      <c r="AS26" s="25">
        <v>25</v>
      </c>
      <c r="AT26" s="25">
        <v>22</v>
      </c>
      <c r="AW26" s="25">
        <v>1712.9219624834157</v>
      </c>
      <c r="AX26" s="25">
        <v>22</v>
      </c>
      <c r="AY26" s="25">
        <v>24</v>
      </c>
      <c r="BA26" s="25">
        <v>1356.1647249494952</v>
      </c>
      <c r="BF26" s="26">
        <f t="shared" si="6"/>
        <v>356.75723753392049</v>
      </c>
    </row>
    <row r="27" spans="1:58" x14ac:dyDescent="0.4">
      <c r="A27" s="31">
        <v>23</v>
      </c>
      <c r="D27" s="25">
        <v>25</v>
      </c>
      <c r="G27" s="26">
        <f t="shared" si="1"/>
        <v>11959.405789694161</v>
      </c>
      <c r="H27" s="26">
        <f t="shared" si="8"/>
        <v>12.430058378522517</v>
      </c>
      <c r="I27" s="26">
        <f t="shared" si="8"/>
        <v>-3.7840825817620498</v>
      </c>
      <c r="AG27" s="25">
        <v>23</v>
      </c>
      <c r="AH27" s="25">
        <v>26</v>
      </c>
      <c r="AI27" s="25">
        <v>52128.634407650869</v>
      </c>
      <c r="AJ27" s="25">
        <v>39167.535374878491</v>
      </c>
      <c r="AO27" s="26">
        <f t="shared" si="4"/>
        <v>12961.099032772378</v>
      </c>
      <c r="AS27" s="25">
        <v>26</v>
      </c>
      <c r="AT27" s="25">
        <v>23</v>
      </c>
      <c r="AW27" s="25">
        <v>1740.0210004374612</v>
      </c>
      <c r="AX27" s="25">
        <v>23</v>
      </c>
      <c r="AY27" s="25">
        <v>25</v>
      </c>
      <c r="BA27" s="25">
        <v>1364.8775202277909</v>
      </c>
      <c r="BF27" s="26">
        <f t="shared" si="6"/>
        <v>375.14348020967032</v>
      </c>
    </row>
    <row r="28" spans="1:58" x14ac:dyDescent="0.4">
      <c r="A28" s="31">
        <v>24</v>
      </c>
      <c r="D28" s="25">
        <v>26</v>
      </c>
      <c r="G28" s="26">
        <f t="shared" si="1"/>
        <v>11968.929546278334</v>
      </c>
      <c r="H28" s="26">
        <f t="shared" si="8"/>
        <v>9.5237565841725882</v>
      </c>
      <c r="I28" s="26">
        <f t="shared" si="8"/>
        <v>-2.906301794349929</v>
      </c>
      <c r="AG28" s="25">
        <v>24</v>
      </c>
      <c r="AH28" s="25">
        <v>27</v>
      </c>
      <c r="AI28" s="25">
        <v>52215.614071378375</v>
      </c>
      <c r="AJ28" s="25">
        <v>39225.31650324387</v>
      </c>
      <c r="AO28" s="26">
        <f t="shared" si="4"/>
        <v>12990.297568134505</v>
      </c>
      <c r="AS28" s="25">
        <v>27</v>
      </c>
      <c r="AT28" s="25">
        <v>24</v>
      </c>
      <c r="AW28" s="25">
        <v>1763.4236414001059</v>
      </c>
      <c r="AX28" s="25">
        <v>24</v>
      </c>
      <c r="AY28" s="25">
        <v>26</v>
      </c>
      <c r="BA28" s="25">
        <v>1371.8944310486631</v>
      </c>
      <c r="BF28" s="26">
        <f t="shared" si="6"/>
        <v>391.52921035144277</v>
      </c>
    </row>
    <row r="29" spans="1:58" x14ac:dyDescent="0.4">
      <c r="A29" s="31">
        <v>25</v>
      </c>
      <c r="D29" s="25">
        <v>27</v>
      </c>
      <c r="G29" s="26">
        <f t="shared" si="1"/>
        <v>11976.22338846387</v>
      </c>
      <c r="H29" s="26">
        <f t="shared" si="8"/>
        <v>7.2938421855360502</v>
      </c>
      <c r="I29" s="26">
        <f t="shared" si="8"/>
        <v>-2.229914398636538</v>
      </c>
      <c r="AG29" s="25">
        <v>25</v>
      </c>
      <c r="AH29" s="25">
        <v>28</v>
      </c>
      <c r="AI29" s="25">
        <v>52282.306804638138</v>
      </c>
      <c r="AJ29" s="25">
        <v>39268.78373822134</v>
      </c>
      <c r="AO29" s="26">
        <f t="shared" si="4"/>
        <v>13013.523066416798</v>
      </c>
      <c r="AS29" s="25">
        <v>28</v>
      </c>
      <c r="AT29" s="25">
        <v>25</v>
      </c>
      <c r="AW29" s="25">
        <v>1783.5624602806502</v>
      </c>
      <c r="AX29" s="25">
        <v>25</v>
      </c>
      <c r="AY29" s="25">
        <v>27</v>
      </c>
      <c r="BA29" s="25">
        <v>1377.5325514280878</v>
      </c>
      <c r="BF29" s="26">
        <f t="shared" si="6"/>
        <v>406.02990885256236</v>
      </c>
    </row>
    <row r="30" spans="1:58" x14ac:dyDescent="0.4">
      <c r="A30" s="31">
        <v>26</v>
      </c>
      <c r="D30" s="25">
        <v>28</v>
      </c>
      <c r="G30" s="26">
        <f t="shared" si="1"/>
        <v>11981.807591269218</v>
      </c>
      <c r="H30" s="26">
        <f t="shared" si="8"/>
        <v>5.5842028053484682</v>
      </c>
      <c r="I30" s="26">
        <f t="shared" si="8"/>
        <v>-1.709639380187582</v>
      </c>
      <c r="AG30" s="25">
        <v>26</v>
      </c>
      <c r="AH30" s="25">
        <v>29</v>
      </c>
      <c r="AI30" s="25">
        <v>52333.408999193562</v>
      </c>
      <c r="AJ30" s="25">
        <v>39301.462008099246</v>
      </c>
      <c r="AO30" s="26">
        <f t="shared" si="4"/>
        <v>13031.946991094315</v>
      </c>
      <c r="AS30" s="25">
        <v>29</v>
      </c>
      <c r="AT30" s="25">
        <v>26</v>
      </c>
      <c r="AW30" s="25">
        <v>1800.8413478245816</v>
      </c>
      <c r="AX30" s="25">
        <v>26</v>
      </c>
      <c r="AY30" s="25">
        <v>28</v>
      </c>
      <c r="BA30" s="25">
        <v>1382.0544310508185</v>
      </c>
      <c r="BF30" s="26">
        <f t="shared" si="6"/>
        <v>418.7869167737631</v>
      </c>
    </row>
    <row r="31" spans="1:58" x14ac:dyDescent="0.4">
      <c r="A31" s="31">
        <v>27</v>
      </c>
      <c r="D31" s="25">
        <v>29</v>
      </c>
      <c r="G31" s="26">
        <f t="shared" si="1"/>
        <v>11986.081805846879</v>
      </c>
      <c r="H31" s="26">
        <f t="shared" si="8"/>
        <v>4.2742145776610414</v>
      </c>
      <c r="I31" s="26">
        <f t="shared" si="8"/>
        <v>-1.3099882276874268</v>
      </c>
      <c r="AG31" s="25">
        <v>27</v>
      </c>
      <c r="AH31" s="25">
        <v>30</v>
      </c>
      <c r="AI31" s="25">
        <v>52372.54449885551</v>
      </c>
      <c r="AJ31" s="25">
        <v>39326.017371292946</v>
      </c>
      <c r="AO31" s="26">
        <f t="shared" si="4"/>
        <v>13046.527127562564</v>
      </c>
      <c r="AS31" s="25">
        <v>30</v>
      </c>
      <c r="AT31" s="25">
        <v>27</v>
      </c>
      <c r="AW31" s="25">
        <v>1815.6300857183812</v>
      </c>
      <c r="AX31" s="25">
        <v>27</v>
      </c>
      <c r="AY31" s="25">
        <v>29</v>
      </c>
      <c r="BA31" s="25">
        <v>1385.675684490958</v>
      </c>
      <c r="BF31" s="26">
        <f t="shared" si="6"/>
        <v>429.9544012274232</v>
      </c>
    </row>
    <row r="32" spans="1:58" x14ac:dyDescent="0.4">
      <c r="A32" s="31">
        <v>28</v>
      </c>
      <c r="D32" s="25">
        <v>30</v>
      </c>
      <c r="G32" s="26">
        <f t="shared" si="1"/>
        <v>11989.352707648381</v>
      </c>
      <c r="H32" s="26">
        <f t="shared" si="8"/>
        <v>3.2709018015011679</v>
      </c>
      <c r="I32" s="26">
        <f t="shared" si="8"/>
        <v>-1.0033127761598735</v>
      </c>
      <c r="AG32" s="25">
        <v>28</v>
      </c>
      <c r="AH32" s="25">
        <v>31</v>
      </c>
      <c r="AI32" s="25">
        <v>52402.503428379518</v>
      </c>
      <c r="AJ32" s="25">
        <v>39344.462260891989</v>
      </c>
      <c r="AO32" s="26">
        <f t="shared" si="4"/>
        <v>13058.041167487529</v>
      </c>
      <c r="AS32" s="25">
        <v>31</v>
      </c>
      <c r="AT32" s="25">
        <v>28</v>
      </c>
      <c r="AW32" s="25">
        <v>1828.2620366134315</v>
      </c>
      <c r="AX32" s="25">
        <v>28</v>
      </c>
      <c r="AY32" s="25">
        <v>30</v>
      </c>
      <c r="BA32" s="25">
        <v>1388.5722439708845</v>
      </c>
      <c r="BF32" s="26">
        <f t="shared" si="6"/>
        <v>439.68979264254699</v>
      </c>
    </row>
    <row r="33" spans="1:58" x14ac:dyDescent="0.4">
      <c r="A33" s="31">
        <v>29</v>
      </c>
      <c r="D33" s="25">
        <v>31</v>
      </c>
      <c r="G33" s="26">
        <f t="shared" si="1"/>
        <v>11991.855440201169</v>
      </c>
      <c r="H33" s="26">
        <f t="shared" si="8"/>
        <v>2.5027325527880748</v>
      </c>
      <c r="I33" s="26">
        <f t="shared" si="8"/>
        <v>-0.76816924871309311</v>
      </c>
      <c r="AG33" s="25">
        <v>29</v>
      </c>
      <c r="AH33" s="25">
        <v>32</v>
      </c>
      <c r="AI33" s="25">
        <v>52425.430417267678</v>
      </c>
      <c r="AJ33" s="25">
        <v>39358.313459740239</v>
      </c>
      <c r="AO33" s="26">
        <f t="shared" si="4"/>
        <v>13067.11695752744</v>
      </c>
      <c r="AS33" s="25">
        <v>32</v>
      </c>
      <c r="AT33" s="25">
        <v>29</v>
      </c>
      <c r="AW33" s="25">
        <v>1839.0340518354551</v>
      </c>
      <c r="AX33" s="25">
        <v>29</v>
      </c>
      <c r="AY33" s="25">
        <v>31</v>
      </c>
      <c r="BA33" s="25">
        <v>1390.8869342103853</v>
      </c>
      <c r="BF33" s="26">
        <f t="shared" si="6"/>
        <v>448.14711762506977</v>
      </c>
    </row>
    <row r="34" spans="1:58" x14ac:dyDescent="0.4">
      <c r="A34" s="31">
        <v>30</v>
      </c>
      <c r="D34" s="25">
        <v>32</v>
      </c>
      <c r="G34" s="26">
        <f t="shared" si="1"/>
        <v>11993.770190819485</v>
      </c>
      <c r="H34" s="26">
        <f t="shared" si="8"/>
        <v>1.9147506183162477</v>
      </c>
      <c r="I34" s="26">
        <f t="shared" si="8"/>
        <v>-0.58798193447182712</v>
      </c>
      <c r="AX34" s="25">
        <v>30</v>
      </c>
      <c r="AY34" s="25">
        <v>32</v>
      </c>
      <c r="BA34" s="25">
        <v>1392.7352371833988</v>
      </c>
      <c r="BF34" s="26">
        <f t="shared" si="6"/>
        <v>-1392.7352371833988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39"/>
  <sheetViews>
    <sheetView workbookViewId="0">
      <selection activeCell="B35" sqref="B35"/>
    </sheetView>
  </sheetViews>
  <sheetFormatPr defaultRowHeight="13.9" x14ac:dyDescent="0.4"/>
  <cols>
    <col min="8" max="8" width="9.86328125" bestFit="1" customWidth="1"/>
    <col min="46" max="46" width="9.73046875" bestFit="1" customWidth="1"/>
    <col min="60" max="60" width="9.73046875" bestFit="1" customWidth="1"/>
  </cols>
  <sheetData>
    <row r="1" spans="1:61" x14ac:dyDescent="0.4">
      <c r="A1" t="s">
        <v>13</v>
      </c>
      <c r="B1" t="s">
        <v>15</v>
      </c>
      <c r="C1" t="s">
        <v>17</v>
      </c>
      <c r="D1" t="s">
        <v>21</v>
      </c>
      <c r="R1">
        <v>38100</v>
      </c>
      <c r="V1" t="s">
        <v>23</v>
      </c>
      <c r="W1" t="s">
        <v>9</v>
      </c>
      <c r="X1" t="s">
        <v>11</v>
      </c>
      <c r="Y1" t="s">
        <v>12</v>
      </c>
      <c r="Z1" t="s">
        <v>22</v>
      </c>
      <c r="AD1">
        <v>1150</v>
      </c>
      <c r="AI1" t="s">
        <v>13</v>
      </c>
      <c r="AJ1" t="s">
        <v>15</v>
      </c>
      <c r="AK1" t="s">
        <v>17</v>
      </c>
      <c r="AL1" t="s">
        <v>25</v>
      </c>
      <c r="AM1" t="s">
        <v>14</v>
      </c>
      <c r="AN1" t="s">
        <v>18</v>
      </c>
      <c r="AO1" t="s">
        <v>19</v>
      </c>
      <c r="AP1" t="s">
        <v>20</v>
      </c>
      <c r="AQ1" t="s">
        <v>26</v>
      </c>
      <c r="AT1">
        <v>54000</v>
      </c>
      <c r="AU1">
        <v>55000</v>
      </c>
      <c r="AV1">
        <v>54000</v>
      </c>
      <c r="AX1" t="s">
        <v>13</v>
      </c>
      <c r="AY1" t="s">
        <v>15</v>
      </c>
      <c r="AZ1" t="s">
        <v>17</v>
      </c>
      <c r="BA1" t="s">
        <v>24</v>
      </c>
      <c r="BB1" t="s">
        <v>16</v>
      </c>
      <c r="BC1" t="s">
        <v>18</v>
      </c>
      <c r="BD1" t="s">
        <v>34</v>
      </c>
      <c r="BE1" t="s">
        <v>27</v>
      </c>
      <c r="BF1" t="s">
        <v>28</v>
      </c>
      <c r="BH1">
        <v>1250</v>
      </c>
    </row>
    <row r="2" spans="1:61" ht="17.649999999999999" x14ac:dyDescent="0.4">
      <c r="A2">
        <v>28</v>
      </c>
      <c r="B2">
        <v>5997</v>
      </c>
      <c r="C2">
        <v>132</v>
      </c>
      <c r="D2" s="7">
        <f>C2/B2*100</f>
        <v>2.2011005502751377</v>
      </c>
      <c r="R2">
        <f>EXP(5.0368335 )</f>
        <v>153.9816593205324</v>
      </c>
      <c r="S2">
        <v>4.3406300000000002E-2</v>
      </c>
      <c r="V2">
        <v>0</v>
      </c>
      <c r="W2">
        <v>170</v>
      </c>
      <c r="X2">
        <f t="shared" ref="X2:X9" si="0">LN($AD$1/W2-1)</f>
        <v>1.7517541346143559</v>
      </c>
      <c r="Y2">
        <f>$AD$1/(1+$AD$2*EXP(-$AD$3*V2))</f>
        <v>172.05079179223333</v>
      </c>
      <c r="AD2">
        <f>EXP(1.737668  )</f>
        <v>5.68407269748998</v>
      </c>
      <c r="AI2">
        <v>28</v>
      </c>
      <c r="AJ2">
        <v>5997</v>
      </c>
      <c r="AK2">
        <v>132</v>
      </c>
      <c r="AL2">
        <v>0</v>
      </c>
      <c r="AM2">
        <v>5997</v>
      </c>
      <c r="AN2">
        <f t="shared" ref="AN2:AN12" si="1">LN($AT$1/AM2-1)</f>
        <v>2.0800041647684746</v>
      </c>
      <c r="AO2" s="17">
        <f>$AT$1/(1+$AT$2*EXP(-$AT$3*AL2))</f>
        <v>6074.170286423996</v>
      </c>
      <c r="AP2" s="17"/>
      <c r="AQ2" s="17"/>
      <c r="AT2" s="3">
        <v>7.8901030846454985</v>
      </c>
      <c r="AU2" s="3">
        <f>EXP(+ 2.08460154  )</f>
        <v>8.0413866723124698</v>
      </c>
      <c r="AV2">
        <v>7.8901030846454985</v>
      </c>
      <c r="AX2">
        <v>28</v>
      </c>
      <c r="AY2">
        <v>5997</v>
      </c>
      <c r="AZ2">
        <v>132</v>
      </c>
      <c r="BA2">
        <v>0</v>
      </c>
      <c r="BB2">
        <v>132</v>
      </c>
      <c r="BC2">
        <f>LN($BH$1/BB2-1)</f>
        <v>2.1364947311286735</v>
      </c>
      <c r="BD2" s="17">
        <f>$BH$1/(1+$BH$2*EXP(-$BH$3*BA2))</f>
        <v>137.30445132569878</v>
      </c>
      <c r="BH2" s="6">
        <f>EXP(2.09234004  )</f>
        <v>8.103856342099828</v>
      </c>
    </row>
    <row r="3" spans="1:61" ht="17.649999999999999" x14ac:dyDescent="0.4">
      <c r="A3">
        <v>29</v>
      </c>
      <c r="B3">
        <v>7736</v>
      </c>
      <c r="C3">
        <v>170</v>
      </c>
      <c r="D3" s="7">
        <f t="shared" ref="D3:D11" si="2">C3/B3*100</f>
        <v>2.1975180972078596</v>
      </c>
      <c r="R3" s="3">
        <v>0.3541414</v>
      </c>
      <c r="S3" s="5">
        <v>0.92479789999999995</v>
      </c>
      <c r="V3">
        <v>1</v>
      </c>
      <c r="W3">
        <v>213</v>
      </c>
      <c r="X3">
        <f t="shared" si="0"/>
        <v>1.481391116528997</v>
      </c>
      <c r="Y3">
        <f t="shared" ref="Y3:Y26" si="3">$AD$1/(1+$AD$2*EXP(-$AD$3*V3))</f>
        <v>210.59920415935147</v>
      </c>
      <c r="Z3">
        <f>Y3-Y2</f>
        <v>38.548412367118146</v>
      </c>
      <c r="AD3" s="3">
        <v>0.2423826</v>
      </c>
      <c r="AI3">
        <v>29</v>
      </c>
      <c r="AJ3">
        <v>7736</v>
      </c>
      <c r="AK3">
        <v>170</v>
      </c>
      <c r="AL3">
        <v>1</v>
      </c>
      <c r="AM3">
        <v>7736</v>
      </c>
      <c r="AN3">
        <f t="shared" si="1"/>
        <v>1.788479362704924</v>
      </c>
      <c r="AO3" s="17">
        <f t="shared" ref="AO3:AO34" si="4">$AT$1/(1+$AT$2*EXP(-$AT$3*AL3))</f>
        <v>7656.4352411740219</v>
      </c>
      <c r="AP3" s="17">
        <f>AO3-AO2</f>
        <v>1582.2649547500259</v>
      </c>
      <c r="AQ3" s="17"/>
      <c r="AT3" s="16">
        <v>0.26507325999999998</v>
      </c>
      <c r="AU3" s="16">
        <v>0.26315615999999997</v>
      </c>
      <c r="AV3">
        <v>0.26507325999999998</v>
      </c>
      <c r="AX3">
        <v>29</v>
      </c>
      <c r="AY3">
        <v>7736</v>
      </c>
      <c r="AZ3">
        <v>170</v>
      </c>
      <c r="BA3">
        <v>1</v>
      </c>
      <c r="BB3">
        <v>170</v>
      </c>
      <c r="BC3">
        <f t="shared" ref="BC3:BC13" si="5">LN($BH$1/BB3-1)</f>
        <v>1.8489178830680035</v>
      </c>
      <c r="BD3" s="17">
        <f t="shared" ref="BD3:BD34" si="6">$BH$1/(1+$BH$2*EXP(-$BH$3*BA3))</f>
        <v>169.30933118338461</v>
      </c>
      <c r="BE3">
        <f>BD3-BD2</f>
        <v>32.004879857685836</v>
      </c>
      <c r="BH3" s="3">
        <v>0.23871181999999999</v>
      </c>
      <c r="BI3">
        <f>1/BH3</f>
        <v>4.1891515887231723</v>
      </c>
    </row>
    <row r="4" spans="1:61" ht="15" x14ac:dyDescent="0.4">
      <c r="A4">
        <v>30</v>
      </c>
      <c r="B4">
        <v>9720</v>
      </c>
      <c r="C4">
        <v>213</v>
      </c>
      <c r="D4" s="7">
        <f t="shared" si="2"/>
        <v>2.191358024691358</v>
      </c>
      <c r="U4">
        <v>1</v>
      </c>
      <c r="V4">
        <v>2</v>
      </c>
      <c r="W4">
        <v>259</v>
      </c>
      <c r="X4">
        <f t="shared" si="0"/>
        <v>1.2355163657712713</v>
      </c>
      <c r="Y4">
        <f t="shared" si="3"/>
        <v>255.52776296568371</v>
      </c>
      <c r="Z4">
        <f t="shared" ref="Z4:Z26" si="7">Y4-Y3</f>
        <v>44.928558806332234</v>
      </c>
      <c r="AI4">
        <v>30</v>
      </c>
      <c r="AJ4">
        <v>9720</v>
      </c>
      <c r="AK4">
        <v>213</v>
      </c>
      <c r="AL4">
        <v>2</v>
      </c>
      <c r="AM4">
        <v>9720</v>
      </c>
      <c r="AN4">
        <f t="shared" si="1"/>
        <v>1.5163474893680884</v>
      </c>
      <c r="AO4" s="17">
        <f t="shared" si="4"/>
        <v>9568.5751401466041</v>
      </c>
      <c r="AP4" s="17">
        <f t="shared" ref="AP4:AP34" si="8">AO4-AO3</f>
        <v>1912.1398989725822</v>
      </c>
      <c r="AQ4" s="17">
        <f>AP4-AP3</f>
        <v>329.87494422255622</v>
      </c>
      <c r="AT4" s="15">
        <v>0.99970000000000003</v>
      </c>
      <c r="AU4" s="15">
        <v>0.99964138999999996</v>
      </c>
      <c r="AV4">
        <v>0.99970000000000003</v>
      </c>
      <c r="AX4">
        <v>30</v>
      </c>
      <c r="AY4">
        <v>9720</v>
      </c>
      <c r="AZ4">
        <v>213</v>
      </c>
      <c r="BA4">
        <v>2</v>
      </c>
      <c r="BB4">
        <v>213</v>
      </c>
      <c r="BC4">
        <f t="shared" si="5"/>
        <v>1.5827950425201023</v>
      </c>
      <c r="BD4" s="17">
        <f t="shared" si="6"/>
        <v>207.38394313517588</v>
      </c>
      <c r="BE4">
        <f t="shared" ref="BE4:BE34" si="9">BD4-BD3</f>
        <v>38.074611951791269</v>
      </c>
      <c r="BF4">
        <f t="shared" ref="BF4:BF34" si="10">BE4-BE3</f>
        <v>6.0697320941054329</v>
      </c>
      <c r="BH4">
        <v>0.99909999999999999</v>
      </c>
    </row>
    <row r="5" spans="1:61" x14ac:dyDescent="0.4">
      <c r="A5">
        <v>31</v>
      </c>
      <c r="B5">
        <v>11821</v>
      </c>
      <c r="C5">
        <v>259</v>
      </c>
      <c r="D5" s="7">
        <f t="shared" si="2"/>
        <v>2.1910159884950509</v>
      </c>
      <c r="I5" t="s">
        <v>5</v>
      </c>
      <c r="J5" t="s">
        <v>0</v>
      </c>
      <c r="K5" t="s">
        <v>1</v>
      </c>
      <c r="L5" t="s">
        <v>3</v>
      </c>
      <c r="M5" t="s">
        <v>2</v>
      </c>
      <c r="N5" t="s">
        <v>4</v>
      </c>
      <c r="O5" t="s">
        <v>7</v>
      </c>
      <c r="P5" t="s">
        <v>6</v>
      </c>
      <c r="Q5" t="s">
        <v>8</v>
      </c>
      <c r="R5" t="s">
        <v>9</v>
      </c>
      <c r="S5" t="s">
        <v>10</v>
      </c>
      <c r="U5">
        <v>2</v>
      </c>
      <c r="V5">
        <v>3</v>
      </c>
      <c r="W5">
        <v>304</v>
      </c>
      <c r="X5">
        <f t="shared" si="0"/>
        <v>1.0234916582000015</v>
      </c>
      <c r="Y5">
        <f t="shared" si="3"/>
        <v>306.90976799349198</v>
      </c>
      <c r="Z5">
        <f t="shared" si="7"/>
        <v>51.382005027808276</v>
      </c>
      <c r="AI5" s="1">
        <v>31</v>
      </c>
      <c r="AJ5">
        <v>11821</v>
      </c>
      <c r="AK5">
        <v>259</v>
      </c>
      <c r="AL5">
        <v>3</v>
      </c>
      <c r="AM5">
        <v>11821</v>
      </c>
      <c r="AN5">
        <f t="shared" si="1"/>
        <v>1.2720448560829067</v>
      </c>
      <c r="AO5" s="17">
        <f t="shared" si="4"/>
        <v>11836.292243055836</v>
      </c>
      <c r="AP5" s="17">
        <f t="shared" si="8"/>
        <v>2267.7171029092315</v>
      </c>
      <c r="AQ5" s="17">
        <f t="shared" ref="AQ5:AQ34" si="11">AP5-AP4</f>
        <v>355.57720393664931</v>
      </c>
      <c r="AX5" s="2">
        <v>31</v>
      </c>
      <c r="AY5">
        <v>11821</v>
      </c>
      <c r="AZ5">
        <v>259</v>
      </c>
      <c r="BA5">
        <v>3</v>
      </c>
      <c r="BB5">
        <v>259</v>
      </c>
      <c r="BC5">
        <f t="shared" si="5"/>
        <v>1.3418864726304502</v>
      </c>
      <c r="BD5" s="17">
        <f t="shared" si="6"/>
        <v>252.02406576672902</v>
      </c>
      <c r="BE5">
        <f t="shared" si="9"/>
        <v>44.64012263155314</v>
      </c>
      <c r="BF5">
        <f t="shared" si="10"/>
        <v>6.5655106797618714</v>
      </c>
    </row>
    <row r="6" spans="1:61" x14ac:dyDescent="0.4">
      <c r="A6">
        <v>1</v>
      </c>
      <c r="B6">
        <v>14411</v>
      </c>
      <c r="C6">
        <v>304</v>
      </c>
      <c r="D6" s="7">
        <f t="shared" si="2"/>
        <v>2.1094996877385332</v>
      </c>
      <c r="I6">
        <v>21</v>
      </c>
      <c r="J6">
        <v>0</v>
      </c>
      <c r="K6">
        <v>291</v>
      </c>
      <c r="M6">
        <f>K6+L6</f>
        <v>291</v>
      </c>
      <c r="N6">
        <f>LN($R$1/K6-1)</f>
        <v>4.8669791813341092</v>
      </c>
      <c r="O6">
        <v>291</v>
      </c>
      <c r="P6">
        <f>$R$1/(1+$R$2*EXP(-$R$3*J6))</f>
        <v>245.83554058613959</v>
      </c>
      <c r="R6">
        <f>$S$2*P6^$S$3</f>
        <v>7.0536829899045355</v>
      </c>
      <c r="U6">
        <v>3</v>
      </c>
      <c r="V6">
        <v>4</v>
      </c>
      <c r="W6">
        <v>362</v>
      </c>
      <c r="X6">
        <f t="shared" si="0"/>
        <v>0.77785387803210804</v>
      </c>
      <c r="Y6">
        <f t="shared" si="3"/>
        <v>364.41443617419401</v>
      </c>
      <c r="Z6">
        <f t="shared" si="7"/>
        <v>57.504668180702026</v>
      </c>
      <c r="AH6">
        <v>1</v>
      </c>
      <c r="AI6" s="14">
        <v>1</v>
      </c>
      <c r="AJ6">
        <v>14411</v>
      </c>
      <c r="AK6">
        <v>304</v>
      </c>
      <c r="AL6">
        <v>4</v>
      </c>
      <c r="AM6">
        <v>14411</v>
      </c>
      <c r="AN6">
        <f t="shared" si="1"/>
        <v>1.0105594980390395</v>
      </c>
      <c r="AO6" s="17">
        <f t="shared" si="4"/>
        <v>14466.464224892077</v>
      </c>
      <c r="AP6" s="17">
        <f t="shared" si="8"/>
        <v>2630.1719818362417</v>
      </c>
      <c r="AQ6" s="17">
        <f t="shared" si="11"/>
        <v>362.45487892701021</v>
      </c>
      <c r="AX6">
        <v>1</v>
      </c>
      <c r="AY6">
        <v>14411</v>
      </c>
      <c r="AZ6">
        <v>304</v>
      </c>
      <c r="BA6">
        <v>4</v>
      </c>
      <c r="BB6">
        <v>304</v>
      </c>
      <c r="BC6">
        <f t="shared" si="5"/>
        <v>1.1352148676456564</v>
      </c>
      <c r="BD6" s="17">
        <f t="shared" si="6"/>
        <v>303.47623829170175</v>
      </c>
      <c r="BE6">
        <f t="shared" si="9"/>
        <v>51.452172524972724</v>
      </c>
      <c r="BF6">
        <f t="shared" si="10"/>
        <v>6.8120498934195837</v>
      </c>
    </row>
    <row r="7" spans="1:61" x14ac:dyDescent="0.4">
      <c r="A7">
        <v>2</v>
      </c>
      <c r="B7">
        <v>17238</v>
      </c>
      <c r="C7">
        <v>361</v>
      </c>
      <c r="D7" s="7">
        <f t="shared" si="2"/>
        <v>2.094210465251189</v>
      </c>
      <c r="I7">
        <v>22</v>
      </c>
      <c r="J7">
        <v>1</v>
      </c>
      <c r="K7">
        <v>391</v>
      </c>
      <c r="L7">
        <v>100</v>
      </c>
      <c r="M7">
        <f t="shared" ref="M7:M19" si="12">K7+L7</f>
        <v>491</v>
      </c>
      <c r="N7">
        <f t="shared" ref="N7:N23" si="13">LN($R$1/K7-1)</f>
        <v>4.5689465117504815</v>
      </c>
      <c r="O7">
        <v>391</v>
      </c>
      <c r="P7">
        <f t="shared" ref="P7:P34" si="14">$R$1/(1+$R$2*EXP(-$R$3*J7))</f>
        <v>349.34708825136255</v>
      </c>
      <c r="Q7">
        <f>P7-P6</f>
        <v>103.51154766522296</v>
      </c>
      <c r="R7">
        <f t="shared" ref="R7:R34" si="15">$S$2*P7^$S$3</f>
        <v>9.7622880654852988</v>
      </c>
      <c r="S7">
        <f>R7-R6</f>
        <v>2.7086050755807634</v>
      </c>
      <c r="U7">
        <v>4</v>
      </c>
      <c r="V7">
        <v>5</v>
      </c>
      <c r="W7">
        <v>429</v>
      </c>
      <c r="X7">
        <f t="shared" si="0"/>
        <v>0.51918221835693212</v>
      </c>
      <c r="Y7">
        <f t="shared" si="3"/>
        <v>427.23363638644531</v>
      </c>
      <c r="Z7">
        <f t="shared" si="7"/>
        <v>62.819200212251303</v>
      </c>
      <c r="AH7">
        <v>2</v>
      </c>
      <c r="AI7" s="1">
        <v>2</v>
      </c>
      <c r="AJ7">
        <v>17238</v>
      </c>
      <c r="AK7">
        <v>361</v>
      </c>
      <c r="AL7">
        <v>5</v>
      </c>
      <c r="AM7">
        <v>17238</v>
      </c>
      <c r="AN7">
        <f t="shared" si="1"/>
        <v>0.75734845374636495</v>
      </c>
      <c r="AO7" s="17">
        <f t="shared" si="4"/>
        <v>17439.355647161738</v>
      </c>
      <c r="AP7" s="17">
        <f t="shared" si="8"/>
        <v>2972.8914222696603</v>
      </c>
      <c r="AQ7" s="17">
        <f t="shared" si="11"/>
        <v>342.71944043341864</v>
      </c>
      <c r="AX7">
        <v>2</v>
      </c>
      <c r="AY7">
        <v>17238</v>
      </c>
      <c r="AZ7">
        <v>361</v>
      </c>
      <c r="BA7">
        <v>5</v>
      </c>
      <c r="BB7">
        <v>361</v>
      </c>
      <c r="BC7">
        <f t="shared" si="5"/>
        <v>0.90121927718102357</v>
      </c>
      <c r="BD7" s="17">
        <f t="shared" si="6"/>
        <v>361.62634873528128</v>
      </c>
      <c r="BE7">
        <f t="shared" si="9"/>
        <v>58.150110443579536</v>
      </c>
      <c r="BF7">
        <f t="shared" si="10"/>
        <v>6.6979379186068115</v>
      </c>
    </row>
    <row r="8" spans="1:61" x14ac:dyDescent="0.4">
      <c r="A8">
        <v>3</v>
      </c>
      <c r="B8">
        <v>20471</v>
      </c>
      <c r="C8">
        <v>425</v>
      </c>
      <c r="D8" s="7">
        <f t="shared" si="2"/>
        <v>2.0761076645010013</v>
      </c>
      <c r="E8">
        <v>7821</v>
      </c>
      <c r="F8">
        <v>170</v>
      </c>
      <c r="G8">
        <v>7821</v>
      </c>
      <c r="H8" s="4">
        <f>F8/G8</f>
        <v>2.1736350850274901E-2</v>
      </c>
      <c r="I8">
        <v>23</v>
      </c>
      <c r="J8">
        <v>2</v>
      </c>
      <c r="K8">
        <v>440</v>
      </c>
      <c r="L8">
        <v>49</v>
      </c>
      <c r="M8">
        <f t="shared" si="12"/>
        <v>489</v>
      </c>
      <c r="N8">
        <f t="shared" si="13"/>
        <v>4.4495790752988365</v>
      </c>
      <c r="O8">
        <v>440</v>
      </c>
      <c r="P8">
        <f t="shared" si="14"/>
        <v>495.87228468557026</v>
      </c>
      <c r="Q8">
        <f t="shared" ref="Q8:Q34" si="16">P8-P7</f>
        <v>146.52519643420771</v>
      </c>
      <c r="R8">
        <f t="shared" si="15"/>
        <v>13.496623441549561</v>
      </c>
      <c r="S8">
        <f t="shared" ref="S8:S34" si="17">R8-R7</f>
        <v>3.7343353760642621</v>
      </c>
      <c r="U8">
        <v>5</v>
      </c>
      <c r="V8">
        <v>6</v>
      </c>
      <c r="W8">
        <v>493</v>
      </c>
      <c r="X8">
        <f t="shared" si="0"/>
        <v>0.28717484444192026</v>
      </c>
      <c r="Y8">
        <f t="shared" si="3"/>
        <v>494.07125921037255</v>
      </c>
      <c r="Z8">
        <f t="shared" si="7"/>
        <v>66.837622823927234</v>
      </c>
      <c r="AH8">
        <v>3</v>
      </c>
      <c r="AI8" s="1">
        <v>3</v>
      </c>
      <c r="AJ8">
        <v>20471</v>
      </c>
      <c r="AK8">
        <v>425</v>
      </c>
      <c r="AL8">
        <v>6</v>
      </c>
      <c r="AM8">
        <v>20471</v>
      </c>
      <c r="AN8">
        <f t="shared" si="1"/>
        <v>0.49340148553673258</v>
      </c>
      <c r="AO8" s="17">
        <f t="shared" si="4"/>
        <v>20703.243130076695</v>
      </c>
      <c r="AP8" s="17">
        <f t="shared" si="8"/>
        <v>3263.8874829149572</v>
      </c>
      <c r="AQ8" s="17">
        <f t="shared" si="11"/>
        <v>290.99606064529689</v>
      </c>
      <c r="AX8">
        <v>3</v>
      </c>
      <c r="AY8">
        <v>20471</v>
      </c>
      <c r="AZ8">
        <v>425</v>
      </c>
      <c r="BA8">
        <v>6</v>
      </c>
      <c r="BB8">
        <v>425</v>
      </c>
      <c r="BC8">
        <f t="shared" si="5"/>
        <v>0.66329421741026429</v>
      </c>
      <c r="BD8" s="17">
        <f t="shared" si="6"/>
        <v>425.90510608790748</v>
      </c>
      <c r="BE8">
        <f t="shared" si="9"/>
        <v>64.278757352626201</v>
      </c>
      <c r="BF8">
        <f t="shared" si="10"/>
        <v>6.1286469090466653</v>
      </c>
    </row>
    <row r="9" spans="1:61" x14ac:dyDescent="0.4">
      <c r="A9">
        <v>4</v>
      </c>
      <c r="B9">
        <v>24363</v>
      </c>
      <c r="C9">
        <v>491</v>
      </c>
      <c r="D9" s="7">
        <f t="shared" si="2"/>
        <v>2.0153511472314576</v>
      </c>
      <c r="E9">
        <v>9800</v>
      </c>
      <c r="F9">
        <v>213</v>
      </c>
      <c r="G9">
        <v>9800</v>
      </c>
      <c r="H9" s="4">
        <f t="shared" ref="H9:H15" si="18">F9/G9</f>
        <v>2.1734693877551021E-2</v>
      </c>
      <c r="I9">
        <v>24</v>
      </c>
      <c r="J9">
        <v>3</v>
      </c>
      <c r="K9">
        <v>571</v>
      </c>
      <c r="L9">
        <v>131</v>
      </c>
      <c r="M9">
        <f t="shared" si="12"/>
        <v>702</v>
      </c>
      <c r="N9">
        <f t="shared" si="13"/>
        <v>4.1854800367676761</v>
      </c>
      <c r="O9">
        <v>571</v>
      </c>
      <c r="P9">
        <f t="shared" si="14"/>
        <v>702.70995307178168</v>
      </c>
      <c r="Q9">
        <f t="shared" si="16"/>
        <v>206.83766838621142</v>
      </c>
      <c r="R9">
        <f t="shared" si="15"/>
        <v>18.631393194502092</v>
      </c>
      <c r="S9">
        <f t="shared" si="17"/>
        <v>5.1347697529525309</v>
      </c>
      <c r="U9">
        <v>6</v>
      </c>
      <c r="V9">
        <v>7</v>
      </c>
      <c r="W9">
        <v>564</v>
      </c>
      <c r="X9">
        <f t="shared" si="0"/>
        <v>3.8265538078953609E-2</v>
      </c>
      <c r="Y9">
        <f t="shared" si="3"/>
        <v>563.21708222303516</v>
      </c>
      <c r="Z9">
        <f t="shared" si="7"/>
        <v>69.145823012662618</v>
      </c>
      <c r="AH9">
        <v>4</v>
      </c>
      <c r="AI9" s="1">
        <v>4</v>
      </c>
      <c r="AJ9">
        <v>24363</v>
      </c>
      <c r="AK9">
        <v>491</v>
      </c>
      <c r="AL9">
        <v>7</v>
      </c>
      <c r="AM9">
        <v>24363</v>
      </c>
      <c r="AN9">
        <f t="shared" si="1"/>
        <v>0.19595799276206308</v>
      </c>
      <c r="AO9" s="17">
        <f t="shared" si="4"/>
        <v>24174.085999652925</v>
      </c>
      <c r="AP9" s="17">
        <f t="shared" si="8"/>
        <v>3470.8428695762304</v>
      </c>
      <c r="AQ9" s="17">
        <f t="shared" si="11"/>
        <v>206.95538666127322</v>
      </c>
      <c r="AX9">
        <v>4</v>
      </c>
      <c r="AY9">
        <v>24363</v>
      </c>
      <c r="AZ9">
        <v>491</v>
      </c>
      <c r="BA9">
        <v>7</v>
      </c>
      <c r="BB9">
        <v>491</v>
      </c>
      <c r="BC9">
        <f t="shared" si="5"/>
        <v>0.43555764960110921</v>
      </c>
      <c r="BD9" s="17">
        <f t="shared" si="6"/>
        <v>495.24000728646774</v>
      </c>
      <c r="BE9">
        <f t="shared" si="9"/>
        <v>69.33490119856026</v>
      </c>
      <c r="BF9">
        <f t="shared" si="10"/>
        <v>5.0561438459340593</v>
      </c>
    </row>
    <row r="10" spans="1:61" x14ac:dyDescent="0.4">
      <c r="A10">
        <v>5</v>
      </c>
      <c r="B10">
        <v>28060</v>
      </c>
      <c r="C10">
        <v>564</v>
      </c>
      <c r="D10" s="7">
        <f t="shared" si="2"/>
        <v>2.0099786172487524</v>
      </c>
      <c r="E10">
        <v>11880</v>
      </c>
      <c r="F10">
        <v>259</v>
      </c>
      <c r="G10">
        <v>11880</v>
      </c>
      <c r="H10" s="4">
        <f t="shared" si="18"/>
        <v>2.1801346801346801E-2</v>
      </c>
      <c r="I10">
        <v>25</v>
      </c>
      <c r="J10">
        <v>4</v>
      </c>
      <c r="K10">
        <v>830</v>
      </c>
      <c r="L10">
        <v>259</v>
      </c>
      <c r="M10">
        <f t="shared" si="12"/>
        <v>1089</v>
      </c>
      <c r="N10">
        <f t="shared" si="13"/>
        <v>3.8045182916826605</v>
      </c>
      <c r="O10">
        <v>830</v>
      </c>
      <c r="P10">
        <f t="shared" si="14"/>
        <v>993.54400072245573</v>
      </c>
      <c r="Q10">
        <f t="shared" si="16"/>
        <v>290.83404765067405</v>
      </c>
      <c r="R10">
        <f t="shared" si="15"/>
        <v>25.66522692841124</v>
      </c>
      <c r="S10">
        <f t="shared" si="17"/>
        <v>7.0338337339091481</v>
      </c>
      <c r="U10">
        <v>7</v>
      </c>
      <c r="V10">
        <v>8</v>
      </c>
      <c r="Y10">
        <f t="shared" si="3"/>
        <v>632.70552157475163</v>
      </c>
      <c r="Z10" s="2">
        <f t="shared" si="7"/>
        <v>69.488439351716465</v>
      </c>
      <c r="AH10">
        <v>5</v>
      </c>
      <c r="AI10" s="14">
        <v>5</v>
      </c>
      <c r="AJ10">
        <v>28060</v>
      </c>
      <c r="AK10">
        <v>564</v>
      </c>
      <c r="AL10">
        <v>8</v>
      </c>
      <c r="AM10">
        <v>28060</v>
      </c>
      <c r="AN10">
        <f t="shared" si="1"/>
        <v>-7.8558895786017061E-2</v>
      </c>
      <c r="AO10" s="17">
        <f t="shared" si="4"/>
        <v>27742.001000549852</v>
      </c>
      <c r="AP10" s="18">
        <f t="shared" si="8"/>
        <v>3567.9150008969264</v>
      </c>
      <c r="AQ10" s="17">
        <f t="shared" si="11"/>
        <v>97.072131320695917</v>
      </c>
      <c r="AS10" s="2"/>
      <c r="AX10" s="2">
        <v>5</v>
      </c>
      <c r="AY10">
        <v>28060</v>
      </c>
      <c r="AZ10">
        <v>564</v>
      </c>
      <c r="BA10">
        <v>8</v>
      </c>
      <c r="BB10">
        <v>564</v>
      </c>
      <c r="BC10">
        <f t="shared" si="5"/>
        <v>0.19582337622782636</v>
      </c>
      <c r="BD10" s="17">
        <f t="shared" si="6"/>
        <v>568.08143023742502</v>
      </c>
      <c r="BE10" s="2">
        <f t="shared" si="9"/>
        <v>72.841422950957281</v>
      </c>
      <c r="BF10">
        <f t="shared" si="10"/>
        <v>3.5065217523970205</v>
      </c>
      <c r="BG10" s="2"/>
    </row>
    <row r="11" spans="1:61" x14ac:dyDescent="0.4">
      <c r="A11">
        <v>6</v>
      </c>
      <c r="B11">
        <v>31211</v>
      </c>
      <c r="C11">
        <v>637</v>
      </c>
      <c r="D11" s="7">
        <f t="shared" si="2"/>
        <v>2.0409471019832752</v>
      </c>
      <c r="E11">
        <v>14401</v>
      </c>
      <c r="F11">
        <v>304</v>
      </c>
      <c r="G11">
        <v>14401</v>
      </c>
      <c r="H11" s="4">
        <f t="shared" si="18"/>
        <v>2.1109645163530311E-2</v>
      </c>
      <c r="I11">
        <v>26</v>
      </c>
      <c r="J11">
        <v>5</v>
      </c>
      <c r="K11">
        <v>1287</v>
      </c>
      <c r="L11">
        <v>457</v>
      </c>
      <c r="M11">
        <f t="shared" si="12"/>
        <v>1744</v>
      </c>
      <c r="N11">
        <f t="shared" si="13"/>
        <v>3.3535371150485309</v>
      </c>
      <c r="O11">
        <v>1287</v>
      </c>
      <c r="P11">
        <f t="shared" si="14"/>
        <v>1400.2400877099574</v>
      </c>
      <c r="Q11">
        <f t="shared" si="16"/>
        <v>406.69608698750164</v>
      </c>
      <c r="R11">
        <f t="shared" si="15"/>
        <v>35.249603732223143</v>
      </c>
      <c r="S11">
        <f t="shared" si="17"/>
        <v>9.584376803811903</v>
      </c>
      <c r="U11">
        <v>8</v>
      </c>
      <c r="V11">
        <v>9</v>
      </c>
      <c r="Y11">
        <f t="shared" si="3"/>
        <v>700.53200404577422</v>
      </c>
      <c r="Z11">
        <f t="shared" si="7"/>
        <v>67.826482471022587</v>
      </c>
      <c r="AH11">
        <v>6</v>
      </c>
      <c r="AI11" s="1">
        <v>6</v>
      </c>
      <c r="AJ11">
        <v>31211</v>
      </c>
      <c r="AK11">
        <v>637</v>
      </c>
      <c r="AL11">
        <v>9</v>
      </c>
      <c r="AM11">
        <v>31211</v>
      </c>
      <c r="AN11">
        <f t="shared" si="1"/>
        <v>-0.31449263338124761</v>
      </c>
      <c r="AO11" s="17">
        <f t="shared" si="4"/>
        <v>31284.169466527983</v>
      </c>
      <c r="AP11" s="17">
        <f t="shared" si="8"/>
        <v>3542.1684659781313</v>
      </c>
      <c r="AQ11" s="17">
        <f t="shared" si="11"/>
        <v>-25.746534918795078</v>
      </c>
      <c r="AX11">
        <v>6</v>
      </c>
      <c r="AY11">
        <v>31211</v>
      </c>
      <c r="AZ11">
        <v>637</v>
      </c>
      <c r="BA11">
        <v>9</v>
      </c>
      <c r="BB11">
        <v>637</v>
      </c>
      <c r="BC11">
        <f t="shared" si="5"/>
        <v>-3.8404719635951975E-2</v>
      </c>
      <c r="BD11" s="17">
        <f t="shared" si="6"/>
        <v>642.51614308635862</v>
      </c>
      <c r="BE11">
        <f t="shared" si="9"/>
        <v>74.4347128489336</v>
      </c>
      <c r="BF11">
        <f t="shared" si="10"/>
        <v>1.5932898979763195</v>
      </c>
    </row>
    <row r="12" spans="1:61" x14ac:dyDescent="0.4">
      <c r="E12">
        <v>17238</v>
      </c>
      <c r="F12">
        <v>362</v>
      </c>
      <c r="G12">
        <v>17238</v>
      </c>
      <c r="H12" s="4">
        <f t="shared" si="18"/>
        <v>2.1000116022740458E-2</v>
      </c>
      <c r="I12">
        <v>27</v>
      </c>
      <c r="J12">
        <v>6</v>
      </c>
      <c r="K12">
        <v>1975</v>
      </c>
      <c r="L12">
        <v>688</v>
      </c>
      <c r="M12">
        <f t="shared" si="12"/>
        <v>2663</v>
      </c>
      <c r="N12">
        <f t="shared" si="13"/>
        <v>2.9064167480795109</v>
      </c>
      <c r="O12">
        <v>1975</v>
      </c>
      <c r="P12">
        <f t="shared" si="14"/>
        <v>1964.5985690168136</v>
      </c>
      <c r="Q12">
        <f t="shared" si="16"/>
        <v>564.35848130685622</v>
      </c>
      <c r="R12">
        <f t="shared" si="15"/>
        <v>48.213147411645373</v>
      </c>
      <c r="S12">
        <f t="shared" si="17"/>
        <v>12.96354367942223</v>
      </c>
      <c r="U12">
        <v>9</v>
      </c>
      <c r="V12">
        <v>10</v>
      </c>
      <c r="Y12">
        <f t="shared" si="3"/>
        <v>764.87846701667479</v>
      </c>
      <c r="Z12">
        <f t="shared" si="7"/>
        <v>64.346462970900575</v>
      </c>
      <c r="AH12">
        <v>7</v>
      </c>
      <c r="AI12" s="1">
        <v>7</v>
      </c>
      <c r="AJ12" s="22">
        <v>34598</v>
      </c>
      <c r="AK12" s="22">
        <v>719</v>
      </c>
      <c r="AL12" s="22">
        <v>10</v>
      </c>
      <c r="AM12" s="22">
        <v>34598</v>
      </c>
      <c r="AN12" s="22">
        <f t="shared" si="1"/>
        <v>-0.57841972338569392</v>
      </c>
      <c r="AO12" s="17">
        <f t="shared" si="4"/>
        <v>34681.254116844852</v>
      </c>
      <c r="AP12" s="17">
        <f t="shared" si="8"/>
        <v>3397.0846503168686</v>
      </c>
      <c r="AQ12" s="17">
        <f t="shared" si="11"/>
        <v>-145.08381566126263</v>
      </c>
      <c r="AX12">
        <v>7</v>
      </c>
      <c r="AY12" s="2">
        <v>34598</v>
      </c>
      <c r="AZ12" s="2">
        <v>719</v>
      </c>
      <c r="BA12">
        <v>10</v>
      </c>
      <c r="BB12" s="2">
        <v>723</v>
      </c>
      <c r="BC12">
        <f t="shared" si="5"/>
        <v>-0.31620867361740224</v>
      </c>
      <c r="BD12" s="17">
        <f t="shared" si="6"/>
        <v>716.45687639091682</v>
      </c>
      <c r="BE12">
        <f t="shared" si="9"/>
        <v>73.940733304558194</v>
      </c>
      <c r="BF12">
        <f t="shared" si="10"/>
        <v>-0.49397954437540648</v>
      </c>
    </row>
    <row r="13" spans="1:61" x14ac:dyDescent="0.4">
      <c r="E13">
        <v>20471</v>
      </c>
      <c r="F13">
        <v>429</v>
      </c>
      <c r="G13">
        <v>20471</v>
      </c>
      <c r="H13" s="4">
        <f t="shared" si="18"/>
        <v>2.0956475013433638E-2</v>
      </c>
      <c r="I13">
        <v>28</v>
      </c>
      <c r="J13">
        <v>7</v>
      </c>
      <c r="K13">
        <v>2744</v>
      </c>
      <c r="L13">
        <v>769</v>
      </c>
      <c r="M13">
        <f t="shared" si="12"/>
        <v>3513</v>
      </c>
      <c r="N13">
        <f t="shared" si="13"/>
        <v>2.5560513993350629</v>
      </c>
      <c r="O13">
        <v>2744</v>
      </c>
      <c r="P13">
        <f t="shared" si="14"/>
        <v>2739.4396308295268</v>
      </c>
      <c r="Q13">
        <f t="shared" si="16"/>
        <v>774.84106181271318</v>
      </c>
      <c r="R13">
        <f t="shared" si="15"/>
        <v>65.568480672887745</v>
      </c>
      <c r="S13">
        <f t="shared" si="17"/>
        <v>17.355333261242372</v>
      </c>
      <c r="U13">
        <v>10</v>
      </c>
      <c r="V13">
        <v>11</v>
      </c>
      <c r="Y13">
        <f t="shared" si="3"/>
        <v>824.29597776126877</v>
      </c>
      <c r="Z13">
        <f t="shared" si="7"/>
        <v>59.417510744593983</v>
      </c>
      <c r="AH13">
        <v>8</v>
      </c>
      <c r="AI13" s="1">
        <v>8</v>
      </c>
      <c r="AJ13" s="2">
        <v>37251</v>
      </c>
      <c r="AK13" s="14">
        <v>812</v>
      </c>
      <c r="AL13">
        <v>11</v>
      </c>
      <c r="AM13" s="2">
        <v>37251</v>
      </c>
      <c r="AO13" s="17">
        <f t="shared" si="4"/>
        <v>37832.853317566623</v>
      </c>
      <c r="AP13" s="17">
        <f t="shared" si="8"/>
        <v>3151.5992007217719</v>
      </c>
      <c r="AQ13" s="17">
        <f t="shared" si="11"/>
        <v>-245.48544959509672</v>
      </c>
      <c r="AR13">
        <f>AJ13-AJ12</f>
        <v>2653</v>
      </c>
      <c r="AX13">
        <v>8</v>
      </c>
      <c r="AY13" s="2">
        <v>37251</v>
      </c>
      <c r="AZ13" s="14">
        <v>812</v>
      </c>
      <c r="BA13">
        <v>11</v>
      </c>
      <c r="BB13" s="2">
        <v>812</v>
      </c>
      <c r="BC13">
        <f t="shared" si="5"/>
        <v>-0.61728142978523193</v>
      </c>
      <c r="BD13" s="17">
        <f t="shared" si="6"/>
        <v>787.87090737729795</v>
      </c>
      <c r="BE13">
        <f t="shared" si="9"/>
        <v>71.414030986381135</v>
      </c>
      <c r="BF13">
        <f t="shared" si="10"/>
        <v>-2.5267023181770583</v>
      </c>
      <c r="BG13">
        <f>AZ13-AZ12</f>
        <v>93</v>
      </c>
    </row>
    <row r="14" spans="1:61" x14ac:dyDescent="0.4">
      <c r="E14">
        <v>24441</v>
      </c>
      <c r="F14">
        <v>493</v>
      </c>
      <c r="G14">
        <v>24441</v>
      </c>
      <c r="H14" s="4">
        <f t="shared" si="18"/>
        <v>2.0171024098850292E-2</v>
      </c>
      <c r="I14">
        <v>29</v>
      </c>
      <c r="J14">
        <v>8</v>
      </c>
      <c r="K14">
        <v>4515</v>
      </c>
      <c r="L14">
        <v>1771</v>
      </c>
      <c r="M14">
        <f t="shared" si="12"/>
        <v>6286</v>
      </c>
      <c r="N14">
        <f t="shared" si="13"/>
        <v>2.0066743518498789</v>
      </c>
      <c r="O14">
        <v>4515</v>
      </c>
      <c r="P14">
        <f t="shared" si="14"/>
        <v>3787.8453710716058</v>
      </c>
      <c r="Q14">
        <f t="shared" si="16"/>
        <v>1048.405740242079</v>
      </c>
      <c r="R14">
        <f t="shared" si="15"/>
        <v>88.479446719024196</v>
      </c>
      <c r="S14">
        <f t="shared" si="17"/>
        <v>22.910966046136451</v>
      </c>
      <c r="U14">
        <v>11</v>
      </c>
      <c r="V14">
        <v>12</v>
      </c>
      <c r="Y14">
        <f t="shared" si="3"/>
        <v>877.8086251140154</v>
      </c>
      <c r="Z14">
        <f t="shared" si="7"/>
        <v>53.512647352746626</v>
      </c>
      <c r="AH14">
        <v>9</v>
      </c>
      <c r="AI14" s="1">
        <v>9</v>
      </c>
      <c r="AJ14" s="2">
        <v>40235</v>
      </c>
      <c r="AK14" s="2">
        <v>909</v>
      </c>
      <c r="AL14">
        <v>12</v>
      </c>
      <c r="AM14" s="2">
        <v>40235</v>
      </c>
      <c r="AO14" s="17">
        <f t="shared" si="4"/>
        <v>40667.955199666641</v>
      </c>
      <c r="AP14" s="17">
        <f t="shared" si="8"/>
        <v>2835.101882100018</v>
      </c>
      <c r="AQ14" s="17">
        <f t="shared" si="11"/>
        <v>-316.49731862175395</v>
      </c>
      <c r="AX14">
        <v>9</v>
      </c>
      <c r="AY14">
        <v>40235</v>
      </c>
      <c r="AZ14">
        <v>909</v>
      </c>
      <c r="BA14">
        <v>12</v>
      </c>
      <c r="BB14">
        <v>909</v>
      </c>
      <c r="BD14" s="17">
        <f t="shared" si="6"/>
        <v>854.99624339804063</v>
      </c>
      <c r="BE14">
        <f t="shared" si="9"/>
        <v>67.125336020742679</v>
      </c>
      <c r="BF14">
        <f t="shared" si="10"/>
        <v>-4.2886949656384559</v>
      </c>
      <c r="BG14">
        <f>AZ14-AZ13</f>
        <v>97</v>
      </c>
    </row>
    <row r="15" spans="1:61" x14ac:dyDescent="0.4">
      <c r="E15">
        <v>28605</v>
      </c>
      <c r="F15">
        <v>564</v>
      </c>
      <c r="G15">
        <v>28605</v>
      </c>
      <c r="H15" s="4">
        <f t="shared" si="18"/>
        <v>1.9716832721552176E-2</v>
      </c>
      <c r="I15">
        <v>30</v>
      </c>
      <c r="J15">
        <v>9</v>
      </c>
      <c r="K15">
        <v>5975</v>
      </c>
      <c r="L15">
        <v>1460</v>
      </c>
      <c r="M15">
        <f t="shared" si="12"/>
        <v>7435</v>
      </c>
      <c r="N15">
        <f t="shared" si="13"/>
        <v>1.6820504453978096</v>
      </c>
      <c r="O15">
        <v>5975</v>
      </c>
      <c r="P15">
        <f t="shared" si="14"/>
        <v>5178.7219496842408</v>
      </c>
      <c r="Q15">
        <f t="shared" si="16"/>
        <v>1390.8765786126351</v>
      </c>
      <c r="R15">
        <f t="shared" si="15"/>
        <v>118.15661012830347</v>
      </c>
      <c r="S15">
        <f t="shared" si="17"/>
        <v>29.677163409279274</v>
      </c>
      <c r="U15">
        <v>12</v>
      </c>
      <c r="V15">
        <v>13</v>
      </c>
      <c r="Y15">
        <f t="shared" si="3"/>
        <v>924.92985626166922</v>
      </c>
      <c r="Z15">
        <f t="shared" si="7"/>
        <v>47.121231147653816</v>
      </c>
      <c r="AH15">
        <v>10</v>
      </c>
      <c r="AI15" s="1">
        <v>10</v>
      </c>
      <c r="AL15">
        <v>13</v>
      </c>
      <c r="AO15" s="17">
        <f t="shared" si="4"/>
        <v>43148.489983518404</v>
      </c>
      <c r="AP15" s="17">
        <f t="shared" si="8"/>
        <v>2480.5347838517628</v>
      </c>
      <c r="AQ15" s="17">
        <f t="shared" si="11"/>
        <v>-354.56709824825521</v>
      </c>
      <c r="AX15">
        <v>10</v>
      </c>
      <c r="BA15">
        <v>13</v>
      </c>
      <c r="BD15">
        <f t="shared" si="6"/>
        <v>916.49863509386671</v>
      </c>
      <c r="BE15">
        <f t="shared" si="9"/>
        <v>61.502391695826077</v>
      </c>
      <c r="BF15">
        <f t="shared" si="10"/>
        <v>-5.6229443249166025</v>
      </c>
    </row>
    <row r="16" spans="1:61" x14ac:dyDescent="0.4">
      <c r="I16">
        <v>31</v>
      </c>
      <c r="J16">
        <v>10</v>
      </c>
      <c r="K16">
        <v>7711</v>
      </c>
      <c r="L16">
        <v>1836</v>
      </c>
      <c r="M16">
        <f t="shared" si="12"/>
        <v>9547</v>
      </c>
      <c r="N16">
        <f t="shared" si="13"/>
        <v>1.3714328199754384</v>
      </c>
      <c r="O16">
        <v>7711</v>
      </c>
      <c r="P16">
        <f t="shared" si="14"/>
        <v>6976.478927869367</v>
      </c>
      <c r="Q16">
        <f t="shared" si="16"/>
        <v>1797.7569781851262</v>
      </c>
      <c r="R16">
        <f t="shared" si="15"/>
        <v>155.64656267214789</v>
      </c>
      <c r="S16">
        <f t="shared" si="17"/>
        <v>37.489952543844424</v>
      </c>
      <c r="U16">
        <v>13</v>
      </c>
      <c r="V16">
        <v>14</v>
      </c>
      <c r="Y16">
        <f t="shared" si="3"/>
        <v>965.60712855474299</v>
      </c>
      <c r="Z16">
        <f t="shared" si="7"/>
        <v>40.67727229307377</v>
      </c>
      <c r="AH16">
        <v>11</v>
      </c>
      <c r="AI16" s="14">
        <v>11</v>
      </c>
      <c r="AL16">
        <v>14</v>
      </c>
      <c r="AO16" s="17">
        <f t="shared" si="4"/>
        <v>45266.612752767811</v>
      </c>
      <c r="AP16" s="17">
        <f t="shared" si="8"/>
        <v>2118.1227692494067</v>
      </c>
      <c r="AQ16" s="18">
        <f t="shared" si="11"/>
        <v>-362.41201460235607</v>
      </c>
      <c r="AX16" s="2">
        <v>11</v>
      </c>
      <c r="BA16">
        <v>14</v>
      </c>
      <c r="BD16">
        <f t="shared" si="6"/>
        <v>971.54377038911684</v>
      </c>
      <c r="BE16">
        <f t="shared" si="9"/>
        <v>55.045135295250134</v>
      </c>
      <c r="BF16">
        <f t="shared" si="10"/>
        <v>-6.4572564005759432</v>
      </c>
    </row>
    <row r="17" spans="9:58" x14ac:dyDescent="0.4">
      <c r="I17">
        <v>32</v>
      </c>
      <c r="J17">
        <v>11</v>
      </c>
      <c r="K17">
        <v>9692</v>
      </c>
      <c r="L17">
        <v>1981</v>
      </c>
      <c r="M17">
        <f t="shared" si="12"/>
        <v>11673</v>
      </c>
      <c r="N17">
        <f t="shared" si="13"/>
        <v>1.0753699926865075</v>
      </c>
      <c r="O17">
        <v>9692</v>
      </c>
      <c r="P17">
        <f t="shared" si="14"/>
        <v>9223.4681260888447</v>
      </c>
      <c r="Q17">
        <f t="shared" si="16"/>
        <v>2246.9891982194777</v>
      </c>
      <c r="R17">
        <f t="shared" si="15"/>
        <v>201.50166776245888</v>
      </c>
      <c r="S17">
        <f t="shared" si="17"/>
        <v>45.855105090310985</v>
      </c>
      <c r="U17">
        <v>14</v>
      </c>
      <c r="V17">
        <v>15</v>
      </c>
      <c r="Y17">
        <f t="shared" si="3"/>
        <v>1000.1240018583673</v>
      </c>
      <c r="Z17">
        <f t="shared" si="7"/>
        <v>34.516873303624266</v>
      </c>
      <c r="AI17">
        <v>12</v>
      </c>
      <c r="AL17">
        <v>15</v>
      </c>
      <c r="AO17" s="17">
        <f t="shared" si="4"/>
        <v>47038.004267587552</v>
      </c>
      <c r="AP17" s="17">
        <f t="shared" si="8"/>
        <v>1771.3915148197411</v>
      </c>
      <c r="AQ17" s="17">
        <f t="shared" si="11"/>
        <v>-346.73125442966557</v>
      </c>
      <c r="AX17">
        <v>12</v>
      </c>
      <c r="BA17">
        <v>15</v>
      </c>
      <c r="BD17">
        <f t="shared" si="6"/>
        <v>1019.7857165444231</v>
      </c>
      <c r="BE17">
        <f t="shared" si="9"/>
        <v>48.241946155306209</v>
      </c>
      <c r="BF17">
        <f t="shared" si="10"/>
        <v>-6.8031891399439246</v>
      </c>
    </row>
    <row r="18" spans="9:58" x14ac:dyDescent="0.4">
      <c r="I18">
        <v>33</v>
      </c>
      <c r="J18">
        <v>12</v>
      </c>
      <c r="K18">
        <v>11823</v>
      </c>
      <c r="L18">
        <v>2131</v>
      </c>
      <c r="M18">
        <f t="shared" si="12"/>
        <v>13954</v>
      </c>
      <c r="N18">
        <f t="shared" si="13"/>
        <v>0.79864724496808526</v>
      </c>
      <c r="O18">
        <v>11823</v>
      </c>
      <c r="P18">
        <f t="shared" si="14"/>
        <v>11917.06300330323</v>
      </c>
      <c r="Q18">
        <f t="shared" si="16"/>
        <v>2693.5948772143856</v>
      </c>
      <c r="R18">
        <f t="shared" si="15"/>
        <v>255.37919673650126</v>
      </c>
      <c r="S18">
        <f t="shared" si="17"/>
        <v>53.877528974042377</v>
      </c>
      <c r="U18">
        <v>15</v>
      </c>
      <c r="V18">
        <v>16</v>
      </c>
      <c r="Y18">
        <f t="shared" si="3"/>
        <v>1028.9893253481355</v>
      </c>
      <c r="Z18">
        <f t="shared" si="7"/>
        <v>28.86532348976823</v>
      </c>
      <c r="AI18">
        <v>13</v>
      </c>
      <c r="AL18">
        <v>16</v>
      </c>
      <c r="AO18" s="17">
        <f t="shared" si="4"/>
        <v>48493.808580870878</v>
      </c>
      <c r="AP18" s="17">
        <f t="shared" si="8"/>
        <v>1455.8043132833263</v>
      </c>
      <c r="AQ18" s="17">
        <f t="shared" si="11"/>
        <v>-315.5872015364148</v>
      </c>
      <c r="AX18">
        <v>13</v>
      </c>
      <c r="BA18">
        <v>16</v>
      </c>
      <c r="BD18">
        <f t="shared" si="6"/>
        <v>1061.2932199072263</v>
      </c>
      <c r="BE18">
        <f t="shared" si="9"/>
        <v>41.507503362803277</v>
      </c>
      <c r="BF18">
        <f t="shared" si="10"/>
        <v>-6.7344427925029322</v>
      </c>
    </row>
    <row r="19" spans="9:58" x14ac:dyDescent="0.4">
      <c r="I19">
        <v>1</v>
      </c>
      <c r="J19">
        <v>13</v>
      </c>
      <c r="K19" s="2">
        <v>14411</v>
      </c>
      <c r="L19">
        <v>2590</v>
      </c>
      <c r="M19">
        <f t="shared" si="12"/>
        <v>17001</v>
      </c>
      <c r="N19">
        <f t="shared" si="13"/>
        <v>0.49701900151976536</v>
      </c>
      <c r="O19">
        <v>14411</v>
      </c>
      <c r="P19">
        <f t="shared" si="14"/>
        <v>14988.970867979726</v>
      </c>
      <c r="Q19">
        <f t="shared" si="16"/>
        <v>3071.9078646764956</v>
      </c>
      <c r="R19">
        <f t="shared" si="15"/>
        <v>315.7168590789463</v>
      </c>
      <c r="S19">
        <f t="shared" si="17"/>
        <v>60.337662342445043</v>
      </c>
      <c r="U19">
        <v>16</v>
      </c>
      <c r="V19">
        <v>17</v>
      </c>
      <c r="Y19">
        <f t="shared" si="3"/>
        <v>1052.8354411838486</v>
      </c>
      <c r="Z19">
        <f t="shared" si="7"/>
        <v>23.846115835713135</v>
      </c>
      <c r="AI19">
        <v>14</v>
      </c>
      <c r="AL19">
        <v>17</v>
      </c>
      <c r="AO19" s="17">
        <f t="shared" si="4"/>
        <v>49673.195647840359</v>
      </c>
      <c r="AP19" s="17">
        <f t="shared" si="8"/>
        <v>1179.3870669694807</v>
      </c>
      <c r="AQ19" s="17">
        <f t="shared" si="11"/>
        <v>-276.41724631384568</v>
      </c>
      <c r="AX19">
        <v>14</v>
      </c>
      <c r="BA19">
        <v>17</v>
      </c>
      <c r="BD19">
        <f t="shared" si="6"/>
        <v>1096.4438284530479</v>
      </c>
      <c r="BE19">
        <f t="shared" si="9"/>
        <v>35.150608545821569</v>
      </c>
      <c r="BF19">
        <f t="shared" si="10"/>
        <v>-6.3568948169817077</v>
      </c>
    </row>
    <row r="20" spans="9:58" x14ac:dyDescent="0.4">
      <c r="I20">
        <v>2</v>
      </c>
      <c r="J20">
        <v>14</v>
      </c>
      <c r="K20" s="2">
        <v>17238</v>
      </c>
      <c r="N20">
        <f t="shared" si="13"/>
        <v>0.19081307302857195</v>
      </c>
      <c r="O20">
        <v>17238</v>
      </c>
      <c r="P20">
        <f t="shared" si="14"/>
        <v>18299.305543132341</v>
      </c>
      <c r="Q20">
        <f t="shared" si="16"/>
        <v>3310.3346751526151</v>
      </c>
      <c r="R20">
        <f t="shared" si="15"/>
        <v>379.70240035274531</v>
      </c>
      <c r="S20">
        <f t="shared" si="17"/>
        <v>63.985541273799015</v>
      </c>
      <c r="U20">
        <v>17</v>
      </c>
      <c r="V20">
        <v>18</v>
      </c>
      <c r="Y20">
        <f t="shared" si="3"/>
        <v>1072.3371517581622</v>
      </c>
      <c r="Z20">
        <f t="shared" si="7"/>
        <v>19.50171057431362</v>
      </c>
      <c r="AI20">
        <v>15</v>
      </c>
      <c r="AL20">
        <v>18</v>
      </c>
      <c r="AO20" s="17">
        <f t="shared" si="4"/>
        <v>50617.586223329745</v>
      </c>
      <c r="AP20" s="17">
        <f t="shared" si="8"/>
        <v>944.39057548938581</v>
      </c>
      <c r="AQ20" s="17">
        <f t="shared" si="11"/>
        <v>-234.99649148009485</v>
      </c>
      <c r="AX20">
        <v>15</v>
      </c>
      <c r="BA20">
        <v>18</v>
      </c>
      <c r="BD20">
        <f t="shared" si="6"/>
        <v>1125.8130552340199</v>
      </c>
      <c r="BE20">
        <f t="shared" si="9"/>
        <v>29.369226780971985</v>
      </c>
      <c r="BF20">
        <f t="shared" si="10"/>
        <v>-5.7813817648495842</v>
      </c>
    </row>
    <row r="21" spans="9:58" x14ac:dyDescent="0.4">
      <c r="I21">
        <v>3</v>
      </c>
      <c r="J21">
        <v>15</v>
      </c>
      <c r="K21" s="2">
        <v>20471</v>
      </c>
      <c r="N21">
        <f t="shared" si="13"/>
        <v>-0.14946397715487786</v>
      </c>
      <c r="O21">
        <v>20471</v>
      </c>
      <c r="P21">
        <f t="shared" si="14"/>
        <v>21655.678627275523</v>
      </c>
      <c r="Q21" s="2">
        <f t="shared" si="16"/>
        <v>3356.3730841431825</v>
      </c>
      <c r="R21">
        <f t="shared" si="15"/>
        <v>443.69083879545013</v>
      </c>
      <c r="S21">
        <f t="shared" si="17"/>
        <v>63.988438442704819</v>
      </c>
      <c r="U21">
        <v>18</v>
      </c>
      <c r="V21">
        <v>19</v>
      </c>
      <c r="Y21">
        <f t="shared" si="3"/>
        <v>1088.1546356780591</v>
      </c>
      <c r="Z21">
        <f t="shared" si="7"/>
        <v>15.817483919896858</v>
      </c>
      <c r="AI21">
        <v>16</v>
      </c>
      <c r="AL21">
        <v>19</v>
      </c>
      <c r="AO21" s="17">
        <f t="shared" si="4"/>
        <v>51366.776272554089</v>
      </c>
      <c r="AP21" s="17">
        <f t="shared" si="8"/>
        <v>749.19004922434397</v>
      </c>
      <c r="AQ21" s="17">
        <f t="shared" si="11"/>
        <v>-195.20052626504184</v>
      </c>
      <c r="AX21">
        <v>16</v>
      </c>
      <c r="BA21">
        <v>19</v>
      </c>
      <c r="BD21">
        <f t="shared" si="6"/>
        <v>1150.0770233284254</v>
      </c>
      <c r="BE21">
        <f t="shared" si="9"/>
        <v>24.263968094405527</v>
      </c>
      <c r="BF21">
        <f t="shared" si="10"/>
        <v>-5.105258686566458</v>
      </c>
    </row>
    <row r="22" spans="9:58" x14ac:dyDescent="0.4">
      <c r="I22">
        <v>4</v>
      </c>
      <c r="J22">
        <v>16</v>
      </c>
      <c r="K22" s="2">
        <v>24441</v>
      </c>
      <c r="N22">
        <f t="shared" si="13"/>
        <v>-0.58186340497585964</v>
      </c>
      <c r="O22">
        <v>24441</v>
      </c>
      <c r="P22">
        <f t="shared" si="14"/>
        <v>24854.914313193927</v>
      </c>
      <c r="Q22">
        <f t="shared" si="16"/>
        <v>3199.2356859184038</v>
      </c>
      <c r="R22">
        <f t="shared" si="15"/>
        <v>503.9887065840386</v>
      </c>
      <c r="S22">
        <f t="shared" si="17"/>
        <v>60.297867788588462</v>
      </c>
      <c r="U22">
        <v>19</v>
      </c>
      <c r="V22">
        <v>20</v>
      </c>
      <c r="Y22">
        <f t="shared" si="3"/>
        <v>1100.8981070684456</v>
      </c>
      <c r="Z22">
        <f t="shared" si="7"/>
        <v>12.743471390386503</v>
      </c>
      <c r="AI22">
        <v>17</v>
      </c>
      <c r="AL22">
        <v>20</v>
      </c>
      <c r="AO22">
        <f t="shared" si="4"/>
        <v>51956.722546844961</v>
      </c>
      <c r="AP22">
        <f t="shared" si="8"/>
        <v>589.94627429087268</v>
      </c>
      <c r="AQ22">
        <f t="shared" si="11"/>
        <v>-159.24377493347129</v>
      </c>
      <c r="AX22">
        <v>17</v>
      </c>
      <c r="BA22">
        <v>20</v>
      </c>
      <c r="BD22">
        <f t="shared" si="6"/>
        <v>1169.9373750163174</v>
      </c>
      <c r="BE22">
        <f t="shared" si="9"/>
        <v>19.860351687892035</v>
      </c>
      <c r="BF22">
        <f t="shared" si="10"/>
        <v>-4.4036164065134926</v>
      </c>
    </row>
    <row r="23" spans="9:58" x14ac:dyDescent="0.4">
      <c r="I23">
        <v>5</v>
      </c>
      <c r="J23">
        <v>17</v>
      </c>
      <c r="K23" s="2">
        <v>28605</v>
      </c>
      <c r="N23">
        <f t="shared" si="13"/>
        <v>-1.1028161834562427</v>
      </c>
      <c r="O23">
        <v>28605</v>
      </c>
      <c r="P23">
        <f t="shared" si="14"/>
        <v>27729.792160020403</v>
      </c>
      <c r="Q23">
        <f t="shared" si="16"/>
        <v>2874.8778468264754</v>
      </c>
      <c r="R23">
        <f t="shared" si="15"/>
        <v>557.67408907689241</v>
      </c>
      <c r="S23">
        <f t="shared" si="17"/>
        <v>53.685382492853819</v>
      </c>
      <c r="U23">
        <v>20</v>
      </c>
      <c r="V23">
        <v>21</v>
      </c>
      <c r="Y23">
        <f t="shared" si="3"/>
        <v>1111.1095849284334</v>
      </c>
      <c r="Z23">
        <f t="shared" si="7"/>
        <v>10.211477859987781</v>
      </c>
      <c r="AI23">
        <v>18</v>
      </c>
      <c r="AL23">
        <v>21</v>
      </c>
      <c r="AO23">
        <f t="shared" si="4"/>
        <v>52418.566688977648</v>
      </c>
      <c r="AP23">
        <f t="shared" si="8"/>
        <v>461.8441421326861</v>
      </c>
      <c r="AQ23">
        <f t="shared" si="11"/>
        <v>-128.10213215818658</v>
      </c>
      <c r="AX23">
        <v>18</v>
      </c>
      <c r="BA23">
        <v>21</v>
      </c>
      <c r="BD23">
        <f t="shared" si="6"/>
        <v>1186.0697764686308</v>
      </c>
      <c r="BE23">
        <f t="shared" si="9"/>
        <v>16.132401452313388</v>
      </c>
      <c r="BF23">
        <f t="shared" si="10"/>
        <v>-3.7279502355786462</v>
      </c>
    </row>
    <row r="24" spans="9:58" x14ac:dyDescent="0.4">
      <c r="I24">
        <v>6</v>
      </c>
      <c r="J24">
        <v>18</v>
      </c>
      <c r="P24">
        <f t="shared" si="14"/>
        <v>30179.519757888291</v>
      </c>
      <c r="Q24">
        <f t="shared" si="16"/>
        <v>2449.7275978678881</v>
      </c>
      <c r="R24">
        <f t="shared" si="15"/>
        <v>603.08887620030885</v>
      </c>
      <c r="S24">
        <f t="shared" si="17"/>
        <v>45.414787123416431</v>
      </c>
      <c r="U24">
        <v>21</v>
      </c>
      <c r="V24">
        <v>22</v>
      </c>
      <c r="Y24">
        <f t="shared" si="3"/>
        <v>1119.2567359379636</v>
      </c>
      <c r="Z24">
        <f t="shared" si="7"/>
        <v>8.1471510095302619</v>
      </c>
      <c r="AI24">
        <v>19</v>
      </c>
      <c r="AL24">
        <v>22</v>
      </c>
      <c r="AO24">
        <f t="shared" si="4"/>
        <v>52778.473998332993</v>
      </c>
      <c r="AP24">
        <f t="shared" si="8"/>
        <v>359.90730935534521</v>
      </c>
      <c r="AQ24">
        <f t="shared" si="11"/>
        <v>-101.9368327773409</v>
      </c>
      <c r="AX24">
        <v>19</v>
      </c>
      <c r="BA24">
        <v>22</v>
      </c>
      <c r="BD24">
        <f t="shared" si="6"/>
        <v>1199.092986424308</v>
      </c>
      <c r="BE24">
        <f t="shared" si="9"/>
        <v>13.023209955677203</v>
      </c>
      <c r="BF24">
        <f t="shared" si="10"/>
        <v>-3.1091914966361855</v>
      </c>
    </row>
    <row r="25" spans="9:58" x14ac:dyDescent="0.4">
      <c r="I25">
        <v>7</v>
      </c>
      <c r="J25">
        <v>19</v>
      </c>
      <c r="P25">
        <f t="shared" si="14"/>
        <v>32174.21956545236</v>
      </c>
      <c r="Q25">
        <f t="shared" si="16"/>
        <v>1994.6998075640695</v>
      </c>
      <c r="R25">
        <f t="shared" si="15"/>
        <v>639.86259053506717</v>
      </c>
      <c r="S25">
        <f t="shared" si="17"/>
        <v>36.773714334758324</v>
      </c>
      <c r="U25">
        <v>22</v>
      </c>
      <c r="V25">
        <v>23</v>
      </c>
      <c r="Y25">
        <f t="shared" si="3"/>
        <v>1125.7344144390197</v>
      </c>
      <c r="Z25">
        <f t="shared" si="7"/>
        <v>6.4776785010560616</v>
      </c>
      <c r="AI25">
        <v>20</v>
      </c>
      <c r="AL25">
        <v>23</v>
      </c>
      <c r="AO25">
        <f t="shared" si="4"/>
        <v>53057.944576141694</v>
      </c>
      <c r="AP25">
        <f t="shared" si="8"/>
        <v>279.47057780870091</v>
      </c>
      <c r="AQ25">
        <f t="shared" si="11"/>
        <v>-80.436731546644296</v>
      </c>
      <c r="AX25">
        <v>20</v>
      </c>
      <c r="BA25">
        <v>23</v>
      </c>
      <c r="BD25">
        <f t="shared" si="6"/>
        <v>1209.5537102067935</v>
      </c>
      <c r="BE25">
        <f t="shared" si="9"/>
        <v>10.460723782485502</v>
      </c>
      <c r="BF25">
        <f t="shared" si="10"/>
        <v>-2.5624861731917008</v>
      </c>
    </row>
    <row r="26" spans="9:58" x14ac:dyDescent="0.4">
      <c r="I26">
        <v>8</v>
      </c>
      <c r="J26">
        <v>20</v>
      </c>
      <c r="P26">
        <f t="shared" si="14"/>
        <v>33739.160072647981</v>
      </c>
      <c r="Q26">
        <f t="shared" si="16"/>
        <v>1564.9405071956207</v>
      </c>
      <c r="R26">
        <f t="shared" si="15"/>
        <v>668.59300486447989</v>
      </c>
      <c r="S26">
        <f t="shared" si="17"/>
        <v>28.730414329412724</v>
      </c>
      <c r="U26">
        <v>23</v>
      </c>
      <c r="V26">
        <v>24</v>
      </c>
      <c r="Y26">
        <f t="shared" si="3"/>
        <v>1130.8705578829135</v>
      </c>
      <c r="Z26">
        <f t="shared" si="7"/>
        <v>5.1361434438938431</v>
      </c>
      <c r="AI26">
        <v>21</v>
      </c>
      <c r="AL26">
        <v>24</v>
      </c>
      <c r="AO26">
        <f t="shared" si="4"/>
        <v>53274.354716947659</v>
      </c>
      <c r="AP26">
        <f t="shared" si="8"/>
        <v>216.41014080596506</v>
      </c>
      <c r="AQ26">
        <f t="shared" si="11"/>
        <v>-63.060437002735853</v>
      </c>
      <c r="AX26">
        <v>21</v>
      </c>
      <c r="BA26">
        <v>24</v>
      </c>
      <c r="BD26">
        <f t="shared" si="6"/>
        <v>1217.9223959992316</v>
      </c>
      <c r="BE26">
        <f t="shared" si="9"/>
        <v>8.3686857924381002</v>
      </c>
      <c r="BF26">
        <f t="shared" si="10"/>
        <v>-2.0920379900474018</v>
      </c>
    </row>
    <row r="27" spans="9:58" x14ac:dyDescent="0.4">
      <c r="I27">
        <v>9</v>
      </c>
      <c r="J27">
        <v>21</v>
      </c>
      <c r="P27">
        <f t="shared" si="14"/>
        <v>34931.515073587754</v>
      </c>
      <c r="Q27">
        <f t="shared" si="16"/>
        <v>1192.3550009397732</v>
      </c>
      <c r="R27">
        <f t="shared" si="15"/>
        <v>690.41576465860226</v>
      </c>
      <c r="S27">
        <f t="shared" si="17"/>
        <v>21.822759794122362</v>
      </c>
      <c r="AI27">
        <v>22</v>
      </c>
      <c r="AL27">
        <v>25</v>
      </c>
      <c r="AO27">
        <f t="shared" si="4"/>
        <v>53441.574083228821</v>
      </c>
      <c r="AP27">
        <f t="shared" si="8"/>
        <v>167.21936628116237</v>
      </c>
      <c r="AQ27">
        <f t="shared" si="11"/>
        <v>-49.190774524802691</v>
      </c>
      <c r="AX27">
        <v>22</v>
      </c>
      <c r="BA27">
        <v>25</v>
      </c>
      <c r="BD27">
        <f t="shared" si="6"/>
        <v>1224.5958961999982</v>
      </c>
      <c r="BE27">
        <f t="shared" si="9"/>
        <v>6.6735002007665116</v>
      </c>
      <c r="BF27">
        <f t="shared" si="10"/>
        <v>-1.6951855916715886</v>
      </c>
    </row>
    <row r="28" spans="9:58" x14ac:dyDescent="0.4">
      <c r="I28">
        <v>10</v>
      </c>
      <c r="J28">
        <v>22</v>
      </c>
      <c r="P28">
        <f t="shared" si="14"/>
        <v>35819.884987481826</v>
      </c>
      <c r="Q28">
        <f t="shared" si="16"/>
        <v>888.36991389407194</v>
      </c>
      <c r="R28">
        <f t="shared" si="15"/>
        <v>706.63842950350784</v>
      </c>
      <c r="S28">
        <f t="shared" si="17"/>
        <v>16.22266484490558</v>
      </c>
      <c r="AI28">
        <v>23</v>
      </c>
      <c r="AL28">
        <v>26</v>
      </c>
      <c r="AO28">
        <f t="shared" si="4"/>
        <v>53570.569650169084</v>
      </c>
      <c r="AP28">
        <f t="shared" si="8"/>
        <v>128.99556694026251</v>
      </c>
      <c r="AQ28">
        <f t="shared" si="11"/>
        <v>-38.223799340899859</v>
      </c>
      <c r="AX28">
        <v>23</v>
      </c>
      <c r="BA28">
        <v>26</v>
      </c>
      <c r="BD28">
        <f t="shared" si="6"/>
        <v>1229.9039342301332</v>
      </c>
      <c r="BE28">
        <f t="shared" si="9"/>
        <v>5.3080380301350942</v>
      </c>
      <c r="BF28">
        <f t="shared" si="10"/>
        <v>-1.3654621706314174</v>
      </c>
    </row>
    <row r="29" spans="9:58" x14ac:dyDescent="0.4">
      <c r="I29">
        <v>11</v>
      </c>
      <c r="J29">
        <v>23</v>
      </c>
      <c r="P29">
        <f t="shared" si="14"/>
        <v>36470.793537864782</v>
      </c>
      <c r="Q29">
        <f t="shared" si="16"/>
        <v>650.90855038295558</v>
      </c>
      <c r="R29">
        <f t="shared" si="15"/>
        <v>718.50553896559006</v>
      </c>
      <c r="S29">
        <f t="shared" si="17"/>
        <v>11.867109462082226</v>
      </c>
      <c r="AI29">
        <v>24</v>
      </c>
      <c r="AL29">
        <v>27</v>
      </c>
      <c r="AO29">
        <f t="shared" si="4"/>
        <v>53669.951457965617</v>
      </c>
      <c r="AP29">
        <f t="shared" si="8"/>
        <v>99.381807796533394</v>
      </c>
      <c r="AQ29">
        <f t="shared" si="11"/>
        <v>-29.613759143729112</v>
      </c>
      <c r="AX29">
        <v>24</v>
      </c>
      <c r="BA29">
        <v>27</v>
      </c>
      <c r="BD29">
        <f t="shared" si="6"/>
        <v>1234.1172734974118</v>
      </c>
      <c r="BE29">
        <f t="shared" si="9"/>
        <v>4.2133392672785703</v>
      </c>
      <c r="BF29">
        <f t="shared" si="10"/>
        <v>-1.0946987628565239</v>
      </c>
    </row>
    <row r="30" spans="9:58" x14ac:dyDescent="0.4">
      <c r="I30">
        <v>12</v>
      </c>
      <c r="J30">
        <v>24</v>
      </c>
      <c r="P30">
        <f t="shared" si="14"/>
        <v>36941.893737582206</v>
      </c>
      <c r="Q30">
        <f t="shared" si="16"/>
        <v>471.1001997174244</v>
      </c>
      <c r="R30">
        <f t="shared" si="15"/>
        <v>727.08450628255321</v>
      </c>
      <c r="S30">
        <f t="shared" si="17"/>
        <v>8.5789673169631442</v>
      </c>
      <c r="AI30">
        <v>25</v>
      </c>
      <c r="AL30">
        <v>28</v>
      </c>
      <c r="AO30">
        <f t="shared" si="4"/>
        <v>53746.442485871245</v>
      </c>
      <c r="AP30">
        <f t="shared" si="8"/>
        <v>76.491027905627561</v>
      </c>
      <c r="AQ30">
        <f t="shared" si="11"/>
        <v>-22.890779890905833</v>
      </c>
      <c r="AX30">
        <v>25</v>
      </c>
      <c r="BA30">
        <v>28</v>
      </c>
      <c r="BD30">
        <f t="shared" si="6"/>
        <v>1237.4562538902705</v>
      </c>
      <c r="BE30">
        <f t="shared" si="9"/>
        <v>3.3389803928587298</v>
      </c>
      <c r="BF30">
        <f t="shared" si="10"/>
        <v>-0.8743588744198405</v>
      </c>
    </row>
    <row r="31" spans="9:58" x14ac:dyDescent="0.4">
      <c r="I31">
        <v>13</v>
      </c>
      <c r="J31">
        <v>25</v>
      </c>
      <c r="P31">
        <f t="shared" si="14"/>
        <v>37279.834355347397</v>
      </c>
      <c r="Q31">
        <f t="shared" si="16"/>
        <v>337.94061776519084</v>
      </c>
      <c r="R31">
        <f t="shared" si="15"/>
        <v>733.2334998883872</v>
      </c>
      <c r="S31">
        <f t="shared" si="17"/>
        <v>6.1489936058339936</v>
      </c>
      <c r="AI31">
        <v>26</v>
      </c>
      <c r="AL31">
        <v>29</v>
      </c>
      <c r="AO31">
        <f t="shared" si="4"/>
        <v>53805.270509704613</v>
      </c>
      <c r="AP31">
        <f t="shared" si="8"/>
        <v>58.828023833368206</v>
      </c>
      <c r="AQ31">
        <f t="shared" si="11"/>
        <v>-17.663004072259355</v>
      </c>
      <c r="AX31">
        <v>26</v>
      </c>
      <c r="BA31">
        <v>29</v>
      </c>
      <c r="BD31">
        <f t="shared" si="6"/>
        <v>1240.0989214978449</v>
      </c>
      <c r="BE31">
        <f t="shared" si="9"/>
        <v>2.6426676075743671</v>
      </c>
      <c r="BF31">
        <f t="shared" si="10"/>
        <v>-0.69631278528436269</v>
      </c>
    </row>
    <row r="32" spans="9:58" x14ac:dyDescent="0.4">
      <c r="I32">
        <v>14</v>
      </c>
      <c r="J32">
        <v>26</v>
      </c>
      <c r="P32">
        <f t="shared" si="14"/>
        <v>37520.708738981113</v>
      </c>
      <c r="Q32">
        <f t="shared" si="16"/>
        <v>240.87438363371621</v>
      </c>
      <c r="R32">
        <f t="shared" si="15"/>
        <v>737.61376599250593</v>
      </c>
      <c r="S32">
        <f t="shared" si="17"/>
        <v>4.3802661041187321</v>
      </c>
      <c r="AI32">
        <v>27</v>
      </c>
      <c r="AL32">
        <v>30</v>
      </c>
      <c r="AO32">
        <f t="shared" si="4"/>
        <v>53850.487778203773</v>
      </c>
      <c r="AP32">
        <f t="shared" si="8"/>
        <v>45.217268499160127</v>
      </c>
      <c r="AQ32">
        <f t="shared" si="11"/>
        <v>-13.610755334208079</v>
      </c>
      <c r="AX32">
        <v>27</v>
      </c>
      <c r="BA32">
        <v>30</v>
      </c>
      <c r="BD32">
        <f t="shared" si="6"/>
        <v>1242.1883567349073</v>
      </c>
      <c r="BE32">
        <f t="shared" si="9"/>
        <v>2.0894352370623892</v>
      </c>
      <c r="BF32">
        <f t="shared" si="10"/>
        <v>-0.55323237051197793</v>
      </c>
    </row>
    <row r="33" spans="9:58" x14ac:dyDescent="0.4">
      <c r="I33">
        <v>15</v>
      </c>
      <c r="J33">
        <v>27</v>
      </c>
      <c r="P33">
        <f t="shared" si="14"/>
        <v>37691.615695705885</v>
      </c>
      <c r="Q33">
        <f t="shared" si="16"/>
        <v>170.90695672477159</v>
      </c>
      <c r="R33">
        <f t="shared" si="15"/>
        <v>740.72040139996625</v>
      </c>
      <c r="S33">
        <f t="shared" si="17"/>
        <v>3.1066354074603169</v>
      </c>
      <c r="AI33">
        <v>28</v>
      </c>
      <c r="AL33">
        <v>31</v>
      </c>
      <c r="AO33">
        <f t="shared" si="4"/>
        <v>53885.227742934861</v>
      </c>
      <c r="AP33">
        <f t="shared" si="8"/>
        <v>34.739964731088548</v>
      </c>
      <c r="AQ33">
        <f t="shared" si="11"/>
        <v>-10.477303768071579</v>
      </c>
      <c r="AX33">
        <v>28</v>
      </c>
      <c r="BA33">
        <v>31</v>
      </c>
      <c r="BD33">
        <f t="shared" si="6"/>
        <v>1243.8390468276309</v>
      </c>
      <c r="BE33">
        <f t="shared" si="9"/>
        <v>1.6506900927236074</v>
      </c>
      <c r="BF33">
        <f t="shared" si="10"/>
        <v>-0.43874514433878176</v>
      </c>
    </row>
    <row r="34" spans="9:58" x14ac:dyDescent="0.4">
      <c r="I34">
        <v>16</v>
      </c>
      <c r="J34">
        <v>28</v>
      </c>
      <c r="P34">
        <f t="shared" si="14"/>
        <v>37812.486744798771</v>
      </c>
      <c r="Q34">
        <f t="shared" si="16"/>
        <v>120.8710490928861</v>
      </c>
      <c r="R34">
        <f t="shared" si="15"/>
        <v>742.91687692286098</v>
      </c>
      <c r="S34">
        <f t="shared" si="17"/>
        <v>2.1964755228947297</v>
      </c>
      <c r="AI34">
        <v>29</v>
      </c>
      <c r="AL34">
        <v>32</v>
      </c>
      <c r="AO34">
        <f t="shared" si="4"/>
        <v>53911.908895553286</v>
      </c>
      <c r="AP34">
        <f t="shared" si="8"/>
        <v>26.681152618424676</v>
      </c>
      <c r="AQ34">
        <f t="shared" si="11"/>
        <v>-8.0588121126638725</v>
      </c>
      <c r="AX34">
        <v>29</v>
      </c>
      <c r="BA34">
        <v>32</v>
      </c>
      <c r="BD34">
        <f t="shared" si="6"/>
        <v>1245.1422911706361</v>
      </c>
      <c r="BE34">
        <f t="shared" si="9"/>
        <v>1.3032443430051899</v>
      </c>
      <c r="BF34">
        <f t="shared" si="10"/>
        <v>-0.34744574971841757</v>
      </c>
    </row>
    <row r="36" spans="9:58" x14ac:dyDescent="0.4">
      <c r="AO36">
        <v>55000</v>
      </c>
    </row>
    <row r="37" spans="9:58" x14ac:dyDescent="0.4">
      <c r="AO37">
        <f>AO36-11000</f>
        <v>44000</v>
      </c>
    </row>
    <row r="39" spans="9:58" x14ac:dyDescent="0.4">
      <c r="AP39">
        <f>4*3000</f>
        <v>12000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>
      <selection activeCell="D26" sqref="D26"/>
    </sheetView>
  </sheetViews>
  <sheetFormatPr defaultRowHeight="15.4" x14ac:dyDescent="0.4"/>
  <cols>
    <col min="1" max="5" width="9" style="8"/>
    <col min="6" max="6" width="11.1328125" style="8" bestFit="1" customWidth="1"/>
    <col min="7" max="7" width="10" style="8" bestFit="1" customWidth="1"/>
    <col min="8" max="8" width="9.73046875" style="8" bestFit="1" customWidth="1"/>
    <col min="9" max="10" width="9" style="8"/>
  </cols>
  <sheetData>
    <row r="1" spans="1:14" ht="15.75" x14ac:dyDescent="0.4">
      <c r="A1" s="8" t="s">
        <v>31</v>
      </c>
      <c r="B1" s="8" t="s">
        <v>32</v>
      </c>
      <c r="C1" s="8" t="s">
        <v>0</v>
      </c>
      <c r="D1" s="8" t="s">
        <v>30</v>
      </c>
      <c r="E1" s="8" t="s">
        <v>29</v>
      </c>
      <c r="F1" s="8" t="s">
        <v>33</v>
      </c>
      <c r="G1" s="11" t="s">
        <v>8</v>
      </c>
      <c r="H1" s="11" t="s">
        <v>26</v>
      </c>
      <c r="M1" s="8">
        <v>40000</v>
      </c>
      <c r="N1" s="8"/>
    </row>
    <row r="2" spans="1:14" x14ac:dyDescent="0.4">
      <c r="A2" s="8">
        <v>15</v>
      </c>
      <c r="B2" s="9">
        <v>41</v>
      </c>
      <c r="C2" s="8">
        <v>0</v>
      </c>
      <c r="D2" s="8">
        <v>41</v>
      </c>
      <c r="F2" s="19">
        <f>$M$1/(1+$M$2*EXP(-$M$3*C2))</f>
        <v>42.162556197899008</v>
      </c>
      <c r="G2" s="19"/>
      <c r="H2" s="19"/>
      <c r="M2" s="8">
        <f>EXP(6.85404758   )</f>
        <v>947.70908234907336</v>
      </c>
      <c r="N2" s="8"/>
    </row>
    <row r="3" spans="1:14" x14ac:dyDescent="0.4">
      <c r="A3" s="8">
        <v>16</v>
      </c>
      <c r="B3" s="9">
        <v>41</v>
      </c>
      <c r="C3" s="8">
        <v>1</v>
      </c>
      <c r="D3" s="8">
        <v>41</v>
      </c>
      <c r="F3" s="19">
        <f t="shared" ref="F3:F44" si="0">$M$1/(1+$M$2*EXP(-$M$3*C3))</f>
        <v>59.994498401901403</v>
      </c>
      <c r="G3" s="19">
        <f>F3-F2</f>
        <v>17.831942204002395</v>
      </c>
      <c r="H3" s="19"/>
      <c r="M3" s="8">
        <v>0.3531667</v>
      </c>
      <c r="N3" s="8">
        <f>1/M3</f>
        <v>2.8315240366659711</v>
      </c>
    </row>
    <row r="4" spans="1:14" x14ac:dyDescent="0.4">
      <c r="A4" s="8">
        <v>17</v>
      </c>
      <c r="B4" s="9">
        <v>41</v>
      </c>
      <c r="C4" s="8">
        <v>2</v>
      </c>
      <c r="D4" s="8">
        <v>41</v>
      </c>
      <c r="F4" s="19">
        <f t="shared" si="0"/>
        <v>85.352050370504216</v>
      </c>
      <c r="G4" s="19">
        <f t="shared" ref="G4:H44" si="1">F4-F3</f>
        <v>25.357551968602813</v>
      </c>
      <c r="H4" s="19">
        <f>G4-G3</f>
        <v>7.5256097646004179</v>
      </c>
    </row>
    <row r="5" spans="1:14" x14ac:dyDescent="0.4">
      <c r="A5" s="8">
        <v>18</v>
      </c>
      <c r="B5" s="8">
        <v>45</v>
      </c>
      <c r="C5" s="8">
        <v>3</v>
      </c>
      <c r="D5" s="8">
        <v>45</v>
      </c>
      <c r="F5" s="19">
        <f t="shared" si="0"/>
        <v>121.39476664988489</v>
      </c>
      <c r="G5" s="19">
        <f t="shared" si="1"/>
        <v>36.04271627938067</v>
      </c>
      <c r="H5" s="19">
        <f t="shared" si="1"/>
        <v>10.685164310777857</v>
      </c>
    </row>
    <row r="6" spans="1:14" x14ac:dyDescent="0.4">
      <c r="A6" s="8">
        <v>19</v>
      </c>
      <c r="B6" s="9">
        <v>62</v>
      </c>
      <c r="C6" s="8">
        <v>4</v>
      </c>
      <c r="D6" s="8">
        <v>62</v>
      </c>
      <c r="F6" s="19">
        <f t="shared" si="0"/>
        <v>172.59189514733274</v>
      </c>
      <c r="G6" s="19">
        <f t="shared" si="1"/>
        <v>51.197128497447849</v>
      </c>
      <c r="H6" s="19">
        <f t="shared" si="1"/>
        <v>15.154412218067179</v>
      </c>
    </row>
    <row r="7" spans="1:14" x14ac:dyDescent="0.4">
      <c r="A7" s="8">
        <v>20</v>
      </c>
      <c r="B7" s="9">
        <v>218</v>
      </c>
      <c r="C7" s="8">
        <v>5</v>
      </c>
      <c r="D7" s="8">
        <v>218</v>
      </c>
      <c r="E7" s="8">
        <f t="shared" ref="E7:E25" si="2">LN($M$1/D7-1)</f>
        <v>5.2066747648759168</v>
      </c>
      <c r="F7" s="19">
        <f t="shared" si="0"/>
        <v>245.24815517715257</v>
      </c>
      <c r="G7" s="19">
        <f t="shared" si="1"/>
        <v>72.656260029819833</v>
      </c>
      <c r="H7" s="19">
        <f t="shared" si="1"/>
        <v>21.459131532371984</v>
      </c>
    </row>
    <row r="8" spans="1:14" x14ac:dyDescent="0.4">
      <c r="A8" s="8">
        <v>21</v>
      </c>
      <c r="B8" s="9">
        <v>320</v>
      </c>
      <c r="C8" s="8">
        <v>6</v>
      </c>
      <c r="D8" s="8">
        <v>320</v>
      </c>
      <c r="E8" s="8">
        <f t="shared" si="2"/>
        <v>4.8202815656050371</v>
      </c>
      <c r="F8" s="19">
        <f t="shared" si="0"/>
        <v>348.2232016140731</v>
      </c>
      <c r="G8" s="19">
        <f t="shared" si="1"/>
        <v>102.97504643692054</v>
      </c>
      <c r="H8" s="19">
        <f t="shared" si="1"/>
        <v>30.318786407100703</v>
      </c>
    </row>
    <row r="9" spans="1:14" x14ac:dyDescent="0.4">
      <c r="A9" s="8">
        <v>22</v>
      </c>
      <c r="B9" s="8">
        <v>548</v>
      </c>
      <c r="C9" s="8">
        <v>7</v>
      </c>
      <c r="D9" s="8">
        <v>548</v>
      </c>
      <c r="E9" s="8">
        <f t="shared" si="2"/>
        <v>4.2765647351258682</v>
      </c>
      <c r="F9" s="19">
        <f t="shared" si="0"/>
        <v>493.89835211107993</v>
      </c>
      <c r="G9" s="19">
        <f t="shared" si="1"/>
        <v>145.67515049700683</v>
      </c>
      <c r="H9" s="19">
        <f t="shared" si="1"/>
        <v>42.700104060086289</v>
      </c>
      <c r="J9" s="9"/>
    </row>
    <row r="10" spans="1:14" x14ac:dyDescent="0.4">
      <c r="A10" s="8">
        <v>23</v>
      </c>
      <c r="B10" s="8">
        <v>638</v>
      </c>
      <c r="C10" s="8">
        <v>8</v>
      </c>
      <c r="D10" s="8">
        <v>638</v>
      </c>
      <c r="E10" s="8">
        <f t="shared" si="2"/>
        <v>4.1222178795385931</v>
      </c>
      <c r="F10" s="19">
        <f t="shared" si="0"/>
        <v>699.44003590468446</v>
      </c>
      <c r="G10" s="19">
        <f t="shared" si="1"/>
        <v>205.54168379360453</v>
      </c>
      <c r="H10" s="19">
        <f t="shared" si="1"/>
        <v>59.866533296597709</v>
      </c>
      <c r="J10" s="9"/>
    </row>
    <row r="11" spans="1:14" x14ac:dyDescent="0.4">
      <c r="A11" s="8">
        <v>24</v>
      </c>
      <c r="B11" s="8">
        <v>927</v>
      </c>
      <c r="C11" s="8">
        <v>9</v>
      </c>
      <c r="D11" s="8">
        <v>927</v>
      </c>
      <c r="E11" s="8">
        <f t="shared" si="2"/>
        <v>3.7412334047926548</v>
      </c>
      <c r="F11" s="19">
        <f t="shared" si="0"/>
        <v>988.38029908224269</v>
      </c>
      <c r="G11" s="19">
        <f t="shared" si="1"/>
        <v>288.94026317755822</v>
      </c>
      <c r="H11" s="19">
        <f t="shared" si="1"/>
        <v>83.398579383953688</v>
      </c>
      <c r="J11" s="9"/>
    </row>
    <row r="12" spans="1:14" x14ac:dyDescent="0.4">
      <c r="A12" s="8">
        <v>25</v>
      </c>
      <c r="B12" s="8">
        <v>1405</v>
      </c>
      <c r="C12" s="8">
        <v>10</v>
      </c>
      <c r="D12" s="8">
        <v>1405</v>
      </c>
      <c r="E12" s="8">
        <f t="shared" si="2"/>
        <v>3.3130854316161082</v>
      </c>
      <c r="F12" s="19">
        <f t="shared" si="0"/>
        <v>1392.4533433718498</v>
      </c>
      <c r="G12" s="19">
        <f t="shared" si="1"/>
        <v>404.07304428960708</v>
      </c>
      <c r="H12" s="19">
        <f t="shared" si="1"/>
        <v>115.13278111204886</v>
      </c>
      <c r="J12" s="9"/>
    </row>
    <row r="13" spans="1:14" x14ac:dyDescent="0.4">
      <c r="A13" s="8">
        <v>26</v>
      </c>
      <c r="B13" s="8">
        <v>2048</v>
      </c>
      <c r="C13" s="8">
        <v>11</v>
      </c>
      <c r="D13" s="8">
        <v>2048</v>
      </c>
      <c r="E13" s="8">
        <f t="shared" si="2"/>
        <v>2.9194584961979988</v>
      </c>
      <c r="F13" s="19">
        <f t="shared" si="0"/>
        <v>1953.4490522575331</v>
      </c>
      <c r="G13" s="19">
        <f t="shared" si="1"/>
        <v>560.99570888568337</v>
      </c>
      <c r="H13" s="19">
        <f t="shared" si="1"/>
        <v>156.92266459607629</v>
      </c>
      <c r="J13" s="10"/>
    </row>
    <row r="14" spans="1:14" x14ac:dyDescent="0.4">
      <c r="A14" s="8">
        <v>27</v>
      </c>
      <c r="B14" s="8">
        <v>2587</v>
      </c>
      <c r="C14" s="8">
        <v>12</v>
      </c>
      <c r="D14" s="8">
        <v>2587</v>
      </c>
      <c r="E14" s="8">
        <f t="shared" si="2"/>
        <v>2.6715193344028276</v>
      </c>
      <c r="F14" s="19">
        <f t="shared" si="0"/>
        <v>2724.5105856609957</v>
      </c>
      <c r="G14" s="19">
        <f t="shared" si="1"/>
        <v>771.06153340346259</v>
      </c>
      <c r="H14" s="19">
        <f t="shared" si="1"/>
        <v>210.06582451777922</v>
      </c>
    </row>
    <row r="15" spans="1:14" x14ac:dyDescent="0.4">
      <c r="A15" s="8">
        <v>28</v>
      </c>
      <c r="B15" s="8">
        <v>4628</v>
      </c>
      <c r="C15" s="8">
        <v>13</v>
      </c>
      <c r="D15" s="8">
        <v>4628</v>
      </c>
      <c r="E15" s="8">
        <f t="shared" si="2"/>
        <v>2.0337957373820585</v>
      </c>
      <c r="F15" s="19">
        <f t="shared" si="0"/>
        <v>3769.7678883962435</v>
      </c>
      <c r="G15" s="19">
        <f t="shared" si="1"/>
        <v>1045.2573027352478</v>
      </c>
      <c r="H15" s="19">
        <f t="shared" si="1"/>
        <v>274.19576933178519</v>
      </c>
    </row>
    <row r="16" spans="1:14" x14ac:dyDescent="0.4">
      <c r="A16" s="8">
        <v>29</v>
      </c>
      <c r="B16" s="8">
        <v>6086</v>
      </c>
      <c r="C16" s="8">
        <v>14</v>
      </c>
      <c r="D16" s="8">
        <v>6086</v>
      </c>
      <c r="E16" s="8">
        <f t="shared" si="2"/>
        <v>1.7178368570101563</v>
      </c>
      <c r="F16" s="19">
        <f t="shared" si="0"/>
        <v>5160.520435495906</v>
      </c>
      <c r="G16" s="19">
        <f t="shared" si="1"/>
        <v>1390.7525470996625</v>
      </c>
      <c r="H16" s="19">
        <f t="shared" si="1"/>
        <v>345.4952443644147</v>
      </c>
    </row>
    <row r="17" spans="1:8" x14ac:dyDescent="0.4">
      <c r="A17" s="8">
        <v>30</v>
      </c>
      <c r="B17" s="8">
        <v>7827</v>
      </c>
      <c r="C17" s="8">
        <v>15</v>
      </c>
      <c r="D17" s="8">
        <v>7827</v>
      </c>
      <c r="E17" s="8">
        <f t="shared" si="2"/>
        <v>1.4135482966653123</v>
      </c>
      <c r="F17" s="19">
        <f t="shared" si="0"/>
        <v>6965.7070810615905</v>
      </c>
      <c r="G17" s="19">
        <f t="shared" si="1"/>
        <v>1805.1866455656846</v>
      </c>
      <c r="H17" s="19">
        <f t="shared" si="1"/>
        <v>414.43409846602208</v>
      </c>
    </row>
    <row r="18" spans="1:8" x14ac:dyDescent="0.4">
      <c r="A18" s="8">
        <v>31</v>
      </c>
      <c r="B18" s="8">
        <v>9805</v>
      </c>
      <c r="C18" s="8">
        <v>16</v>
      </c>
      <c r="D18" s="8">
        <v>9805</v>
      </c>
      <c r="E18" s="8">
        <f t="shared" si="2"/>
        <v>1.1247838881115548</v>
      </c>
      <c r="F18" s="19">
        <f t="shared" si="0"/>
        <v>9234.9764649563112</v>
      </c>
      <c r="G18" s="20">
        <f t="shared" si="1"/>
        <v>2269.2693838947207</v>
      </c>
      <c r="H18" s="19">
        <f t="shared" si="1"/>
        <v>464.08273832903615</v>
      </c>
    </row>
    <row r="19" spans="1:8" x14ac:dyDescent="0.4">
      <c r="A19" s="13">
        <v>1</v>
      </c>
      <c r="B19" s="8">
        <v>11900</v>
      </c>
      <c r="C19" s="8">
        <v>17</v>
      </c>
      <c r="D19" s="8">
        <v>11900</v>
      </c>
      <c r="E19" s="8">
        <f t="shared" si="2"/>
        <v>0.85923117622221645</v>
      </c>
      <c r="F19" s="19">
        <f t="shared" si="0"/>
        <v>11975.52140762755</v>
      </c>
      <c r="G19" s="19">
        <f t="shared" si="1"/>
        <v>2740.5449426712385</v>
      </c>
      <c r="H19" s="19">
        <f t="shared" si="1"/>
        <v>471.27555877651776</v>
      </c>
    </row>
    <row r="20" spans="1:8" x14ac:dyDescent="0.4">
      <c r="A20" s="13">
        <v>2</v>
      </c>
      <c r="B20" s="8">
        <v>14476</v>
      </c>
      <c r="C20" s="8">
        <v>18</v>
      </c>
      <c r="D20" s="8">
        <v>14476</v>
      </c>
      <c r="E20" s="8">
        <f t="shared" si="2"/>
        <v>0.56712708030460446</v>
      </c>
      <c r="F20" s="19">
        <f t="shared" si="0"/>
        <v>15129.395600140282</v>
      </c>
      <c r="G20" s="19">
        <f t="shared" si="1"/>
        <v>3153.8741925127324</v>
      </c>
      <c r="H20" s="19">
        <f t="shared" si="1"/>
        <v>413.32924984149395</v>
      </c>
    </row>
    <row r="21" spans="1:8" x14ac:dyDescent="0.4">
      <c r="A21" s="13">
        <v>3</v>
      </c>
      <c r="B21" s="8">
        <v>17373</v>
      </c>
      <c r="C21" s="8">
        <v>19</v>
      </c>
      <c r="D21" s="8">
        <v>17373</v>
      </c>
      <c r="E21" s="8">
        <f t="shared" si="2"/>
        <v>0.26422660655742836</v>
      </c>
      <c r="F21" s="19">
        <f t="shared" si="0"/>
        <v>18563.674191247861</v>
      </c>
      <c r="G21" s="19">
        <f t="shared" si="1"/>
        <v>3434.2785911075789</v>
      </c>
      <c r="H21" s="19">
        <f t="shared" si="1"/>
        <v>280.4043985948465</v>
      </c>
    </row>
    <row r="22" spans="1:8" x14ac:dyDescent="0.4">
      <c r="A22" s="13">
        <v>4</v>
      </c>
      <c r="B22" s="8">
        <v>20541</v>
      </c>
      <c r="C22" s="9">
        <v>20</v>
      </c>
      <c r="D22" s="9">
        <v>20541</v>
      </c>
      <c r="E22" s="9">
        <f t="shared" si="2"/>
        <v>-5.4113200831016825E-2</v>
      </c>
      <c r="F22" s="21">
        <f t="shared" si="0"/>
        <v>22085.258417374032</v>
      </c>
      <c r="G22" s="21">
        <f t="shared" si="1"/>
        <v>3521.5842261261714</v>
      </c>
      <c r="H22" s="19">
        <f t="shared" si="1"/>
        <v>87.305635018592511</v>
      </c>
    </row>
    <row r="23" spans="1:8" x14ac:dyDescent="0.4">
      <c r="A23" s="13">
        <v>5</v>
      </c>
      <c r="B23" s="8">
        <v>24450</v>
      </c>
      <c r="C23" s="8">
        <v>21</v>
      </c>
      <c r="D23" s="8">
        <v>24450</v>
      </c>
      <c r="E23" s="8">
        <f t="shared" si="2"/>
        <v>-0.45256957729563785</v>
      </c>
      <c r="F23" s="19">
        <f t="shared" si="0"/>
        <v>25480.798187882949</v>
      </c>
      <c r="G23" s="19">
        <f t="shared" si="1"/>
        <v>3395.5397705089163</v>
      </c>
      <c r="H23" s="19">
        <f t="shared" si="1"/>
        <v>-126.04445561725515</v>
      </c>
    </row>
    <row r="24" spans="1:8" x14ac:dyDescent="0.4">
      <c r="A24" s="13">
        <v>6</v>
      </c>
      <c r="B24" s="8">
        <v>28319</v>
      </c>
      <c r="C24" s="8">
        <v>22</v>
      </c>
      <c r="D24" s="8">
        <v>28319</v>
      </c>
      <c r="E24" s="8">
        <f t="shared" si="2"/>
        <v>-0.88556936729405777</v>
      </c>
      <c r="F24" s="19">
        <f t="shared" si="0"/>
        <v>28565.950952508381</v>
      </c>
      <c r="G24" s="19">
        <f t="shared" si="1"/>
        <v>3085.1527646254326</v>
      </c>
      <c r="H24" s="19">
        <f t="shared" si="1"/>
        <v>-310.38700588348365</v>
      </c>
    </row>
    <row r="25" spans="1:8" x14ac:dyDescent="0.4">
      <c r="A25" s="13">
        <v>7</v>
      </c>
      <c r="B25" s="8">
        <v>31926</v>
      </c>
      <c r="C25" s="8">
        <v>23</v>
      </c>
      <c r="D25" s="8">
        <v>31926</v>
      </c>
      <c r="E25" s="8">
        <f t="shared" si="2"/>
        <v>-1.374771702411538</v>
      </c>
      <c r="F25" s="19">
        <f t="shared" si="0"/>
        <v>31221.39797522455</v>
      </c>
      <c r="G25" s="19">
        <f t="shared" si="1"/>
        <v>2655.4470227161692</v>
      </c>
      <c r="H25" s="19">
        <f t="shared" si="1"/>
        <v>-429.70574190926345</v>
      </c>
    </row>
    <row r="26" spans="1:8" x14ac:dyDescent="0.4">
      <c r="A26" s="13">
        <v>8</v>
      </c>
      <c r="B26" s="9">
        <v>34658</v>
      </c>
      <c r="C26" s="8">
        <v>24</v>
      </c>
      <c r="F26" s="19">
        <f t="shared" si="0"/>
        <v>33402.573063869982</v>
      </c>
      <c r="G26" s="19">
        <f t="shared" si="1"/>
        <v>2181.175088645432</v>
      </c>
      <c r="H26" s="19">
        <f t="shared" si="1"/>
        <v>-474.27193407073719</v>
      </c>
    </row>
    <row r="27" spans="1:8" x14ac:dyDescent="0.4">
      <c r="A27" s="13">
        <v>9</v>
      </c>
      <c r="C27" s="8">
        <v>25</v>
      </c>
      <c r="F27" s="8">
        <f t="shared" si="0"/>
        <v>35126.399226245579</v>
      </c>
      <c r="G27" s="8">
        <f t="shared" si="1"/>
        <v>1723.8261623755971</v>
      </c>
      <c r="H27" s="8">
        <f t="shared" si="1"/>
        <v>-457.34892626983492</v>
      </c>
    </row>
    <row r="28" spans="1:8" x14ac:dyDescent="0.4">
      <c r="A28" s="13">
        <v>10</v>
      </c>
      <c r="C28" s="8">
        <v>26</v>
      </c>
      <c r="F28" s="8">
        <f t="shared" si="0"/>
        <v>36447.711473559437</v>
      </c>
      <c r="G28" s="8">
        <f t="shared" si="1"/>
        <v>1321.3122473138574</v>
      </c>
      <c r="H28" s="8">
        <f t="shared" si="1"/>
        <v>-402.51391506173968</v>
      </c>
    </row>
    <row r="29" spans="1:8" x14ac:dyDescent="0.4">
      <c r="A29" s="13">
        <v>11</v>
      </c>
      <c r="C29" s="8">
        <v>27</v>
      </c>
      <c r="F29" s="8">
        <f t="shared" si="0"/>
        <v>37436.933426421732</v>
      </c>
      <c r="G29" s="8">
        <f t="shared" si="1"/>
        <v>989.22195286229544</v>
      </c>
      <c r="H29" s="8">
        <f t="shared" si="1"/>
        <v>-332.09029445156193</v>
      </c>
    </row>
    <row r="30" spans="1:8" x14ac:dyDescent="0.4">
      <c r="A30" s="13">
        <v>12</v>
      </c>
      <c r="C30" s="8">
        <v>28</v>
      </c>
      <c r="F30" s="8">
        <f t="shared" si="0"/>
        <v>38164.554603582241</v>
      </c>
      <c r="G30" s="8">
        <f t="shared" si="1"/>
        <v>727.62117716050852</v>
      </c>
      <c r="H30" s="8">
        <f t="shared" si="1"/>
        <v>-261.60077570178692</v>
      </c>
    </row>
    <row r="31" spans="1:8" x14ac:dyDescent="0.4">
      <c r="A31" s="13">
        <v>13</v>
      </c>
      <c r="C31" s="8">
        <v>29</v>
      </c>
      <c r="F31" s="8">
        <f t="shared" si="0"/>
        <v>38692.826084605018</v>
      </c>
      <c r="G31" s="8">
        <f t="shared" si="1"/>
        <v>528.27148102277715</v>
      </c>
      <c r="H31" s="8">
        <f t="shared" si="1"/>
        <v>-199.34969613773137</v>
      </c>
    </row>
    <row r="32" spans="1:8" x14ac:dyDescent="0.4">
      <c r="A32" s="13">
        <v>14</v>
      </c>
      <c r="C32" s="8">
        <v>30</v>
      </c>
      <c r="F32" s="8">
        <f t="shared" si="0"/>
        <v>39072.746435223315</v>
      </c>
      <c r="G32" s="8">
        <f t="shared" si="1"/>
        <v>379.92035061829665</v>
      </c>
      <c r="H32" s="8">
        <f t="shared" si="1"/>
        <v>-148.3511304044805</v>
      </c>
    </row>
    <row r="33" spans="1:8" x14ac:dyDescent="0.4">
      <c r="A33" s="13">
        <v>15</v>
      </c>
      <c r="C33" s="8">
        <v>31</v>
      </c>
      <c r="F33" s="8">
        <f t="shared" si="0"/>
        <v>39344.117516849139</v>
      </c>
      <c r="G33" s="8">
        <f t="shared" si="1"/>
        <v>271.37108162582444</v>
      </c>
      <c r="H33" s="8">
        <f t="shared" si="1"/>
        <v>-108.54926899247221</v>
      </c>
    </row>
    <row r="34" spans="1:8" x14ac:dyDescent="0.4">
      <c r="A34" s="13">
        <v>16</v>
      </c>
      <c r="C34" s="8">
        <v>32</v>
      </c>
      <c r="F34" s="8">
        <f t="shared" si="0"/>
        <v>39537.009909087581</v>
      </c>
      <c r="G34" s="8">
        <f t="shared" si="1"/>
        <v>192.89239223844197</v>
      </c>
      <c r="H34" s="8">
        <f t="shared" si="1"/>
        <v>-78.478689387382474</v>
      </c>
    </row>
    <row r="35" spans="1:8" x14ac:dyDescent="0.4">
      <c r="A35" s="13">
        <v>17</v>
      </c>
      <c r="C35" s="8">
        <v>33</v>
      </c>
      <c r="F35" s="8">
        <f t="shared" si="0"/>
        <v>39673.643988011929</v>
      </c>
      <c r="G35" s="8">
        <f t="shared" si="1"/>
        <v>136.6340789243477</v>
      </c>
      <c r="H35" s="8">
        <f t="shared" si="1"/>
        <v>-56.258313314094266</v>
      </c>
    </row>
    <row r="36" spans="1:8" x14ac:dyDescent="0.4">
      <c r="A36" s="13">
        <v>18</v>
      </c>
      <c r="C36" s="8">
        <v>34</v>
      </c>
      <c r="F36" s="8">
        <f t="shared" si="0"/>
        <v>39770.190042249567</v>
      </c>
      <c r="G36" s="8">
        <f t="shared" si="1"/>
        <v>96.5460542376386</v>
      </c>
      <c r="H36" s="8">
        <f t="shared" si="1"/>
        <v>-40.088024686709105</v>
      </c>
    </row>
    <row r="37" spans="1:8" x14ac:dyDescent="0.4">
      <c r="A37" s="13">
        <v>19</v>
      </c>
      <c r="C37" s="8">
        <v>35</v>
      </c>
      <c r="F37" s="8">
        <f t="shared" si="0"/>
        <v>39838.291246328859</v>
      </c>
      <c r="G37" s="8">
        <f t="shared" si="1"/>
        <v>68.101204079292074</v>
      </c>
      <c r="H37" s="8">
        <f t="shared" si="1"/>
        <v>-28.444850158346526</v>
      </c>
    </row>
    <row r="38" spans="1:8" x14ac:dyDescent="0.4">
      <c r="A38" s="13">
        <v>20</v>
      </c>
      <c r="C38" s="8">
        <v>36</v>
      </c>
      <c r="F38" s="8">
        <f t="shared" si="0"/>
        <v>39886.269252059639</v>
      </c>
      <c r="G38" s="8">
        <f t="shared" si="1"/>
        <v>47.978005730779842</v>
      </c>
      <c r="H38" s="8">
        <f t="shared" si="1"/>
        <v>-20.123198348512233</v>
      </c>
    </row>
    <row r="39" spans="1:8" x14ac:dyDescent="0.4">
      <c r="A39" s="13">
        <v>21</v>
      </c>
      <c r="C39" s="8">
        <v>37</v>
      </c>
      <c r="F39" s="8">
        <f t="shared" si="0"/>
        <v>39920.041045152095</v>
      </c>
      <c r="G39" s="8">
        <f t="shared" si="1"/>
        <v>33.771793092455482</v>
      </c>
      <c r="H39" s="8">
        <f t="shared" si="1"/>
        <v>-14.206212638324359</v>
      </c>
    </row>
    <row r="40" spans="1:8" x14ac:dyDescent="0.4">
      <c r="A40" s="13">
        <v>22</v>
      </c>
      <c r="C40" s="8">
        <v>38</v>
      </c>
      <c r="F40" s="8">
        <f t="shared" si="0"/>
        <v>39943.798598737951</v>
      </c>
      <c r="G40" s="8">
        <f t="shared" si="1"/>
        <v>23.757553585855931</v>
      </c>
      <c r="H40" s="8">
        <f t="shared" si="1"/>
        <v>-10.014239506599552</v>
      </c>
    </row>
    <row r="41" spans="1:8" x14ac:dyDescent="0.4">
      <c r="A41" s="13">
        <v>23</v>
      </c>
      <c r="C41" s="8">
        <v>39</v>
      </c>
      <c r="F41" s="8">
        <f t="shared" si="0"/>
        <v>39960.504247617988</v>
      </c>
      <c r="G41" s="8">
        <f t="shared" si="1"/>
        <v>16.705648880037188</v>
      </c>
      <c r="H41" s="8">
        <f t="shared" si="1"/>
        <v>-7.0519047058187425</v>
      </c>
    </row>
    <row r="42" spans="1:8" x14ac:dyDescent="0.4">
      <c r="A42" s="13">
        <v>24</v>
      </c>
      <c r="C42" s="8">
        <v>40</v>
      </c>
      <c r="F42" s="8">
        <f t="shared" si="0"/>
        <v>39972.247657147986</v>
      </c>
      <c r="G42" s="8">
        <f t="shared" si="1"/>
        <v>11.743409529997734</v>
      </c>
      <c r="H42" s="8">
        <f t="shared" si="1"/>
        <v>-4.9622393500394537</v>
      </c>
    </row>
    <row r="43" spans="1:8" x14ac:dyDescent="0.4">
      <c r="A43" s="13">
        <v>25</v>
      </c>
      <c r="C43" s="8">
        <v>41</v>
      </c>
      <c r="F43" s="8">
        <f t="shared" si="0"/>
        <v>39980.501061644434</v>
      </c>
      <c r="G43" s="8">
        <f t="shared" si="1"/>
        <v>8.2534044964486384</v>
      </c>
      <c r="H43" s="8">
        <f t="shared" si="1"/>
        <v>-3.490005033549096</v>
      </c>
    </row>
    <row r="44" spans="1:8" x14ac:dyDescent="0.4">
      <c r="A44" s="13">
        <v>26</v>
      </c>
      <c r="C44" s="8">
        <v>42</v>
      </c>
      <c r="F44" s="8">
        <f t="shared" si="0"/>
        <v>39986.300787161832</v>
      </c>
      <c r="G44" s="8">
        <f t="shared" si="1"/>
        <v>5.7997255173977464</v>
      </c>
      <c r="H44" s="8">
        <f t="shared" si="1"/>
        <v>-2.4536789790508919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</vt:lpstr>
      <vt:lpstr>全国2</vt:lpstr>
      <vt:lpstr>北京</vt:lpstr>
      <vt:lpstr>湖北</vt:lpstr>
      <vt:lpstr>湖北省外</vt:lpstr>
      <vt:lpstr>最初的试验</vt:lpstr>
      <vt:lpstr>澎湃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Yu Liu</cp:lastModifiedBy>
  <dcterms:created xsi:type="dcterms:W3CDTF">2020-02-01T03:45:14Z</dcterms:created>
  <dcterms:modified xsi:type="dcterms:W3CDTF">2020-02-11T02:04:10Z</dcterms:modified>
</cp:coreProperties>
</file>