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showInkAnnotation="0" autoCompressPictures="0"/>
  <mc:AlternateContent xmlns:mc="http://schemas.openxmlformats.org/markup-compatibility/2006">
    <mc:Choice Requires="x15">
      <x15ac:absPath xmlns:x15ac="http://schemas.microsoft.com/office/spreadsheetml/2010/11/ac" url="/Users/bmb73/Library/CloudStorage/Box-Box/lasting_aim_3/model development/data_final/in/ENVIRONMENT PILLAR/Environmental impact/raw data/"/>
    </mc:Choice>
  </mc:AlternateContent>
  <xr:revisionPtr revIDLastSave="0" documentId="13_ncr:1_{B9A092FE-AF6E-AD4E-8193-00FA96FB7A07}" xr6:coauthVersionLast="47" xr6:coauthVersionMax="47" xr10:uidLastSave="{00000000-0000-0000-0000-000000000000}"/>
  <bookViews>
    <workbookView xWindow="0" yWindow="0" windowWidth="35840" windowHeight="22400" tabRatio="500" activeTab="1" xr2:uid="{00000000-000D-0000-FFFF-FFFF00000000}"/>
  </bookViews>
  <sheets>
    <sheet name="DESCRIPTION" sheetId="5" r:id="rId1"/>
    <sheet name="FCID Codes" sheetId="1" r:id="rId2"/>
    <sheet name="PROXIES" sheetId="2" r:id="rId3"/>
  </sheets>
  <externalReferences>
    <externalReference r:id="rId4"/>
    <externalReference r:id="rId5"/>
    <externalReference r:id="rId6"/>
  </externalReferences>
  <definedNames>
    <definedName name="_AMO_UniqueIdentifier" hidden="1">"'8f2b1bd5-ff87-412f-bc4e-9f8ed365c748'"</definedName>
    <definedName name="_xlnm._FilterDatabase" localSheetId="1" hidden="1">'FCID Codes'!$A$3:$M$357</definedName>
    <definedName name="all_brassica">PROXIES!$I$4:$I$20</definedName>
    <definedName name="all_fish">PROXIES!$F$98:$F$104</definedName>
    <definedName name="almond">PROXIES!$F$73:$F$74</definedName>
    <definedName name="apple">PROXIES!$F$55:$F$56</definedName>
    <definedName name="apricot">PROXIES!$F$61:$F$62</definedName>
    <definedName name="artichoke_globe">PROXIES!$F$90:$F$91</definedName>
    <definedName name="asparagus">PROXIES!$F$86:$F$87</definedName>
    <definedName name="banana">PROXIES!$F$92:$F$93</definedName>
    <definedName name="barley">PROXIES!$K$11:$K$12</definedName>
    <definedName name="bean_dry">PROXIES!$F$26:$F$27</definedName>
    <definedName name="bean_snap_succulent">PROXIES!$F$22:$F$23</definedName>
    <definedName name="beer">PROXIES!$F$125:$F$126</definedName>
    <definedName name="berry" localSheetId="0">'[1]PROXY def''ns'!$B$4:$B$13</definedName>
    <definedName name="berry">PROXIES!$B$3:$B$12</definedName>
    <definedName name="brassica">PROXIES!$B$21:$B$26</definedName>
    <definedName name="brassica_greens">PROXIES!$B$27:$B$34</definedName>
    <definedName name="brassica_roots">PROXIES!$B$35:$B$39</definedName>
    <definedName name="broccoli">PROXIES!$F$17:$F$18</definedName>
    <definedName name="carrot">PROXIES!$F$4:$F$5</definedName>
    <definedName name="cassava">PROXIES!$F$6:$F$7</definedName>
    <definedName name="celery">PROXIES!$F$88:$F$89</definedName>
    <definedName name="cherry">PROXIES!$F$59:$F$60</definedName>
    <definedName name="Chicken">PROXIES!$F$118:$F$119</definedName>
    <definedName name="choc_coffee_tea">PROXIES!$I$110:$I$117</definedName>
    <definedName name="citrus">PROXIES!$B$40:$B$51</definedName>
    <definedName name="clover_seed">PROXIES!$B$14:$B$15</definedName>
    <definedName name="coconut_meat">PROXIES!$F$75:$F$76</definedName>
    <definedName name="coconut_oil">PROXIES!$I$65:$I$66</definedName>
    <definedName name="coffee">PROXIES!$I$134:$I$135</definedName>
    <definedName name="corn_flour">PROXIES!$F$121:$F$122</definedName>
    <definedName name="corn_starch">PROXIES!$F$123:$F$124</definedName>
    <definedName name="cranberry">PROXIES!$I$137:$I$138</definedName>
    <definedName name="cucumber">PROXIES!$F$45:$F$46</definedName>
    <definedName name="cucurbits">PROXIES!$I$122:$I$132</definedName>
    <definedName name="dairyfrac">#REF!</definedName>
    <definedName name="dasheen">PROXIES!$I$140:$I$141</definedName>
    <definedName name="dried_herbs">PROXIES!$B$52:$B$54</definedName>
    <definedName name="endive">PROXIES!$F$13:$F$14</definedName>
    <definedName name="Escarole">PROXIES!$F$111:$F$112</definedName>
    <definedName name="Fig">PROXIES!$I$143:$I$144</definedName>
    <definedName name="flax">PROXIES!$B$162:$B$163</definedName>
    <definedName name="flours">PROXIES!$I$68:$I$73</definedName>
    <definedName name="Fluid_milk_cow">PROXIES!$I$119:$I$120</definedName>
    <definedName name="Food_Form">'[2]List Names'!$C$3:$C$8</definedName>
    <definedName name="Food_Type">'[2]List Names'!$B$3:$B$16</definedName>
    <definedName name="FoodForm" localSheetId="0">#REF!</definedName>
    <definedName name="FoodForm">'[3]List Names'!$C$3:$C$8</definedName>
    <definedName name="FoodTypes" localSheetId="0">#REF!</definedName>
    <definedName name="FoodTypes">'[3]List Names'!$B$3:$B$16</definedName>
    <definedName name="fresh_herbs">PROXIES!$B$55:$B$64</definedName>
    <definedName name="ginger">PROXIES!$F$11:$F$12</definedName>
    <definedName name="grains">PROXIES!$B$65:$B$76</definedName>
    <definedName name="grape">PROXIES!$F$69:$F$70</definedName>
    <definedName name="grape_raisin">PROXIES!$F$67:$F$68</definedName>
    <definedName name="grapefruit">PROXIES!$I$145:$I$146</definedName>
    <definedName name="greens">PROXIES!$B$77:$B$87</definedName>
    <definedName name="honey">PROXIES!$F$109:$F$110</definedName>
    <definedName name="legume_seed">PROXIES!$I$23:$I$32</definedName>
    <definedName name="Lemon">PROXIES!$I$147:$I$148</definedName>
    <definedName name="lentil_seed">PROXIES!$F$28:$F$29</definedName>
    <definedName name="Lime">PROXIES!$I$149:$I$150</definedName>
    <definedName name="Mango">PROXIES!$I$151:$I$152</definedName>
    <definedName name="Maple_syrup">PROXIES!$F$115:$F$116</definedName>
    <definedName name="melon">PROXIES!$F$40:$F$43</definedName>
    <definedName name="nightshades">PROXIES!$F$34:$F$37</definedName>
    <definedName name="nonruminant_meat">PROXIES!$F$139:$F$144</definedName>
    <definedName name="nut">PROXIES!$B$88:$B$100</definedName>
    <definedName name="oat_flour">PROXIES!$F$127:$F$128</definedName>
    <definedName name="oats">PROXIES!$I$153:$I$154</definedName>
    <definedName name="oils">PROXIES!$B$147:$B$160</definedName>
    <definedName name="oilseed_oil">PROXIES!$B$139:$B$145</definedName>
    <definedName name="olive">PROXIES!$B$164:$B$165</definedName>
    <definedName name="onion_bulb">PROXIES!$F$15:$F$16</definedName>
    <definedName name="orange">PROXIES!$F$53:$F$54</definedName>
    <definedName name="papaya">PROXIES!$F$94:$F$95</definedName>
    <definedName name="Pea_pigeon_seed">PROXIES!$F$24:$F$25</definedName>
    <definedName name="peach">PROXIES!$F$63:$F$64</definedName>
    <definedName name="peanut">PROXIES!$F$153:$F$154</definedName>
    <definedName name="pear">PROXIES!$F$57:$F$58</definedName>
    <definedName name="peasdry">PROXIES!$F$151:$F$152</definedName>
    <definedName name="peasgreen">PROXIES!$F$149:$F$150</definedName>
    <definedName name="pepper_bell">PROXIES!$F$38:$F$39</definedName>
    <definedName name="pineapple">PROXIES!$F$96:$F$97</definedName>
    <definedName name="plantain">PROXIES!$F$155:$F$156</definedName>
    <definedName name="plum">PROXIES!$F$65:$F$66</definedName>
    <definedName name="potato">PROXIES!$F$8:$F$9</definedName>
    <definedName name="poultry">PROXIES!$F$146:$F$148</definedName>
    <definedName name="processed_tomato">PROXIES!$I$34:$I$38</definedName>
    <definedName name="raspberry">PROXIES!$F$157:$F$158</definedName>
    <definedName name="rice">PROXIES!$F$81:$F$83</definedName>
    <definedName name="rice_bran">PROXIES!$F$77:$F$78</definedName>
    <definedName name="roots">PROXIES!$B$101:$B$108</definedName>
    <definedName name="ruminant_meat">PROXIES!$F$134:$F$137</definedName>
    <definedName name="rye">PROXIES!$F$159:$F$160</definedName>
    <definedName name="saltwater_finfish">PROXIES!$F$106:$F$107</definedName>
    <definedName name="saltwater_fish">PROXIES!$F$106:$F$107</definedName>
    <definedName name="sesame">PROXIES!$F$161:$F$162</definedName>
    <definedName name="Sheep">PROXIES!$F$113:$F$114</definedName>
    <definedName name="Source_Type">'[2]List Names'!$E$3:$E$9</definedName>
    <definedName name="SourceType" localSheetId="0">#REF!</definedName>
    <definedName name="SourceType">'[3]List Names'!$E$3:$E$9</definedName>
    <definedName name="soybean">PROXIES!$K$4:$K$5</definedName>
    <definedName name="soybean_meal">PROXIES!$B$18:$B$19</definedName>
    <definedName name="spices">PROXIES!$B$109:$B$115</definedName>
    <definedName name="spinach">PROXIES!$F$19:$F$20</definedName>
    <definedName name="squash">PROXIES!$F$47:$F$49</definedName>
    <definedName name="strawberry">PROXIES!$F$71:$F$72</definedName>
    <definedName name="sugarcane_molasses">PROXIES!$F$129:$F$130</definedName>
    <definedName name="sunflower">PROXIES!$B$166:$B$167</definedName>
    <definedName name="sweeteners">PROXIES!$I$102:$I$108</definedName>
    <definedName name="sweetpotato">PROXIES!$K$14:$K$15</definedName>
    <definedName name="tangerine">PROXIES!$K$6:$K$7</definedName>
    <definedName name="tea">PROXIES!$F$131:$F$132</definedName>
    <definedName name="tomato">PROXIES!$F$30:$F$31</definedName>
    <definedName name="tree_fruit">PROXIES!$B$116:$B$125</definedName>
    <definedName name="tropical_citrus">PROXIES!$I$40:$I$63</definedName>
    <definedName name="tropical_citus">PROXIES!$H$40</definedName>
    <definedName name="tropical_fruit">PROXIES!$B$126:$B$138</definedName>
    <definedName name="vegetables">PROXIES!$I$75:$I$100</definedName>
    <definedName name="watermelon">PROXIES!$K$8:$K$9</definedName>
    <definedName name="wheat">PROXIES!$F$79:$F$80</definedName>
    <definedName name="wheat_flour">PROXIES!$F$79:$F$80</definedName>
    <definedName name="Yes_No">'[2]List Names'!$D$3:$D$4</definedName>
    <definedName name="YesNo" localSheetId="0">#REF!</definedName>
    <definedName name="YesNo">'[3]List Names'!$D$3:$D$4</definedName>
    <definedName name="zucchini">PROXIES!$F$51:$F$52</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00" i="1" l="1"/>
  <c r="G200" i="1"/>
  <c r="K15" i="2" l="1"/>
  <c r="B167" i="2" l="1"/>
  <c r="F82" i="2"/>
  <c r="F83" i="2"/>
  <c r="B165" i="2"/>
  <c r="B163" i="2"/>
  <c r="L59" i="2"/>
  <c r="F7" i="2"/>
  <c r="K12" i="2"/>
  <c r="F80" i="2"/>
  <c r="K9" i="2"/>
  <c r="K7" i="2"/>
  <c r="K5" i="2"/>
  <c r="F137" i="2"/>
  <c r="F136" i="2"/>
  <c r="F135" i="2"/>
  <c r="F162" i="2"/>
  <c r="F160" i="2"/>
  <c r="F158" i="2"/>
  <c r="F148" i="2"/>
  <c r="F147" i="2"/>
  <c r="F143" i="2"/>
  <c r="F142" i="2"/>
  <c r="F141" i="2"/>
  <c r="F140" i="2"/>
  <c r="F156" i="2"/>
  <c r="F154" i="2"/>
  <c r="F152" i="2"/>
  <c r="F150" i="2"/>
  <c r="I154" i="2"/>
  <c r="I152" i="2"/>
  <c r="I150" i="2"/>
  <c r="I148" i="2"/>
  <c r="I146" i="2"/>
  <c r="I144" i="2"/>
  <c r="I141" i="2"/>
  <c r="I138" i="2"/>
  <c r="I135" i="2"/>
  <c r="B102" i="2"/>
  <c r="B103" i="2"/>
  <c r="B104" i="2"/>
  <c r="B105" i="2"/>
  <c r="B106" i="2"/>
  <c r="B107" i="2"/>
  <c r="B108" i="2"/>
  <c r="F9" i="2"/>
  <c r="F12" i="2"/>
  <c r="B78" i="2"/>
  <c r="B79" i="2"/>
  <c r="B80" i="2"/>
  <c r="B81" i="2"/>
  <c r="B82" i="2"/>
  <c r="B83" i="2"/>
  <c r="B84" i="2"/>
  <c r="B85" i="2"/>
  <c r="B86" i="2"/>
  <c r="B87" i="2"/>
  <c r="F16" i="2"/>
  <c r="F20" i="2"/>
  <c r="F112" i="2"/>
  <c r="F14" i="2"/>
  <c r="B28" i="2"/>
  <c r="B29" i="2"/>
  <c r="B30" i="2"/>
  <c r="B31" i="2"/>
  <c r="B32" i="2"/>
  <c r="B33" i="2"/>
  <c r="B34" i="2"/>
  <c r="B19" i="2"/>
  <c r="F23" i="2"/>
  <c r="F29" i="2"/>
  <c r="F31" i="2"/>
  <c r="F41" i="2"/>
  <c r="F42" i="2"/>
  <c r="F43" i="2"/>
  <c r="F46" i="2"/>
  <c r="F52" i="2"/>
  <c r="F48" i="2"/>
  <c r="F49" i="2"/>
  <c r="B41" i="2"/>
  <c r="B42" i="2"/>
  <c r="B43" i="2"/>
  <c r="B44" i="2"/>
  <c r="B45" i="2"/>
  <c r="B46" i="2"/>
  <c r="B47" i="2"/>
  <c r="B48" i="2"/>
  <c r="B49" i="2"/>
  <c r="B50" i="2"/>
  <c r="B51" i="2"/>
  <c r="F54" i="2"/>
  <c r="F56" i="2"/>
  <c r="F58" i="2"/>
  <c r="F60" i="2"/>
  <c r="F62" i="2"/>
  <c r="F64" i="2"/>
  <c r="B117" i="2"/>
  <c r="B118" i="2"/>
  <c r="B119" i="2"/>
  <c r="B120" i="2"/>
  <c r="B121" i="2"/>
  <c r="B122" i="2"/>
  <c r="B123" i="2"/>
  <c r="B124" i="2"/>
  <c r="B125" i="2"/>
  <c r="F66" i="2"/>
  <c r="B4" i="2"/>
  <c r="B5" i="2"/>
  <c r="B6" i="2"/>
  <c r="B7" i="2"/>
  <c r="B8" i="2"/>
  <c r="B9" i="2"/>
  <c r="B10" i="2"/>
  <c r="B11" i="2"/>
  <c r="B12" i="2"/>
  <c r="F70" i="2"/>
  <c r="F72" i="2"/>
  <c r="F74" i="2"/>
  <c r="B89" i="2"/>
  <c r="B90" i="2"/>
  <c r="B91" i="2"/>
  <c r="B92" i="2"/>
  <c r="B93" i="2"/>
  <c r="B94" i="2"/>
  <c r="B95" i="2"/>
  <c r="B96" i="2"/>
  <c r="B97" i="2"/>
  <c r="B98" i="2"/>
  <c r="B99" i="2"/>
  <c r="B100" i="2"/>
  <c r="F76" i="2"/>
  <c r="B66" i="2"/>
  <c r="B67" i="2"/>
  <c r="B68" i="2"/>
  <c r="B69" i="2"/>
  <c r="B70" i="2"/>
  <c r="B71" i="2"/>
  <c r="B72" i="2"/>
  <c r="B73" i="2"/>
  <c r="B74" i="2"/>
  <c r="B75" i="2"/>
  <c r="B76" i="2"/>
  <c r="F122" i="2"/>
  <c r="F124" i="2"/>
  <c r="F128" i="2"/>
  <c r="F78" i="2"/>
  <c r="B15" i="2"/>
  <c r="B110" i="2"/>
  <c r="B111" i="2"/>
  <c r="B112" i="2"/>
  <c r="B113" i="2"/>
  <c r="B114" i="2"/>
  <c r="B115" i="2"/>
  <c r="B140" i="2"/>
  <c r="B141" i="2"/>
  <c r="B142" i="2"/>
  <c r="B143" i="2"/>
  <c r="B144" i="2"/>
  <c r="B145" i="2"/>
  <c r="I76" i="2"/>
  <c r="I77" i="2"/>
  <c r="I78" i="2"/>
  <c r="I79" i="2"/>
  <c r="I80" i="2"/>
  <c r="I81" i="2"/>
  <c r="I82" i="2"/>
  <c r="I83" i="2"/>
  <c r="I84" i="2"/>
  <c r="I85" i="2"/>
  <c r="I86" i="2"/>
  <c r="I87" i="2"/>
  <c r="I88" i="2"/>
  <c r="I89" i="2"/>
  <c r="I90" i="2"/>
  <c r="I91" i="2"/>
  <c r="I92" i="2"/>
  <c r="I93" i="2"/>
  <c r="I94" i="2"/>
  <c r="I95" i="2"/>
  <c r="I96" i="2"/>
  <c r="I97" i="2"/>
  <c r="I98" i="2"/>
  <c r="I99" i="2"/>
  <c r="I100" i="2"/>
  <c r="F87" i="2"/>
  <c r="B22" i="2"/>
  <c r="B23" i="2"/>
  <c r="B24" i="2"/>
  <c r="B25" i="2"/>
  <c r="B26" i="2"/>
  <c r="B127" i="2"/>
  <c r="B128" i="2"/>
  <c r="B129" i="2"/>
  <c r="B130" i="2"/>
  <c r="B131" i="2"/>
  <c r="B132" i="2"/>
  <c r="B133" i="2"/>
  <c r="B134" i="2"/>
  <c r="B135" i="2"/>
  <c r="B136" i="2"/>
  <c r="B137" i="2"/>
  <c r="B138" i="2"/>
  <c r="F93" i="2"/>
  <c r="F95" i="2"/>
  <c r="F97" i="2"/>
  <c r="F144" i="2"/>
  <c r="I66" i="2"/>
  <c r="F132" i="2"/>
  <c r="F5" i="2"/>
  <c r="B160" i="2"/>
  <c r="B159" i="2"/>
  <c r="B158" i="2"/>
  <c r="B157" i="2"/>
  <c r="B156" i="2"/>
  <c r="B155" i="2"/>
  <c r="B154" i="2"/>
  <c r="B153" i="2"/>
  <c r="B152" i="2"/>
  <c r="B151" i="2"/>
  <c r="B150" i="2"/>
  <c r="B149" i="2"/>
  <c r="B148" i="2"/>
  <c r="I132" i="2"/>
  <c r="I131" i="2"/>
  <c r="I130" i="2"/>
  <c r="F130" i="2"/>
  <c r="I129" i="2"/>
  <c r="I128" i="2"/>
  <c r="I127" i="2"/>
  <c r="I126" i="2"/>
  <c r="F126" i="2"/>
  <c r="I125" i="2"/>
  <c r="I124" i="2"/>
  <c r="I123" i="2"/>
  <c r="I120" i="2"/>
  <c r="F119" i="2"/>
  <c r="I117" i="2"/>
  <c r="I116" i="2"/>
  <c r="F116" i="2"/>
  <c r="I115" i="2"/>
  <c r="I114" i="2"/>
  <c r="F114" i="2"/>
  <c r="I113" i="2"/>
  <c r="I112" i="2"/>
  <c r="I111" i="2"/>
  <c r="F110" i="2"/>
  <c r="I108" i="2"/>
  <c r="I107" i="2"/>
  <c r="F107" i="2"/>
  <c r="I106" i="2"/>
  <c r="I105" i="2"/>
  <c r="I104" i="2"/>
  <c r="F104" i="2"/>
  <c r="I103" i="2"/>
  <c r="F103" i="2"/>
  <c r="F102" i="2"/>
  <c r="F101" i="2"/>
  <c r="F100" i="2"/>
  <c r="F99" i="2"/>
  <c r="F91" i="2"/>
  <c r="F89" i="2"/>
  <c r="I73" i="2"/>
  <c r="I72" i="2"/>
  <c r="I71" i="2"/>
  <c r="I70" i="2"/>
  <c r="I69" i="2"/>
  <c r="F68" i="2"/>
  <c r="B64" i="2"/>
  <c r="I63" i="2"/>
  <c r="B63" i="2"/>
  <c r="I62" i="2"/>
  <c r="B62" i="2"/>
  <c r="I61" i="2"/>
  <c r="B61" i="2"/>
  <c r="I60" i="2"/>
  <c r="B60" i="2"/>
  <c r="I59" i="2"/>
  <c r="B59" i="2"/>
  <c r="I58" i="2"/>
  <c r="B58" i="2"/>
  <c r="I57" i="2"/>
  <c r="B57" i="2"/>
  <c r="I56" i="2"/>
  <c r="B56" i="2"/>
  <c r="I55" i="2"/>
  <c r="I54" i="2"/>
  <c r="B54" i="2"/>
  <c r="I53" i="2"/>
  <c r="B53" i="2"/>
  <c r="I52" i="2"/>
  <c r="I51" i="2"/>
  <c r="I50" i="2"/>
  <c r="I49" i="2"/>
  <c r="I48" i="2"/>
  <c r="I47" i="2"/>
  <c r="I46" i="2"/>
  <c r="I45" i="2"/>
  <c r="I44" i="2"/>
  <c r="I43" i="2"/>
  <c r="I42" i="2"/>
  <c r="I41" i="2"/>
  <c r="F39" i="2"/>
  <c r="B39" i="2"/>
  <c r="I38" i="2"/>
  <c r="B38" i="2"/>
  <c r="I37" i="2"/>
  <c r="F37" i="2"/>
  <c r="B37" i="2"/>
  <c r="I36" i="2"/>
  <c r="F36" i="2"/>
  <c r="B36" i="2"/>
  <c r="I35" i="2"/>
  <c r="F35" i="2"/>
  <c r="I32" i="2"/>
  <c r="I31" i="2"/>
  <c r="I30" i="2"/>
  <c r="I29" i="2"/>
  <c r="I28" i="2"/>
  <c r="I27" i="2"/>
  <c r="F27" i="2"/>
  <c r="I26" i="2"/>
  <c r="I25" i="2"/>
  <c r="F25" i="2"/>
  <c r="I24" i="2"/>
  <c r="I20" i="2"/>
  <c r="I19" i="2"/>
  <c r="I18" i="2"/>
  <c r="F18" i="2"/>
  <c r="I17" i="2"/>
  <c r="I16" i="2"/>
  <c r="I15" i="2"/>
  <c r="I14" i="2"/>
  <c r="I13" i="2"/>
  <c r="I12" i="2"/>
  <c r="I11" i="2"/>
  <c r="I10" i="2"/>
  <c r="I9" i="2"/>
  <c r="I8" i="2"/>
  <c r="I7" i="2"/>
  <c r="I6" i="2"/>
  <c r="I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Heller, Martin</author>
    <author>Martin Heller</author>
  </authors>
  <commentList>
    <comment ref="M3" authorId="0" shapeId="0" xr:uid="{00000000-0006-0000-0100-000001000000}">
      <text>
        <r>
          <rPr>
            <b/>
            <sz val="9"/>
            <color indexed="81"/>
            <rFont val="Tahoma"/>
            <family val="2"/>
          </rPr>
          <t>Heller, Martin:</t>
        </r>
        <r>
          <rPr>
            <sz val="9"/>
            <color indexed="81"/>
            <rFont val="Tahoma"/>
            <family val="2"/>
          </rPr>
          <t xml:space="preserve">
Pfister, S. &amp; Bayer, P. Water Consumption of Crop on Watershed Level (Blue and Green Water, Uncertainty, incl. Shapefile) https://doi.org/10.17632/brn4xm47jk.1 (2017).</t>
        </r>
      </text>
    </comment>
    <comment ref="H5" authorId="0" shapeId="0" xr:uid="{00000000-0006-0000-0100-000002000000}">
      <text>
        <r>
          <rPr>
            <b/>
            <sz val="9"/>
            <color indexed="81"/>
            <rFont val="Tahoma"/>
            <family val="2"/>
          </rPr>
          <t>Heller, Martin:</t>
        </r>
        <r>
          <rPr>
            <sz val="9"/>
            <color indexed="81"/>
            <rFont val="Tahoma"/>
            <family val="2"/>
          </rPr>
          <t xml:space="preserve">
assumed concentration factor based on examples</t>
        </r>
      </text>
    </comment>
    <comment ref="H169" authorId="0" shapeId="0" xr:uid="{00000000-0006-0000-0100-000003000000}">
      <text>
        <r>
          <rPr>
            <b/>
            <sz val="9"/>
            <color indexed="81"/>
            <rFont val="Tahoma"/>
            <family val="2"/>
          </rPr>
          <t>Heller, Martin:</t>
        </r>
        <r>
          <rPr>
            <sz val="9"/>
            <color indexed="81"/>
            <rFont val="Tahoma"/>
            <family val="2"/>
          </rPr>
          <t xml:space="preserve">
general estimate of kg grapes required to produce 1 kg of wine.  Value varies greatly; 
this site: https://grapesandwine.cals.cornell.edu/newsletters/appellation-cornell/2011-newsletters/issue-8/conversion-factors-vineyard-bottle/
says 1 ton of grapes = 150 gallons wine, or ~1.6 kg grapes /kg wine
https://en.wikipedia.org/wiki/Yield_(wine) 
suggests 160 kg/100L for white wine, 130 kg/100L for red, 140 kg/100L for mixture or red and white
https://www.jancisrobinson.com/articles/wine-by-numbers-part-one
confirms the range, choosing an avergae of 1.42 kg/L</t>
        </r>
      </text>
    </comment>
    <comment ref="H176" authorId="0" shapeId="0" xr:uid="{00000000-0006-0000-0100-000004000000}">
      <text>
        <r>
          <rPr>
            <b/>
            <sz val="9"/>
            <color rgb="FF000000"/>
            <rFont val="Tahoma"/>
            <family val="2"/>
          </rPr>
          <t>Heller, Martin:</t>
        </r>
        <r>
          <rPr>
            <sz val="9"/>
            <color rgb="FF000000"/>
            <rFont val="Tahoma"/>
            <family val="2"/>
          </rPr>
          <t xml:space="preserve">
</t>
        </r>
        <r>
          <rPr>
            <sz val="9"/>
            <color rgb="FF000000"/>
            <rFont val="Tahoma"/>
            <family val="2"/>
          </rPr>
          <t>converting from "in shell" to without shell (nutmeat only)</t>
        </r>
      </text>
    </comment>
    <comment ref="H177" authorId="0" shapeId="0" xr:uid="{00000000-0006-0000-0100-000005000000}">
      <text>
        <r>
          <rPr>
            <b/>
            <sz val="9"/>
            <color indexed="81"/>
            <rFont val="Tahoma"/>
            <family val="2"/>
          </rPr>
          <t>Heller, Martin:</t>
        </r>
        <r>
          <rPr>
            <sz val="9"/>
            <color indexed="81"/>
            <rFont val="Tahoma"/>
            <family val="2"/>
          </rPr>
          <t xml:space="preserve">
converting from "in shell" to without shell (nutmeat only)</t>
        </r>
      </text>
    </comment>
    <comment ref="H178" authorId="0" shapeId="0" xr:uid="{00000000-0006-0000-0100-000006000000}">
      <text>
        <r>
          <rPr>
            <b/>
            <sz val="9"/>
            <color indexed="81"/>
            <rFont val="Tahoma"/>
            <family val="2"/>
          </rPr>
          <t>Heller, Martin:</t>
        </r>
        <r>
          <rPr>
            <sz val="9"/>
            <color indexed="81"/>
            <rFont val="Tahoma"/>
            <family val="2"/>
          </rPr>
          <t xml:space="preserve">
converting from "in shell" to without shell (nutmeat only)</t>
        </r>
      </text>
    </comment>
    <comment ref="H179" authorId="0" shapeId="0" xr:uid="{00000000-0006-0000-0100-000007000000}">
      <text>
        <r>
          <rPr>
            <b/>
            <sz val="9"/>
            <color indexed="81"/>
            <rFont val="Tahoma"/>
            <family val="2"/>
          </rPr>
          <t>Heller, Martin:</t>
        </r>
        <r>
          <rPr>
            <sz val="9"/>
            <color indexed="81"/>
            <rFont val="Tahoma"/>
            <family val="2"/>
          </rPr>
          <t xml:space="preserve">
converting from "in shell" to without shell (nutmeat only)</t>
        </r>
      </text>
    </comment>
    <comment ref="H180" authorId="0" shapeId="0" xr:uid="{00000000-0006-0000-0100-000008000000}">
      <text>
        <r>
          <rPr>
            <b/>
            <sz val="9"/>
            <color indexed="81"/>
            <rFont val="Tahoma"/>
            <family val="2"/>
          </rPr>
          <t>Heller, Martin:</t>
        </r>
        <r>
          <rPr>
            <sz val="9"/>
            <color indexed="81"/>
            <rFont val="Tahoma"/>
            <family val="2"/>
          </rPr>
          <t xml:space="preserve">
converting from "in shell" to without shell (nutmeat only)</t>
        </r>
      </text>
    </comment>
    <comment ref="H186" authorId="0" shapeId="0" xr:uid="{00000000-0006-0000-0100-000009000000}">
      <text>
        <r>
          <rPr>
            <b/>
            <sz val="9"/>
            <color indexed="81"/>
            <rFont val="Tahoma"/>
            <family val="2"/>
          </rPr>
          <t>Heller, Martin:</t>
        </r>
        <r>
          <rPr>
            <sz val="9"/>
            <color indexed="81"/>
            <rFont val="Tahoma"/>
            <family val="2"/>
          </rPr>
          <t xml:space="preserve">
converting from "in shell" to without shell (nutmeat only)</t>
        </r>
      </text>
    </comment>
    <comment ref="H187" authorId="0" shapeId="0" xr:uid="{00000000-0006-0000-0100-00000A000000}">
      <text>
        <r>
          <rPr>
            <b/>
            <sz val="9"/>
            <color indexed="81"/>
            <rFont val="Tahoma"/>
            <family val="2"/>
          </rPr>
          <t>Heller, Martin:</t>
        </r>
        <r>
          <rPr>
            <sz val="9"/>
            <color indexed="81"/>
            <rFont val="Tahoma"/>
            <family val="2"/>
          </rPr>
          <t xml:space="preserve">
converting from "in shell" to without shell (nutmeat only)</t>
        </r>
      </text>
    </comment>
    <comment ref="H188" authorId="0" shapeId="0" xr:uid="{00000000-0006-0000-0100-00000B000000}">
      <text>
        <r>
          <rPr>
            <b/>
            <sz val="9"/>
            <color indexed="81"/>
            <rFont val="Tahoma"/>
            <family val="2"/>
          </rPr>
          <t>Heller, Martin:</t>
        </r>
        <r>
          <rPr>
            <sz val="9"/>
            <color indexed="81"/>
            <rFont val="Tahoma"/>
            <family val="2"/>
          </rPr>
          <t xml:space="preserve">
converting from "in shell" to without shell (nutmeat only)</t>
        </r>
      </text>
    </comment>
    <comment ref="H190" authorId="0" shapeId="0" xr:uid="{00000000-0006-0000-0100-00000C000000}">
      <text>
        <r>
          <rPr>
            <b/>
            <sz val="9"/>
            <color indexed="81"/>
            <rFont val="Tahoma"/>
            <family val="2"/>
          </rPr>
          <t>Heller, Martin:</t>
        </r>
        <r>
          <rPr>
            <sz val="9"/>
            <color indexed="81"/>
            <rFont val="Tahoma"/>
            <family val="2"/>
          </rPr>
          <t xml:space="preserve">
converting from "in shell" to without shell (nutmeat only)</t>
        </r>
      </text>
    </comment>
    <comment ref="H191" authorId="0" shapeId="0" xr:uid="{00000000-0006-0000-0100-00000D000000}">
      <text>
        <r>
          <rPr>
            <b/>
            <sz val="9"/>
            <color indexed="81"/>
            <rFont val="Tahoma"/>
            <family val="2"/>
          </rPr>
          <t>Heller, Martin:</t>
        </r>
        <r>
          <rPr>
            <sz val="9"/>
            <color indexed="81"/>
            <rFont val="Tahoma"/>
            <family val="2"/>
          </rPr>
          <t xml:space="preserve">
converting from "in shell" to without shell (nutmeat only)</t>
        </r>
      </text>
    </comment>
    <comment ref="H299" authorId="0" shapeId="0" xr:uid="{00000000-0006-0000-0100-00000E000000}">
      <text>
        <r>
          <rPr>
            <b/>
            <sz val="9"/>
            <color indexed="81"/>
            <rFont val="Tahoma"/>
            <family val="2"/>
          </rPr>
          <t>Heller, Martin:</t>
        </r>
        <r>
          <rPr>
            <sz val="9"/>
            <color indexed="81"/>
            <rFont val="Tahoma"/>
            <family val="2"/>
          </rPr>
          <t xml:space="preserve">
milk production burden allocated to milk solids in order to best represent concentrated dairy products (cheese, butter, dry milk, etc) in FCID recipe files</t>
        </r>
      </text>
    </comment>
    <comment ref="H300" authorId="0" shapeId="0" xr:uid="{00000000-0006-0000-0100-00000F000000}">
      <text>
        <r>
          <rPr>
            <b/>
            <sz val="9"/>
            <color indexed="81"/>
            <rFont val="Tahoma"/>
            <family val="2"/>
          </rPr>
          <t>Heller, Martin:</t>
        </r>
        <r>
          <rPr>
            <sz val="9"/>
            <color indexed="81"/>
            <rFont val="Tahoma"/>
            <family val="2"/>
          </rPr>
          <t xml:space="preserve">
milk production burden allocated to milk solids in order to best represent concentrated dairy products (cheese, butter, dry milk, etc) in FCID recipe files</t>
        </r>
      </text>
    </comment>
    <comment ref="H301" authorId="0" shapeId="0" xr:uid="{00000000-0006-0000-0100-000010000000}">
      <text>
        <r>
          <rPr>
            <b/>
            <sz val="9"/>
            <color indexed="81"/>
            <rFont val="Tahoma"/>
            <family val="2"/>
          </rPr>
          <t>Heller, Martin:</t>
        </r>
        <r>
          <rPr>
            <sz val="9"/>
            <color indexed="81"/>
            <rFont val="Tahoma"/>
            <family val="2"/>
          </rPr>
          <t xml:space="preserve">
milk production burden allocated to milk solids in order to best represent concentrated dairy products (cheese, butter, dry milk, etc) in FCID recipe files; therefore milk, water set intentionally to zero
</t>
        </r>
      </text>
    </comment>
    <comment ref="G330" authorId="1" shapeId="0" xr:uid="{00000000-0006-0000-0100-000011000000}">
      <text>
        <r>
          <rPr>
            <b/>
            <sz val="9"/>
            <color indexed="81"/>
            <rFont val="Calibri"/>
            <family val="2"/>
          </rPr>
          <t>Martin Heller:</t>
        </r>
        <r>
          <rPr>
            <sz val="9"/>
            <color indexed="81"/>
            <rFont val="Calibri"/>
            <family val="2"/>
          </rPr>
          <t xml:space="preserve">
these should remain zero</t>
        </r>
      </text>
    </comment>
    <comment ref="H353" authorId="0" shapeId="0" xr:uid="{00000000-0006-0000-0100-000012000000}">
      <text>
        <r>
          <rPr>
            <b/>
            <sz val="9"/>
            <color indexed="81"/>
            <rFont val="Tahoma"/>
            <family val="2"/>
          </rPr>
          <t>Heller, Martin:</t>
        </r>
        <r>
          <rPr>
            <sz val="9"/>
            <color indexed="81"/>
            <rFont val="Tahoma"/>
            <family val="2"/>
          </rPr>
          <t xml:space="preserve">
assumed concentration factor based on examples</t>
        </r>
      </text>
    </comment>
    <comment ref="H355" authorId="1" shapeId="0" xr:uid="{00000000-0006-0000-0100-000013000000}">
      <text>
        <r>
          <rPr>
            <b/>
            <sz val="9"/>
            <color indexed="81"/>
            <rFont val="Calibri"/>
            <family val="2"/>
          </rPr>
          <t>Martin Heller:</t>
        </r>
        <r>
          <rPr>
            <sz val="9"/>
            <color indexed="81"/>
            <rFont val="Calibri"/>
            <family val="2"/>
          </rPr>
          <t xml:space="preserve">
using factor difference between roasted coffe bean and instant coffee powder as a proxy for difference between tea and instant tea.
</t>
        </r>
      </text>
    </comment>
  </commentList>
</comments>
</file>

<file path=xl/sharedStrings.xml><?xml version="1.0" encoding="utf-8"?>
<sst xmlns="http://schemas.openxmlformats.org/spreadsheetml/2006/main" count="2112" uniqueCount="895">
  <si>
    <t>farm gate (=1) or processor gate (=2)?</t>
  </si>
  <si>
    <t>PROXY DEFINITION</t>
  </si>
  <si>
    <t>conversion factor source</t>
  </si>
  <si>
    <t>FCID_Code</t>
  </si>
  <si>
    <t>FCID_Desc</t>
  </si>
  <si>
    <t>N_Cases</t>
  </si>
  <si>
    <t>Beet, garden, roots</t>
  </si>
  <si>
    <t>weight of roots; juice</t>
  </si>
  <si>
    <t>AgHB</t>
  </si>
  <si>
    <t>roots</t>
  </si>
  <si>
    <t>Beet, sugar</t>
  </si>
  <si>
    <t>dry weight of sugar (sucrose)</t>
  </si>
  <si>
    <t>Sucrose is a disaccharide obtained from sugar cane and sugar beet.</t>
  </si>
  <si>
    <t>FICRCD</t>
  </si>
  <si>
    <t>sweeteners</t>
  </si>
  <si>
    <t>Beet, sugar, molasses</t>
  </si>
  <si>
    <t>weight of molasses</t>
  </si>
  <si>
    <t>Burdock</t>
  </si>
  <si>
    <t>weight of roots</t>
  </si>
  <si>
    <t>NNDSR28</t>
  </si>
  <si>
    <t>Carrot</t>
  </si>
  <si>
    <t>weight of roots, with or without peel, excluding tops</t>
  </si>
  <si>
    <t>Carrot, juice</t>
  </si>
  <si>
    <t>weight of juice at single strength (or standard dilution)</t>
  </si>
  <si>
    <t>carrot</t>
  </si>
  <si>
    <t>Chicory, roots</t>
  </si>
  <si>
    <t>None</t>
  </si>
  <si>
    <t>Ginseng, dried</t>
  </si>
  <si>
    <t>dry weight of roots</t>
  </si>
  <si>
    <t>spices</t>
  </si>
  <si>
    <t>Horseradish</t>
  </si>
  <si>
    <t>weight of root, ground</t>
  </si>
  <si>
    <t>Parsnip</t>
  </si>
  <si>
    <t>weight of roots with or without peel</t>
  </si>
  <si>
    <t>Radish, roots</t>
  </si>
  <si>
    <t>Radish, Oriental, roots</t>
  </si>
  <si>
    <t>Rutabaga</t>
  </si>
  <si>
    <t>weight of roots; excluding tops</t>
  </si>
  <si>
    <t>Turnip, roots</t>
  </si>
  <si>
    <t>Arrowroot, flour</t>
  </si>
  <si>
    <t>dry weight of flour</t>
  </si>
  <si>
    <t>flours</t>
  </si>
  <si>
    <t>Artichoke, Jerusalem</t>
  </si>
  <si>
    <t>edible portion of tuber</t>
  </si>
  <si>
    <t>potato</t>
  </si>
  <si>
    <t>Cassava</t>
  </si>
  <si>
    <t>weight of root; dry tapioca</t>
  </si>
  <si>
    <t>Includes tapioca.</t>
  </si>
  <si>
    <t>Dasheen, corm</t>
  </si>
  <si>
    <t>weight of the corm</t>
  </si>
  <si>
    <t>Includes taro.</t>
  </si>
  <si>
    <t>Ginger</t>
  </si>
  <si>
    <t>weight of roots; excluding peel</t>
  </si>
  <si>
    <t>Ginger, dried</t>
  </si>
  <si>
    <t>dry weight of roots; excluding peel</t>
  </si>
  <si>
    <t>Potato, chips</t>
  </si>
  <si>
    <t>weight of potato from chip or stick, with or without peel</t>
  </si>
  <si>
    <t>none</t>
  </si>
  <si>
    <t>Potato, dry (granules/ flakes)</t>
  </si>
  <si>
    <t>dry weight of granules or flakes</t>
  </si>
  <si>
    <t>Potato, flour</t>
  </si>
  <si>
    <t>dry weight of flour or potato starch</t>
  </si>
  <si>
    <t>Potato, tuber, w/peel</t>
  </si>
  <si>
    <t>weight of tuber;  including peel</t>
  </si>
  <si>
    <t>Potato, tuber, w/o peel</t>
  </si>
  <si>
    <t>weight of tuber;  excluding peel</t>
  </si>
  <si>
    <t>Sweet potato</t>
  </si>
  <si>
    <t>weight of roots, with or without peel; juice</t>
  </si>
  <si>
    <t>Tanier, corm</t>
  </si>
  <si>
    <t>weight of corm</t>
  </si>
  <si>
    <t>Also called Cocoyam.</t>
  </si>
  <si>
    <t>Turmeric</t>
  </si>
  <si>
    <t>Yam, true</t>
  </si>
  <si>
    <t>Yam bean</t>
  </si>
  <si>
    <t>Also called jicama.</t>
  </si>
  <si>
    <t>Beet, garden, tops</t>
  </si>
  <si>
    <t>weight of leaves</t>
  </si>
  <si>
    <t>Include pumpkin leaves.</t>
  </si>
  <si>
    <t>greens</t>
  </si>
  <si>
    <t>Chicory, tops</t>
  </si>
  <si>
    <t>Dasheen, leaves</t>
  </si>
  <si>
    <t>weight of the leaves</t>
  </si>
  <si>
    <t>Garlic, bulb</t>
  </si>
  <si>
    <t>dry weight of bulb; excluding skin (outer scales)</t>
  </si>
  <si>
    <t>same as Garlic, bulb includes great headed garlic, serpent garlic, and elephant garlic.</t>
  </si>
  <si>
    <t>onion_bulb</t>
  </si>
  <si>
    <t>Onion, bulb</t>
  </si>
  <si>
    <t>weight of bulb; excluding outer skin</t>
  </si>
  <si>
    <t>Includes Daylily; Fritillaria, bulb; Lily; Chinese onion, bulb.</t>
  </si>
  <si>
    <t>Onion, bulb, dried</t>
  </si>
  <si>
    <t>dry weight of bulb; excluding outer skin</t>
  </si>
  <si>
    <t>Shallot, bulb</t>
  </si>
  <si>
    <t>weight of bulb; excluding skin</t>
  </si>
  <si>
    <t>Chive, fresh leaves</t>
  </si>
  <si>
    <t>weight of fresh leaves</t>
  </si>
  <si>
    <t>Includes Chinese chives.</t>
  </si>
  <si>
    <t>spinach</t>
  </si>
  <si>
    <t>Leek</t>
  </si>
  <si>
    <t>weight of whole plant; including leaves and bulb</t>
  </si>
  <si>
    <t>Includes lady leek and wild leek</t>
  </si>
  <si>
    <t>Onion, green</t>
  </si>
  <si>
    <t>weight of bulb or bulb and leaves</t>
  </si>
  <si>
    <t>Includes Elegans hosta; Fritillaria, leaves, Kurrat; Beltsville bunching onion; Macrostem onion, pearl onion, potato onion, tree onion, and, Welsh onion</t>
  </si>
  <si>
    <t>Amaranth, leafy</t>
  </si>
  <si>
    <t>weight of leaf</t>
  </si>
  <si>
    <t>Includes Tampala, Chinese spinach, lambsquarter, and pokeweed (pokeberry).</t>
  </si>
  <si>
    <t>Cilantro, leaves</t>
  </si>
  <si>
    <t>Includes Chinese parsley and coriander leaves.</t>
  </si>
  <si>
    <t>Dandelion, leaves</t>
  </si>
  <si>
    <t>Dillweed</t>
  </si>
  <si>
    <t>Endive</t>
  </si>
  <si>
    <t>Includes escarole.</t>
  </si>
  <si>
    <t>Lettuce, head</t>
  </si>
  <si>
    <t>weight of leaves; juice</t>
  </si>
  <si>
    <t>Lettuce, leaf</t>
  </si>
  <si>
    <t>Includes romaine.</t>
  </si>
  <si>
    <t>Parsley, leaves</t>
  </si>
  <si>
    <t>weight of leaves and stems</t>
  </si>
  <si>
    <t>Radicchio</t>
  </si>
  <si>
    <t>Spinach</t>
  </si>
  <si>
    <t>Swiss chard</t>
  </si>
  <si>
    <t>weight of leaves and stalks</t>
  </si>
  <si>
    <t>Arugula</t>
  </si>
  <si>
    <t>Broccoli, Chinese</t>
  </si>
  <si>
    <t>weight of flower buds, adjoining stems and leaves</t>
  </si>
  <si>
    <t>Cabbage, Chinese, bok choy</t>
  </si>
  <si>
    <t>brassica_greens</t>
  </si>
  <si>
    <t>all_brassica</t>
  </si>
  <si>
    <t>Collards</t>
  </si>
  <si>
    <t>Cress, garden</t>
  </si>
  <si>
    <t>Kale</t>
  </si>
  <si>
    <t>Includes mizuna.</t>
  </si>
  <si>
    <t>LAFA</t>
  </si>
  <si>
    <t>Mustard greens</t>
  </si>
  <si>
    <t>Turnip, greens</t>
  </si>
  <si>
    <t>Watercress</t>
  </si>
  <si>
    <t>weight of leaves and stems; juice</t>
  </si>
  <si>
    <t>Broccoli</t>
  </si>
  <si>
    <t>weight of flower heads and adjoining stems</t>
  </si>
  <si>
    <t>Brussels sprouts</t>
  </si>
  <si>
    <t>weight of leaf sprouts</t>
  </si>
  <si>
    <t>brassica</t>
  </si>
  <si>
    <t>Cabbage</t>
  </si>
  <si>
    <t>Cabbage, Chinese, napa</t>
  </si>
  <si>
    <t>Cabbage, Chinese, mustard</t>
  </si>
  <si>
    <t>Cauliflower</t>
  </si>
  <si>
    <t>Includes Broccoflower and green cauliflower.</t>
  </si>
  <si>
    <t>Soybean, seed</t>
  </si>
  <si>
    <t>dry weight of seed or bean</t>
  </si>
  <si>
    <t>legume_seed</t>
  </si>
  <si>
    <t>Soybean, flour</t>
  </si>
  <si>
    <t>dry weight of flour, soy meal, soy protein concentrate and isolate</t>
  </si>
  <si>
    <t>Soybean, soy milk</t>
  </si>
  <si>
    <t>total weight of milk</t>
  </si>
  <si>
    <t>Soybean, oil</t>
  </si>
  <si>
    <t>weight of oil</t>
  </si>
  <si>
    <t>Includes lecithin.</t>
  </si>
  <si>
    <t>oils</t>
  </si>
  <si>
    <t>Bean, snap, succulent</t>
  </si>
  <si>
    <t>weight of bean and pod</t>
  </si>
  <si>
    <t>Includes green bean, string bean, runner bean, and wax bean.</t>
  </si>
  <si>
    <t>vegetables</t>
  </si>
  <si>
    <t>Pea, edible podded, succulent</t>
  </si>
  <si>
    <t>weight of pea and pod</t>
  </si>
  <si>
    <t>Bean_snap_succulent</t>
  </si>
  <si>
    <t>Bean, broad, succulent</t>
  </si>
  <si>
    <t>Also called fava bean.</t>
  </si>
  <si>
    <t>Bean, cowpea, succulent</t>
  </si>
  <si>
    <t>weight of bean; excluding pod</t>
  </si>
  <si>
    <t>Includes cowpea, crowder pea, blackeye pea, and southern pea.</t>
  </si>
  <si>
    <t>Bean, lima, succulent</t>
  </si>
  <si>
    <t>Pea, succulent</t>
  </si>
  <si>
    <t>weight of peas</t>
  </si>
  <si>
    <t>Pea, pigeon, succulent</t>
  </si>
  <si>
    <t>weight of pea</t>
  </si>
  <si>
    <t>In U.S. presently, usually found as canned pigeon peas.</t>
  </si>
  <si>
    <t>Pea_pigeon_seed</t>
  </si>
  <si>
    <t>Bean, black, seed</t>
  </si>
  <si>
    <t>dry weight of bean</t>
  </si>
  <si>
    <t>Includes black turtle bean, Bayo, and brown bean.</t>
  </si>
  <si>
    <t>bean_dry</t>
  </si>
  <si>
    <t>Bean, broad, seed</t>
  </si>
  <si>
    <t>Bean, cowpea, seed</t>
  </si>
  <si>
    <t>Bean,  great northern, seed</t>
  </si>
  <si>
    <t>Bean, kidney, seed</t>
  </si>
  <si>
    <t>Bean, lima, seed</t>
  </si>
  <si>
    <t>Bean, mung, seed</t>
  </si>
  <si>
    <t>Bean sprouts are the human food item.</t>
  </si>
  <si>
    <t>lentil_seed</t>
  </si>
  <si>
    <t>Bean, navy, seed</t>
  </si>
  <si>
    <t>Includes pea bean.</t>
  </si>
  <si>
    <t>Bean, pink, seed</t>
  </si>
  <si>
    <t>Bean, pinto, seed</t>
  </si>
  <si>
    <t>Include calico and red Mexican bean.</t>
  </si>
  <si>
    <t>Chickpea, seed</t>
  </si>
  <si>
    <t>Also called garbanzo bean.</t>
  </si>
  <si>
    <t>Guar, seed</t>
  </si>
  <si>
    <t>weight of bean</t>
  </si>
  <si>
    <t>Lentil, seed</t>
  </si>
  <si>
    <t>dry weight of edible seed</t>
  </si>
  <si>
    <t>Pea, dry</t>
  </si>
  <si>
    <t>dry weight of pea</t>
  </si>
  <si>
    <t>Pea, pigeon, seed</t>
  </si>
  <si>
    <t>Tomatillo</t>
  </si>
  <si>
    <t>weight of fruit; excluding outer husks</t>
  </si>
  <si>
    <t>tomato</t>
  </si>
  <si>
    <t>Tomato</t>
  </si>
  <si>
    <t>weight of pulp, seeds and skin; tomatoes without skin but with seed (example canned whole tomatoes)</t>
  </si>
  <si>
    <t>Tomato, paste</t>
  </si>
  <si>
    <t>weight of concentrated tomato pulp from food described as paste; excluding seeds and skin</t>
  </si>
  <si>
    <t>processed_tomato</t>
  </si>
  <si>
    <t>Tomato, puree</t>
  </si>
  <si>
    <t>weight of concentrated tomato pulp (from food described as puree or sauce); excluding seeds and skin</t>
  </si>
  <si>
    <t>Tomato, dried</t>
  </si>
  <si>
    <t>weight of dried tomato (may include skin and/or seeds)</t>
  </si>
  <si>
    <t>Tomato, juice</t>
  </si>
  <si>
    <t>Eggplant</t>
  </si>
  <si>
    <t>weight of whole vegetable; including seeds, with or without peel</t>
  </si>
  <si>
    <t>nightshades</t>
  </si>
  <si>
    <t>Okra</t>
  </si>
  <si>
    <t>weight of pods; including seeds</t>
  </si>
  <si>
    <t>Pepper, bell</t>
  </si>
  <si>
    <t>weight of flesh; excluding seeds and stem</t>
  </si>
  <si>
    <t>Includes sweet pepper, cooking pepper, pimento, and banana pepper.</t>
  </si>
  <si>
    <t>Pepper, bell, dried</t>
  </si>
  <si>
    <t>dry weight of flesh only</t>
  </si>
  <si>
    <t>pepper_bell</t>
  </si>
  <si>
    <t>Pepper, nonbell</t>
  </si>
  <si>
    <t>weight of flesh, with or without seeds; excluding stem</t>
  </si>
  <si>
    <t>Pepper, nonbell, dried</t>
  </si>
  <si>
    <t>dry weight of flesh or flesh and seeds</t>
  </si>
  <si>
    <t>Cantaloupe</t>
  </si>
  <si>
    <t>weight of pulp; excluding seeds and outer rind</t>
  </si>
  <si>
    <t>Includes casaba, muskmelon, and wintermelon.</t>
  </si>
  <si>
    <t>melon</t>
  </si>
  <si>
    <t>cucurbits</t>
  </si>
  <si>
    <t>Honeydew melon</t>
  </si>
  <si>
    <t>weight of pulp; excluding seeds and rind</t>
  </si>
  <si>
    <t>Watermelon</t>
  </si>
  <si>
    <t>weight of pulp and rind; excluding seeds</t>
  </si>
  <si>
    <t>To include weight of pickled watermelon rind.</t>
  </si>
  <si>
    <t>Watermelon, juice</t>
  </si>
  <si>
    <t>Balsam pear</t>
  </si>
  <si>
    <t>weight of whole fruit</t>
  </si>
  <si>
    <t>Includes Balsam apple, Chinese cucumber, and Bittermelon.</t>
  </si>
  <si>
    <t>cucumber</t>
  </si>
  <si>
    <t>Chayote, fruit</t>
  </si>
  <si>
    <t>weight of fruit</t>
  </si>
  <si>
    <t>Also called Christophine, and Mirliton.</t>
  </si>
  <si>
    <t>Chinese waxgourd</t>
  </si>
  <si>
    <t>weight of flesh; including or excluding peel</t>
  </si>
  <si>
    <t>Includes Togan and wintermelon.</t>
  </si>
  <si>
    <t>squash</t>
  </si>
  <si>
    <t>Cucumber</t>
  </si>
  <si>
    <t>weight of flesh and seeds; including or excluding peel</t>
  </si>
  <si>
    <t>Pumpkin</t>
  </si>
  <si>
    <t>Pumpkin, seed</t>
  </si>
  <si>
    <t>weight of dried seed only</t>
  </si>
  <si>
    <t>Squash, summer</t>
  </si>
  <si>
    <t>weight of flesh, seeds and peel</t>
  </si>
  <si>
    <t>Includes crookneck squash, kampyo,  scallop squash, straightneck squash, vegetable marrow, and zucchini.</t>
  </si>
  <si>
    <t>Squash, winter</t>
  </si>
  <si>
    <t>weight of flesh; excluding seeds and peel</t>
  </si>
  <si>
    <t>Includes butternut squash, hubbard squash, calabaza, acorn squash, and spaghetti squash.</t>
  </si>
  <si>
    <t>Citron</t>
  </si>
  <si>
    <t>weight of pulp; excluding peel</t>
  </si>
  <si>
    <t>grapefruit</t>
  </si>
  <si>
    <t>citrus</t>
  </si>
  <si>
    <t>Citrus hybrids</t>
  </si>
  <si>
    <t>weight of pulp; excluding seeds and peel</t>
  </si>
  <si>
    <t>Includes tangelo, Tangor, Chironja, and Calamondin.</t>
  </si>
  <si>
    <t>tangelo</t>
  </si>
  <si>
    <t>Orange</t>
  </si>
  <si>
    <t>Orange, juice</t>
  </si>
  <si>
    <t>Orange, peel</t>
  </si>
  <si>
    <t>weight of peel only</t>
  </si>
  <si>
    <t>orange</t>
  </si>
  <si>
    <t>Tangerine</t>
  </si>
  <si>
    <t>Include clementine and mandarin.</t>
  </si>
  <si>
    <t>Tangerine, juice</t>
  </si>
  <si>
    <t>Include+G148 clementine and mandarin.</t>
  </si>
  <si>
    <t>Kumquat</t>
  </si>
  <si>
    <t>weight of fruit; including peel; excluding seeds</t>
  </si>
  <si>
    <t>Lemon</t>
  </si>
  <si>
    <t>Lemon, juice</t>
  </si>
  <si>
    <t>Lemon, peel</t>
  </si>
  <si>
    <t>Lime</t>
  </si>
  <si>
    <t>Australian desert lime, Australian finger lime, Australian round lime, Brown River finger lime, Mount White lime, New Guinea wild lime, Russell River lime, Sweet lime, Tahiti Lime.</t>
  </si>
  <si>
    <t>Lime, juice</t>
  </si>
  <si>
    <t>Australian desert lime, Australian finger lime, Australian round lime, Brown River finger lime, Kumquat, Lemon, Lime, Mount White lime, New Guinea wild lime, Russell River lime, Sweet lime, Tahiti Lime</t>
  </si>
  <si>
    <t>Grapefruit</t>
  </si>
  <si>
    <t>Includes Uniq fruit</t>
  </si>
  <si>
    <t>Grapefruit, juice</t>
  </si>
  <si>
    <t>Apple, fruit with peel</t>
  </si>
  <si>
    <t>weight of apple; including peel, excluding core and stem</t>
  </si>
  <si>
    <t>Apple, peeled fruit</t>
  </si>
  <si>
    <t>weight of apple; excluding peel, core and stem</t>
  </si>
  <si>
    <t>apple</t>
  </si>
  <si>
    <t>Apple, dried</t>
  </si>
  <si>
    <t>dry weight; excluding peel, core, stem</t>
  </si>
  <si>
    <t>Apple, juice</t>
  </si>
  <si>
    <t>Apple, sauce</t>
  </si>
  <si>
    <t>weight of applesauce</t>
  </si>
  <si>
    <t>Pear</t>
  </si>
  <si>
    <t>weight of pulp, with or without peel; excluding core and stem</t>
  </si>
  <si>
    <t>Include Asian (Oriental) pear.</t>
  </si>
  <si>
    <t>Pear, dried</t>
  </si>
  <si>
    <t>weight of dried pulp, with or without peel</t>
  </si>
  <si>
    <t>pear</t>
  </si>
  <si>
    <t>Pear, juice</t>
  </si>
  <si>
    <t>apple, juice</t>
  </si>
  <si>
    <t>Cherry</t>
  </si>
  <si>
    <t>weight of fruit; including skin; excluding pit and stem</t>
  </si>
  <si>
    <t>Includes sweet cherry and sour or tart cherry.</t>
  </si>
  <si>
    <t>tree_fruit</t>
  </si>
  <si>
    <t>Cherry, juice</t>
  </si>
  <si>
    <t>blackberry, juice</t>
  </si>
  <si>
    <t>cherry</t>
  </si>
  <si>
    <t>Apricot</t>
  </si>
  <si>
    <t>weight of pulp, with or without peel; excluding pit</t>
  </si>
  <si>
    <t>Includes Japanese apricot.</t>
  </si>
  <si>
    <t>Apricot, dried</t>
  </si>
  <si>
    <t>dry weight of pulp, with or without peel; excluding pit</t>
  </si>
  <si>
    <t>Apricot, juice</t>
  </si>
  <si>
    <t>plum, juice</t>
  </si>
  <si>
    <t>Nectarine</t>
  </si>
  <si>
    <t>weight of pulp; including peel; excluding pit and stem</t>
  </si>
  <si>
    <t>Peach</t>
  </si>
  <si>
    <t>Peach, dried</t>
  </si>
  <si>
    <t>weight of dried pulp, with or without peel; excluding pit</t>
  </si>
  <si>
    <t>peach</t>
  </si>
  <si>
    <t>Peach, juice</t>
  </si>
  <si>
    <t>Plum</t>
  </si>
  <si>
    <t>weight of pulp with peel; excluding pit</t>
  </si>
  <si>
    <t>Includes American plum; Klamath plum; Beach plum; Canada plum; Cherry plum; Chickasaw plum; Damson plum; Japanese plum; Plumcot; and Sloe.</t>
  </si>
  <si>
    <t>Plum, prune, fresh</t>
  </si>
  <si>
    <t>weight of plum, with peel; excluding pit</t>
  </si>
  <si>
    <t>Plum, prune, dried</t>
  </si>
  <si>
    <t>weight of dried flesh, with or without peel; excluding pit</t>
  </si>
  <si>
    <t>Plum, prune, juice</t>
  </si>
  <si>
    <t>Blackberry</t>
  </si>
  <si>
    <t>weight of berry</t>
  </si>
  <si>
    <t>Includes Andean blackberry, Arctic blackberry, bingleberry, black satin berry, boysenberry, brombeere, California blackberry, Cherokee blackberry, chesterberry, Cheyenne blackberry, common blackberry, coryberry, darrowberry, dewberry, dirksen thornless be</t>
  </si>
  <si>
    <t>berry</t>
  </si>
  <si>
    <t>Blackberry, juice</t>
  </si>
  <si>
    <t>Boysenberry</t>
  </si>
  <si>
    <t>Raspberry</t>
  </si>
  <si>
    <t>Includes black raspberry, red raspberry, bababerry, blackcap, framboise, frambueso, himbeere, keriberry, mayberry, thimbleberry, tulameen, yellow raspberry.</t>
  </si>
  <si>
    <t>Raspberry, juice</t>
  </si>
  <si>
    <t>Blueberry</t>
  </si>
  <si>
    <t>Includes highbush blueberry and lowbush blueberry.</t>
  </si>
  <si>
    <t>Currant, dried</t>
  </si>
  <si>
    <t>dry weight of berry</t>
  </si>
  <si>
    <t>Includes red and black currants.</t>
  </si>
  <si>
    <t>grape_raisin</t>
  </si>
  <si>
    <t>Gooseberry</t>
  </si>
  <si>
    <t>Huckleberry</t>
  </si>
  <si>
    <t>Mulberry</t>
  </si>
  <si>
    <t>Includes Juneberry.</t>
  </si>
  <si>
    <t>Grape</t>
  </si>
  <si>
    <t>weight of grape, with skin, and with or without seeds</t>
  </si>
  <si>
    <t>Includes Muscadine.</t>
  </si>
  <si>
    <t>Grape, juice</t>
  </si>
  <si>
    <t>Includes hardy kiwifruit</t>
  </si>
  <si>
    <t>Grape, raisin</t>
  </si>
  <si>
    <t>dry weight of raisin</t>
  </si>
  <si>
    <t>Includes Zante currant.</t>
  </si>
  <si>
    <t>Grape, wine and sherry</t>
  </si>
  <si>
    <t>weight of wine or sherry</t>
  </si>
  <si>
    <t>Kiwifruit, fuzzy</t>
  </si>
  <si>
    <t>weight of pulp and peel.</t>
  </si>
  <si>
    <t>Cranberry</t>
  </si>
  <si>
    <t>Cranberry, dried</t>
  </si>
  <si>
    <t>Cranberry, juice</t>
  </si>
  <si>
    <t>Strawberry</t>
  </si>
  <si>
    <t>weight of berry; excluding leaf cap</t>
  </si>
  <si>
    <t>Strawberry, juice</t>
  </si>
  <si>
    <t>strawberry</t>
  </si>
  <si>
    <t>Almond</t>
  </si>
  <si>
    <t>weight of nutmeat</t>
  </si>
  <si>
    <t>nut</t>
  </si>
  <si>
    <t>Almond, oil</t>
  </si>
  <si>
    <t>almond</t>
  </si>
  <si>
    <t>Brazil nut</t>
  </si>
  <si>
    <t>Butternut</t>
  </si>
  <si>
    <t>Cashew</t>
  </si>
  <si>
    <t>Chestnut</t>
  </si>
  <si>
    <t>weight of  nutmeat</t>
  </si>
  <si>
    <t>Coconut, meat</t>
  </si>
  <si>
    <t>weight of meat; excluding milk and shell</t>
  </si>
  <si>
    <t>includes coconut, water</t>
  </si>
  <si>
    <t>Coconut, dried</t>
  </si>
  <si>
    <t>dry weight of meat; excluding milk and shell</t>
  </si>
  <si>
    <t>coconut_meat</t>
  </si>
  <si>
    <t>Coconut, milk</t>
  </si>
  <si>
    <t>weight of milk only; excluding meat and shell</t>
  </si>
  <si>
    <t>Coconut, oil</t>
  </si>
  <si>
    <t>Hazelnut</t>
  </si>
  <si>
    <t>Also called filbert.</t>
  </si>
  <si>
    <t>Macadamia nut</t>
  </si>
  <si>
    <t>Pecan</t>
  </si>
  <si>
    <t>Pine nut</t>
  </si>
  <si>
    <t>Also called pignolia.</t>
  </si>
  <si>
    <t>Pistachio</t>
  </si>
  <si>
    <t>Walnut</t>
  </si>
  <si>
    <t>Barley, pearled barley</t>
  </si>
  <si>
    <t>dry weight of barley</t>
  </si>
  <si>
    <t>grains</t>
  </si>
  <si>
    <t>Barley, flour</t>
  </si>
  <si>
    <t>Includes malt and whole barley.</t>
  </si>
  <si>
    <t>wheat_flour</t>
  </si>
  <si>
    <t>Barley, bran</t>
  </si>
  <si>
    <t>dry weight of bran</t>
  </si>
  <si>
    <t>Buckwheat</t>
  </si>
  <si>
    <t>dry weight of groats; whole groat flour</t>
  </si>
  <si>
    <t>Corn, field, flour</t>
  </si>
  <si>
    <t>dry weight of whole grain flour; masa harina</t>
  </si>
  <si>
    <t>Corn, field, meal</t>
  </si>
  <si>
    <t>dry weight of whole grain or degermed meal; dry weight of corn ingredient from corn or cornmeal based chips or snacks; dry weight of hominy</t>
  </si>
  <si>
    <t>Includes hominy.</t>
  </si>
  <si>
    <t>corn_flour</t>
  </si>
  <si>
    <t>Corn, field, bran</t>
  </si>
  <si>
    <t>Corn, field, starch</t>
  </si>
  <si>
    <t>dry weight of corn starch</t>
  </si>
  <si>
    <t>Corn, field, syrup</t>
  </si>
  <si>
    <t>weight of syrup</t>
  </si>
  <si>
    <t>Corn, field, oil</t>
  </si>
  <si>
    <t>Corn, pop</t>
  </si>
  <si>
    <t>weight of kernels; excluding cob and husk</t>
  </si>
  <si>
    <t>Corn, sweet</t>
  </si>
  <si>
    <t>Millet, grain</t>
  </si>
  <si>
    <t>dry weight of grain</t>
  </si>
  <si>
    <t>Oat, bran</t>
  </si>
  <si>
    <t>Oat, flour</t>
  </si>
  <si>
    <t>Oat, groats/rolled oats</t>
  </si>
  <si>
    <t>dry weight</t>
  </si>
  <si>
    <t>Rice, white</t>
  </si>
  <si>
    <t>Rice, brown</t>
  </si>
  <si>
    <t>dry weight of grain or brown rice flour</t>
  </si>
  <si>
    <t>rice</t>
  </si>
  <si>
    <t>Rice, flour</t>
  </si>
  <si>
    <t>Rice, bran</t>
  </si>
  <si>
    <t>Rye, grain</t>
  </si>
  <si>
    <t>dry weight of grain; weight of whole grain flour</t>
  </si>
  <si>
    <t>Rye, flour</t>
  </si>
  <si>
    <t>Sorghum, syrup</t>
  </si>
  <si>
    <t>Triticale, flour</t>
  </si>
  <si>
    <t>Wheat, grain</t>
  </si>
  <si>
    <t>Include whole kernel, cracked wheat, whole grain flour, bulgur, couscous.</t>
  </si>
  <si>
    <t>Wheat, flour</t>
  </si>
  <si>
    <t>Wheat, germ</t>
  </si>
  <si>
    <t>dry weight of germ</t>
  </si>
  <si>
    <t>Wheat, bran</t>
  </si>
  <si>
    <t>Wild rice</t>
  </si>
  <si>
    <t>Alfalfa, seed</t>
  </si>
  <si>
    <t>weight of dry seed</t>
  </si>
  <si>
    <t>Alfalfa sprouts are the human food item.</t>
  </si>
  <si>
    <t>clover_seed</t>
  </si>
  <si>
    <t>Basil, fresh leaves</t>
  </si>
  <si>
    <t>Basil, dried leaves</t>
  </si>
  <si>
    <t>dry weight of leaves and stems</t>
  </si>
  <si>
    <t>Herbs, other</t>
  </si>
  <si>
    <t>See Appendix B (“The Herb List”).  Note that some herbs are not included in this list as they are unique FCs and are cited in this vocabulary separately.  These latter include: basil, chive, coriander (cilantro), leaf, dill (dillweed), fennel, Florence (I</t>
  </si>
  <si>
    <t>Marjoram</t>
  </si>
  <si>
    <t>Includes oregano.</t>
  </si>
  <si>
    <t>Parsley, dried leaves</t>
  </si>
  <si>
    <t>dried weight of leaves and stems</t>
  </si>
  <si>
    <t>Savory</t>
  </si>
  <si>
    <t>weight of leaves and flower buds</t>
  </si>
  <si>
    <t>Includes summer and winter savory.</t>
  </si>
  <si>
    <t>Cinnamon</t>
  </si>
  <si>
    <t>dry weight of spice: stick or ground powder</t>
  </si>
  <si>
    <t>Coriander, seed</t>
  </si>
  <si>
    <t>weight of seed</t>
  </si>
  <si>
    <t>Includes Chinese parsley and cilantro seed.</t>
  </si>
  <si>
    <t>Dill, seed</t>
  </si>
  <si>
    <t>dry weight of seed</t>
  </si>
  <si>
    <t>Pepper, black and white</t>
  </si>
  <si>
    <t>dry weight of pepper</t>
  </si>
  <si>
    <t>Spices, other</t>
  </si>
  <si>
    <t>See Appendix C (“The Spice List”).  Note that this list does not include some spices that are unique FCs and are listed separately in this Commodity Vocabulary.  These latter spices include: cinnamon, dill (seed), coriander (cilantro)-seed, and  black and</t>
  </si>
  <si>
    <t>Flax, seed</t>
  </si>
  <si>
    <t>N/A - Does not exist in "commodity vocabulary" weight basis file in current or previous release</t>
  </si>
  <si>
    <t>#N/A</t>
  </si>
  <si>
    <t>Flax seed, oil</t>
  </si>
  <si>
    <t>weight of oil; nutrient fat from flax seeds</t>
  </si>
  <si>
    <t>Also called Solin.</t>
  </si>
  <si>
    <t>oilseed_oil</t>
  </si>
  <si>
    <t>Rapeseed, oil</t>
  </si>
  <si>
    <t>Includes canola oil.</t>
  </si>
  <si>
    <t>Sesame, seed</t>
  </si>
  <si>
    <t>Sesame, oil</t>
  </si>
  <si>
    <t>Safflower, oil</t>
  </si>
  <si>
    <t>Sunflower, seed</t>
  </si>
  <si>
    <t>dry weight of seeds</t>
  </si>
  <si>
    <t>Sunflower, oil</t>
  </si>
  <si>
    <t>Cottonseed, oil</t>
  </si>
  <si>
    <t>Mushroom</t>
  </si>
  <si>
    <t>weight of caps or caps and stems</t>
  </si>
  <si>
    <t xml:space="preserve">Includes oyster, shiitake, and  button mushroom.                                                                                                                                          </t>
  </si>
  <si>
    <t>Asparagus</t>
  </si>
  <si>
    <t>weight of edible portion of spears/stems</t>
  </si>
  <si>
    <t>Bamboo, shoots</t>
  </si>
  <si>
    <t>weight of shoots</t>
  </si>
  <si>
    <t>Bamboo shoots are the human food item.</t>
  </si>
  <si>
    <t>Cactus</t>
  </si>
  <si>
    <t>weight of pulp; excluding peel; juice</t>
  </si>
  <si>
    <t>Includes Prickly pear, Cactus pads and flowers, Nopales, and Aloe vera.</t>
  </si>
  <si>
    <t>Fennel, Florence</t>
  </si>
  <si>
    <t>Includes Italian and sweet fennel.</t>
  </si>
  <si>
    <t>Kohlrabi</t>
  </si>
  <si>
    <t>Palm heart, leaves</t>
  </si>
  <si>
    <t>weight of stem and leaves</t>
  </si>
  <si>
    <t>tropical_fruit</t>
  </si>
  <si>
    <t>Celery</t>
  </si>
  <si>
    <t>weight of leaf stalk</t>
  </si>
  <si>
    <t>Celery, juice</t>
  </si>
  <si>
    <t>weight of juice as single strength (or standard dilution)</t>
  </si>
  <si>
    <t>Rhubarb</t>
  </si>
  <si>
    <t>weight of stalks; excluding leaves</t>
  </si>
  <si>
    <t>Olive</t>
  </si>
  <si>
    <t>weight of fruit; excluding pit</t>
  </si>
  <si>
    <t>Olive, oil</t>
  </si>
  <si>
    <t>Carob</t>
  </si>
  <si>
    <t>dry weight of bean; flour</t>
  </si>
  <si>
    <t>Fig</t>
  </si>
  <si>
    <t>Fig, dried</t>
  </si>
  <si>
    <t>dry weight of fruit</t>
  </si>
  <si>
    <t>Guava</t>
  </si>
  <si>
    <t>Tamarind</t>
  </si>
  <si>
    <t>weight of pulp, including seeds; excluding peel; juice</t>
  </si>
  <si>
    <t>Date</t>
  </si>
  <si>
    <t>weight of fruit, excluding pit</t>
  </si>
  <si>
    <t>Lychee</t>
  </si>
  <si>
    <t>Avocado</t>
  </si>
  <si>
    <t>weight of pulp; excluding skin and pit</t>
  </si>
  <si>
    <t>Banana</t>
  </si>
  <si>
    <t>Banana, dried</t>
  </si>
  <si>
    <t>dry weight of dried pulp; excluding peel (include weight of fruit from chips)</t>
  </si>
  <si>
    <t>banana</t>
  </si>
  <si>
    <t>Mango</t>
  </si>
  <si>
    <t>Mango, dried</t>
  </si>
  <si>
    <t>weight of dried pulp</t>
  </si>
  <si>
    <t>Mango, juice</t>
  </si>
  <si>
    <t>pineapple</t>
  </si>
  <si>
    <t>Papaya</t>
  </si>
  <si>
    <t>weight of pulp; excluding peel and seeds</t>
  </si>
  <si>
    <t>Papaya, dried</t>
  </si>
  <si>
    <t>papaya</t>
  </si>
  <si>
    <t>Papaya, juice</t>
  </si>
  <si>
    <t>Persimmon</t>
  </si>
  <si>
    <t>weight of entire fruit, pulp and peel</t>
  </si>
  <si>
    <t>Plantain</t>
  </si>
  <si>
    <t>weight of pulp; excluding skin</t>
  </si>
  <si>
    <t>Plantain, dried</t>
  </si>
  <si>
    <t>weight of dried pulp only</t>
  </si>
  <si>
    <t>Pomegranate</t>
  </si>
  <si>
    <t>Seeds are usually not consumed.</t>
  </si>
  <si>
    <t>Pomegranate, juice</t>
  </si>
  <si>
    <t>Breadfruit</t>
  </si>
  <si>
    <t>Pineapple</t>
  </si>
  <si>
    <t>weight of pulp; excluding leaves and outer peel</t>
  </si>
  <si>
    <t>Pineapple, dried</t>
  </si>
  <si>
    <t>Pineapple, juice</t>
  </si>
  <si>
    <t>Soursop</t>
  </si>
  <si>
    <t>Passionfruit</t>
  </si>
  <si>
    <t>Passionfruit, juice</t>
  </si>
  <si>
    <t>Beef, meat</t>
  </si>
  <si>
    <t>weight of meat; excluding the weight of bone, and all nutrient fat</t>
  </si>
  <si>
    <t>Consider veal as equivalent to beef. Include bison and buffalo.</t>
  </si>
  <si>
    <t>Beef, meat, dried</t>
  </si>
  <si>
    <t>weight of dried meat; excluding bones, and trimmable fat</t>
  </si>
  <si>
    <t>Beef, meat byproducts</t>
  </si>
  <si>
    <t>weight of meat; excluding bone; may contain some fat</t>
  </si>
  <si>
    <t>Includes brain, heart, lung, sweetbread, tail, tripe, tongue, and head.</t>
  </si>
  <si>
    <t>Beef, fat</t>
  </si>
  <si>
    <t>weight of nutrient fat only; includes  nutrient fat from beef meat</t>
  </si>
  <si>
    <t>Beef, liver</t>
  </si>
  <si>
    <t>weight of organ including nutrient fat</t>
  </si>
  <si>
    <t>Goat, meat</t>
  </si>
  <si>
    <t>weight of meat; excluding weight of bone, and all nutrient fat and skin</t>
  </si>
  <si>
    <t>Goat, meat byproducts</t>
  </si>
  <si>
    <t>weight of meat; excluding bone; may include some trimmable fat and/or skin</t>
  </si>
  <si>
    <t>Includes brain, heart, and head.</t>
  </si>
  <si>
    <t>Goat, fat</t>
  </si>
  <si>
    <t>weight of nutrient fat only; include nutrient fat from goat meat</t>
  </si>
  <si>
    <t>Pork, meat</t>
  </si>
  <si>
    <t>Pork, skin</t>
  </si>
  <si>
    <t>dry weight of skin including nutrient fat</t>
  </si>
  <si>
    <t>e.g., pork rind snacks.</t>
  </si>
  <si>
    <t>Pork, meat byproducts</t>
  </si>
  <si>
    <t>weight of meat; excluding bone; may include some trimmable fat and skin</t>
  </si>
  <si>
    <t>Includes ears, jowl, chitterlings, stomach (maw), fatback, and feet.</t>
  </si>
  <si>
    <t>Pork, fat</t>
  </si>
  <si>
    <t>weight of nutrient  fat only; includes weight of nutrient fat from meat</t>
  </si>
  <si>
    <t>Pork, liver</t>
  </si>
  <si>
    <t>Sheep, meat</t>
  </si>
  <si>
    <t>weight of meat; excluding weight of bone, total nutrient fat and skin</t>
  </si>
  <si>
    <t>Sheep, meat byproducts</t>
  </si>
  <si>
    <t>weight of meat; excluding bones; may include some trimmable fat and/or skin</t>
  </si>
  <si>
    <t>Includes brain and tongue.</t>
  </si>
  <si>
    <t>Sheep, fat</t>
  </si>
  <si>
    <t>weight of nutrient fat only; includes nutrient fat from meat</t>
  </si>
  <si>
    <t>Sheep, liver</t>
  </si>
  <si>
    <t>weight of organ, including nutrient fat</t>
  </si>
  <si>
    <t>Milk, fat</t>
  </si>
  <si>
    <t>weight of nutrient fat only</t>
  </si>
  <si>
    <t>Milk, nonfat solids</t>
  </si>
  <si>
    <t>Remaining weight of milk after subtracting milk fat and moisture content of milk</t>
  </si>
  <si>
    <t>Includes casein; also, includes lactose added to items that are neither commercial baby foods nor infant formulas.</t>
  </si>
  <si>
    <t>Milk, water</t>
  </si>
  <si>
    <t>Moisture content of milk</t>
  </si>
  <si>
    <t>Meat, game</t>
  </si>
  <si>
    <t>weight of meat; excluding bone, trimmable fat and skin</t>
  </si>
  <si>
    <t>Includes armadillo, bear, beaver, caribou, deer, elk, frog, groundhog, moose, snake, opossum, raccoon, squirrel, turtle.</t>
  </si>
  <si>
    <t>Rabbit, meat</t>
  </si>
  <si>
    <t>Chicken, meat</t>
  </si>
  <si>
    <t>weight of flesh; excluding the weight of bone, total nutrient fat, and skin</t>
  </si>
  <si>
    <t>Chicken, liver</t>
  </si>
  <si>
    <t>weight of organ;  including nutrient fat</t>
  </si>
  <si>
    <t>Chicken, meat byproducts</t>
  </si>
  <si>
    <t>Includes giblets (heart), necks, gizzard, feet, and tail.</t>
  </si>
  <si>
    <t>Chicken, fat</t>
  </si>
  <si>
    <t>weight of nutrient fat only; includes weight of nutrient fat from chicken meat and skin</t>
  </si>
  <si>
    <t>Chicken, skin</t>
  </si>
  <si>
    <t>weight of skin only (0 grams nutrient fat)</t>
  </si>
  <si>
    <t>Turkey, meat</t>
  </si>
  <si>
    <t>weight of meat; excluding bone, all nutrient fat, and skin</t>
  </si>
  <si>
    <t>Turkey, liver</t>
  </si>
  <si>
    <t>Turkey, meat byproducts</t>
  </si>
  <si>
    <t>weight of meat; excluding bone (may contain some fat and/or skin)</t>
  </si>
  <si>
    <t>Includes gizzard, heart, neck, and tail.</t>
  </si>
  <si>
    <t>Turkey, fat</t>
  </si>
  <si>
    <t>weight of nutrient  fat only; includes nutrient fat from meat and skin</t>
  </si>
  <si>
    <t>Turkey, skin</t>
  </si>
  <si>
    <t>Poultry, other, meat</t>
  </si>
  <si>
    <t>weight of meat; excluding weight of bone, and all nutrient fat, and skin</t>
  </si>
  <si>
    <t>Includes dove, duck, emu, goose, guinea hen, ostrich, partridge, pheasant, pigeon, quail, squab, wild duck.</t>
  </si>
  <si>
    <t>Poultry, other, liver</t>
  </si>
  <si>
    <t>Poultry, other, meat byproducts</t>
  </si>
  <si>
    <t>weight of meat; excluding bone; may contain some trimmable fat and/or skin</t>
  </si>
  <si>
    <t>Includes dove, duck, emu, goose, guinea hen, ostrich, partridge, pheasant, pigeon, quail, squab, wild duck. Byproducts include (as for chicken) giblets, gizzard, neck, feet, and tail, as applicable to species of poultry.</t>
  </si>
  <si>
    <t>Poultry, other, fat</t>
  </si>
  <si>
    <t>weight of nutrient  fat only; includes weight of nutrient fat from meat and skin</t>
  </si>
  <si>
    <t>Poultry, other, skin</t>
  </si>
  <si>
    <t>Egg, whole</t>
  </si>
  <si>
    <t>weight of white and yolk; excluding shell</t>
  </si>
  <si>
    <t>Egg, white</t>
  </si>
  <si>
    <t>weight of egg white</t>
  </si>
  <si>
    <t>Egg, yolk</t>
  </si>
  <si>
    <t>weight of egg yolk</t>
  </si>
  <si>
    <t>Fish-freshwater finfish</t>
  </si>
  <si>
    <t>weight of edible portion; excluding head, tail, scales, fins, viscera, inedible bones and skin</t>
  </si>
  <si>
    <t>See Appendix A (”The Fish List”) for categorization of various fish species into appropriate FC, ie, for species that are specifically fresh water fish, salt water fish, crustacean-shellfish, and mollusc-shellfish.</t>
  </si>
  <si>
    <t>all_fish</t>
  </si>
  <si>
    <t>Fish-freshwater finfish, farm raised</t>
  </si>
  <si>
    <t>See Appendix A.</t>
  </si>
  <si>
    <t>Fish-saltwater finfish, tuna</t>
  </si>
  <si>
    <t>saltwater_finfish</t>
  </si>
  <si>
    <t>Fish-saltwater finfish, other</t>
  </si>
  <si>
    <t>Fish-shellfish, crustacean</t>
  </si>
  <si>
    <t>weight of edible portion; excluding shell, gills, and viscera</t>
  </si>
  <si>
    <t>Fish-shellfish, mollusc</t>
  </si>
  <si>
    <t>weight of edible portion; excluding shells</t>
  </si>
  <si>
    <t>Water, direct, tap</t>
  </si>
  <si>
    <t>Water, direct, bottled</t>
  </si>
  <si>
    <t>Water, indirect, all sources</t>
  </si>
  <si>
    <t>Amaranth, grain</t>
  </si>
  <si>
    <t>dry weight of grain; include Amaranth flour</t>
  </si>
  <si>
    <t>Artichoke, globe</t>
  </si>
  <si>
    <t>edible portion of flowerhead</t>
  </si>
  <si>
    <t>Belgium endive</t>
  </si>
  <si>
    <t>Also called Witloof chicory.</t>
  </si>
  <si>
    <t>Cocoa bean, chocolate</t>
  </si>
  <si>
    <t>weight of chocolate; cocoa butter</t>
  </si>
  <si>
    <t>choc_coffee_tea</t>
  </si>
  <si>
    <t>Cocoa bean, powder</t>
  </si>
  <si>
    <t>weight of powder</t>
  </si>
  <si>
    <t>Coffee, roasted bean</t>
  </si>
  <si>
    <t>Coffee, instant</t>
  </si>
  <si>
    <t>dry weight of powder or granules</t>
  </si>
  <si>
    <t>Grape, leaves</t>
  </si>
  <si>
    <t>Honey</t>
  </si>
  <si>
    <t>weight of honey</t>
  </si>
  <si>
    <t>Bee pollen</t>
  </si>
  <si>
    <t>Hops</t>
  </si>
  <si>
    <t>weight of dried hops</t>
  </si>
  <si>
    <t>Maple, sugar</t>
  </si>
  <si>
    <t>dry weight of sugar</t>
  </si>
  <si>
    <t>Maple syrup</t>
  </si>
  <si>
    <t>Palm, oil</t>
  </si>
  <si>
    <t>Peanut</t>
  </si>
  <si>
    <t>weight of nutmeat; excluding shell</t>
  </si>
  <si>
    <t>Peanut, butter</t>
  </si>
  <si>
    <t>weight of ground peanuts; excluding shell</t>
  </si>
  <si>
    <t>Peanut, oil</t>
  </si>
  <si>
    <t>Peppermint</t>
  </si>
  <si>
    <t>Includes other mints (Mentha spp.) except spearmint.</t>
  </si>
  <si>
    <t>Peppermint, oil</t>
  </si>
  <si>
    <t>Psyllium, seed</t>
  </si>
  <si>
    <t>dry weight of psyllium husks</t>
  </si>
  <si>
    <t>Seaweed</t>
  </si>
  <si>
    <t>weight of vegetation (wet and dry)</t>
  </si>
  <si>
    <t>Includes algae, Irish moss, kelp, spirulina, agar, laver, and wakame.</t>
  </si>
  <si>
    <t>Sugarcane, sugar</t>
  </si>
  <si>
    <t>dry weight of cane sugar (sucrose)</t>
  </si>
  <si>
    <t>Sugarcane, molasses</t>
  </si>
  <si>
    <t>Includes blackstrap molasses.</t>
  </si>
  <si>
    <t>Tea, dried</t>
  </si>
  <si>
    <t>dry weight of tea leaves</t>
  </si>
  <si>
    <t>Tea, instant</t>
  </si>
  <si>
    <t>dry weight of powder</t>
  </si>
  <si>
    <t>proxy diff between tea and instant tea, from coffee</t>
  </si>
  <si>
    <t>tea</t>
  </si>
  <si>
    <t>Vinegar</t>
  </si>
  <si>
    <t>Weight of vinegar made from apple, grape or rice juice in recipe</t>
  </si>
  <si>
    <t>Water chestnut</t>
  </si>
  <si>
    <t>weight of tuber</t>
  </si>
  <si>
    <t>proxies: the range under each "sub type" header is given the name in column A, and used to look up proxy values in Food Impact Database</t>
  </si>
  <si>
    <t>SUB TYPE</t>
  </si>
  <si>
    <t>brassica greens</t>
  </si>
  <si>
    <t>brassica roots</t>
  </si>
  <si>
    <t>tropical_citrus</t>
  </si>
  <si>
    <t>dried herbs</t>
  </si>
  <si>
    <t>fresh herbs</t>
  </si>
  <si>
    <t>(no roots)</t>
  </si>
  <si>
    <t>(no processed)</t>
  </si>
  <si>
    <t>tree fruit</t>
  </si>
  <si>
    <t>Fluid Milk_Cow</t>
  </si>
  <si>
    <t>tropical fruit</t>
  </si>
  <si>
    <t>ruminant_meat</t>
  </si>
  <si>
    <t>nonruminant_meat</t>
  </si>
  <si>
    <t>liter eq. / kg</t>
  </si>
  <si>
    <t>Almondswithshell</t>
  </si>
  <si>
    <t>Apples</t>
  </si>
  <si>
    <t>Apricots</t>
  </si>
  <si>
    <t>Artichokes</t>
  </si>
  <si>
    <t>Avocados</t>
  </si>
  <si>
    <t>Bananas</t>
  </si>
  <si>
    <t>Barley</t>
  </si>
  <si>
    <t>Beansdry</t>
  </si>
  <si>
    <t>Blueberries</t>
  </si>
  <si>
    <t>Broadbeanshorsebeansdry</t>
  </si>
  <si>
    <t>Cabbagesandotherbrassicas</t>
  </si>
  <si>
    <t>Carobs</t>
  </si>
  <si>
    <t>Carrotsandturnips</t>
  </si>
  <si>
    <t>Cashewnutswithshell</t>
  </si>
  <si>
    <t>Cauliflowersandbroccoli</t>
  </si>
  <si>
    <t>Cherries</t>
  </si>
  <si>
    <t>chstnut</t>
  </si>
  <si>
    <t>Chickpeas</t>
  </si>
  <si>
    <t>Chilliesandpeppersgreen</t>
  </si>
  <si>
    <t>Cinnamon_canella</t>
  </si>
  <si>
    <t>Cocoabeans</t>
  </si>
  <si>
    <t>Coconuts</t>
  </si>
  <si>
    <t>Cowpeasdry</t>
  </si>
  <si>
    <t>Cranberries</t>
  </si>
  <si>
    <t>Cucumbersandgherkins</t>
  </si>
  <si>
    <t>Currants</t>
  </si>
  <si>
    <t>Dates</t>
  </si>
  <si>
    <t>Eggplants_aubergines</t>
  </si>
  <si>
    <t>Figs</t>
  </si>
  <si>
    <t>Garlic</t>
  </si>
  <si>
    <t>Gooseberries</t>
  </si>
  <si>
    <t>Grapes</t>
  </si>
  <si>
    <t>Grapefruit_incpomelos</t>
  </si>
  <si>
    <t>Maizegreen</t>
  </si>
  <si>
    <t>Onions_incshallotsgreen</t>
  </si>
  <si>
    <t>Peasgreen</t>
  </si>
  <si>
    <t>Hazelnutswithshell</t>
  </si>
  <si>
    <t>Kiwifruit</t>
  </si>
  <si>
    <t>Lemonsandlimes</t>
  </si>
  <si>
    <t>Lentils</t>
  </si>
  <si>
    <t>Lettuceandchicory</t>
  </si>
  <si>
    <t>Linseed</t>
  </si>
  <si>
    <t>Maize</t>
  </si>
  <si>
    <t>Mangoesmangosteensguavas</t>
  </si>
  <si>
    <t>Othermelons_inccantaloupes</t>
  </si>
  <si>
    <t>Melonseed</t>
  </si>
  <si>
    <t>Millet</t>
  </si>
  <si>
    <t>Oats</t>
  </si>
  <si>
    <t>Oilpalmfruit</t>
  </si>
  <si>
    <t>Olives</t>
  </si>
  <si>
    <t>Onionsdry</t>
  </si>
  <si>
    <t>Oranges</t>
  </si>
  <si>
    <t>Papayas</t>
  </si>
  <si>
    <t>Peasdry</t>
  </si>
  <si>
    <t>peachetc</t>
  </si>
  <si>
    <t>Pears</t>
  </si>
  <si>
    <t>Pepper_Piperspp</t>
  </si>
  <si>
    <t>Chilliesandpeppersdry</t>
  </si>
  <si>
    <t>Pineapples</t>
  </si>
  <si>
    <t>Pistachios</t>
  </si>
  <si>
    <t>Plantains</t>
  </si>
  <si>
    <t>Plumsandsloes</t>
  </si>
  <si>
    <t>Poppyseed</t>
  </si>
  <si>
    <t>Potatoes</t>
  </si>
  <si>
    <t>Pumpkinssquashandgourds</t>
  </si>
  <si>
    <t>Rapeseed</t>
  </si>
  <si>
    <t>Raspberries</t>
  </si>
  <si>
    <t>Ricepaddy</t>
  </si>
  <si>
    <t>Rye</t>
  </si>
  <si>
    <t>Safflowerseed</t>
  </si>
  <si>
    <t>Sesameseed</t>
  </si>
  <si>
    <t>Sorghum</t>
  </si>
  <si>
    <t>Soybeans</t>
  </si>
  <si>
    <t>Strawberries</t>
  </si>
  <si>
    <t>Stringbeans</t>
  </si>
  <si>
    <t>Sugarbeet</t>
  </si>
  <si>
    <t>Sugarcane</t>
  </si>
  <si>
    <t>Sunflowerseed</t>
  </si>
  <si>
    <t>Sweetpotatoes</t>
  </si>
  <si>
    <t>Tangerinesmandarinsclem</t>
  </si>
  <si>
    <t>Taro_cocoyam</t>
  </si>
  <si>
    <t>Tea</t>
  </si>
  <si>
    <t>Tomatoes</t>
  </si>
  <si>
    <t>Triticale</t>
  </si>
  <si>
    <t>Walnutswithshell</t>
  </si>
  <si>
    <t>Watermelons</t>
  </si>
  <si>
    <t>Wheat</t>
  </si>
  <si>
    <t>Yams</t>
  </si>
  <si>
    <t>Yautia_cocoyam</t>
  </si>
  <si>
    <t>eggs</t>
  </si>
  <si>
    <t>chicken meat</t>
  </si>
  <si>
    <t>turkey meat</t>
  </si>
  <si>
    <t>whole milk</t>
  </si>
  <si>
    <t>pork</t>
  </si>
  <si>
    <t>ZERO</t>
  </si>
  <si>
    <t>beef combined</t>
  </si>
  <si>
    <t>other spices</t>
  </si>
  <si>
    <t>Coffee total</t>
  </si>
  <si>
    <t>PROXY</t>
  </si>
  <si>
    <t>DB value</t>
  </si>
  <si>
    <t>apricot</t>
  </si>
  <si>
    <t>poultry</t>
  </si>
  <si>
    <t>coffee</t>
  </si>
  <si>
    <t>cranberry</t>
  </si>
  <si>
    <t>dasheen</t>
  </si>
  <si>
    <t>fig</t>
  </si>
  <si>
    <t>oats</t>
  </si>
  <si>
    <t>peasdry</t>
  </si>
  <si>
    <t>peasgreen</t>
  </si>
  <si>
    <t>peanut</t>
  </si>
  <si>
    <t>plantain</t>
  </si>
  <si>
    <t>plum</t>
  </si>
  <si>
    <t xml:space="preserve">groundnuts,shelled </t>
  </si>
  <si>
    <t>raspberry</t>
  </si>
  <si>
    <t>rye</t>
  </si>
  <si>
    <t>sesame</t>
  </si>
  <si>
    <t>soybean</t>
  </si>
  <si>
    <t>tangerine</t>
  </si>
  <si>
    <t>watermelon</t>
  </si>
  <si>
    <t>wheat</t>
  </si>
  <si>
    <t>barley</t>
  </si>
  <si>
    <t>cassava</t>
  </si>
  <si>
    <t>water</t>
  </si>
  <si>
    <t>flax</t>
  </si>
  <si>
    <t>olive</t>
  </si>
  <si>
    <t>sunflower</t>
  </si>
  <si>
    <t>Water scarcity footprint</t>
  </si>
  <si>
    <t>blue water consumption</t>
  </si>
  <si>
    <t>L /kg</t>
  </si>
  <si>
    <t>uncharacterized</t>
  </si>
  <si>
    <t>GREEN WATER USE</t>
  </si>
  <si>
    <t>green water consumed (L/kg)</t>
  </si>
  <si>
    <t>sweetpotato</t>
  </si>
  <si>
    <t>4.5% soybean</t>
  </si>
  <si>
    <t>USDA ag handbook #697</t>
  </si>
  <si>
    <t/>
  </si>
  <si>
    <t>fraction of BW from imports</t>
  </si>
  <si>
    <t>fraction of WSI from imports</t>
  </si>
  <si>
    <t>number of times specific commodity appears in FCID recipe files</t>
  </si>
  <si>
    <t>Comments (from FCID)</t>
  </si>
  <si>
    <t>Weight_Basis as defined by FCID</t>
  </si>
  <si>
    <t>UTILIZED IMPACT FACTORS</t>
  </si>
  <si>
    <t>Weight conversion factor</t>
  </si>
  <si>
    <t>PROXY? (yes if RED)</t>
  </si>
  <si>
    <t>crop description in Pfister &amp; Bayer</t>
  </si>
  <si>
    <t>DATA DEVELOPED FOR US MARKET ONLY                  (not applicable to other regions)</t>
  </si>
  <si>
    <t>http://fcid.foodrisk.org/</t>
  </si>
  <si>
    <t xml:space="preserve">FCID commodity codes can then be used to link to NHANES datasets. </t>
  </si>
  <si>
    <t>The methods used to compile this database are described in the journal article:</t>
  </si>
  <si>
    <t>Workbook Contents</t>
  </si>
  <si>
    <t>FCID Linkages</t>
  </si>
  <si>
    <t>PROXY def'ns</t>
  </si>
  <si>
    <t>contains proxy definitions used to fill FICD commodities without direct matches.</t>
  </si>
  <si>
    <t>Welcome to dataFIELD_water version 1.0 - (database of Food Impacts on the Environment for Linking to Diets)</t>
  </si>
  <si>
    <t>dataFIELD_water links water scarcity intensity (WSI) and blue water intensity associated with PRODUCTION of food commodities to the 2005-2010 FCID commodity codes.</t>
  </si>
  <si>
    <t>Blue water use and water scarcity intensity were developed through a regionally explicit method.</t>
  </si>
  <si>
    <t>Therefore, the values contained here are appropriate only for FOOD AVAILABILITY IN THE US MARKET</t>
  </si>
  <si>
    <t xml:space="preserve">Heller, M.C., Willits-Smith, A., Mahon, T., Keoleian, G.A., and Rose, D. Individual US diets show wide variation in water scarcity footprints. Nat Food 2, 255–263 (2021). </t>
  </si>
  <si>
    <t>https://doi.org/10.1038/s43016-021-00256-2</t>
  </si>
  <si>
    <t xml:space="preserve">below are brief descriptions of the sheets in this workbook.  </t>
  </si>
  <si>
    <t>contains final (utlized) impact factors.  Assigns impact factors to FCID commodities, assigns proxies, and executes necessary mass conversions. Also contains fraction of both WSI and BWI derived from imports</t>
  </si>
  <si>
    <t>LASTING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</si>
</sst>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43" formatCode="_(* #,##0.00_);_(* \(#,##0.00\);_(* &quot;-&quot;??_);_(@_)"/>
    <numFmt numFmtId="164" formatCode="mmmm\ d\,\ yyyy"/>
  </numFmts>
  <fonts count="21" x14ac:knownFonts="1">
    <font>
      <sz val="12"/>
      <color rgb="FF000000"/>
      <name val="Calibri"/>
    </font>
    <font>
      <sz val="11"/>
      <color rgb="FF000000"/>
      <name val="Calibri"/>
      <family val="2"/>
    </font>
    <font>
      <b/>
      <sz val="14"/>
      <color rgb="FF000000"/>
      <name val="Calibri"/>
      <family val="2"/>
    </font>
    <font>
      <b/>
      <sz val="11"/>
      <color rgb="FF000000"/>
      <name val="Calibri"/>
      <family val="2"/>
    </font>
    <font>
      <b/>
      <sz val="12"/>
      <color rgb="FF000000"/>
      <name val="Calibri"/>
      <family val="2"/>
    </font>
    <font>
      <sz val="12"/>
      <color rgb="FF000000"/>
      <name val="Calibri"/>
      <family val="2"/>
    </font>
    <font>
      <sz val="11"/>
      <color rgb="FF000000"/>
      <name val="Calibri"/>
      <family val="2"/>
      <scheme val="minor"/>
    </font>
    <font>
      <sz val="11"/>
      <name val="Calibri"/>
      <family val="2"/>
      <scheme val="minor"/>
    </font>
    <font>
      <b/>
      <sz val="9"/>
      <color indexed="81"/>
      <name val="Calibri"/>
      <family val="2"/>
    </font>
    <font>
      <sz val="9"/>
      <color indexed="81"/>
      <name val="Calibri"/>
      <family val="2"/>
    </font>
    <font>
      <sz val="10"/>
      <name val="Arial"/>
      <family val="2"/>
    </font>
    <font>
      <u/>
      <sz val="12"/>
      <color theme="10"/>
      <name val="Calibri"/>
      <family val="2"/>
    </font>
    <font>
      <u/>
      <sz val="12"/>
      <color theme="11"/>
      <name val="Calibri"/>
      <family val="2"/>
    </font>
    <font>
      <sz val="12"/>
      <color rgb="FF000000"/>
      <name val="Calibri"/>
      <family val="2"/>
    </font>
    <font>
      <sz val="9"/>
      <color indexed="81"/>
      <name val="Tahoma"/>
      <family val="2"/>
    </font>
    <font>
      <b/>
      <sz val="9"/>
      <color indexed="81"/>
      <name val="Tahoma"/>
      <family val="2"/>
    </font>
    <font>
      <sz val="14"/>
      <color rgb="FF000000"/>
      <name val="Calibri"/>
      <family val="2"/>
    </font>
    <font>
      <sz val="16"/>
      <color rgb="FF000000"/>
      <name val="Calibri"/>
      <family val="2"/>
    </font>
    <font>
      <b/>
      <sz val="12"/>
      <color rgb="FFFF0000"/>
      <name val="Calibri"/>
      <family val="2"/>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0" tint="-0.499984740745262"/>
        <bgColor indexed="64"/>
      </patternFill>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bgColor rgb="FFFFFF00"/>
      </patternFill>
    </fill>
    <fill>
      <patternFill patternType="solid">
        <fgColor rgb="FFC7DBF1"/>
        <bgColor rgb="FFC7DBF1"/>
      </patternFill>
    </fill>
    <fill>
      <patternFill patternType="solid">
        <fgColor theme="7" tint="0.59999389629810485"/>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1" tint="0.499984740745262"/>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top style="medium">
        <color auto="1"/>
      </top>
      <bottom style="thin">
        <color auto="1"/>
      </bottom>
      <diagonal/>
    </border>
    <border>
      <left style="medium">
        <color auto="1"/>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double">
        <color auto="1"/>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bottom style="medium">
        <color auto="1"/>
      </bottom>
      <diagonal/>
    </border>
  </borders>
  <cellStyleXfs count="335">
    <xf numFmtId="0" fontId="0" fillId="0" borderId="0"/>
    <xf numFmtId="0" fontId="1" fillId="0" borderId="0"/>
    <xf numFmtId="3" fontId="10" fillId="0" borderId="0" applyFill="0" applyBorder="0" applyAlignment="0" applyProtection="0"/>
    <xf numFmtId="3" fontId="10" fillId="0" borderId="0" applyFill="0" applyBorder="0" applyAlignment="0" applyProtection="0"/>
    <xf numFmtId="3" fontId="10" fillId="0" borderId="0" applyFill="0" applyBorder="0" applyAlignment="0" applyProtection="0"/>
    <xf numFmtId="3" fontId="10" fillId="0" borderId="0" applyFill="0" applyBorder="0" applyAlignment="0" applyProtection="0"/>
    <xf numFmtId="3" fontId="10" fillId="0" borderId="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5" fontId="10" fillId="0" borderId="0" applyFill="0" applyBorder="0" applyAlignment="0" applyProtection="0"/>
    <xf numFmtId="5" fontId="10" fillId="0" borderId="0" applyFill="0" applyBorder="0" applyAlignment="0" applyProtection="0"/>
    <xf numFmtId="5" fontId="10" fillId="0" borderId="0" applyFill="0" applyBorder="0" applyAlignment="0" applyProtection="0"/>
    <xf numFmtId="5" fontId="10" fillId="0" borderId="0" applyFill="0" applyBorder="0" applyAlignment="0" applyProtection="0"/>
    <xf numFmtId="5"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2" fontId="10" fillId="0" borderId="0" applyFill="0" applyBorder="0" applyAlignment="0" applyProtection="0"/>
    <xf numFmtId="2" fontId="10" fillId="0" borderId="0" applyFill="0" applyBorder="0" applyAlignment="0" applyProtection="0"/>
    <xf numFmtId="2" fontId="10" fillId="0" borderId="0" applyFill="0" applyBorder="0" applyAlignment="0" applyProtection="0"/>
    <xf numFmtId="2" fontId="10" fillId="0" borderId="0" applyFill="0" applyBorder="0" applyAlignment="0" applyProtection="0"/>
    <xf numFmtId="2" fontId="10" fillId="0" borderId="0" applyFill="0" applyBorder="0" applyAlignment="0" applyProtection="0"/>
    <xf numFmtId="0" fontId="10" fillId="0" borderId="0"/>
    <xf numFmtId="0" fontId="10" fillId="0" borderId="0"/>
    <xf numFmtId="0" fontId="10" fillId="0" borderId="20" applyNumberFormat="0" applyFill="0" applyAlignment="0" applyProtection="0"/>
    <xf numFmtId="0" fontId="10" fillId="0" borderId="20" applyNumberFormat="0" applyFill="0" applyAlignment="0" applyProtection="0"/>
    <xf numFmtId="0" fontId="10" fillId="0" borderId="20" applyNumberFormat="0" applyFill="0" applyAlignment="0" applyProtection="0"/>
    <xf numFmtId="0" fontId="10" fillId="0" borderId="20"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43"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cellStyleXfs>
  <cellXfs count="92">
    <xf numFmtId="0" fontId="0" fillId="0" borderId="0" xfId="0"/>
    <xf numFmtId="0" fontId="1" fillId="2" borderId="0" xfId="1" applyFill="1" applyAlignment="1">
      <alignment vertical="center"/>
    </xf>
    <xf numFmtId="0" fontId="0" fillId="0" borderId="0" xfId="0" applyAlignment="1">
      <alignment vertical="center"/>
    </xf>
    <xf numFmtId="0" fontId="5" fillId="2" borderId="0" xfId="1" applyFont="1" applyFill="1" applyAlignment="1">
      <alignment vertical="center"/>
    </xf>
    <xf numFmtId="0" fontId="3" fillId="0" borderId="4" xfId="1" applyFont="1" applyBorder="1" applyAlignment="1">
      <alignment horizontal="center" vertical="center" wrapText="1"/>
    </xf>
    <xf numFmtId="0" fontId="5" fillId="0" borderId="0" xfId="0" applyFont="1" applyAlignment="1">
      <alignment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1" fontId="3" fillId="0" borderId="3" xfId="1" applyNumberFormat="1" applyFont="1" applyBorder="1" applyAlignment="1">
      <alignment vertical="center" wrapText="1"/>
    </xf>
    <xf numFmtId="0" fontId="4" fillId="0" borderId="0" xfId="0" applyFont="1" applyAlignment="1">
      <alignment vertical="center"/>
    </xf>
    <xf numFmtId="0" fontId="6" fillId="0" borderId="6" xfId="1" applyFont="1" applyBorder="1" applyAlignment="1">
      <alignment vertical="center"/>
    </xf>
    <xf numFmtId="0" fontId="6" fillId="0" borderId="8" xfId="1" applyFont="1" applyBorder="1" applyAlignment="1">
      <alignment vertical="center"/>
    </xf>
    <xf numFmtId="1" fontId="6" fillId="0" borderId="13" xfId="1" applyNumberFormat="1" applyFont="1" applyBorder="1" applyAlignment="1">
      <alignment horizontal="center" vertical="center"/>
    </xf>
    <xf numFmtId="0" fontId="6" fillId="0" borderId="15" xfId="1" applyFont="1" applyBorder="1" applyAlignment="1">
      <alignment vertical="center"/>
    </xf>
    <xf numFmtId="1" fontId="6" fillId="0" borderId="14" xfId="1" applyNumberFormat="1" applyFont="1" applyBorder="1" applyAlignment="1">
      <alignment horizontal="center" vertical="center"/>
    </xf>
    <xf numFmtId="0" fontId="1" fillId="0" borderId="0" xfId="0" applyFont="1" applyAlignment="1">
      <alignment vertical="center"/>
    </xf>
    <xf numFmtId="0" fontId="1" fillId="3" borderId="5" xfId="0" applyFont="1" applyFill="1" applyBorder="1" applyAlignment="1">
      <alignment vertical="center"/>
    </xf>
    <xf numFmtId="0" fontId="6" fillId="0" borderId="16" xfId="1" applyFont="1" applyBorder="1" applyAlignment="1">
      <alignment vertical="center"/>
    </xf>
    <xf numFmtId="0" fontId="6" fillId="0" borderId="5" xfId="1" applyFont="1" applyBorder="1" applyAlignment="1">
      <alignment vertical="center"/>
    </xf>
    <xf numFmtId="0" fontId="6" fillId="4" borderId="5" xfId="0" applyFont="1" applyFill="1" applyBorder="1"/>
    <xf numFmtId="0" fontId="6" fillId="4" borderId="5" xfId="1" applyFont="1" applyFill="1" applyBorder="1" applyAlignment="1">
      <alignment vertical="center" wrapText="1"/>
    </xf>
    <xf numFmtId="1" fontId="6" fillId="0" borderId="15" xfId="1" applyNumberFormat="1" applyFont="1" applyBorder="1" applyAlignment="1">
      <alignment horizontal="center" vertical="center"/>
    </xf>
    <xf numFmtId="0" fontId="6" fillId="6" borderId="16" xfId="1" applyFont="1" applyFill="1" applyBorder="1" applyAlignment="1">
      <alignment vertical="center"/>
    </xf>
    <xf numFmtId="0" fontId="6" fillId="6" borderId="5" xfId="1" applyFont="1" applyFill="1" applyBorder="1" applyAlignment="1">
      <alignment vertical="center"/>
    </xf>
    <xf numFmtId="1" fontId="6" fillId="4" borderId="15" xfId="1" applyNumberFormat="1" applyFont="1" applyFill="1" applyBorder="1" applyAlignment="1">
      <alignment horizontal="center" vertical="center"/>
    </xf>
    <xf numFmtId="0" fontId="6" fillId="4" borderId="5" xfId="1" applyFont="1" applyFill="1" applyBorder="1" applyAlignment="1">
      <alignment vertical="center"/>
    </xf>
    <xf numFmtId="0" fontId="6" fillId="0" borderId="5" xfId="0" applyFont="1" applyBorder="1"/>
    <xf numFmtId="0" fontId="0" fillId="0" borderId="15" xfId="0" applyBorder="1"/>
    <xf numFmtId="0" fontId="6" fillId="0" borderId="5" xfId="1" applyFont="1" applyBorder="1" applyAlignment="1">
      <alignment horizontal="left" vertical="center"/>
    </xf>
    <xf numFmtId="0" fontId="6" fillId="0" borderId="0" xfId="1" applyFont="1" applyAlignment="1">
      <alignment vertical="center"/>
    </xf>
    <xf numFmtId="0" fontId="6" fillId="4" borderId="16" xfId="1" applyFont="1" applyFill="1" applyBorder="1" applyAlignment="1">
      <alignment vertical="center"/>
    </xf>
    <xf numFmtId="0" fontId="6" fillId="0" borderId="17" xfId="1" applyFont="1" applyBorder="1" applyAlignment="1">
      <alignment vertical="center"/>
    </xf>
    <xf numFmtId="0" fontId="6" fillId="0" borderId="18" xfId="1" applyFont="1" applyBorder="1" applyAlignment="1">
      <alignment vertical="center"/>
    </xf>
    <xf numFmtId="0" fontId="6" fillId="4" borderId="18" xfId="0" applyFont="1" applyFill="1" applyBorder="1"/>
    <xf numFmtId="1" fontId="6" fillId="0" borderId="19" xfId="1" applyNumberFormat="1" applyFont="1" applyBorder="1" applyAlignment="1">
      <alignment horizontal="center" vertical="center"/>
    </xf>
    <xf numFmtId="0" fontId="6" fillId="0" borderId="19" xfId="1" applyFont="1" applyBorder="1" applyAlignment="1">
      <alignment vertical="center"/>
    </xf>
    <xf numFmtId="0" fontId="1" fillId="0" borderId="0" xfId="1" applyAlignment="1">
      <alignment vertical="center"/>
    </xf>
    <xf numFmtId="0" fontId="0" fillId="0" borderId="0" xfId="0" applyAlignment="1">
      <alignment horizontal="center" vertical="center"/>
    </xf>
    <xf numFmtId="1" fontId="0" fillId="0" borderId="0" xfId="0" applyNumberForma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left" vertical="center"/>
    </xf>
    <xf numFmtId="0" fontId="2" fillId="0" borderId="0" xfId="0" applyFont="1"/>
    <xf numFmtId="0" fontId="2" fillId="7" borderId="21" xfId="0" applyFont="1" applyFill="1" applyBorder="1" applyAlignment="1">
      <alignment horizontal="center" vertical="center" wrapText="1"/>
    </xf>
    <xf numFmtId="0" fontId="6" fillId="0" borderId="22" xfId="1" applyFont="1" applyBorder="1" applyAlignment="1">
      <alignment vertical="center"/>
    </xf>
    <xf numFmtId="1" fontId="1" fillId="0" borderId="14" xfId="0" applyNumberFormat="1" applyFont="1" applyBorder="1" applyAlignment="1">
      <alignment horizontal="center" vertical="center"/>
    </xf>
    <xf numFmtId="1" fontId="6" fillId="0" borderId="23" xfId="1" applyNumberFormat="1" applyFont="1" applyBorder="1" applyAlignment="1">
      <alignment horizontal="center" vertical="center"/>
    </xf>
    <xf numFmtId="1" fontId="6" fillId="5" borderId="14" xfId="1" applyNumberFormat="1" applyFont="1" applyFill="1" applyBorder="1" applyAlignment="1">
      <alignment horizontal="center" vertical="center"/>
    </xf>
    <xf numFmtId="0" fontId="7" fillId="0" borderId="15" xfId="1" applyFont="1" applyBorder="1" applyAlignment="1">
      <alignment vertical="center"/>
    </xf>
    <xf numFmtId="0" fontId="6" fillId="4" borderId="15" xfId="1" applyFont="1" applyFill="1" applyBorder="1" applyAlignment="1">
      <alignment vertical="center"/>
    </xf>
    <xf numFmtId="0" fontId="4" fillId="9" borderId="5" xfId="0" applyFont="1" applyFill="1" applyBorder="1" applyAlignment="1">
      <alignment vertical="center" wrapText="1"/>
    </xf>
    <xf numFmtId="2" fontId="1" fillId="10" borderId="5" xfId="0" applyNumberFormat="1" applyFont="1" applyFill="1" applyBorder="1" applyAlignment="1">
      <alignment vertical="center"/>
    </xf>
    <xf numFmtId="0" fontId="0" fillId="10" borderId="5" xfId="0" applyFill="1" applyBorder="1" applyAlignment="1">
      <alignment vertical="center"/>
    </xf>
    <xf numFmtId="1" fontId="6" fillId="4" borderId="14" xfId="1" applyNumberFormat="1" applyFont="1" applyFill="1" applyBorder="1" applyAlignment="1">
      <alignment horizontal="center" vertical="center"/>
    </xf>
    <xf numFmtId="0" fontId="6" fillId="4" borderId="8" xfId="0" applyFont="1" applyFill="1" applyBorder="1"/>
    <xf numFmtId="0" fontId="0" fillId="0" borderId="5" xfId="0" applyBorder="1"/>
    <xf numFmtId="0" fontId="6" fillId="4" borderId="0" xfId="0" applyFont="1" applyFill="1"/>
    <xf numFmtId="0" fontId="0" fillId="4" borderId="5" xfId="0" applyFill="1" applyBorder="1"/>
    <xf numFmtId="0" fontId="6" fillId="4" borderId="0" xfId="1" applyFont="1" applyFill="1" applyAlignment="1">
      <alignment vertical="center"/>
    </xf>
    <xf numFmtId="0" fontId="1" fillId="0" borderId="15" xfId="0" applyFont="1" applyBorder="1" applyAlignment="1">
      <alignment vertical="center"/>
    </xf>
    <xf numFmtId="0" fontId="6" fillId="4" borderId="8" xfId="1" applyFont="1" applyFill="1" applyBorder="1" applyAlignment="1">
      <alignment vertical="center"/>
    </xf>
    <xf numFmtId="0" fontId="6" fillId="4" borderId="5" xfId="1" applyFont="1" applyFill="1" applyBorder="1" applyAlignment="1">
      <alignment horizontal="left" vertical="center"/>
    </xf>
    <xf numFmtId="0" fontId="6" fillId="4" borderId="18" xfId="1" applyFont="1" applyFill="1" applyBorder="1" applyAlignment="1">
      <alignment vertical="center"/>
    </xf>
    <xf numFmtId="2" fontId="1" fillId="0" borderId="5" xfId="0" applyNumberFormat="1" applyFont="1" applyBorder="1" applyAlignment="1">
      <alignment vertical="center"/>
    </xf>
    <xf numFmtId="0" fontId="4" fillId="0" borderId="0" xfId="0" applyFont="1" applyAlignment="1">
      <alignment vertical="center" wrapText="1"/>
    </xf>
    <xf numFmtId="1" fontId="4" fillId="8" borderId="6" xfId="1" applyNumberFormat="1" applyFont="1" applyFill="1" applyBorder="1" applyAlignment="1">
      <alignment horizontal="center" vertical="center" wrapText="1"/>
    </xf>
    <xf numFmtId="1" fontId="4" fillId="8" borderId="7" xfId="1" applyNumberFormat="1" applyFont="1" applyFill="1" applyBorder="1" applyAlignment="1">
      <alignment horizontal="center" vertical="center" wrapText="1"/>
    </xf>
    <xf numFmtId="1" fontId="4" fillId="8" borderId="11" xfId="0" applyNumberFormat="1" applyFont="1" applyFill="1" applyBorder="1" applyAlignment="1">
      <alignment horizontal="center" vertical="center"/>
    </xf>
    <xf numFmtId="1" fontId="4" fillId="8" borderId="12" xfId="0" applyNumberFormat="1" applyFont="1" applyFill="1" applyBorder="1" applyAlignment="1">
      <alignment horizontal="center" vertical="center"/>
    </xf>
    <xf numFmtId="1" fontId="6" fillId="0" borderId="6" xfId="1" applyNumberFormat="1" applyFont="1" applyBorder="1" applyAlignment="1">
      <alignment horizontal="center" vertical="center"/>
    </xf>
    <xf numFmtId="1" fontId="6" fillId="0" borderId="8" xfId="1" applyNumberFormat="1" applyFont="1" applyBorder="1" applyAlignment="1">
      <alignment horizontal="center" vertical="center"/>
    </xf>
    <xf numFmtId="0" fontId="4" fillId="0" borderId="0" xfId="1" applyFont="1" applyAlignment="1">
      <alignment horizontal="center" vertical="center" wrapText="1"/>
    </xf>
    <xf numFmtId="0" fontId="4" fillId="0" borderId="3" xfId="1" applyFont="1" applyBorder="1" applyAlignment="1">
      <alignment horizontal="center" vertical="center" wrapText="1"/>
    </xf>
    <xf numFmtId="0" fontId="4" fillId="11" borderId="0" xfId="1" applyFont="1" applyFill="1" applyAlignment="1">
      <alignment horizontal="center" vertical="center"/>
    </xf>
    <xf numFmtId="0" fontId="3" fillId="11" borderId="0" xfId="1" applyFont="1" applyFill="1" applyAlignment="1">
      <alignment horizontal="center" vertical="center" wrapText="1"/>
    </xf>
    <xf numFmtId="0" fontId="13" fillId="9" borderId="24" xfId="0" applyFont="1" applyFill="1" applyBorder="1" applyAlignment="1">
      <alignment vertical="center"/>
    </xf>
    <xf numFmtId="0" fontId="3" fillId="11" borderId="0" xfId="1" applyFont="1" applyFill="1" applyAlignment="1">
      <alignment vertical="center" wrapText="1"/>
    </xf>
    <xf numFmtId="0" fontId="3" fillId="11" borderId="0" xfId="1" applyFont="1" applyFill="1" applyAlignment="1">
      <alignment vertical="center"/>
    </xf>
    <xf numFmtId="0" fontId="4" fillId="11" borderId="0" xfId="1" applyFont="1" applyFill="1" applyAlignment="1">
      <alignment horizontal="center" vertical="center" wrapText="1"/>
    </xf>
    <xf numFmtId="0" fontId="5" fillId="11" borderId="0" xfId="0" applyFont="1" applyFill="1" applyAlignment="1">
      <alignment vertical="center"/>
    </xf>
    <xf numFmtId="0" fontId="5" fillId="0" borderId="0" xfId="1" applyFont="1" applyAlignment="1">
      <alignment horizontal="center" vertical="center" wrapText="1"/>
    </xf>
    <xf numFmtId="0" fontId="2" fillId="0" borderId="0" xfId="333" applyFont="1"/>
    <xf numFmtId="0" fontId="5" fillId="0" borderId="0" xfId="333"/>
    <xf numFmtId="0" fontId="11" fillId="0" borderId="0" xfId="334" applyAlignment="1" applyProtection="1"/>
    <xf numFmtId="0" fontId="16" fillId="0" borderId="0" xfId="333" applyFont="1"/>
    <xf numFmtId="0" fontId="18" fillId="0" borderId="0" xfId="333" applyFont="1"/>
    <xf numFmtId="0" fontId="17" fillId="2" borderId="0" xfId="1" applyFont="1" applyFill="1" applyAlignment="1">
      <alignment horizontal="center" vertical="center" wrapText="1"/>
    </xf>
    <xf numFmtId="0" fontId="17" fillId="2" borderId="25" xfId="1" applyFont="1" applyFill="1" applyBorder="1" applyAlignment="1">
      <alignment horizontal="center" vertical="center" wrapText="1"/>
    </xf>
    <xf numFmtId="1" fontId="2" fillId="8" borderId="1" xfId="1" applyNumberFormat="1" applyFont="1" applyFill="1" applyBorder="1" applyAlignment="1">
      <alignment horizontal="center" vertical="center"/>
    </xf>
    <xf numFmtId="1" fontId="2" fillId="8" borderId="2" xfId="1" applyNumberFormat="1" applyFont="1" applyFill="1" applyBorder="1" applyAlignment="1">
      <alignment horizontal="center" vertical="center"/>
    </xf>
    <xf numFmtId="1" fontId="3" fillId="11" borderId="0" xfId="1" applyNumberFormat="1" applyFont="1" applyFill="1" applyAlignment="1">
      <alignment horizontal="center" vertical="center" wrapText="1"/>
    </xf>
    <xf numFmtId="0" fontId="0" fillId="11" borderId="0" xfId="1" applyFont="1" applyFill="1" applyAlignment="1">
      <alignment horizontal="center" vertical="center" wrapText="1"/>
    </xf>
  </cellXfs>
  <cellStyles count="335">
    <cellStyle name="Comma 2" xfId="206" xr:uid="{00000000-0005-0000-0000-000000000000}"/>
    <cellStyle name="Comma0" xfId="2" xr:uid="{00000000-0005-0000-0000-000001000000}"/>
    <cellStyle name="Comma0 2" xfId="3" xr:uid="{00000000-0005-0000-0000-000002000000}"/>
    <cellStyle name="Comma0 2 2" xfId="4" xr:uid="{00000000-0005-0000-0000-000003000000}"/>
    <cellStyle name="Comma0 3" xfId="5" xr:uid="{00000000-0005-0000-0000-000004000000}"/>
    <cellStyle name="Comma0 4" xfId="6" xr:uid="{00000000-0005-0000-0000-000005000000}"/>
    <cellStyle name="Currency 2" xfId="7" xr:uid="{00000000-0005-0000-0000-000006000000}"/>
    <cellStyle name="Currency 3" xfId="8" xr:uid="{00000000-0005-0000-0000-000007000000}"/>
    <cellStyle name="Currency0" xfId="9" xr:uid="{00000000-0005-0000-0000-000008000000}"/>
    <cellStyle name="Currency0 2" xfId="10" xr:uid="{00000000-0005-0000-0000-000009000000}"/>
    <cellStyle name="Currency0 2 2" xfId="11" xr:uid="{00000000-0005-0000-0000-00000A000000}"/>
    <cellStyle name="Currency0 3" xfId="12" xr:uid="{00000000-0005-0000-0000-00000B000000}"/>
    <cellStyle name="Currency0 4" xfId="13" xr:uid="{00000000-0005-0000-0000-00000C000000}"/>
    <cellStyle name="Date" xfId="14" xr:uid="{00000000-0005-0000-0000-00000D000000}"/>
    <cellStyle name="Date 2" xfId="15" xr:uid="{00000000-0005-0000-0000-00000E000000}"/>
    <cellStyle name="Date 2 2" xfId="16" xr:uid="{00000000-0005-0000-0000-00000F000000}"/>
    <cellStyle name="Date 3" xfId="17" xr:uid="{00000000-0005-0000-0000-000010000000}"/>
    <cellStyle name="Date 4" xfId="18" xr:uid="{00000000-0005-0000-0000-000011000000}"/>
    <cellStyle name="Fixed" xfId="19" xr:uid="{00000000-0005-0000-0000-000012000000}"/>
    <cellStyle name="Fixed 2" xfId="20" xr:uid="{00000000-0005-0000-0000-000013000000}"/>
    <cellStyle name="Fixed 2 2" xfId="21" xr:uid="{00000000-0005-0000-0000-000014000000}"/>
    <cellStyle name="Fixed 3" xfId="22" xr:uid="{00000000-0005-0000-0000-000015000000}"/>
    <cellStyle name="Fixed 4" xfId="23" xr:uid="{00000000-0005-0000-0000-000016000000}"/>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4" builtinId="8"/>
    <cellStyle name="Normal" xfId="0" builtinId="0"/>
    <cellStyle name="Normal 2" xfId="1" xr:uid="{00000000-0005-0000-0000-000047010000}"/>
    <cellStyle name="Normal 2 2" xfId="24" xr:uid="{00000000-0005-0000-0000-000048010000}"/>
    <cellStyle name="Normal 3" xfId="25" xr:uid="{00000000-0005-0000-0000-000049010000}"/>
    <cellStyle name="Normal 4" xfId="333" xr:uid="{00000000-0005-0000-0000-00004A010000}"/>
    <cellStyle name="Total 2" xfId="26" xr:uid="{00000000-0005-0000-0000-00004B010000}"/>
    <cellStyle name="Total 2 2" xfId="27" xr:uid="{00000000-0005-0000-0000-00004C010000}"/>
    <cellStyle name="Total 3" xfId="28" xr:uid="{00000000-0005-0000-0000-00004D010000}"/>
    <cellStyle name="Total 4" xfId="29" xr:uid="{00000000-0005-0000-0000-00004E010000}"/>
  </cellStyles>
  <dxfs count="5">
    <dxf>
      <font>
        <color theme="0"/>
      </font>
      <fill>
        <patternFill patternType="solid">
          <fgColor indexed="64"/>
          <bgColor rgb="FFFF0000"/>
        </patternFill>
      </fill>
    </dxf>
    <dxf>
      <font>
        <color rgb="FF9C0006"/>
      </font>
      <fill>
        <patternFill>
          <bgColor rgb="FFFFC7CE"/>
        </patternFill>
      </fill>
    </dxf>
    <dxf>
      <font>
        <color rgb="FF9C0006"/>
      </font>
      <fill>
        <patternFill>
          <bgColor rgb="FFFFC7CE"/>
        </patternFill>
      </fill>
    </dxf>
    <dxf>
      <font>
        <color theme="0"/>
      </font>
      <fill>
        <patternFill patternType="solid">
          <fgColor indexed="64"/>
          <bgColor rgb="FFFF0000"/>
        </patternFill>
      </fill>
    </dxf>
    <dxf>
      <fill>
        <patternFill>
          <bgColor theme="5" tint="0.399945066682943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cheller/Google%20Drive/CSS/%20PROJECTS/Wellcome%20project/dataFIELD/dataFIELD%20v1.0%20publ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ty/Google%20Drive/CSS/FOOD%20ENVI%20database/NEW%20ADDITIONS/New%20ENVI%20Inputs/FOOD%20ENVI%20-%20New%20Addition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rty/Google%20Drive/CSS/%20PROJECTS/Wellcome%20project/dataFIELD/dataFIELD%20v1.2%20sha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CRIPTION"/>
      <sheetName val="FCID linkages"/>
      <sheetName val="literature entries"/>
      <sheetName val="Pivot Table_GHG"/>
      <sheetName val="Pivot Table_CED"/>
      <sheetName val="PROXY def'ns"/>
      <sheetName val="MassConv"/>
    </sheetNames>
    <sheetDataSet>
      <sheetData sheetId="0"/>
      <sheetData sheetId="1"/>
      <sheetData sheetId="2"/>
      <sheetData sheetId="3"/>
      <sheetData sheetId="4"/>
      <sheetData sheetId="5">
        <row r="4">
          <cell r="B4" t="str">
            <v>SUB TYPE</v>
          </cell>
        </row>
        <row r="5">
          <cell r="B5" t="str">
            <v>=Blueberry</v>
          </cell>
        </row>
        <row r="6">
          <cell r="B6" t="str">
            <v>=Raspberry</v>
          </cell>
        </row>
        <row r="7">
          <cell r="B7" t="str">
            <v>=Gooseberry</v>
          </cell>
        </row>
        <row r="8">
          <cell r="B8" t="str">
            <v>=Huckleberry</v>
          </cell>
        </row>
        <row r="9">
          <cell r="B9" t="str">
            <v>=strawberry</v>
          </cell>
        </row>
        <row r="10">
          <cell r="B10" t="str">
            <v>=Mulberry</v>
          </cell>
        </row>
        <row r="11">
          <cell r="B11" t="str">
            <v>=blackberry</v>
          </cell>
        </row>
        <row r="12">
          <cell r="B12" t="str">
            <v>=boysenberry</v>
          </cell>
        </row>
        <row r="13">
          <cell r="B13" t="str">
            <v>=Cranberry</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mediate Impacts GHG"/>
      <sheetName val="List Names"/>
    </sheetNames>
    <sheetDataSet>
      <sheetData sheetId="0"/>
      <sheetData sheetId="1">
        <row r="3">
          <cell r="B3" t="str">
            <v>Beverages</v>
          </cell>
          <cell r="C3" t="str">
            <v>Fresh or Not Specified</v>
          </cell>
          <cell r="D3" t="str">
            <v>Yes</v>
          </cell>
          <cell r="E3" t="str">
            <v>Peer Reviewed Journal</v>
          </cell>
        </row>
        <row r="4">
          <cell r="B4" t="str">
            <v>Cereals and Grains</v>
          </cell>
          <cell r="C4" t="str">
            <v>Canned</v>
          </cell>
          <cell r="D4" t="str">
            <v>No</v>
          </cell>
          <cell r="E4" t="str">
            <v>Conference Proceedings</v>
          </cell>
        </row>
        <row r="5">
          <cell r="B5" t="str">
            <v>Dairy</v>
          </cell>
          <cell r="C5" t="str">
            <v>Frozen</v>
          </cell>
          <cell r="E5" t="str">
            <v>Government Report</v>
          </cell>
        </row>
        <row r="6">
          <cell r="B6" t="str">
            <v>Eggs</v>
          </cell>
          <cell r="C6" t="str">
            <v>Dried</v>
          </cell>
          <cell r="E6" t="str">
            <v>Industry Based Report</v>
          </cell>
        </row>
        <row r="7">
          <cell r="B7" t="str">
            <v>Fish and Seafood</v>
          </cell>
          <cell r="C7" t="str">
            <v>Cured or Pickled</v>
          </cell>
          <cell r="E7" t="str">
            <v>NGO Report</v>
          </cell>
        </row>
        <row r="8">
          <cell r="B8" t="str">
            <v>Fruit</v>
          </cell>
          <cell r="C8" t="str">
            <v>Other (Specify)</v>
          </cell>
          <cell r="E8" t="str">
            <v>Database</v>
          </cell>
        </row>
        <row r="9">
          <cell r="B9" t="str">
            <v>Legumes and Nuts</v>
          </cell>
          <cell r="E9" t="str">
            <v>Other (specify)</v>
          </cell>
        </row>
        <row r="10">
          <cell r="B10" t="str">
            <v>Meat</v>
          </cell>
        </row>
        <row r="11">
          <cell r="B11" t="str">
            <v>Meat Substitutes</v>
          </cell>
        </row>
        <row r="12">
          <cell r="B12" t="str">
            <v>Mixed Dishes</v>
          </cell>
        </row>
        <row r="13">
          <cell r="B13" t="str">
            <v>Oils and Fats</v>
          </cell>
        </row>
        <row r="14">
          <cell r="B14" t="str">
            <v>Other</v>
          </cell>
        </row>
        <row r="15">
          <cell r="B15" t="str">
            <v>Sweeteners</v>
          </cell>
        </row>
        <row r="16">
          <cell r="B16" t="str">
            <v>Vegetables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CID Codes"/>
      <sheetName val="Food Impact Database"/>
      <sheetName val="Pivot Table_CED"/>
      <sheetName val="Pivot Table_GHG"/>
      <sheetName val="PROXIES"/>
      <sheetName val="LAFA Food Loss Stats"/>
      <sheetName val="Processed Food Conversions"/>
      <sheetName val="MassConv"/>
      <sheetName val="version edits"/>
      <sheetName val="List Names"/>
    </sheetNames>
    <sheetDataSet>
      <sheetData sheetId="0"/>
      <sheetData sheetId="1">
        <row r="1">
          <cell r="D1" t="str">
            <v>SUB TYPE</v>
          </cell>
        </row>
      </sheetData>
      <sheetData sheetId="2"/>
      <sheetData sheetId="3"/>
      <sheetData sheetId="4"/>
      <sheetData sheetId="5"/>
      <sheetData sheetId="6"/>
      <sheetData sheetId="7"/>
      <sheetData sheetId="8"/>
      <sheetData sheetId="9">
        <row r="3">
          <cell r="B3" t="str">
            <v>Beverages</v>
          </cell>
          <cell r="C3" t="str">
            <v>Fresh or Not Specified</v>
          </cell>
          <cell r="D3" t="str">
            <v>Yes</v>
          </cell>
          <cell r="E3" t="str">
            <v>Peer Reviewed Journal</v>
          </cell>
        </row>
        <row r="4">
          <cell r="B4" t="str">
            <v>Cereals and Grains</v>
          </cell>
          <cell r="C4" t="str">
            <v>Canned</v>
          </cell>
          <cell r="D4" t="str">
            <v>No</v>
          </cell>
          <cell r="E4" t="str">
            <v>Conference Proceedings</v>
          </cell>
        </row>
        <row r="5">
          <cell r="B5" t="str">
            <v>Dairy</v>
          </cell>
          <cell r="C5" t="str">
            <v>Frozen</v>
          </cell>
          <cell r="E5" t="str">
            <v>Government Report</v>
          </cell>
        </row>
        <row r="6">
          <cell r="B6" t="str">
            <v>Eggs</v>
          </cell>
          <cell r="C6" t="str">
            <v>Dried</v>
          </cell>
          <cell r="E6" t="str">
            <v>Industry Based Report</v>
          </cell>
        </row>
        <row r="7">
          <cell r="B7" t="str">
            <v>Fish and Seafood</v>
          </cell>
          <cell r="C7" t="str">
            <v>Cured or Pickled</v>
          </cell>
          <cell r="E7" t="str">
            <v>NGO Report</v>
          </cell>
        </row>
        <row r="8">
          <cell r="B8" t="str">
            <v>Fruit</v>
          </cell>
          <cell r="C8" t="str">
            <v>Other (Specify)</v>
          </cell>
          <cell r="E8" t="str">
            <v>Database</v>
          </cell>
        </row>
        <row r="9">
          <cell r="B9" t="str">
            <v>Legumes and Nuts</v>
          </cell>
          <cell r="E9" t="str">
            <v>Other (specify)</v>
          </cell>
        </row>
        <row r="10">
          <cell r="B10" t="str">
            <v>Meat</v>
          </cell>
        </row>
        <row r="11">
          <cell r="B11" t="str">
            <v>Meat Substitutes</v>
          </cell>
        </row>
        <row r="12">
          <cell r="B12" t="str">
            <v>Mixed Dishes</v>
          </cell>
        </row>
        <row r="13">
          <cell r="B13" t="str">
            <v>Oils and Fats</v>
          </cell>
        </row>
        <row r="14">
          <cell r="B14" t="str">
            <v>Other</v>
          </cell>
        </row>
        <row r="15">
          <cell r="B15" t="str">
            <v>Sweeteners</v>
          </cell>
        </row>
        <row r="16">
          <cell r="B16" t="str">
            <v>Vegetables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cid.foodrisk.org/" TargetMode="External"/><Relationship Id="rId1" Type="http://schemas.openxmlformats.org/officeDocument/2006/relationships/hyperlink" Target="https://doi.org/10.1038/s43016-021-00256-2"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16"/>
  <sheetViews>
    <sheetView workbookViewId="0">
      <selection activeCell="C16" sqref="C16"/>
    </sheetView>
  </sheetViews>
  <sheetFormatPr baseColWidth="10" defaultColWidth="8.6640625" defaultRowHeight="16" x14ac:dyDescent="0.2"/>
  <cols>
    <col min="1" max="1" width="8.6640625" style="82"/>
    <col min="2" max="2" width="15.1640625" style="82" customWidth="1"/>
    <col min="3" max="16384" width="8.6640625" style="82"/>
  </cols>
  <sheetData>
    <row r="2" spans="1:19" ht="19" x14ac:dyDescent="0.25">
      <c r="A2" s="81" t="s">
        <v>886</v>
      </c>
    </row>
    <row r="3" spans="1:19" ht="19" x14ac:dyDescent="0.25">
      <c r="A3" s="81"/>
      <c r="B3" s="82" t="s">
        <v>887</v>
      </c>
      <c r="S3" s="83" t="s">
        <v>879</v>
      </c>
    </row>
    <row r="4" spans="1:19" ht="19" x14ac:dyDescent="0.25">
      <c r="A4" s="81"/>
      <c r="B4" s="82" t="s">
        <v>880</v>
      </c>
    </row>
    <row r="5" spans="1:19" ht="19" x14ac:dyDescent="0.25">
      <c r="A5" s="81" t="s">
        <v>888</v>
      </c>
    </row>
    <row r="6" spans="1:19" ht="19" x14ac:dyDescent="0.25">
      <c r="A6" s="81" t="s">
        <v>889</v>
      </c>
    </row>
    <row r="7" spans="1:19" ht="19" x14ac:dyDescent="0.25">
      <c r="A7" s="84" t="s">
        <v>881</v>
      </c>
    </row>
    <row r="8" spans="1:19" x14ac:dyDescent="0.2">
      <c r="B8" s="82" t="s">
        <v>890</v>
      </c>
    </row>
    <row r="9" spans="1:19" x14ac:dyDescent="0.2">
      <c r="B9" s="83" t="s">
        <v>891</v>
      </c>
    </row>
    <row r="10" spans="1:19" x14ac:dyDescent="0.2">
      <c r="A10" s="85"/>
      <c r="B10" s="83"/>
    </row>
    <row r="12" spans="1:19" ht="19" x14ac:dyDescent="0.25">
      <c r="A12" s="81" t="s">
        <v>882</v>
      </c>
    </row>
    <row r="13" spans="1:19" x14ac:dyDescent="0.2">
      <c r="A13" s="82" t="s">
        <v>892</v>
      </c>
    </row>
    <row r="15" spans="1:19" x14ac:dyDescent="0.2">
      <c r="B15" s="82" t="s">
        <v>883</v>
      </c>
      <c r="C15" s="82" t="s">
        <v>893</v>
      </c>
    </row>
    <row r="16" spans="1:19" x14ac:dyDescent="0.2">
      <c r="B16" s="82" t="s">
        <v>884</v>
      </c>
      <c r="C16" s="82" t="s">
        <v>885</v>
      </c>
    </row>
  </sheetData>
  <hyperlinks>
    <hyperlink ref="B9" r:id="rId1" xr:uid="{00000000-0004-0000-0000-000000000000}"/>
    <hyperlink ref="S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2"/>
  <sheetViews>
    <sheetView tabSelected="1" zoomScale="187" zoomScaleNormal="99" zoomScalePageLayoutView="150" workbookViewId="0">
      <pane xSplit="2" ySplit="3" topLeftCell="C189" activePane="bottomRight" state="frozen"/>
      <selection pane="topRight" activeCell="C1" sqref="C1"/>
      <selection pane="bottomLeft" activeCell="A4" sqref="A4"/>
      <selection pane="bottomRight" activeCell="F201" sqref="F201"/>
    </sheetView>
  </sheetViews>
  <sheetFormatPr baseColWidth="10" defaultColWidth="8.83203125" defaultRowHeight="16" x14ac:dyDescent="0.2"/>
  <cols>
    <col min="1" max="1" width="13" style="2" customWidth="1"/>
    <col min="2" max="2" width="31.33203125" style="2" customWidth="1"/>
    <col min="3" max="3" width="15.5" style="2" customWidth="1"/>
    <col min="4" max="4" width="17" style="2" hidden="1" customWidth="1"/>
    <col min="5" max="5" width="8.83203125" style="2" hidden="1" customWidth="1"/>
    <col min="6" max="6" width="14.1640625" style="38" bestFit="1" customWidth="1"/>
    <col min="7" max="7" width="14.83203125" style="38" bestFit="1" customWidth="1"/>
    <col min="8" max="9" width="10.1640625" style="37" customWidth="1"/>
    <col min="10" max="10" width="8.6640625" style="38" hidden="1" customWidth="1"/>
    <col min="11" max="11" width="11.1640625" style="37" customWidth="1"/>
    <col min="12" max="12" width="13.6640625" style="2" customWidth="1"/>
    <col min="13" max="13" width="24.6640625" style="37" customWidth="1"/>
    <col min="14" max="14" width="16.5" style="52" bestFit="1" customWidth="1"/>
    <col min="15" max="15" width="13" style="2" bestFit="1" customWidth="1"/>
    <col min="16" max="16" width="13.33203125" style="2" bestFit="1" customWidth="1"/>
    <col min="17" max="16384" width="8.83203125" style="2"/>
  </cols>
  <sheetData>
    <row r="1" spans="1:16" ht="18" customHeight="1" thickBot="1" x14ac:dyDescent="0.25">
      <c r="A1" s="86" t="s">
        <v>878</v>
      </c>
      <c r="B1" s="86"/>
      <c r="C1" s="86"/>
      <c r="D1" s="1"/>
      <c r="E1" s="1"/>
      <c r="F1" s="88" t="s">
        <v>874</v>
      </c>
      <c r="G1" s="89"/>
      <c r="H1" s="76"/>
      <c r="I1" s="77"/>
      <c r="J1" s="90" t="s">
        <v>0</v>
      </c>
      <c r="K1" s="73"/>
      <c r="L1" s="91"/>
      <c r="M1" s="73"/>
      <c r="N1" s="75" t="s">
        <v>863</v>
      </c>
    </row>
    <row r="2" spans="1:16" s="5" customFormat="1" ht="36" customHeight="1" thickBot="1" x14ac:dyDescent="0.25">
      <c r="A2" s="87"/>
      <c r="B2" s="87"/>
      <c r="C2" s="87"/>
      <c r="D2" s="3"/>
      <c r="E2" s="3" t="s">
        <v>871</v>
      </c>
      <c r="F2" s="65" t="s">
        <v>859</v>
      </c>
      <c r="G2" s="66" t="s">
        <v>860</v>
      </c>
      <c r="H2" s="78"/>
      <c r="I2" s="73"/>
      <c r="J2" s="90"/>
      <c r="K2" s="79"/>
      <c r="L2" s="91"/>
      <c r="M2" s="74"/>
      <c r="N2" s="75" t="s">
        <v>862</v>
      </c>
    </row>
    <row r="3" spans="1:16" s="9" customFormat="1" ht="42" customHeight="1" thickBot="1" x14ac:dyDescent="0.25">
      <c r="A3" s="6" t="s">
        <v>3</v>
      </c>
      <c r="B3" s="7" t="s">
        <v>4</v>
      </c>
      <c r="C3" s="7" t="s">
        <v>873</v>
      </c>
      <c r="D3" s="7" t="s">
        <v>872</v>
      </c>
      <c r="E3" s="7" t="s">
        <v>5</v>
      </c>
      <c r="F3" s="67" t="s">
        <v>732</v>
      </c>
      <c r="G3" s="68" t="s">
        <v>861</v>
      </c>
      <c r="H3" s="72" t="s">
        <v>875</v>
      </c>
      <c r="I3" s="72" t="s">
        <v>2</v>
      </c>
      <c r="J3" s="8"/>
      <c r="K3" s="4" t="s">
        <v>876</v>
      </c>
      <c r="L3" s="71" t="s">
        <v>1</v>
      </c>
      <c r="M3" s="80" t="s">
        <v>877</v>
      </c>
      <c r="N3" s="50" t="s">
        <v>864</v>
      </c>
      <c r="O3" s="64" t="s">
        <v>869</v>
      </c>
      <c r="P3" s="64" t="s">
        <v>870</v>
      </c>
    </row>
    <row r="4" spans="1:16" s="15" customFormat="1" thickBot="1" x14ac:dyDescent="0.25">
      <c r="A4" s="10">
        <v>101050000</v>
      </c>
      <c r="B4" s="11" t="s">
        <v>6</v>
      </c>
      <c r="C4" s="11" t="s">
        <v>7</v>
      </c>
      <c r="D4" s="11"/>
      <c r="E4" s="11">
        <v>659</v>
      </c>
      <c r="F4" s="69">
        <v>606.07923383687159</v>
      </c>
      <c r="G4" s="70">
        <v>87.131237363007415</v>
      </c>
      <c r="H4" s="54">
        <v>1.1100000000000001</v>
      </c>
      <c r="I4" s="60" t="s">
        <v>8</v>
      </c>
      <c r="J4" s="12">
        <v>1</v>
      </c>
      <c r="K4" s="14" t="s">
        <v>831</v>
      </c>
      <c r="L4" s="13" t="s">
        <v>9</v>
      </c>
      <c r="M4" s="46">
        <v>0</v>
      </c>
      <c r="N4" s="51">
        <v>91.201036523819354</v>
      </c>
      <c r="O4" s="63">
        <v>0.35170205384271497</v>
      </c>
      <c r="P4" s="63">
        <v>0.35441987933612168</v>
      </c>
    </row>
    <row r="5" spans="1:16" s="15" customFormat="1" thickBot="1" x14ac:dyDescent="0.25">
      <c r="A5" s="17">
        <v>101052000</v>
      </c>
      <c r="B5" s="18" t="s">
        <v>10</v>
      </c>
      <c r="C5" s="18" t="s">
        <v>11</v>
      </c>
      <c r="D5" s="18" t="s">
        <v>12</v>
      </c>
      <c r="E5" s="18">
        <v>49979</v>
      </c>
      <c r="F5" s="69">
        <v>481.12790354545848</v>
      </c>
      <c r="G5" s="70">
        <v>151.08357662722517</v>
      </c>
      <c r="H5" s="19">
        <v>4</v>
      </c>
      <c r="I5" s="25" t="s">
        <v>13</v>
      </c>
      <c r="J5" s="21">
        <v>2</v>
      </c>
      <c r="K5" s="14" t="s">
        <v>832</v>
      </c>
      <c r="L5" s="49"/>
      <c r="M5" s="46" t="s">
        <v>808</v>
      </c>
      <c r="N5" s="51">
        <v>40.444044509831819</v>
      </c>
      <c r="O5" s="63">
        <v>3.4212165862893516E-4</v>
      </c>
      <c r="P5" s="63">
        <v>6.3704095868629253E-4</v>
      </c>
    </row>
    <row r="6" spans="1:16" s="15" customFormat="1" thickBot="1" x14ac:dyDescent="0.25">
      <c r="A6" s="17">
        <v>101053000</v>
      </c>
      <c r="B6" s="18" t="s">
        <v>15</v>
      </c>
      <c r="C6" s="18" t="s">
        <v>16</v>
      </c>
      <c r="D6" s="18"/>
      <c r="E6" s="18">
        <v>7656</v>
      </c>
      <c r="F6" s="69">
        <v>481.12790354545848</v>
      </c>
      <c r="G6" s="70">
        <v>151.08357662722517</v>
      </c>
      <c r="H6" s="19">
        <v>4</v>
      </c>
      <c r="I6" s="25" t="s">
        <v>13</v>
      </c>
      <c r="J6" s="21">
        <v>2</v>
      </c>
      <c r="K6" s="14" t="s">
        <v>832</v>
      </c>
      <c r="L6" s="49"/>
      <c r="M6" s="46" t="s">
        <v>808</v>
      </c>
      <c r="N6" s="51">
        <v>40.444044509831819</v>
      </c>
      <c r="O6" s="63">
        <v>3.4212165862893516E-4</v>
      </c>
      <c r="P6" s="63">
        <v>6.3704095868629253E-4</v>
      </c>
    </row>
    <row r="7" spans="1:16" s="15" customFormat="1" thickBot="1" x14ac:dyDescent="0.25">
      <c r="A7" s="17">
        <v>101067000</v>
      </c>
      <c r="B7" s="18" t="s">
        <v>17</v>
      </c>
      <c r="C7" s="18" t="s">
        <v>18</v>
      </c>
      <c r="D7" s="18"/>
      <c r="E7" s="18">
        <v>2</v>
      </c>
      <c r="F7" s="69">
        <v>726.20304594868401</v>
      </c>
      <c r="G7" s="70">
        <v>104.40049161513501</v>
      </c>
      <c r="H7" s="19">
        <v>1.33</v>
      </c>
      <c r="I7" s="25" t="s">
        <v>19</v>
      </c>
      <c r="J7" s="21">
        <v>1</v>
      </c>
      <c r="K7" s="14" t="s">
        <v>831</v>
      </c>
      <c r="L7" s="13" t="s">
        <v>9</v>
      </c>
      <c r="M7" s="46">
        <v>0</v>
      </c>
      <c r="N7" s="51">
        <v>91.201036523819354</v>
      </c>
      <c r="O7" s="63">
        <v>0.35170205384271497</v>
      </c>
      <c r="P7" s="63">
        <v>0.35441987933612168</v>
      </c>
    </row>
    <row r="8" spans="1:16" s="15" customFormat="1" thickBot="1" x14ac:dyDescent="0.25">
      <c r="A8" s="17">
        <v>101078000</v>
      </c>
      <c r="B8" s="18" t="s">
        <v>20</v>
      </c>
      <c r="C8" s="18" t="s">
        <v>21</v>
      </c>
      <c r="D8" s="18"/>
      <c r="E8" s="18">
        <v>14222</v>
      </c>
      <c r="F8" s="69">
        <v>1326.5562260008044</v>
      </c>
      <c r="G8" s="70">
        <v>168.13197974182052</v>
      </c>
      <c r="H8" s="19">
        <v>1.1200000000000001</v>
      </c>
      <c r="I8" s="19" t="s">
        <v>13</v>
      </c>
      <c r="J8" s="21">
        <v>1</v>
      </c>
      <c r="K8" s="14" t="s">
        <v>832</v>
      </c>
      <c r="L8" s="13"/>
      <c r="M8" s="46" t="s">
        <v>745</v>
      </c>
      <c r="N8" s="51">
        <v>20.059444866324771</v>
      </c>
      <c r="O8" s="63">
        <v>2.8369618839758599E-2</v>
      </c>
      <c r="P8" s="63">
        <v>4.1167193821577679E-2</v>
      </c>
    </row>
    <row r="9" spans="1:16" s="15" customFormat="1" thickBot="1" x14ac:dyDescent="0.25">
      <c r="A9" s="17">
        <v>101079000</v>
      </c>
      <c r="B9" s="18" t="s">
        <v>22</v>
      </c>
      <c r="C9" s="18" t="s">
        <v>23</v>
      </c>
      <c r="D9" s="18"/>
      <c r="E9" s="18">
        <v>630</v>
      </c>
      <c r="F9" s="69">
        <v>1326.5562260008044</v>
      </c>
      <c r="G9" s="70">
        <v>168.13197974182052</v>
      </c>
      <c r="H9" s="19">
        <v>1.1200000000000001</v>
      </c>
      <c r="I9" s="25" t="s">
        <v>13</v>
      </c>
      <c r="J9" s="21">
        <v>1</v>
      </c>
      <c r="K9" s="14" t="s">
        <v>831</v>
      </c>
      <c r="L9" s="13" t="s">
        <v>24</v>
      </c>
      <c r="M9" s="46">
        <v>0</v>
      </c>
      <c r="N9" s="51">
        <v>20.059444866324771</v>
      </c>
      <c r="O9" s="63">
        <v>2.8369618839758599E-2</v>
      </c>
      <c r="P9" s="63">
        <v>4.1167193821577679E-2</v>
      </c>
    </row>
    <row r="10" spans="1:16" s="15" customFormat="1" thickBot="1" x14ac:dyDescent="0.25">
      <c r="A10" s="17">
        <v>101100000</v>
      </c>
      <c r="B10" s="18" t="s">
        <v>25</v>
      </c>
      <c r="C10" s="18" t="s">
        <v>18</v>
      </c>
      <c r="D10" s="18"/>
      <c r="E10" s="18">
        <v>75</v>
      </c>
      <c r="F10" s="69">
        <v>546.01732778096539</v>
      </c>
      <c r="G10" s="70">
        <v>78.49661023694361</v>
      </c>
      <c r="H10" s="20">
        <v>1</v>
      </c>
      <c r="I10" s="25" t="s">
        <v>26</v>
      </c>
      <c r="J10" s="21">
        <v>1</v>
      </c>
      <c r="K10" s="14" t="s">
        <v>831</v>
      </c>
      <c r="L10" s="13" t="s">
        <v>9</v>
      </c>
      <c r="M10" s="46">
        <v>0</v>
      </c>
      <c r="N10" s="51">
        <v>91.201036523819354</v>
      </c>
      <c r="O10" s="63">
        <v>0.35170205384271497</v>
      </c>
      <c r="P10" s="63">
        <v>0.35441987933612168</v>
      </c>
    </row>
    <row r="11" spans="1:16" s="15" customFormat="1" thickBot="1" x14ac:dyDescent="0.25">
      <c r="A11" s="17">
        <v>101168000</v>
      </c>
      <c r="B11" s="18" t="s">
        <v>27</v>
      </c>
      <c r="C11" s="18" t="s">
        <v>28</v>
      </c>
      <c r="D11" s="18"/>
      <c r="E11" s="18">
        <v>1</v>
      </c>
      <c r="F11" s="69">
        <v>14320.97265272792</v>
      </c>
      <c r="G11" s="70">
        <v>1770.0680597688036</v>
      </c>
      <c r="H11" s="19">
        <v>1</v>
      </c>
      <c r="I11" s="25" t="s">
        <v>26</v>
      </c>
      <c r="J11" s="21">
        <v>1</v>
      </c>
      <c r="K11" s="14" t="s">
        <v>831</v>
      </c>
      <c r="L11" s="13" t="s">
        <v>29</v>
      </c>
      <c r="M11" s="46">
        <v>0</v>
      </c>
      <c r="N11" s="51">
        <v>9786.9490533693606</v>
      </c>
      <c r="O11" s="63">
        <v>0.66666666666666663</v>
      </c>
      <c r="P11" s="63">
        <v>0.66666666666666663</v>
      </c>
    </row>
    <row r="12" spans="1:16" s="15" customFormat="1" thickBot="1" x14ac:dyDescent="0.25">
      <c r="A12" s="17">
        <v>101190000</v>
      </c>
      <c r="B12" s="18" t="s">
        <v>30</v>
      </c>
      <c r="C12" s="18" t="s">
        <v>31</v>
      </c>
      <c r="D12" s="18"/>
      <c r="E12" s="18">
        <v>364</v>
      </c>
      <c r="F12" s="69">
        <v>546.01732778096539</v>
      </c>
      <c r="G12" s="70">
        <v>78.49661023694361</v>
      </c>
      <c r="H12" s="19">
        <v>1</v>
      </c>
      <c r="I12" s="25" t="s">
        <v>26</v>
      </c>
      <c r="J12" s="21">
        <v>1</v>
      </c>
      <c r="K12" s="14" t="s">
        <v>831</v>
      </c>
      <c r="L12" s="13" t="s">
        <v>9</v>
      </c>
      <c r="M12" s="46">
        <v>0</v>
      </c>
      <c r="N12" s="51">
        <v>91.201036523819354</v>
      </c>
      <c r="O12" s="63">
        <v>0.35170205384271497</v>
      </c>
      <c r="P12" s="63">
        <v>0.35441987933612168</v>
      </c>
    </row>
    <row r="13" spans="1:16" s="15" customFormat="1" thickBot="1" x14ac:dyDescent="0.25">
      <c r="A13" s="17">
        <v>101251000</v>
      </c>
      <c r="B13" s="18" t="s">
        <v>32</v>
      </c>
      <c r="C13" s="18" t="s">
        <v>33</v>
      </c>
      <c r="D13" s="18"/>
      <c r="E13" s="18">
        <v>54</v>
      </c>
      <c r="F13" s="69">
        <v>622.45975367030053</v>
      </c>
      <c r="G13" s="70">
        <v>89.486135670115715</v>
      </c>
      <c r="H13" s="19">
        <v>1.1399999999999999</v>
      </c>
      <c r="I13" s="25" t="s">
        <v>13</v>
      </c>
      <c r="J13" s="21">
        <v>1</v>
      </c>
      <c r="K13" s="14" t="s">
        <v>831</v>
      </c>
      <c r="L13" s="13" t="s">
        <v>9</v>
      </c>
      <c r="M13" s="46">
        <v>0</v>
      </c>
      <c r="N13" s="51">
        <v>91.201036523819354</v>
      </c>
      <c r="O13" s="63">
        <v>0.35170205384271497</v>
      </c>
      <c r="P13" s="63">
        <v>0.35441987933612168</v>
      </c>
    </row>
    <row r="14" spans="1:16" s="15" customFormat="1" thickBot="1" x14ac:dyDescent="0.25">
      <c r="A14" s="17">
        <v>101314000</v>
      </c>
      <c r="B14" s="18" t="s">
        <v>34</v>
      </c>
      <c r="C14" s="18" t="s">
        <v>18</v>
      </c>
      <c r="D14" s="18"/>
      <c r="E14" s="18">
        <v>503</v>
      </c>
      <c r="F14" s="69">
        <v>606.07923383687159</v>
      </c>
      <c r="G14" s="70">
        <v>87.131237363007415</v>
      </c>
      <c r="H14" s="19">
        <v>1.1100000000000001</v>
      </c>
      <c r="I14" s="19" t="s">
        <v>13</v>
      </c>
      <c r="J14" s="21">
        <v>1</v>
      </c>
      <c r="K14" s="14" t="s">
        <v>831</v>
      </c>
      <c r="L14" s="13" t="s">
        <v>9</v>
      </c>
      <c r="M14" s="46">
        <v>0</v>
      </c>
      <c r="N14" s="51">
        <v>91.201036523819354</v>
      </c>
      <c r="O14" s="63">
        <v>0.35170205384271497</v>
      </c>
      <c r="P14" s="63">
        <v>0.35441987933612168</v>
      </c>
    </row>
    <row r="15" spans="1:16" s="15" customFormat="1" thickBot="1" x14ac:dyDescent="0.25">
      <c r="A15" s="17">
        <v>101316000</v>
      </c>
      <c r="B15" s="18" t="s">
        <v>35</v>
      </c>
      <c r="C15" s="18" t="s">
        <v>18</v>
      </c>
      <c r="D15" s="18"/>
      <c r="E15" s="18">
        <v>7</v>
      </c>
      <c r="F15" s="69">
        <v>693.44200628182602</v>
      </c>
      <c r="G15" s="70">
        <v>99.690695000918382</v>
      </c>
      <c r="H15" s="19">
        <v>1.27</v>
      </c>
      <c r="I15" s="25" t="s">
        <v>13</v>
      </c>
      <c r="J15" s="21">
        <v>1</v>
      </c>
      <c r="K15" s="14" t="s">
        <v>831</v>
      </c>
      <c r="L15" s="13" t="s">
        <v>9</v>
      </c>
      <c r="M15" s="46">
        <v>0</v>
      </c>
      <c r="N15" s="51">
        <v>91.201036523819354</v>
      </c>
      <c r="O15" s="63">
        <v>0.35170205384271497</v>
      </c>
      <c r="P15" s="63">
        <v>0.35441987933612168</v>
      </c>
    </row>
    <row r="16" spans="1:16" s="15" customFormat="1" thickBot="1" x14ac:dyDescent="0.25">
      <c r="A16" s="17">
        <v>101327000</v>
      </c>
      <c r="B16" s="18" t="s">
        <v>36</v>
      </c>
      <c r="C16" s="18" t="s">
        <v>37</v>
      </c>
      <c r="D16" s="18"/>
      <c r="E16" s="18">
        <v>265</v>
      </c>
      <c r="F16" s="69">
        <v>644.30044678153911</v>
      </c>
      <c r="G16" s="70">
        <v>92.626000079593453</v>
      </c>
      <c r="H16" s="19">
        <v>1.18</v>
      </c>
      <c r="I16" s="25" t="s">
        <v>13</v>
      </c>
      <c r="J16" s="21">
        <v>1</v>
      </c>
      <c r="K16" s="14" t="s">
        <v>831</v>
      </c>
      <c r="L16" s="13" t="s">
        <v>9</v>
      </c>
      <c r="M16" s="46">
        <v>0</v>
      </c>
      <c r="N16" s="51">
        <v>91.201036523819354</v>
      </c>
      <c r="O16" s="63">
        <v>0.35170205384271497</v>
      </c>
      <c r="P16" s="63">
        <v>0.35441987933612168</v>
      </c>
    </row>
    <row r="17" spans="1:16" s="15" customFormat="1" thickBot="1" x14ac:dyDescent="0.25">
      <c r="A17" s="17">
        <v>101388000</v>
      </c>
      <c r="B17" s="18" t="s">
        <v>38</v>
      </c>
      <c r="C17" s="18" t="s">
        <v>18</v>
      </c>
      <c r="D17" s="18"/>
      <c r="E17" s="18">
        <v>59</v>
      </c>
      <c r="F17" s="69">
        <v>1456.8429981973118</v>
      </c>
      <c r="G17" s="70">
        <v>184.64494203789215</v>
      </c>
      <c r="H17" s="19">
        <v>1.23</v>
      </c>
      <c r="I17" s="25" t="s">
        <v>13</v>
      </c>
      <c r="J17" s="21">
        <v>1</v>
      </c>
      <c r="K17" s="14" t="s">
        <v>832</v>
      </c>
      <c r="L17" s="13"/>
      <c r="M17" s="46" t="s">
        <v>745</v>
      </c>
      <c r="N17" s="51">
        <v>20.059444866324771</v>
      </c>
      <c r="O17" s="63">
        <v>2.8369618839758599E-2</v>
      </c>
      <c r="P17" s="63">
        <v>4.1167193821577679E-2</v>
      </c>
    </row>
    <row r="18" spans="1:16" s="15" customFormat="1" thickBot="1" x14ac:dyDescent="0.25">
      <c r="A18" s="17">
        <v>103015000</v>
      </c>
      <c r="B18" s="18" t="s">
        <v>39</v>
      </c>
      <c r="C18" s="18" t="s">
        <v>40</v>
      </c>
      <c r="D18" s="18"/>
      <c r="E18" s="18">
        <v>987</v>
      </c>
      <c r="F18" s="69">
        <v>34.495453230682436</v>
      </c>
      <c r="G18" s="70">
        <v>16.694806821964136</v>
      </c>
      <c r="H18" s="20">
        <v>1</v>
      </c>
      <c r="I18" s="25" t="s">
        <v>26</v>
      </c>
      <c r="J18" s="21">
        <v>1</v>
      </c>
      <c r="K18" s="14" t="s">
        <v>831</v>
      </c>
      <c r="L18" s="49" t="s">
        <v>854</v>
      </c>
      <c r="M18" s="46">
        <v>0</v>
      </c>
      <c r="N18" s="51">
        <v>689.56956419438075</v>
      </c>
      <c r="O18" s="63">
        <v>1</v>
      </c>
      <c r="P18" s="63">
        <v>1</v>
      </c>
    </row>
    <row r="19" spans="1:16" s="15" customFormat="1" thickBot="1" x14ac:dyDescent="0.25">
      <c r="A19" s="17">
        <v>103017000</v>
      </c>
      <c r="B19" s="18" t="s">
        <v>42</v>
      </c>
      <c r="C19" s="18" t="s">
        <v>43</v>
      </c>
      <c r="D19" s="18"/>
      <c r="E19" s="18">
        <v>1</v>
      </c>
      <c r="F19" s="69">
        <v>925.54105896757221</v>
      </c>
      <c r="G19" s="70">
        <v>176.08879130018281</v>
      </c>
      <c r="H19" s="19">
        <v>2.5</v>
      </c>
      <c r="I19" s="19" t="s">
        <v>13</v>
      </c>
      <c r="J19" s="21">
        <v>1</v>
      </c>
      <c r="K19" s="14" t="s">
        <v>831</v>
      </c>
      <c r="L19" s="13" t="s">
        <v>44</v>
      </c>
      <c r="M19" s="46">
        <v>0</v>
      </c>
      <c r="N19" s="51">
        <v>38.319308026713003</v>
      </c>
      <c r="O19" s="63">
        <v>8.4842125941661222E-3</v>
      </c>
      <c r="P19" s="63">
        <v>9.5319227951251948E-3</v>
      </c>
    </row>
    <row r="20" spans="1:16" s="15" customFormat="1" thickBot="1" x14ac:dyDescent="0.25">
      <c r="A20" s="22">
        <v>103082000</v>
      </c>
      <c r="B20" s="18" t="s">
        <v>45</v>
      </c>
      <c r="C20" s="23" t="s">
        <v>46</v>
      </c>
      <c r="D20" s="18" t="s">
        <v>47</v>
      </c>
      <c r="E20" s="18">
        <v>26995</v>
      </c>
      <c r="F20" s="69">
        <v>34.495453230682436</v>
      </c>
      <c r="G20" s="70">
        <v>16.694806821964136</v>
      </c>
      <c r="H20" s="19">
        <v>1</v>
      </c>
      <c r="I20" s="25" t="s">
        <v>26</v>
      </c>
      <c r="J20" s="21">
        <v>1</v>
      </c>
      <c r="K20" s="14" t="s">
        <v>832</v>
      </c>
      <c r="L20" s="13"/>
      <c r="M20" s="46" t="s">
        <v>45</v>
      </c>
      <c r="N20" s="51">
        <v>689.56956419438075</v>
      </c>
      <c r="O20" s="63">
        <v>1</v>
      </c>
      <c r="P20" s="63">
        <v>1</v>
      </c>
    </row>
    <row r="21" spans="1:16" s="15" customFormat="1" thickBot="1" x14ac:dyDescent="0.25">
      <c r="A21" s="17">
        <v>103139000</v>
      </c>
      <c r="B21" s="18" t="s">
        <v>48</v>
      </c>
      <c r="C21" s="18" t="s">
        <v>49</v>
      </c>
      <c r="D21" s="18" t="s">
        <v>50</v>
      </c>
      <c r="E21" s="18">
        <v>68</v>
      </c>
      <c r="F21" s="69">
        <v>0</v>
      </c>
      <c r="G21" s="70">
        <v>0</v>
      </c>
      <c r="H21" s="19">
        <v>1</v>
      </c>
      <c r="I21" s="25" t="s">
        <v>26</v>
      </c>
      <c r="J21" s="21">
        <v>1</v>
      </c>
      <c r="K21" s="14" t="s">
        <v>832</v>
      </c>
      <c r="L21" s="13"/>
      <c r="M21" s="46" t="s">
        <v>813</v>
      </c>
      <c r="N21" s="51">
        <v>0</v>
      </c>
      <c r="O21" s="63" t="s">
        <v>868</v>
      </c>
      <c r="P21" s="63" t="s">
        <v>868</v>
      </c>
    </row>
    <row r="22" spans="1:16" s="15" customFormat="1" thickBot="1" x14ac:dyDescent="0.25">
      <c r="A22" s="17">
        <v>103166000</v>
      </c>
      <c r="B22" s="18" t="s">
        <v>51</v>
      </c>
      <c r="C22" s="18" t="s">
        <v>52</v>
      </c>
      <c r="D22" s="18"/>
      <c r="E22" s="18">
        <v>4399</v>
      </c>
      <c r="F22" s="69">
        <v>90.083186606989784</v>
      </c>
      <c r="G22" s="70">
        <v>16.131393146405706</v>
      </c>
      <c r="H22" s="19">
        <v>1.08</v>
      </c>
      <c r="I22" s="25" t="s">
        <v>19</v>
      </c>
      <c r="J22" s="21">
        <v>1</v>
      </c>
      <c r="K22" s="45" t="s">
        <v>832</v>
      </c>
      <c r="L22" s="13"/>
      <c r="M22" s="46" t="s">
        <v>51</v>
      </c>
      <c r="N22" s="51">
        <v>215.22435667842026</v>
      </c>
      <c r="O22" s="63">
        <v>1.0182523300942201</v>
      </c>
      <c r="P22" s="63">
        <v>1.0125605213916622</v>
      </c>
    </row>
    <row r="23" spans="1:16" s="15" customFormat="1" thickBot="1" x14ac:dyDescent="0.25">
      <c r="A23" s="17">
        <v>103167000</v>
      </c>
      <c r="B23" s="18" t="s">
        <v>53</v>
      </c>
      <c r="C23" s="18" t="s">
        <v>54</v>
      </c>
      <c r="D23" s="18"/>
      <c r="E23" s="18">
        <v>19546</v>
      </c>
      <c r="F23" s="69">
        <v>382.01943950001225</v>
      </c>
      <c r="G23" s="70">
        <v>68.409056120868641</v>
      </c>
      <c r="H23" s="19">
        <v>4.58</v>
      </c>
      <c r="I23" s="25" t="s">
        <v>19</v>
      </c>
      <c r="J23" s="24">
        <v>1</v>
      </c>
      <c r="K23" s="14" t="s">
        <v>831</v>
      </c>
      <c r="L23" s="13" t="s">
        <v>51</v>
      </c>
      <c r="M23" s="46">
        <v>0</v>
      </c>
      <c r="N23" s="51">
        <v>215.22435667842026</v>
      </c>
      <c r="O23" s="63">
        <v>1.0182523300942201</v>
      </c>
      <c r="P23" s="63">
        <v>1.0125605213916622</v>
      </c>
    </row>
    <row r="24" spans="1:16" s="15" customFormat="1" ht="14" customHeight="1" thickBot="1" x14ac:dyDescent="0.25">
      <c r="A24" s="17">
        <v>103296000</v>
      </c>
      <c r="B24" s="18" t="s">
        <v>55</v>
      </c>
      <c r="C24" s="25" t="s">
        <v>56</v>
      </c>
      <c r="D24" s="25"/>
      <c r="E24" s="18">
        <v>5284</v>
      </c>
      <c r="F24" s="69">
        <v>1454.5803282734364</v>
      </c>
      <c r="G24" s="70">
        <v>276.7411444073673</v>
      </c>
      <c r="H24" s="55">
        <v>3.9289999999999998</v>
      </c>
      <c r="I24" s="25" t="s">
        <v>13</v>
      </c>
      <c r="J24" s="21">
        <v>2</v>
      </c>
      <c r="K24" s="14" t="s">
        <v>831</v>
      </c>
      <c r="L24" s="13" t="s">
        <v>44</v>
      </c>
      <c r="M24" s="46">
        <v>0</v>
      </c>
      <c r="N24" s="51">
        <v>38.319308026713003</v>
      </c>
      <c r="O24" s="63">
        <v>8.4842125941661222E-3</v>
      </c>
      <c r="P24" s="63">
        <v>9.5319227951251948E-3</v>
      </c>
    </row>
    <row r="25" spans="1:16" s="15" customFormat="1" thickBot="1" x14ac:dyDescent="0.25">
      <c r="A25" s="17">
        <v>103297000</v>
      </c>
      <c r="B25" s="18" t="s">
        <v>58</v>
      </c>
      <c r="C25" s="25" t="s">
        <v>59</v>
      </c>
      <c r="D25" s="25"/>
      <c r="E25" s="18">
        <v>2131</v>
      </c>
      <c r="F25" s="69">
        <v>2228.7028699939137</v>
      </c>
      <c r="G25" s="70">
        <v>424.02180945084018</v>
      </c>
      <c r="H25" s="19">
        <v>6.02</v>
      </c>
      <c r="I25" s="25" t="s">
        <v>13</v>
      </c>
      <c r="J25" s="21">
        <v>1</v>
      </c>
      <c r="K25" s="14" t="s">
        <v>831</v>
      </c>
      <c r="L25" s="13" t="s">
        <v>44</v>
      </c>
      <c r="M25" s="46">
        <v>0</v>
      </c>
      <c r="N25" s="51">
        <v>38.319308026713003</v>
      </c>
      <c r="O25" s="63">
        <v>8.4842125941661222E-3</v>
      </c>
      <c r="P25" s="63">
        <v>9.5319227951251948E-3</v>
      </c>
    </row>
    <row r="26" spans="1:16" s="15" customFormat="1" ht="17" thickBot="1" x14ac:dyDescent="0.25">
      <c r="A26" s="17">
        <v>103298000</v>
      </c>
      <c r="B26" s="18" t="s">
        <v>60</v>
      </c>
      <c r="C26" s="25" t="s">
        <v>61</v>
      </c>
      <c r="D26" s="25"/>
      <c r="E26" s="18">
        <v>27032</v>
      </c>
      <c r="F26" s="69">
        <v>2225.0007057580433</v>
      </c>
      <c r="G26" s="70">
        <v>423.31745428563943</v>
      </c>
      <c r="H26" s="55">
        <v>6.01</v>
      </c>
      <c r="I26" s="25" t="s">
        <v>13</v>
      </c>
      <c r="J26" s="21">
        <v>2</v>
      </c>
      <c r="K26" s="14" t="s">
        <v>831</v>
      </c>
      <c r="L26" s="13" t="s">
        <v>44</v>
      </c>
      <c r="M26" s="46">
        <v>0</v>
      </c>
      <c r="N26" s="51">
        <v>38.319308026713003</v>
      </c>
      <c r="O26" s="63">
        <v>8.4842125941661222E-3</v>
      </c>
      <c r="P26" s="63">
        <v>9.5319227951251948E-3</v>
      </c>
    </row>
    <row r="27" spans="1:16" s="15" customFormat="1" thickBot="1" x14ac:dyDescent="0.25">
      <c r="A27" s="17">
        <v>103299000</v>
      </c>
      <c r="B27" s="18" t="s">
        <v>62</v>
      </c>
      <c r="C27" s="25" t="s">
        <v>63</v>
      </c>
      <c r="D27" s="25"/>
      <c r="E27" s="18">
        <v>2630</v>
      </c>
      <c r="F27" s="69">
        <v>370.21642358702888</v>
      </c>
      <c r="G27" s="70">
        <v>70.435516520073122</v>
      </c>
      <c r="H27" s="19">
        <v>1</v>
      </c>
      <c r="I27" s="25" t="s">
        <v>57</v>
      </c>
      <c r="J27" s="21">
        <v>1</v>
      </c>
      <c r="K27" s="14" t="s">
        <v>832</v>
      </c>
      <c r="L27" s="13"/>
      <c r="M27" s="46" t="s">
        <v>796</v>
      </c>
      <c r="N27" s="51">
        <v>38.319308026713003</v>
      </c>
      <c r="O27" s="63">
        <v>8.4842125941661222E-3</v>
      </c>
      <c r="P27" s="63">
        <v>9.5319227951251948E-3</v>
      </c>
    </row>
    <row r="28" spans="1:16" s="15" customFormat="1" thickBot="1" x14ac:dyDescent="0.25">
      <c r="A28" s="17">
        <v>103300000</v>
      </c>
      <c r="B28" s="18" t="s">
        <v>64</v>
      </c>
      <c r="C28" s="25" t="s">
        <v>65</v>
      </c>
      <c r="D28" s="25"/>
      <c r="E28" s="18">
        <v>15758</v>
      </c>
      <c r="F28" s="69">
        <v>492.38784337074844</v>
      </c>
      <c r="G28" s="70">
        <v>93.679236971697264</v>
      </c>
      <c r="H28" s="19">
        <v>1.33</v>
      </c>
      <c r="I28" s="25" t="s">
        <v>13</v>
      </c>
      <c r="J28" s="21">
        <v>1</v>
      </c>
      <c r="K28" s="14" t="s">
        <v>831</v>
      </c>
      <c r="L28" s="13" t="s">
        <v>44</v>
      </c>
      <c r="M28" s="46">
        <v>0</v>
      </c>
      <c r="N28" s="51">
        <v>38.319308026713003</v>
      </c>
      <c r="O28" s="63">
        <v>8.4842125941661222E-3</v>
      </c>
      <c r="P28" s="63">
        <v>9.5319227951251948E-3</v>
      </c>
    </row>
    <row r="29" spans="1:16" s="15" customFormat="1" thickBot="1" x14ac:dyDescent="0.25">
      <c r="A29" s="17">
        <v>103366000</v>
      </c>
      <c r="B29" s="18" t="s">
        <v>66</v>
      </c>
      <c r="C29" s="25" t="s">
        <v>67</v>
      </c>
      <c r="D29" s="25"/>
      <c r="E29" s="18">
        <v>825</v>
      </c>
      <c r="F29" s="69">
        <v>494.44794905691333</v>
      </c>
      <c r="G29" s="70">
        <v>120.54904336819754</v>
      </c>
      <c r="H29" s="19">
        <v>1.39</v>
      </c>
      <c r="I29" s="19" t="s">
        <v>13</v>
      </c>
      <c r="J29" s="21">
        <v>1</v>
      </c>
      <c r="K29" s="14" t="s">
        <v>832</v>
      </c>
      <c r="L29" s="13"/>
      <c r="M29" s="46" t="s">
        <v>811</v>
      </c>
      <c r="N29" s="51">
        <v>180.90968963139443</v>
      </c>
      <c r="O29" s="63">
        <v>1.1041680287913816E-2</v>
      </c>
      <c r="P29" s="63">
        <v>1.1880580578935731E-2</v>
      </c>
    </row>
    <row r="30" spans="1:16" s="15" customFormat="1" thickBot="1" x14ac:dyDescent="0.25">
      <c r="A30" s="17">
        <v>103371000</v>
      </c>
      <c r="B30" s="18" t="s">
        <v>68</v>
      </c>
      <c r="C30" s="25" t="s">
        <v>69</v>
      </c>
      <c r="D30" s="25" t="s">
        <v>70</v>
      </c>
      <c r="E30" s="18">
        <v>8</v>
      </c>
      <c r="F30" s="69">
        <v>0</v>
      </c>
      <c r="G30" s="70">
        <v>0</v>
      </c>
      <c r="H30" s="19">
        <v>1</v>
      </c>
      <c r="I30" s="25" t="s">
        <v>26</v>
      </c>
      <c r="J30" s="21">
        <v>1</v>
      </c>
      <c r="K30" s="14" t="s">
        <v>832</v>
      </c>
      <c r="L30" s="13"/>
      <c r="M30" s="46" t="s">
        <v>821</v>
      </c>
      <c r="N30" s="51">
        <v>0</v>
      </c>
      <c r="O30" s="63" t="s">
        <v>868</v>
      </c>
      <c r="P30" s="63" t="s">
        <v>868</v>
      </c>
    </row>
    <row r="31" spans="1:16" s="15" customFormat="1" thickBot="1" x14ac:dyDescent="0.25">
      <c r="A31" s="17">
        <v>103387000</v>
      </c>
      <c r="B31" s="18" t="s">
        <v>71</v>
      </c>
      <c r="C31" s="25" t="s">
        <v>18</v>
      </c>
      <c r="D31" s="25"/>
      <c r="E31" s="18">
        <v>7304</v>
      </c>
      <c r="F31" s="69">
        <v>546.01732778096539</v>
      </c>
      <c r="G31" s="70">
        <v>78.49661023694361</v>
      </c>
      <c r="H31" s="19">
        <v>1</v>
      </c>
      <c r="I31" s="25" t="s">
        <v>26</v>
      </c>
      <c r="J31" s="21">
        <v>1</v>
      </c>
      <c r="K31" s="14" t="s">
        <v>831</v>
      </c>
      <c r="L31" s="13" t="s">
        <v>9</v>
      </c>
      <c r="M31" s="46">
        <v>0</v>
      </c>
      <c r="N31" s="51">
        <v>91.201036523819354</v>
      </c>
      <c r="O31" s="63">
        <v>0.35170205384271497</v>
      </c>
      <c r="P31" s="63">
        <v>0.35441987933612168</v>
      </c>
    </row>
    <row r="32" spans="1:16" s="15" customFormat="1" thickBot="1" x14ac:dyDescent="0.25">
      <c r="A32" s="17">
        <v>103406000</v>
      </c>
      <c r="B32" s="18" t="s">
        <v>72</v>
      </c>
      <c r="C32" s="25" t="s">
        <v>18</v>
      </c>
      <c r="D32" s="25"/>
      <c r="E32" s="18">
        <v>24</v>
      </c>
      <c r="F32" s="69">
        <v>412.63282079569746</v>
      </c>
      <c r="G32" s="70">
        <v>100.60207935763249</v>
      </c>
      <c r="H32" s="19">
        <v>1.1599999999999999</v>
      </c>
      <c r="I32" s="25" t="s">
        <v>13</v>
      </c>
      <c r="J32" s="21">
        <v>1</v>
      </c>
      <c r="K32" s="14" t="s">
        <v>831</v>
      </c>
      <c r="L32" s="13" t="s">
        <v>865</v>
      </c>
      <c r="M32" s="46" t="s">
        <v>820</v>
      </c>
      <c r="N32" s="51">
        <v>180.90968963139443</v>
      </c>
      <c r="O32" s="63">
        <v>1.1041680287913816E-2</v>
      </c>
      <c r="P32" s="63">
        <v>1.1880580578935731E-2</v>
      </c>
    </row>
    <row r="33" spans="1:16" s="15" customFormat="1" thickBot="1" x14ac:dyDescent="0.25">
      <c r="A33" s="17">
        <v>103407000</v>
      </c>
      <c r="B33" s="18" t="s">
        <v>73</v>
      </c>
      <c r="C33" s="25" t="s">
        <v>18</v>
      </c>
      <c r="D33" s="25" t="s">
        <v>74</v>
      </c>
      <c r="E33" s="18">
        <v>62</v>
      </c>
      <c r="F33" s="69">
        <v>403.53590170986149</v>
      </c>
      <c r="G33" s="70">
        <v>76.774713006879708</v>
      </c>
      <c r="H33" s="19">
        <v>1.0900000000000001</v>
      </c>
      <c r="I33" s="25" t="s">
        <v>13</v>
      </c>
      <c r="J33" s="21">
        <v>1</v>
      </c>
      <c r="K33" s="14" t="s">
        <v>831</v>
      </c>
      <c r="L33" s="13" t="s">
        <v>44</v>
      </c>
      <c r="M33" s="46">
        <v>0</v>
      </c>
      <c r="N33" s="51">
        <v>38.319308026713003</v>
      </c>
      <c r="O33" s="63">
        <v>8.4842125941661222E-3</v>
      </c>
      <c r="P33" s="63">
        <v>9.5319227951251948E-3</v>
      </c>
    </row>
    <row r="34" spans="1:16" s="15" customFormat="1" thickBot="1" x14ac:dyDescent="0.25">
      <c r="A34" s="17">
        <v>200051000</v>
      </c>
      <c r="B34" s="18" t="s">
        <v>75</v>
      </c>
      <c r="C34" s="25" t="s">
        <v>76</v>
      </c>
      <c r="D34" s="25" t="s">
        <v>77</v>
      </c>
      <c r="E34" s="18">
        <v>15</v>
      </c>
      <c r="F34" s="69">
        <v>890.03872482374334</v>
      </c>
      <c r="G34" s="70">
        <v>46.30537158984199</v>
      </c>
      <c r="H34" s="19">
        <v>1.79</v>
      </c>
      <c r="I34" s="25" t="s">
        <v>13</v>
      </c>
      <c r="J34" s="21">
        <v>1</v>
      </c>
      <c r="K34" s="14" t="s">
        <v>831</v>
      </c>
      <c r="L34" s="13" t="s">
        <v>78</v>
      </c>
      <c r="M34" s="46">
        <v>0</v>
      </c>
      <c r="N34" s="51">
        <v>36.298573840726164</v>
      </c>
      <c r="O34" s="63">
        <v>0.10306311244941802</v>
      </c>
      <c r="P34" s="63">
        <v>5.8039614775406909E-2</v>
      </c>
    </row>
    <row r="35" spans="1:16" s="15" customFormat="1" thickBot="1" x14ac:dyDescent="0.25">
      <c r="A35" s="17">
        <v>200101000</v>
      </c>
      <c r="B35" s="18" t="s">
        <v>79</v>
      </c>
      <c r="C35" s="18" t="s">
        <v>76</v>
      </c>
      <c r="D35" s="18"/>
      <c r="E35" s="18">
        <v>1557</v>
      </c>
      <c r="F35" s="69">
        <v>549.96945948984967</v>
      </c>
      <c r="G35" s="70">
        <v>28.198513020825509</v>
      </c>
      <c r="H35" s="19">
        <v>1.1459999999999999</v>
      </c>
      <c r="I35" s="25" t="s">
        <v>13</v>
      </c>
      <c r="J35" s="21">
        <v>1</v>
      </c>
      <c r="K35" s="14" t="s">
        <v>832</v>
      </c>
      <c r="L35" s="13"/>
      <c r="M35" s="46" t="s">
        <v>773</v>
      </c>
      <c r="N35" s="51">
        <v>26.419161068160388</v>
      </c>
      <c r="O35" s="63">
        <v>0.11881820425229547</v>
      </c>
      <c r="P35" s="63">
        <v>6.6417027279681407E-2</v>
      </c>
    </row>
    <row r="36" spans="1:16" s="15" customFormat="1" thickBot="1" x14ac:dyDescent="0.25">
      <c r="A36" s="17">
        <v>200140000</v>
      </c>
      <c r="B36" s="18" t="s">
        <v>80</v>
      </c>
      <c r="C36" s="18" t="s">
        <v>81</v>
      </c>
      <c r="D36" s="18" t="s">
        <v>50</v>
      </c>
      <c r="E36" s="18">
        <v>3</v>
      </c>
      <c r="F36" s="69">
        <v>0</v>
      </c>
      <c r="G36" s="70">
        <v>0</v>
      </c>
      <c r="H36" s="19">
        <v>1</v>
      </c>
      <c r="I36" s="25" t="s">
        <v>26</v>
      </c>
      <c r="J36" s="21">
        <v>1</v>
      </c>
      <c r="K36" s="14" t="s">
        <v>831</v>
      </c>
      <c r="L36" s="13" t="s">
        <v>837</v>
      </c>
      <c r="M36" s="46">
        <v>0</v>
      </c>
      <c r="N36" s="51">
        <v>0</v>
      </c>
      <c r="O36" s="63"/>
      <c r="P36" s="63"/>
    </row>
    <row r="37" spans="1:16" s="15" customFormat="1" thickBot="1" x14ac:dyDescent="0.25">
      <c r="A37" s="17">
        <v>301165000</v>
      </c>
      <c r="B37" s="18" t="s">
        <v>82</v>
      </c>
      <c r="C37" s="18" t="s">
        <v>83</v>
      </c>
      <c r="D37" s="18" t="s">
        <v>84</v>
      </c>
      <c r="E37" s="18">
        <v>33951</v>
      </c>
      <c r="F37" s="69">
        <v>1280.1072292913193</v>
      </c>
      <c r="G37" s="70">
        <v>172.48625636679284</v>
      </c>
      <c r="H37" s="19">
        <v>1.1499999999999999</v>
      </c>
      <c r="I37" s="19" t="s">
        <v>13</v>
      </c>
      <c r="J37" s="21">
        <v>1</v>
      </c>
      <c r="K37" s="45" t="s">
        <v>832</v>
      </c>
      <c r="L37" s="13"/>
      <c r="M37" s="46" t="s">
        <v>762</v>
      </c>
      <c r="N37" s="51">
        <v>62.074553284471655</v>
      </c>
      <c r="O37" s="63">
        <v>0.29766235943809571</v>
      </c>
      <c r="P37" s="63">
        <v>0.33354055162216806</v>
      </c>
    </row>
    <row r="38" spans="1:16" s="15" customFormat="1" thickBot="1" x14ac:dyDescent="0.25">
      <c r="A38" s="17">
        <v>301237000</v>
      </c>
      <c r="B38" s="18" t="s">
        <v>86</v>
      </c>
      <c r="C38" s="18" t="s">
        <v>87</v>
      </c>
      <c r="D38" s="18" t="s">
        <v>88</v>
      </c>
      <c r="E38" s="18">
        <v>33634</v>
      </c>
      <c r="F38" s="69">
        <v>971.21389231991645</v>
      </c>
      <c r="G38" s="70">
        <v>110.37742303915834</v>
      </c>
      <c r="H38" s="19">
        <v>1.1100000000000001</v>
      </c>
      <c r="I38" s="19" t="s">
        <v>13</v>
      </c>
      <c r="J38" s="21">
        <v>1</v>
      </c>
      <c r="K38" s="14" t="s">
        <v>832</v>
      </c>
      <c r="L38" s="13"/>
      <c r="M38" s="46" t="s">
        <v>783</v>
      </c>
      <c r="N38" s="51">
        <v>52.302641095647893</v>
      </c>
      <c r="O38" s="63">
        <v>0.31320970737213594</v>
      </c>
      <c r="P38" s="63">
        <v>0.39054841344323615</v>
      </c>
    </row>
    <row r="39" spans="1:16" s="15" customFormat="1" thickBot="1" x14ac:dyDescent="0.25">
      <c r="A39" s="17">
        <v>301238000</v>
      </c>
      <c r="B39" s="18" t="s">
        <v>89</v>
      </c>
      <c r="C39" s="18" t="s">
        <v>90</v>
      </c>
      <c r="D39" s="18" t="s">
        <v>88</v>
      </c>
      <c r="E39" s="18">
        <v>30475</v>
      </c>
      <c r="F39" s="69">
        <v>7601.7173842121028</v>
      </c>
      <c r="G39" s="70">
        <v>863.92707330108806</v>
      </c>
      <c r="H39" s="25">
        <v>8.6880000000000006</v>
      </c>
      <c r="I39" s="25" t="s">
        <v>19</v>
      </c>
      <c r="J39" s="24">
        <v>1</v>
      </c>
      <c r="K39" s="14" t="s">
        <v>831</v>
      </c>
      <c r="L39" s="13" t="s">
        <v>85</v>
      </c>
      <c r="M39" s="46">
        <v>0</v>
      </c>
      <c r="N39" s="51">
        <v>52.302641095647893</v>
      </c>
      <c r="O39" s="63">
        <v>0.31320970737213594</v>
      </c>
      <c r="P39" s="63">
        <v>0.39054841344323615</v>
      </c>
    </row>
    <row r="40" spans="1:16" s="15" customFormat="1" thickBot="1" x14ac:dyDescent="0.25">
      <c r="A40" s="17">
        <v>301338000</v>
      </c>
      <c r="B40" s="18" t="s">
        <v>91</v>
      </c>
      <c r="C40" s="18" t="s">
        <v>92</v>
      </c>
      <c r="D40" s="18"/>
      <c r="E40" s="18">
        <v>6</v>
      </c>
      <c r="F40" s="69">
        <v>2156.4798796729201</v>
      </c>
      <c r="G40" s="70">
        <v>66.475032294080009</v>
      </c>
      <c r="H40" s="19">
        <v>1.1359999999999999</v>
      </c>
      <c r="I40" s="25" t="s">
        <v>19</v>
      </c>
      <c r="J40" s="21">
        <v>1</v>
      </c>
      <c r="K40" s="14" t="s">
        <v>832</v>
      </c>
      <c r="L40" s="13"/>
      <c r="M40" s="46" t="s">
        <v>767</v>
      </c>
      <c r="N40" s="51">
        <v>38.029346912591159</v>
      </c>
      <c r="O40" s="63">
        <v>0</v>
      </c>
      <c r="P40" s="63">
        <v>0</v>
      </c>
    </row>
    <row r="41" spans="1:16" s="15" customFormat="1" thickBot="1" x14ac:dyDescent="0.25">
      <c r="A41" s="17">
        <v>302103000</v>
      </c>
      <c r="B41" s="18" t="s">
        <v>93</v>
      </c>
      <c r="C41" s="18" t="s">
        <v>94</v>
      </c>
      <c r="D41" s="18" t="s">
        <v>95</v>
      </c>
      <c r="E41" s="18">
        <v>1638</v>
      </c>
      <c r="F41" s="69">
        <v>497.2283378903594</v>
      </c>
      <c r="G41" s="70">
        <v>25.86892267588938</v>
      </c>
      <c r="H41" s="19">
        <v>1</v>
      </c>
      <c r="I41" s="19" t="s">
        <v>13</v>
      </c>
      <c r="J41" s="21">
        <v>1</v>
      </c>
      <c r="K41" s="14" t="s">
        <v>831</v>
      </c>
      <c r="L41" s="13" t="s">
        <v>78</v>
      </c>
      <c r="M41" s="46">
        <v>0</v>
      </c>
      <c r="N41" s="51">
        <v>36.298573840726164</v>
      </c>
      <c r="O41" s="63">
        <v>0.10306311244941802</v>
      </c>
      <c r="P41" s="63">
        <v>5.8039614775406909E-2</v>
      </c>
    </row>
    <row r="42" spans="1:16" s="15" customFormat="1" thickBot="1" x14ac:dyDescent="0.25">
      <c r="A42" s="17">
        <v>302198000</v>
      </c>
      <c r="B42" s="18" t="s">
        <v>97</v>
      </c>
      <c r="C42" s="18" t="s">
        <v>98</v>
      </c>
      <c r="D42" s="18" t="s">
        <v>99</v>
      </c>
      <c r="E42" s="18">
        <v>67</v>
      </c>
      <c r="F42" s="69">
        <v>874.96747055848323</v>
      </c>
      <c r="G42" s="70">
        <v>99.439119855097601</v>
      </c>
      <c r="H42" s="19">
        <v>1</v>
      </c>
      <c r="I42" s="19" t="s">
        <v>57</v>
      </c>
      <c r="J42" s="21">
        <v>1</v>
      </c>
      <c r="K42" s="14" t="s">
        <v>831</v>
      </c>
      <c r="L42" s="13" t="s">
        <v>85</v>
      </c>
      <c r="M42" s="46">
        <v>0</v>
      </c>
      <c r="N42" s="51">
        <v>52.302641095647893</v>
      </c>
      <c r="O42" s="63">
        <v>0.31320970737213594</v>
      </c>
      <c r="P42" s="63">
        <v>0.39054841344323615</v>
      </c>
    </row>
    <row r="43" spans="1:16" s="15" customFormat="1" thickBot="1" x14ac:dyDescent="0.25">
      <c r="A43" s="17">
        <v>302239000</v>
      </c>
      <c r="B43" s="18" t="s">
        <v>100</v>
      </c>
      <c r="C43" s="18" t="s">
        <v>101</v>
      </c>
      <c r="D43" s="18" t="s">
        <v>102</v>
      </c>
      <c r="E43" s="18">
        <v>2507</v>
      </c>
      <c r="F43" s="69">
        <v>1974.2421433625327</v>
      </c>
      <c r="G43" s="70">
        <v>60.85742393120001</v>
      </c>
      <c r="H43" s="19">
        <v>1.04</v>
      </c>
      <c r="I43" s="19" t="s">
        <v>13</v>
      </c>
      <c r="J43" s="21">
        <v>1</v>
      </c>
      <c r="K43" s="14" t="s">
        <v>832</v>
      </c>
      <c r="L43" s="13"/>
      <c r="M43" s="46" t="s">
        <v>767</v>
      </c>
      <c r="N43" s="51">
        <v>38.029346912591159</v>
      </c>
      <c r="O43" s="63">
        <v>0</v>
      </c>
      <c r="P43" s="63">
        <v>0</v>
      </c>
    </row>
    <row r="44" spans="1:16" s="15" customFormat="1" thickBot="1" x14ac:dyDescent="0.25">
      <c r="A44" s="17">
        <v>401005000</v>
      </c>
      <c r="B44" s="18" t="s">
        <v>103</v>
      </c>
      <c r="C44" s="18" t="s">
        <v>104</v>
      </c>
      <c r="D44" s="18" t="s">
        <v>105</v>
      </c>
      <c r="E44" s="18">
        <v>12</v>
      </c>
      <c r="F44" s="69">
        <v>497.2283378903594</v>
      </c>
      <c r="G44" s="70">
        <v>25.86892267588938</v>
      </c>
      <c r="H44" s="20">
        <v>1</v>
      </c>
      <c r="I44" s="25" t="s">
        <v>26</v>
      </c>
      <c r="J44" s="21">
        <v>1</v>
      </c>
      <c r="K44" s="14" t="s">
        <v>831</v>
      </c>
      <c r="L44" s="13" t="s">
        <v>78</v>
      </c>
      <c r="M44" s="46">
        <v>0</v>
      </c>
      <c r="N44" s="51">
        <v>36.298573840726164</v>
      </c>
      <c r="O44" s="63">
        <v>0.10306311244941802</v>
      </c>
      <c r="P44" s="63">
        <v>5.8039614775406909E-2</v>
      </c>
    </row>
    <row r="45" spans="1:16" s="15" customFormat="1" thickBot="1" x14ac:dyDescent="0.25">
      <c r="A45" s="17">
        <v>401118000</v>
      </c>
      <c r="B45" s="18" t="s">
        <v>106</v>
      </c>
      <c r="C45" s="18" t="s">
        <v>76</v>
      </c>
      <c r="D45" s="18" t="s">
        <v>107</v>
      </c>
      <c r="E45" s="18">
        <v>21992</v>
      </c>
      <c r="F45" s="69">
        <v>586.72943871062409</v>
      </c>
      <c r="G45" s="70">
        <v>30.525328757549467</v>
      </c>
      <c r="H45" s="19">
        <v>1.18</v>
      </c>
      <c r="I45" s="19" t="s">
        <v>13</v>
      </c>
      <c r="J45" s="21">
        <v>1</v>
      </c>
      <c r="K45" s="14" t="s">
        <v>831</v>
      </c>
      <c r="L45" s="13" t="s">
        <v>78</v>
      </c>
      <c r="M45" s="46">
        <v>0</v>
      </c>
      <c r="N45" s="51">
        <v>36.298573840726164</v>
      </c>
      <c r="O45" s="63">
        <v>0.10306311244941802</v>
      </c>
      <c r="P45" s="63">
        <v>5.8039614775406909E-2</v>
      </c>
    </row>
    <row r="46" spans="1:16" s="15" customFormat="1" thickBot="1" x14ac:dyDescent="0.25">
      <c r="A46" s="17">
        <v>401138000</v>
      </c>
      <c r="B46" s="18" t="s">
        <v>108</v>
      </c>
      <c r="C46" s="18" t="s">
        <v>76</v>
      </c>
      <c r="D46" s="18"/>
      <c r="E46" s="18">
        <v>5</v>
      </c>
      <c r="F46" s="69">
        <v>497.2283378903594</v>
      </c>
      <c r="G46" s="70">
        <v>25.86892267588938</v>
      </c>
      <c r="H46" s="20">
        <v>1</v>
      </c>
      <c r="I46" s="25" t="s">
        <v>26</v>
      </c>
      <c r="J46" s="21">
        <v>1</v>
      </c>
      <c r="K46" s="14" t="s">
        <v>831</v>
      </c>
      <c r="L46" s="13" t="s">
        <v>78</v>
      </c>
      <c r="M46" s="46">
        <v>0</v>
      </c>
      <c r="N46" s="51">
        <v>36.298573840726164</v>
      </c>
      <c r="O46" s="63">
        <v>0.10306311244941802</v>
      </c>
      <c r="P46" s="63">
        <v>5.8039614775406909E-2</v>
      </c>
    </row>
    <row r="47" spans="1:16" s="15" customFormat="1" thickBot="1" x14ac:dyDescent="0.25">
      <c r="A47" s="17">
        <v>401144000</v>
      </c>
      <c r="B47" s="18" t="s">
        <v>109</v>
      </c>
      <c r="C47" s="18" t="s">
        <v>76</v>
      </c>
      <c r="D47" s="18"/>
      <c r="E47" s="18">
        <v>4937</v>
      </c>
      <c r="F47" s="69">
        <v>497.2283378903594</v>
      </c>
      <c r="G47" s="70">
        <v>25.86892267588938</v>
      </c>
      <c r="H47" s="19">
        <v>1</v>
      </c>
      <c r="I47" s="25" t="s">
        <v>26</v>
      </c>
      <c r="J47" s="21">
        <v>1</v>
      </c>
      <c r="K47" s="14" t="s">
        <v>831</v>
      </c>
      <c r="L47" s="13" t="s">
        <v>78</v>
      </c>
      <c r="M47" s="46">
        <v>0</v>
      </c>
      <c r="N47" s="51">
        <v>36.298573840726164</v>
      </c>
      <c r="O47" s="63">
        <v>0.10306311244941802</v>
      </c>
      <c r="P47" s="63">
        <v>5.8039614775406909E-2</v>
      </c>
    </row>
    <row r="48" spans="1:16" s="15" customFormat="1" thickBot="1" x14ac:dyDescent="0.25">
      <c r="A48" s="17">
        <v>401150000</v>
      </c>
      <c r="B48" s="18" t="s">
        <v>110</v>
      </c>
      <c r="C48" s="18" t="s">
        <v>76</v>
      </c>
      <c r="D48" s="18" t="s">
        <v>111</v>
      </c>
      <c r="E48" s="18">
        <v>1566</v>
      </c>
      <c r="F48" s="69">
        <v>556.68810908222133</v>
      </c>
      <c r="G48" s="70">
        <v>28.542997473086903</v>
      </c>
      <c r="H48" s="19">
        <v>1.1599999999999999</v>
      </c>
      <c r="I48" s="19" t="s">
        <v>13</v>
      </c>
      <c r="J48" s="21">
        <v>1</v>
      </c>
      <c r="K48" s="14" t="s">
        <v>832</v>
      </c>
      <c r="L48" s="13"/>
      <c r="M48" s="46" t="s">
        <v>773</v>
      </c>
      <c r="N48" s="51">
        <v>26.419161068160388</v>
      </c>
      <c r="O48" s="63">
        <v>0.11881820425229547</v>
      </c>
      <c r="P48" s="63">
        <v>6.6417027279681407E-2</v>
      </c>
    </row>
    <row r="49" spans="1:16" s="15" customFormat="1" thickBot="1" x14ac:dyDescent="0.25">
      <c r="A49" s="17">
        <v>401204000</v>
      </c>
      <c r="B49" s="18" t="s">
        <v>112</v>
      </c>
      <c r="C49" s="18" t="s">
        <v>113</v>
      </c>
      <c r="D49" s="18"/>
      <c r="E49" s="18">
        <v>15121</v>
      </c>
      <c r="F49" s="69">
        <v>503.89871942787278</v>
      </c>
      <c r="G49" s="70">
        <v>25.836333919604527</v>
      </c>
      <c r="H49" s="19">
        <v>1.05</v>
      </c>
      <c r="I49" s="25" t="s">
        <v>13</v>
      </c>
      <c r="J49" s="21">
        <v>1</v>
      </c>
      <c r="K49" s="14" t="s">
        <v>832</v>
      </c>
      <c r="L49" s="13"/>
      <c r="M49" s="46" t="s">
        <v>773</v>
      </c>
      <c r="N49" s="51">
        <v>26.419161068160388</v>
      </c>
      <c r="O49" s="63">
        <v>0.11881820425229547</v>
      </c>
      <c r="P49" s="63">
        <v>6.6417027279681407E-2</v>
      </c>
    </row>
    <row r="50" spans="1:16" s="15" customFormat="1" thickBot="1" x14ac:dyDescent="0.25">
      <c r="A50" s="17">
        <v>401205000</v>
      </c>
      <c r="B50" s="18" t="s">
        <v>114</v>
      </c>
      <c r="C50" s="18" t="s">
        <v>76</v>
      </c>
      <c r="D50" s="18" t="s">
        <v>115</v>
      </c>
      <c r="E50" s="18">
        <v>1626</v>
      </c>
      <c r="F50" s="69">
        <v>604.67846331344731</v>
      </c>
      <c r="G50" s="70">
        <v>31.003600703525432</v>
      </c>
      <c r="H50" s="19">
        <v>1.26</v>
      </c>
      <c r="I50" s="25" t="s">
        <v>19</v>
      </c>
      <c r="J50" s="21">
        <v>1</v>
      </c>
      <c r="K50" s="14" t="s">
        <v>832</v>
      </c>
      <c r="L50" s="13"/>
      <c r="M50" s="46" t="s">
        <v>773</v>
      </c>
      <c r="N50" s="51">
        <v>26.419161068160388</v>
      </c>
      <c r="O50" s="63">
        <v>0.11881820425229547</v>
      </c>
      <c r="P50" s="63">
        <v>6.6417027279681407E-2</v>
      </c>
    </row>
    <row r="51" spans="1:16" s="15" customFormat="1" thickBot="1" x14ac:dyDescent="0.25">
      <c r="A51" s="17">
        <v>401248000</v>
      </c>
      <c r="B51" s="18" t="s">
        <v>116</v>
      </c>
      <c r="C51" s="18" t="s">
        <v>117</v>
      </c>
      <c r="D51" s="18"/>
      <c r="E51" s="18">
        <v>2940</v>
      </c>
      <c r="F51" s="69">
        <v>522.08975478487741</v>
      </c>
      <c r="G51" s="70">
        <v>27.162368809683851</v>
      </c>
      <c r="H51" s="19">
        <v>1.05</v>
      </c>
      <c r="I51" s="25" t="s">
        <v>13</v>
      </c>
      <c r="J51" s="21">
        <v>1</v>
      </c>
      <c r="K51" s="14" t="s">
        <v>831</v>
      </c>
      <c r="L51" s="13" t="s">
        <v>78</v>
      </c>
      <c r="M51" s="46">
        <v>0</v>
      </c>
      <c r="N51" s="51">
        <v>36.298573840726164</v>
      </c>
      <c r="O51" s="63">
        <v>0.10306311244941802</v>
      </c>
      <c r="P51" s="63">
        <v>5.8039614775406909E-2</v>
      </c>
    </row>
    <row r="52" spans="1:16" s="15" customFormat="1" thickBot="1" x14ac:dyDescent="0.25">
      <c r="A52" s="17">
        <v>401313000</v>
      </c>
      <c r="B52" s="18" t="s">
        <v>118</v>
      </c>
      <c r="C52" s="18" t="s">
        <v>76</v>
      </c>
      <c r="D52" s="18"/>
      <c r="E52" s="18">
        <v>1562</v>
      </c>
      <c r="F52" s="69">
        <v>527.89389654348577</v>
      </c>
      <c r="G52" s="70">
        <v>27.066635534823792</v>
      </c>
      <c r="H52" s="19">
        <v>1.1000000000000001</v>
      </c>
      <c r="I52" s="25" t="s">
        <v>13</v>
      </c>
      <c r="J52" s="21">
        <v>1</v>
      </c>
      <c r="K52" s="14" t="s">
        <v>831</v>
      </c>
      <c r="L52" s="13" t="s">
        <v>110</v>
      </c>
      <c r="M52" s="46">
        <v>0</v>
      </c>
      <c r="N52" s="51">
        <v>26.419161068160388</v>
      </c>
      <c r="O52" s="63">
        <v>0.11881820425229547</v>
      </c>
      <c r="P52" s="63">
        <v>6.6417027279681407E-2</v>
      </c>
    </row>
    <row r="53" spans="1:16" s="15" customFormat="1" thickBot="1" x14ac:dyDescent="0.25">
      <c r="A53" s="17">
        <v>401355000</v>
      </c>
      <c r="B53" s="18" t="s">
        <v>119</v>
      </c>
      <c r="C53" s="18" t="s">
        <v>113</v>
      </c>
      <c r="D53" s="18"/>
      <c r="E53" s="18">
        <v>2857</v>
      </c>
      <c r="F53" s="69">
        <v>763.39178722827501</v>
      </c>
      <c r="G53" s="70">
        <v>41.224055368658405</v>
      </c>
      <c r="H53" s="19">
        <v>1.39</v>
      </c>
      <c r="I53" s="19" t="s">
        <v>13</v>
      </c>
      <c r="J53" s="21">
        <v>1</v>
      </c>
      <c r="K53" s="14" t="s">
        <v>832</v>
      </c>
      <c r="L53" s="13"/>
      <c r="M53" s="46" t="s">
        <v>119</v>
      </c>
      <c r="N53" s="51">
        <v>65.936812158423493</v>
      </c>
      <c r="O53" s="63">
        <v>5.5797837040785642E-2</v>
      </c>
      <c r="P53" s="63">
        <v>3.2907377262583429E-2</v>
      </c>
    </row>
    <row r="54" spans="1:16" s="15" customFormat="1" thickBot="1" x14ac:dyDescent="0.25">
      <c r="A54" s="17">
        <v>401367000</v>
      </c>
      <c r="B54" s="18" t="s">
        <v>120</v>
      </c>
      <c r="C54" s="18" t="s">
        <v>121</v>
      </c>
      <c r="D54" s="18"/>
      <c r="E54" s="18">
        <v>11</v>
      </c>
      <c r="F54" s="69">
        <v>541.9788883004918</v>
      </c>
      <c r="G54" s="70">
        <v>28.197125716719427</v>
      </c>
      <c r="H54" s="19">
        <v>1.0900000000000001</v>
      </c>
      <c r="I54" s="25" t="s">
        <v>13</v>
      </c>
      <c r="J54" s="21">
        <v>1</v>
      </c>
      <c r="K54" s="14" t="s">
        <v>831</v>
      </c>
      <c r="L54" s="13" t="s">
        <v>78</v>
      </c>
      <c r="M54" s="46">
        <v>0</v>
      </c>
      <c r="N54" s="51">
        <v>36.298573840726164</v>
      </c>
      <c r="O54" s="63">
        <v>0.10306311244941802</v>
      </c>
      <c r="P54" s="63">
        <v>5.8039614775406909E-2</v>
      </c>
    </row>
    <row r="55" spans="1:16" s="15" customFormat="1" thickBot="1" x14ac:dyDescent="0.25">
      <c r="A55" s="17">
        <v>402018000</v>
      </c>
      <c r="B55" s="18" t="s">
        <v>122</v>
      </c>
      <c r="C55" s="18" t="s">
        <v>76</v>
      </c>
      <c r="D55" s="18"/>
      <c r="E55" s="18">
        <v>26</v>
      </c>
      <c r="F55" s="69">
        <v>830.37132427690017</v>
      </c>
      <c r="G55" s="70">
        <v>43.20110086873526</v>
      </c>
      <c r="H55" s="19">
        <v>1.67</v>
      </c>
      <c r="I55" s="19" t="s">
        <v>13</v>
      </c>
      <c r="J55" s="21">
        <v>1</v>
      </c>
      <c r="K55" s="14" t="s">
        <v>831</v>
      </c>
      <c r="L55" s="13" t="s">
        <v>78</v>
      </c>
      <c r="M55" s="46">
        <v>0</v>
      </c>
      <c r="N55" s="51">
        <v>36.298573840726164</v>
      </c>
      <c r="O55" s="63">
        <v>0.10306311244941802</v>
      </c>
      <c r="P55" s="63">
        <v>5.8039614775406909E-2</v>
      </c>
    </row>
    <row r="56" spans="1:16" s="15" customFormat="1" thickBot="1" x14ac:dyDescent="0.25">
      <c r="A56" s="17">
        <v>402062000</v>
      </c>
      <c r="B56" s="18" t="s">
        <v>123</v>
      </c>
      <c r="C56" s="18" t="s">
        <v>124</v>
      </c>
      <c r="D56" s="18"/>
      <c r="E56" s="18">
        <v>15</v>
      </c>
      <c r="F56" s="69">
        <v>3009.1666596946156</v>
      </c>
      <c r="G56" s="70">
        <v>199.98421004140789</v>
      </c>
      <c r="H56" s="19">
        <v>1</v>
      </c>
      <c r="I56" s="25" t="s">
        <v>26</v>
      </c>
      <c r="J56" s="21">
        <v>1</v>
      </c>
      <c r="K56" s="14" t="s">
        <v>832</v>
      </c>
      <c r="L56" s="13"/>
      <c r="M56" s="46" t="s">
        <v>747</v>
      </c>
      <c r="N56" s="51">
        <v>34.233129340681316</v>
      </c>
      <c r="O56" s="63">
        <v>4.2290482466158675E-3</v>
      </c>
      <c r="P56" s="63">
        <v>2.7125389682663864E-3</v>
      </c>
    </row>
    <row r="57" spans="1:16" s="15" customFormat="1" thickBot="1" x14ac:dyDescent="0.25">
      <c r="A57" s="17">
        <v>402070000</v>
      </c>
      <c r="B57" s="18" t="s">
        <v>125</v>
      </c>
      <c r="C57" s="18" t="s">
        <v>117</v>
      </c>
      <c r="D57" s="18"/>
      <c r="E57" s="18">
        <v>240</v>
      </c>
      <c r="F57" s="69">
        <v>169.29358238944252</v>
      </c>
      <c r="G57" s="70">
        <v>56.113394203263361</v>
      </c>
      <c r="H57" s="19">
        <v>1.1399999999999999</v>
      </c>
      <c r="I57" s="25" t="s">
        <v>13</v>
      </c>
      <c r="J57" s="21">
        <v>1</v>
      </c>
      <c r="K57" s="14" t="s">
        <v>832</v>
      </c>
      <c r="L57" s="13"/>
      <c r="M57" s="46" t="s">
        <v>743</v>
      </c>
      <c r="N57" s="51">
        <v>76.344185648332854</v>
      </c>
      <c r="O57" s="63">
        <v>1.0157003340242241E-3</v>
      </c>
      <c r="P57" s="63">
        <v>5.0096226074650607E-4</v>
      </c>
    </row>
    <row r="58" spans="1:16" s="15" customFormat="1" thickBot="1" x14ac:dyDescent="0.25">
      <c r="A58" s="17">
        <v>402117000</v>
      </c>
      <c r="B58" s="18" t="s">
        <v>128</v>
      </c>
      <c r="C58" s="18" t="s">
        <v>76</v>
      </c>
      <c r="D58" s="18"/>
      <c r="E58" s="18">
        <v>454</v>
      </c>
      <c r="F58" s="69">
        <v>259.88049928203901</v>
      </c>
      <c r="G58" s="70">
        <v>86.13898232957095</v>
      </c>
      <c r="H58" s="19">
        <v>1.75</v>
      </c>
      <c r="I58" s="19" t="s">
        <v>13</v>
      </c>
      <c r="J58" s="21">
        <v>1</v>
      </c>
      <c r="K58" s="14" t="s">
        <v>832</v>
      </c>
      <c r="L58" s="13"/>
      <c r="M58" s="46" t="s">
        <v>743</v>
      </c>
      <c r="N58" s="51">
        <v>76.344185648332854</v>
      </c>
      <c r="O58" s="63">
        <v>1.0157003340242241E-3</v>
      </c>
      <c r="P58" s="63">
        <v>5.0096226074650607E-4</v>
      </c>
    </row>
    <row r="59" spans="1:16" s="15" customFormat="1" thickBot="1" x14ac:dyDescent="0.25">
      <c r="A59" s="17">
        <v>402133000</v>
      </c>
      <c r="B59" s="18" t="s">
        <v>129</v>
      </c>
      <c r="C59" s="18" t="s">
        <v>76</v>
      </c>
      <c r="D59" s="18"/>
      <c r="E59" s="18">
        <v>1</v>
      </c>
      <c r="F59" s="69">
        <v>701.09195642540669</v>
      </c>
      <c r="G59" s="70">
        <v>36.475180973004022</v>
      </c>
      <c r="H59" s="19">
        <v>1.41</v>
      </c>
      <c r="I59" s="19" t="s">
        <v>13</v>
      </c>
      <c r="J59" s="21">
        <v>1</v>
      </c>
      <c r="K59" s="14" t="s">
        <v>831</v>
      </c>
      <c r="L59" s="13" t="s">
        <v>78</v>
      </c>
      <c r="M59" s="46">
        <v>0</v>
      </c>
      <c r="N59" s="51">
        <v>36.298573840726164</v>
      </c>
      <c r="O59" s="63">
        <v>0.10306311244941802</v>
      </c>
      <c r="P59" s="63">
        <v>5.8039614775406909E-2</v>
      </c>
    </row>
    <row r="60" spans="1:16" s="15" customFormat="1" thickBot="1" x14ac:dyDescent="0.25">
      <c r="A60" s="17">
        <v>402194000</v>
      </c>
      <c r="B60" s="18" t="s">
        <v>130</v>
      </c>
      <c r="C60" s="18" t="s">
        <v>76</v>
      </c>
      <c r="D60" s="18" t="s">
        <v>131</v>
      </c>
      <c r="E60" s="18">
        <v>87</v>
      </c>
      <c r="F60" s="69">
        <v>243.44777450308104</v>
      </c>
      <c r="G60" s="70">
        <v>80.692255109668352</v>
      </c>
      <c r="H60" s="19">
        <v>1.639344262295082</v>
      </c>
      <c r="I60" s="25" t="s">
        <v>132</v>
      </c>
      <c r="J60" s="21">
        <v>1</v>
      </c>
      <c r="K60" s="14" t="s">
        <v>832</v>
      </c>
      <c r="L60" s="13"/>
      <c r="M60" s="46" t="s">
        <v>743</v>
      </c>
      <c r="N60" s="51">
        <v>76.344185648332854</v>
      </c>
      <c r="O60" s="63">
        <v>1.0157003340242241E-3</v>
      </c>
      <c r="P60" s="63">
        <v>5.0096226074650607E-4</v>
      </c>
    </row>
    <row r="61" spans="1:16" s="15" customFormat="1" thickBot="1" x14ac:dyDescent="0.25">
      <c r="A61" s="17">
        <v>402229000</v>
      </c>
      <c r="B61" s="18" t="s">
        <v>133</v>
      </c>
      <c r="C61" s="18" t="s">
        <v>117</v>
      </c>
      <c r="D61" s="18"/>
      <c r="E61" s="18">
        <v>105</v>
      </c>
      <c r="F61" s="69">
        <v>160.3833938426298</v>
      </c>
      <c r="G61" s="70">
        <v>53.160057666249507</v>
      </c>
      <c r="H61" s="19">
        <v>1.08</v>
      </c>
      <c r="I61" s="19" t="s">
        <v>13</v>
      </c>
      <c r="J61" s="21">
        <v>1</v>
      </c>
      <c r="K61" s="14" t="s">
        <v>831</v>
      </c>
      <c r="L61" s="13" t="s">
        <v>126</v>
      </c>
      <c r="M61" s="46">
        <v>0</v>
      </c>
      <c r="N61" s="51">
        <v>76.344185648332854</v>
      </c>
      <c r="O61" s="63">
        <v>1.0157003340242241E-3</v>
      </c>
      <c r="P61" s="63">
        <v>5.0096226074650607E-4</v>
      </c>
    </row>
    <row r="62" spans="1:16" s="15" customFormat="1" thickBot="1" x14ac:dyDescent="0.25">
      <c r="A62" s="17">
        <v>402389000</v>
      </c>
      <c r="B62" s="18" t="s">
        <v>134</v>
      </c>
      <c r="C62" s="18" t="s">
        <v>76</v>
      </c>
      <c r="D62" s="18"/>
      <c r="E62" s="18">
        <v>183</v>
      </c>
      <c r="F62" s="69">
        <v>212.14734635268491</v>
      </c>
      <c r="G62" s="70">
        <v>70.317536595568129</v>
      </c>
      <c r="H62" s="19">
        <v>1.4285714285714286</v>
      </c>
      <c r="I62" s="25" t="s">
        <v>132</v>
      </c>
      <c r="J62" s="21">
        <v>1</v>
      </c>
      <c r="K62" s="14" t="s">
        <v>831</v>
      </c>
      <c r="L62" s="13" t="s">
        <v>126</v>
      </c>
      <c r="M62" s="46">
        <v>0</v>
      </c>
      <c r="N62" s="51">
        <v>76.344185648332854</v>
      </c>
      <c r="O62" s="63">
        <v>1.0157003340242241E-3</v>
      </c>
      <c r="P62" s="63">
        <v>5.0096226074650607E-4</v>
      </c>
    </row>
    <row r="63" spans="1:16" s="15" customFormat="1" thickBot="1" x14ac:dyDescent="0.25">
      <c r="A63" s="17">
        <v>402398000</v>
      </c>
      <c r="B63" s="18" t="s">
        <v>135</v>
      </c>
      <c r="C63" s="18" t="s">
        <v>136</v>
      </c>
      <c r="D63" s="18"/>
      <c r="E63" s="18">
        <v>440</v>
      </c>
      <c r="F63" s="69">
        <v>595.15888728125231</v>
      </c>
      <c r="G63" s="70">
        <v>85.561305158268539</v>
      </c>
      <c r="H63" s="19">
        <v>1.0900000000000001</v>
      </c>
      <c r="I63" s="25" t="s">
        <v>13</v>
      </c>
      <c r="J63" s="21">
        <v>1</v>
      </c>
      <c r="K63" s="14" t="s">
        <v>831</v>
      </c>
      <c r="L63" s="13" t="s">
        <v>9</v>
      </c>
      <c r="M63" s="46">
        <v>0</v>
      </c>
      <c r="N63" s="51">
        <v>91.201036523819354</v>
      </c>
      <c r="O63" s="63">
        <v>0.35170205384271497</v>
      </c>
      <c r="P63" s="63">
        <v>0.35441987933612168</v>
      </c>
    </row>
    <row r="64" spans="1:16" s="15" customFormat="1" thickBot="1" x14ac:dyDescent="0.25">
      <c r="A64" s="17">
        <v>500061000</v>
      </c>
      <c r="B64" s="18" t="s">
        <v>137</v>
      </c>
      <c r="C64" s="18" t="s">
        <v>138</v>
      </c>
      <c r="D64" s="18"/>
      <c r="E64" s="18">
        <v>3819</v>
      </c>
      <c r="F64" s="69">
        <v>4935.0333218991691</v>
      </c>
      <c r="G64" s="70">
        <v>327.97410446790894</v>
      </c>
      <c r="H64" s="19">
        <v>1.64</v>
      </c>
      <c r="I64" s="19" t="s">
        <v>13</v>
      </c>
      <c r="J64" s="21">
        <v>1</v>
      </c>
      <c r="K64" s="14" t="s">
        <v>832</v>
      </c>
      <c r="L64" s="13"/>
      <c r="M64" s="46" t="s">
        <v>747</v>
      </c>
      <c r="N64" s="51">
        <v>34.233129340681316</v>
      </c>
      <c r="O64" s="63">
        <v>4.2290482466158675E-3</v>
      </c>
      <c r="P64" s="63">
        <v>2.7125389682663864E-3</v>
      </c>
    </row>
    <row r="65" spans="1:16" s="15" customFormat="1" thickBot="1" x14ac:dyDescent="0.25">
      <c r="A65" s="17">
        <v>500064000</v>
      </c>
      <c r="B65" s="18" t="s">
        <v>139</v>
      </c>
      <c r="C65" s="18" t="s">
        <v>140</v>
      </c>
      <c r="D65" s="18"/>
      <c r="E65" s="18">
        <v>91</v>
      </c>
      <c r="F65" s="69">
        <v>164.83848811603616</v>
      </c>
      <c r="G65" s="70">
        <v>54.636725934756441</v>
      </c>
      <c r="H65" s="19">
        <v>1.1100000000000001</v>
      </c>
      <c r="I65" s="19" t="s">
        <v>13</v>
      </c>
      <c r="J65" s="21">
        <v>1</v>
      </c>
      <c r="K65" s="14" t="s">
        <v>832</v>
      </c>
      <c r="L65" s="13"/>
      <c r="M65" s="46" t="s">
        <v>743</v>
      </c>
      <c r="N65" s="51">
        <v>76.344185648332854</v>
      </c>
      <c r="O65" s="63">
        <v>1.0157003340242241E-3</v>
      </c>
      <c r="P65" s="63">
        <v>5.0096226074650607E-4</v>
      </c>
    </row>
    <row r="66" spans="1:16" s="15" customFormat="1" thickBot="1" x14ac:dyDescent="0.25">
      <c r="A66" s="17">
        <v>500069000</v>
      </c>
      <c r="B66" s="18" t="s">
        <v>142</v>
      </c>
      <c r="C66" s="18" t="s">
        <v>76</v>
      </c>
      <c r="D66" s="18"/>
      <c r="E66" s="18">
        <v>3033</v>
      </c>
      <c r="F66" s="69">
        <v>185.62892805859929</v>
      </c>
      <c r="G66" s="70">
        <v>61.527844521122113</v>
      </c>
      <c r="H66" s="19">
        <v>1.25</v>
      </c>
      <c r="I66" s="19" t="s">
        <v>13</v>
      </c>
      <c r="J66" s="21">
        <v>1</v>
      </c>
      <c r="K66" s="14" t="s">
        <v>832</v>
      </c>
      <c r="L66" s="13"/>
      <c r="M66" s="46" t="s">
        <v>743</v>
      </c>
      <c r="N66" s="51">
        <v>76.344185648332854</v>
      </c>
      <c r="O66" s="63">
        <v>1.0157003340242241E-3</v>
      </c>
      <c r="P66" s="63">
        <v>5.0096226074650607E-4</v>
      </c>
    </row>
    <row r="67" spans="1:16" s="15" customFormat="1" thickBot="1" x14ac:dyDescent="0.25">
      <c r="A67" s="17">
        <v>500071000</v>
      </c>
      <c r="B67" s="18" t="s">
        <v>143</v>
      </c>
      <c r="C67" s="18" t="s">
        <v>76</v>
      </c>
      <c r="D67" s="18"/>
      <c r="E67" s="18">
        <v>240</v>
      </c>
      <c r="F67" s="69">
        <v>169.29358238944252</v>
      </c>
      <c r="G67" s="70">
        <v>56.113394203263361</v>
      </c>
      <c r="H67" s="19">
        <v>1.1399999999999999</v>
      </c>
      <c r="I67" s="25" t="s">
        <v>13</v>
      </c>
      <c r="J67" s="21">
        <v>1</v>
      </c>
      <c r="K67" s="14" t="s">
        <v>832</v>
      </c>
      <c r="L67" s="13"/>
      <c r="M67" s="46" t="s">
        <v>743</v>
      </c>
      <c r="N67" s="51">
        <v>76.344185648332854</v>
      </c>
      <c r="O67" s="63">
        <v>1.0157003340242241E-3</v>
      </c>
      <c r="P67" s="63">
        <v>5.0096226074650607E-4</v>
      </c>
    </row>
    <row r="68" spans="1:16" s="15" customFormat="1" thickBot="1" x14ac:dyDescent="0.25">
      <c r="A68" s="17">
        <v>500072000</v>
      </c>
      <c r="B68" s="18" t="s">
        <v>144</v>
      </c>
      <c r="C68" s="18" t="s">
        <v>76</v>
      </c>
      <c r="D68" s="18"/>
      <c r="E68" s="18">
        <v>240</v>
      </c>
      <c r="F68" s="69">
        <v>160.3833938426298</v>
      </c>
      <c r="G68" s="70">
        <v>53.160057666249507</v>
      </c>
      <c r="H68" s="19">
        <v>1.08</v>
      </c>
      <c r="I68" s="25" t="s">
        <v>13</v>
      </c>
      <c r="J68" s="21">
        <v>1</v>
      </c>
      <c r="K68" s="14" t="s">
        <v>832</v>
      </c>
      <c r="L68" s="13"/>
      <c r="M68" s="46" t="s">
        <v>743</v>
      </c>
      <c r="N68" s="51">
        <v>76.344185648332854</v>
      </c>
      <c r="O68" s="63">
        <v>1.0157003340242241E-3</v>
      </c>
      <c r="P68" s="63">
        <v>5.0096226074650607E-4</v>
      </c>
    </row>
    <row r="69" spans="1:16" s="15" customFormat="1" thickBot="1" x14ac:dyDescent="0.25">
      <c r="A69" s="17">
        <v>500083000</v>
      </c>
      <c r="B69" s="18" t="s">
        <v>145</v>
      </c>
      <c r="C69" s="18" t="s">
        <v>138</v>
      </c>
      <c r="D69" s="18" t="s">
        <v>146</v>
      </c>
      <c r="E69" s="18">
        <v>1217</v>
      </c>
      <c r="F69" s="69">
        <v>7703.4666488182165</v>
      </c>
      <c r="G69" s="70">
        <v>511.95957770600421</v>
      </c>
      <c r="H69" s="19">
        <v>2.56</v>
      </c>
      <c r="I69" s="19" t="s">
        <v>13</v>
      </c>
      <c r="J69" s="21">
        <v>1</v>
      </c>
      <c r="K69" s="14" t="s">
        <v>832</v>
      </c>
      <c r="L69" s="13"/>
      <c r="M69" s="46" t="s">
        <v>747</v>
      </c>
      <c r="N69" s="51">
        <v>34.233129340681316</v>
      </c>
      <c r="O69" s="63">
        <v>4.2290482466158675E-3</v>
      </c>
      <c r="P69" s="63">
        <v>2.7125389682663864E-3</v>
      </c>
    </row>
    <row r="70" spans="1:16" s="15" customFormat="1" thickBot="1" x14ac:dyDescent="0.25">
      <c r="A70" s="17">
        <v>600347000</v>
      </c>
      <c r="B70" s="18" t="s">
        <v>147</v>
      </c>
      <c r="C70" s="18" t="s">
        <v>148</v>
      </c>
      <c r="D70" s="18"/>
      <c r="E70" s="18">
        <v>6346</v>
      </c>
      <c r="F70" s="69">
        <v>500.44885522180738</v>
      </c>
      <c r="G70" s="70">
        <v>287.02725840257438</v>
      </c>
      <c r="H70" s="19">
        <v>1</v>
      </c>
      <c r="I70" s="25" t="s">
        <v>26</v>
      </c>
      <c r="J70" s="21">
        <v>1</v>
      </c>
      <c r="K70" s="14" t="s">
        <v>832</v>
      </c>
      <c r="L70" s="13"/>
      <c r="M70" s="46" t="s">
        <v>805</v>
      </c>
      <c r="N70" s="51">
        <v>1249.3062674109176</v>
      </c>
      <c r="O70" s="63">
        <v>7.712086247172018E-3</v>
      </c>
      <c r="P70" s="63">
        <v>2.350101411793399E-2</v>
      </c>
    </row>
    <row r="71" spans="1:16" s="15" customFormat="1" thickBot="1" x14ac:dyDescent="0.25">
      <c r="A71" s="17">
        <v>600348000</v>
      </c>
      <c r="B71" s="18" t="s">
        <v>150</v>
      </c>
      <c r="C71" s="25" t="s">
        <v>151</v>
      </c>
      <c r="D71" s="18"/>
      <c r="E71" s="18">
        <v>29542</v>
      </c>
      <c r="F71" s="69">
        <v>500.44885522180738</v>
      </c>
      <c r="G71" s="70">
        <v>287.02725840257438</v>
      </c>
      <c r="H71" s="20">
        <v>1</v>
      </c>
      <c r="I71" s="25" t="s">
        <v>13</v>
      </c>
      <c r="J71" s="21">
        <v>2</v>
      </c>
      <c r="K71" s="14" t="s">
        <v>831</v>
      </c>
      <c r="L71" s="49" t="s">
        <v>849</v>
      </c>
      <c r="M71" s="46">
        <v>0</v>
      </c>
      <c r="N71" s="51">
        <v>1249.3062674109176</v>
      </c>
      <c r="O71" s="63">
        <v>7.712086247172018E-3</v>
      </c>
      <c r="P71" s="63">
        <v>2.350101411793399E-2</v>
      </c>
    </row>
    <row r="72" spans="1:16" s="15" customFormat="1" thickBot="1" x14ac:dyDescent="0.25">
      <c r="A72" s="17">
        <v>600349000</v>
      </c>
      <c r="B72" s="18" t="s">
        <v>152</v>
      </c>
      <c r="C72" s="18" t="s">
        <v>153</v>
      </c>
      <c r="D72" s="18"/>
      <c r="E72" s="18">
        <v>1094</v>
      </c>
      <c r="F72" s="69">
        <v>22.520198484981332</v>
      </c>
      <c r="G72" s="70">
        <v>12.916226628115846</v>
      </c>
      <c r="H72" s="19">
        <v>1</v>
      </c>
      <c r="I72" s="25" t="s">
        <v>26</v>
      </c>
      <c r="J72" s="21">
        <v>2</v>
      </c>
      <c r="K72" s="14" t="s">
        <v>832</v>
      </c>
      <c r="L72" s="49"/>
      <c r="M72" s="46" t="s">
        <v>866</v>
      </c>
      <c r="N72" s="51">
        <v>56.218782033491287</v>
      </c>
      <c r="O72" s="63" t="s">
        <v>868</v>
      </c>
      <c r="P72" s="63" t="s">
        <v>868</v>
      </c>
    </row>
    <row r="73" spans="1:16" s="15" customFormat="1" thickBot="1" x14ac:dyDescent="0.25">
      <c r="A73" s="17">
        <v>600350000</v>
      </c>
      <c r="B73" s="18" t="s">
        <v>154</v>
      </c>
      <c r="C73" s="18" t="s">
        <v>155</v>
      </c>
      <c r="D73" s="18" t="s">
        <v>156</v>
      </c>
      <c r="E73" s="18">
        <v>50809</v>
      </c>
      <c r="F73" s="69">
        <v>500.44885522180738</v>
      </c>
      <c r="G73" s="70">
        <v>287.02725840257438</v>
      </c>
      <c r="H73" s="25">
        <v>1</v>
      </c>
      <c r="I73" s="25" t="s">
        <v>57</v>
      </c>
      <c r="J73" s="21">
        <v>2</v>
      </c>
      <c r="K73" s="14" t="s">
        <v>831</v>
      </c>
      <c r="L73" s="49" t="s">
        <v>849</v>
      </c>
      <c r="M73" s="46">
        <v>0</v>
      </c>
      <c r="N73" s="51">
        <v>1249.3062674109176</v>
      </c>
      <c r="O73" s="63">
        <v>7.712086247172018E-3</v>
      </c>
      <c r="P73" s="63">
        <v>2.350101411793399E-2</v>
      </c>
    </row>
    <row r="74" spans="1:16" s="15" customFormat="1" thickBot="1" x14ac:dyDescent="0.25">
      <c r="A74" s="17">
        <v>601043000</v>
      </c>
      <c r="B74" s="18" t="s">
        <v>158</v>
      </c>
      <c r="C74" s="18" t="s">
        <v>159</v>
      </c>
      <c r="D74" s="18" t="s">
        <v>160</v>
      </c>
      <c r="E74" s="18">
        <v>5924</v>
      </c>
      <c r="F74" s="69">
        <v>173.8867635205803</v>
      </c>
      <c r="G74" s="70">
        <v>96.689747388109069</v>
      </c>
      <c r="H74" s="19">
        <v>1.1399999999999999</v>
      </c>
      <c r="I74" s="19" t="s">
        <v>13</v>
      </c>
      <c r="J74" s="21">
        <v>1</v>
      </c>
      <c r="K74" s="14" t="s">
        <v>832</v>
      </c>
      <c r="L74" s="13"/>
      <c r="M74" s="46" t="s">
        <v>807</v>
      </c>
      <c r="N74" s="51">
        <v>240.45441474755881</v>
      </c>
      <c r="O74" s="63">
        <v>0</v>
      </c>
      <c r="P74" s="63">
        <v>0</v>
      </c>
    </row>
    <row r="75" spans="1:16" s="15" customFormat="1" thickBot="1" x14ac:dyDescent="0.25">
      <c r="A75" s="17">
        <v>601257000</v>
      </c>
      <c r="B75" s="18" t="s">
        <v>162</v>
      </c>
      <c r="C75" s="18" t="s">
        <v>163</v>
      </c>
      <c r="D75" s="18"/>
      <c r="E75" s="18">
        <v>385</v>
      </c>
      <c r="F75" s="69">
        <v>143.01010219227405</v>
      </c>
      <c r="G75" s="70">
        <v>86.632281935167228</v>
      </c>
      <c r="H75" s="19">
        <v>1.06</v>
      </c>
      <c r="I75" s="25" t="s">
        <v>13</v>
      </c>
      <c r="J75" s="21">
        <v>1</v>
      </c>
      <c r="K75" s="14" t="s">
        <v>832</v>
      </c>
      <c r="L75" s="13"/>
      <c r="M75" s="46" t="s">
        <v>768</v>
      </c>
      <c r="N75" s="51">
        <v>162.01446112651251</v>
      </c>
      <c r="O75" s="63">
        <v>2.3751801947622379E-2</v>
      </c>
      <c r="P75" s="63">
        <v>8.9943341057151807E-2</v>
      </c>
    </row>
    <row r="76" spans="1:16" s="15" customFormat="1" thickBot="1" x14ac:dyDescent="0.25">
      <c r="A76" s="17">
        <v>602031000</v>
      </c>
      <c r="B76" s="18" t="s">
        <v>165</v>
      </c>
      <c r="C76" s="18" t="s">
        <v>159</v>
      </c>
      <c r="D76" s="18" t="s">
        <v>166</v>
      </c>
      <c r="E76" s="18">
        <v>6</v>
      </c>
      <c r="F76" s="69">
        <v>152.53224870226344</v>
      </c>
      <c r="G76" s="70">
        <v>84.815567884306205</v>
      </c>
      <c r="H76" s="26">
        <v>1</v>
      </c>
      <c r="I76" s="18" t="s">
        <v>26</v>
      </c>
      <c r="J76" s="24">
        <v>1</v>
      </c>
      <c r="K76" s="14" t="s">
        <v>831</v>
      </c>
      <c r="L76" s="13" t="s">
        <v>164</v>
      </c>
      <c r="M76" s="46">
        <v>0</v>
      </c>
      <c r="N76" s="51">
        <v>240.45441474755881</v>
      </c>
      <c r="O76" s="63">
        <v>0</v>
      </c>
      <c r="P76" s="63">
        <v>0</v>
      </c>
    </row>
    <row r="77" spans="1:16" s="15" customFormat="1" thickBot="1" x14ac:dyDescent="0.25">
      <c r="A77" s="17">
        <v>602033000</v>
      </c>
      <c r="B77" s="18" t="s">
        <v>167</v>
      </c>
      <c r="C77" s="18" t="s">
        <v>168</v>
      </c>
      <c r="D77" s="18" t="s">
        <v>169</v>
      </c>
      <c r="E77" s="18">
        <v>96</v>
      </c>
      <c r="F77" s="69">
        <v>152.53224870226344</v>
      </c>
      <c r="G77" s="70">
        <v>84.815567884306205</v>
      </c>
      <c r="H77" s="19">
        <v>1</v>
      </c>
      <c r="I77" s="25" t="s">
        <v>26</v>
      </c>
      <c r="J77" s="21">
        <v>1</v>
      </c>
      <c r="K77" s="14" t="s">
        <v>831</v>
      </c>
      <c r="L77" s="13" t="s">
        <v>164</v>
      </c>
      <c r="M77" s="46">
        <v>0</v>
      </c>
      <c r="N77" s="51">
        <v>240.45441474755881</v>
      </c>
      <c r="O77" s="63">
        <v>0</v>
      </c>
      <c r="P77" s="63">
        <v>0</v>
      </c>
    </row>
    <row r="78" spans="1:16" s="15" customFormat="1" thickBot="1" x14ac:dyDescent="0.25">
      <c r="A78" s="17">
        <v>602037000</v>
      </c>
      <c r="B78" s="18" t="s">
        <v>170</v>
      </c>
      <c r="C78" s="18" t="s">
        <v>168</v>
      </c>
      <c r="D78" s="18"/>
      <c r="E78" s="18">
        <v>1465</v>
      </c>
      <c r="F78" s="69">
        <v>152.53224870226344</v>
      </c>
      <c r="G78" s="70">
        <v>84.815567884306205</v>
      </c>
      <c r="H78" s="19">
        <v>1</v>
      </c>
      <c r="I78" s="25" t="s">
        <v>26</v>
      </c>
      <c r="J78" s="21">
        <v>1</v>
      </c>
      <c r="K78" s="14" t="s">
        <v>831</v>
      </c>
      <c r="L78" s="13" t="s">
        <v>164</v>
      </c>
      <c r="M78" s="46">
        <v>0</v>
      </c>
      <c r="N78" s="51">
        <v>240.45441474755881</v>
      </c>
      <c r="O78" s="63">
        <v>0</v>
      </c>
      <c r="P78" s="63">
        <v>0</v>
      </c>
    </row>
    <row r="79" spans="1:16" s="15" customFormat="1" thickBot="1" x14ac:dyDescent="0.25">
      <c r="A79" s="17">
        <v>602255000</v>
      </c>
      <c r="B79" s="18" t="s">
        <v>171</v>
      </c>
      <c r="C79" s="18" t="s">
        <v>172</v>
      </c>
      <c r="D79" s="18"/>
      <c r="E79" s="18">
        <v>4944</v>
      </c>
      <c r="F79" s="69">
        <v>134.91519074742834</v>
      </c>
      <c r="G79" s="70">
        <v>81.728567863365299</v>
      </c>
      <c r="H79" s="19">
        <v>1</v>
      </c>
      <c r="I79" s="25" t="s">
        <v>57</v>
      </c>
      <c r="J79" s="21">
        <v>1</v>
      </c>
      <c r="K79" s="14" t="s">
        <v>832</v>
      </c>
      <c r="L79" s="13"/>
      <c r="M79" s="46" t="s">
        <v>768</v>
      </c>
      <c r="N79" s="51">
        <v>162.01446112651251</v>
      </c>
      <c r="O79" s="63">
        <v>2.3751801947622379E-2</v>
      </c>
      <c r="P79" s="63">
        <v>8.9943341057151807E-2</v>
      </c>
    </row>
    <row r="80" spans="1:16" s="15" customFormat="1" ht="17" thickBot="1" x14ac:dyDescent="0.25">
      <c r="A80" s="17">
        <v>602259000</v>
      </c>
      <c r="B80" s="18" t="s">
        <v>173</v>
      </c>
      <c r="C80" s="18" t="s">
        <v>174</v>
      </c>
      <c r="D80" s="18" t="s">
        <v>175</v>
      </c>
      <c r="E80" s="18">
        <v>7</v>
      </c>
      <c r="F80" s="69">
        <v>134.91519074742834</v>
      </c>
      <c r="G80" s="70">
        <v>81.728567863365299</v>
      </c>
      <c r="H80" s="19">
        <v>1</v>
      </c>
      <c r="I80" s="25" t="s">
        <v>26</v>
      </c>
      <c r="J80" s="21">
        <v>1</v>
      </c>
      <c r="K80" s="14" t="s">
        <v>831</v>
      </c>
      <c r="L80" s="27" t="s">
        <v>841</v>
      </c>
      <c r="M80" s="46">
        <v>0</v>
      </c>
      <c r="N80" s="51">
        <v>162.01446112651251</v>
      </c>
      <c r="O80" s="63">
        <v>2.3751801947622379E-2</v>
      </c>
      <c r="P80" s="63">
        <v>8.9943341057151807E-2</v>
      </c>
    </row>
    <row r="81" spans="1:16" s="15" customFormat="1" thickBot="1" x14ac:dyDescent="0.25">
      <c r="A81" s="17">
        <v>603030000</v>
      </c>
      <c r="B81" s="18" t="s">
        <v>177</v>
      </c>
      <c r="C81" s="18" t="s">
        <v>178</v>
      </c>
      <c r="D81" s="18" t="s">
        <v>179</v>
      </c>
      <c r="E81" s="18">
        <v>770</v>
      </c>
      <c r="F81" s="69">
        <v>3165.584280953015</v>
      </c>
      <c r="G81" s="70">
        <v>580.17946716319682</v>
      </c>
      <c r="H81" s="19">
        <v>1</v>
      </c>
      <c r="I81" s="25" t="s">
        <v>26</v>
      </c>
      <c r="J81" s="24">
        <v>1</v>
      </c>
      <c r="K81" s="14" t="s">
        <v>832</v>
      </c>
      <c r="L81" s="13"/>
      <c r="M81" s="46" t="s">
        <v>740</v>
      </c>
      <c r="N81" s="51">
        <v>842.50466837184285</v>
      </c>
      <c r="O81" s="63">
        <v>7.5276495349716574E-2</v>
      </c>
      <c r="P81" s="63">
        <v>0.12284716032405571</v>
      </c>
    </row>
    <row r="82" spans="1:16" s="15" customFormat="1" thickBot="1" x14ac:dyDescent="0.25">
      <c r="A82" s="17">
        <v>603032000</v>
      </c>
      <c r="B82" s="18" t="s">
        <v>181</v>
      </c>
      <c r="C82" s="18" t="s">
        <v>178</v>
      </c>
      <c r="D82" s="18" t="s">
        <v>166</v>
      </c>
      <c r="E82" s="18">
        <v>13</v>
      </c>
      <c r="F82" s="69">
        <v>1703.3763567769599</v>
      </c>
      <c r="G82" s="70">
        <v>140.78098523089216</v>
      </c>
      <c r="H82" s="19">
        <v>1</v>
      </c>
      <c r="I82" s="25" t="s">
        <v>26</v>
      </c>
      <c r="J82" s="24">
        <v>1</v>
      </c>
      <c r="K82" s="14" t="s">
        <v>832</v>
      </c>
      <c r="L82" s="13"/>
      <c r="M82" s="46" t="s">
        <v>742</v>
      </c>
      <c r="N82" s="51">
        <v>245.12989842133575</v>
      </c>
      <c r="O82" s="63">
        <v>1</v>
      </c>
      <c r="P82" s="63">
        <v>1</v>
      </c>
    </row>
    <row r="83" spans="1:16" s="15" customFormat="1" thickBot="1" x14ac:dyDescent="0.25">
      <c r="A83" s="17">
        <v>603034000</v>
      </c>
      <c r="B83" s="18" t="s">
        <v>182</v>
      </c>
      <c r="C83" s="18" t="s">
        <v>178</v>
      </c>
      <c r="D83" s="18" t="s">
        <v>169</v>
      </c>
      <c r="E83" s="18">
        <v>54</v>
      </c>
      <c r="F83" s="69">
        <v>285.84472239359457</v>
      </c>
      <c r="G83" s="70">
        <v>461.56276608129508</v>
      </c>
      <c r="H83" s="19">
        <v>1</v>
      </c>
      <c r="I83" s="25" t="s">
        <v>26</v>
      </c>
      <c r="J83" s="21">
        <v>1</v>
      </c>
      <c r="K83" s="14" t="s">
        <v>832</v>
      </c>
      <c r="L83" s="13"/>
      <c r="M83" s="46" t="s">
        <v>755</v>
      </c>
      <c r="N83" s="51">
        <v>3630.2977215441442</v>
      </c>
      <c r="O83" s="63">
        <v>0</v>
      </c>
      <c r="P83" s="63">
        <v>0</v>
      </c>
    </row>
    <row r="84" spans="1:16" s="15" customFormat="1" thickBot="1" x14ac:dyDescent="0.25">
      <c r="A84" s="17">
        <v>603035000</v>
      </c>
      <c r="B84" s="18" t="s">
        <v>183</v>
      </c>
      <c r="C84" s="18" t="s">
        <v>178</v>
      </c>
      <c r="D84" s="18"/>
      <c r="E84" s="18">
        <v>1934</v>
      </c>
      <c r="F84" s="69">
        <v>3165.584280953015</v>
      </c>
      <c r="G84" s="70">
        <v>580.17946716319682</v>
      </c>
      <c r="H84" s="19">
        <v>1</v>
      </c>
      <c r="I84" s="25" t="s">
        <v>26</v>
      </c>
      <c r="J84" s="21">
        <v>1</v>
      </c>
      <c r="K84" s="14" t="s">
        <v>832</v>
      </c>
      <c r="L84" s="13"/>
      <c r="M84" s="46" t="s">
        <v>740</v>
      </c>
      <c r="N84" s="51">
        <v>842.50466837184285</v>
      </c>
      <c r="O84" s="63">
        <v>7.5276495349716574E-2</v>
      </c>
      <c r="P84" s="63">
        <v>0.12284716032405571</v>
      </c>
    </row>
    <row r="85" spans="1:16" s="15" customFormat="1" thickBot="1" x14ac:dyDescent="0.25">
      <c r="A85" s="17">
        <v>603036000</v>
      </c>
      <c r="B85" s="18" t="s">
        <v>184</v>
      </c>
      <c r="C85" s="18" t="s">
        <v>178</v>
      </c>
      <c r="D85" s="18"/>
      <c r="E85" s="18">
        <v>1457</v>
      </c>
      <c r="F85" s="69">
        <v>3165.584280953015</v>
      </c>
      <c r="G85" s="70">
        <v>580.17946716319682</v>
      </c>
      <c r="H85" s="19">
        <v>1</v>
      </c>
      <c r="I85" s="25" t="s">
        <v>26</v>
      </c>
      <c r="J85" s="21">
        <v>1</v>
      </c>
      <c r="K85" s="14" t="s">
        <v>832</v>
      </c>
      <c r="L85" s="13"/>
      <c r="M85" s="46" t="s">
        <v>740</v>
      </c>
      <c r="N85" s="51">
        <v>842.50466837184285</v>
      </c>
      <c r="O85" s="63">
        <v>7.5276495349716574E-2</v>
      </c>
      <c r="P85" s="63">
        <v>0.12284716032405571</v>
      </c>
    </row>
    <row r="86" spans="1:16" s="15" customFormat="1" thickBot="1" x14ac:dyDescent="0.25">
      <c r="A86" s="17">
        <v>603038000</v>
      </c>
      <c r="B86" s="18" t="s">
        <v>185</v>
      </c>
      <c r="C86" s="18" t="s">
        <v>178</v>
      </c>
      <c r="D86" s="18"/>
      <c r="E86" s="18">
        <v>278</v>
      </c>
      <c r="F86" s="69">
        <v>3165.584280953015</v>
      </c>
      <c r="G86" s="70">
        <v>580.17946716319682</v>
      </c>
      <c r="H86" s="19">
        <v>1</v>
      </c>
      <c r="I86" s="25" t="s">
        <v>26</v>
      </c>
      <c r="J86" s="21">
        <v>1</v>
      </c>
      <c r="K86" s="14" t="s">
        <v>832</v>
      </c>
      <c r="L86" s="13"/>
      <c r="M86" s="46" t="s">
        <v>740</v>
      </c>
      <c r="N86" s="51">
        <v>842.50466837184285</v>
      </c>
      <c r="O86" s="63">
        <v>7.5276495349716574E-2</v>
      </c>
      <c r="P86" s="63">
        <v>0.12284716032405571</v>
      </c>
    </row>
    <row r="87" spans="1:16" s="15" customFormat="1" thickBot="1" x14ac:dyDescent="0.25">
      <c r="A87" s="17">
        <v>603039000</v>
      </c>
      <c r="B87" s="18" t="s">
        <v>186</v>
      </c>
      <c r="C87" s="18" t="s">
        <v>178</v>
      </c>
      <c r="D87" s="18" t="s">
        <v>187</v>
      </c>
      <c r="E87" s="18">
        <v>1452</v>
      </c>
      <c r="F87" s="69">
        <v>955.69714801719056</v>
      </c>
      <c r="G87" s="70">
        <v>507.23052186357666</v>
      </c>
      <c r="H87" s="19">
        <v>1</v>
      </c>
      <c r="I87" s="25" t="s">
        <v>26</v>
      </c>
      <c r="J87" s="21">
        <v>1</v>
      </c>
      <c r="K87" s="14" t="s">
        <v>831</v>
      </c>
      <c r="L87" s="13" t="s">
        <v>188</v>
      </c>
      <c r="M87" s="46">
        <v>0</v>
      </c>
      <c r="N87" s="51">
        <v>764.37429205623062</v>
      </c>
      <c r="O87" s="63">
        <v>0</v>
      </c>
      <c r="P87" s="63">
        <v>0</v>
      </c>
    </row>
    <row r="88" spans="1:16" s="15" customFormat="1" thickBot="1" x14ac:dyDescent="0.25">
      <c r="A88" s="17">
        <v>603040000</v>
      </c>
      <c r="B88" s="18" t="s">
        <v>189</v>
      </c>
      <c r="C88" s="18" t="s">
        <v>178</v>
      </c>
      <c r="D88" s="18" t="s">
        <v>190</v>
      </c>
      <c r="E88" s="18">
        <v>1997</v>
      </c>
      <c r="F88" s="69">
        <v>3165.584280953015</v>
      </c>
      <c r="G88" s="70">
        <v>580.17946716319682</v>
      </c>
      <c r="H88" s="19">
        <v>1</v>
      </c>
      <c r="I88" s="25" t="s">
        <v>26</v>
      </c>
      <c r="J88" s="21">
        <v>1</v>
      </c>
      <c r="K88" s="14" t="s">
        <v>832</v>
      </c>
      <c r="L88" s="13"/>
      <c r="M88" s="46" t="s">
        <v>740</v>
      </c>
      <c r="N88" s="51">
        <v>842.50466837184285</v>
      </c>
      <c r="O88" s="63">
        <v>7.5276495349716574E-2</v>
      </c>
      <c r="P88" s="63">
        <v>0.12284716032405571</v>
      </c>
    </row>
    <row r="89" spans="1:16" s="15" customFormat="1" thickBot="1" x14ac:dyDescent="0.25">
      <c r="A89" s="17">
        <v>603041000</v>
      </c>
      <c r="B89" s="18" t="s">
        <v>191</v>
      </c>
      <c r="C89" s="18" t="s">
        <v>178</v>
      </c>
      <c r="D89" s="18"/>
      <c r="E89" s="18">
        <v>45</v>
      </c>
      <c r="F89" s="69">
        <v>3165.584280953015</v>
      </c>
      <c r="G89" s="70">
        <v>580.17946716319682</v>
      </c>
      <c r="H89" s="19">
        <v>1</v>
      </c>
      <c r="I89" s="25" t="s">
        <v>26</v>
      </c>
      <c r="J89" s="21">
        <v>1</v>
      </c>
      <c r="K89" s="14" t="s">
        <v>832</v>
      </c>
      <c r="L89" s="13"/>
      <c r="M89" s="46" t="s">
        <v>740</v>
      </c>
      <c r="N89" s="51">
        <v>842.50466837184285</v>
      </c>
      <c r="O89" s="63">
        <v>7.5276495349716574E-2</v>
      </c>
      <c r="P89" s="63">
        <v>0.12284716032405571</v>
      </c>
    </row>
    <row r="90" spans="1:16" s="15" customFormat="1" thickBot="1" x14ac:dyDescent="0.25">
      <c r="A90" s="17">
        <v>603042000</v>
      </c>
      <c r="B90" s="18" t="s">
        <v>192</v>
      </c>
      <c r="C90" s="18" t="s">
        <v>178</v>
      </c>
      <c r="D90" s="18" t="s">
        <v>193</v>
      </c>
      <c r="E90" s="18">
        <v>4336</v>
      </c>
      <c r="F90" s="69">
        <v>3165.584280953015</v>
      </c>
      <c r="G90" s="70">
        <v>580.17946716319682</v>
      </c>
      <c r="H90" s="19">
        <v>1</v>
      </c>
      <c r="I90" s="25" t="s">
        <v>26</v>
      </c>
      <c r="J90" s="21">
        <v>1</v>
      </c>
      <c r="K90" s="14" t="s">
        <v>832</v>
      </c>
      <c r="L90" s="13"/>
      <c r="M90" s="46" t="s">
        <v>740</v>
      </c>
      <c r="N90" s="51">
        <v>842.50466837184285</v>
      </c>
      <c r="O90" s="63">
        <v>7.5276495349716574E-2</v>
      </c>
      <c r="P90" s="63">
        <v>0.12284716032405571</v>
      </c>
    </row>
    <row r="91" spans="1:16" s="15" customFormat="1" thickBot="1" x14ac:dyDescent="0.25">
      <c r="A91" s="17">
        <v>603098000</v>
      </c>
      <c r="B91" s="18" t="s">
        <v>194</v>
      </c>
      <c r="C91" s="18" t="s">
        <v>178</v>
      </c>
      <c r="D91" s="18" t="s">
        <v>195</v>
      </c>
      <c r="E91" s="18">
        <v>358</v>
      </c>
      <c r="F91" s="69">
        <v>710.63420426643563</v>
      </c>
      <c r="G91" s="70">
        <v>71.266194219392858</v>
      </c>
      <c r="H91" s="19">
        <v>1</v>
      </c>
      <c r="I91" s="25" t="s">
        <v>26</v>
      </c>
      <c r="J91" s="21">
        <v>1</v>
      </c>
      <c r="K91" s="14" t="s">
        <v>832</v>
      </c>
      <c r="L91" s="13"/>
      <c r="M91" s="46" t="s">
        <v>750</v>
      </c>
      <c r="N91" s="51">
        <v>1319.5651410840999</v>
      </c>
      <c r="O91" s="63">
        <v>1</v>
      </c>
      <c r="P91" s="63">
        <v>1</v>
      </c>
    </row>
    <row r="92" spans="1:16" s="15" customFormat="1" thickBot="1" x14ac:dyDescent="0.25">
      <c r="A92" s="17">
        <v>603182000</v>
      </c>
      <c r="B92" s="18" t="s">
        <v>196</v>
      </c>
      <c r="C92" s="18" t="s">
        <v>197</v>
      </c>
      <c r="D92" s="18"/>
      <c r="E92" s="18">
        <v>18678</v>
      </c>
      <c r="F92" s="69">
        <v>955.69714801719056</v>
      </c>
      <c r="G92" s="70">
        <v>507.23052186357666</v>
      </c>
      <c r="H92" s="19">
        <v>1</v>
      </c>
      <c r="I92" s="25" t="s">
        <v>26</v>
      </c>
      <c r="J92" s="21">
        <v>1</v>
      </c>
      <c r="K92" s="14" t="s">
        <v>831</v>
      </c>
      <c r="L92" s="13" t="s">
        <v>188</v>
      </c>
      <c r="M92" s="46">
        <v>0</v>
      </c>
      <c r="N92" s="51">
        <v>764.37429205623062</v>
      </c>
      <c r="O92" s="63">
        <v>0</v>
      </c>
      <c r="P92" s="63">
        <v>0</v>
      </c>
    </row>
    <row r="93" spans="1:16" s="15" customFormat="1" thickBot="1" x14ac:dyDescent="0.25">
      <c r="A93" s="17">
        <v>603203000</v>
      </c>
      <c r="B93" s="18" t="s">
        <v>198</v>
      </c>
      <c r="C93" s="18" t="s">
        <v>199</v>
      </c>
      <c r="D93" s="18"/>
      <c r="E93" s="18">
        <v>256</v>
      </c>
      <c r="F93" s="69">
        <v>955.69714801719056</v>
      </c>
      <c r="G93" s="70">
        <v>507.23052186357666</v>
      </c>
      <c r="H93" s="19">
        <v>1</v>
      </c>
      <c r="I93" s="25" t="s">
        <v>26</v>
      </c>
      <c r="J93" s="21">
        <v>1</v>
      </c>
      <c r="K93" s="14" t="s">
        <v>832</v>
      </c>
      <c r="L93" s="13"/>
      <c r="M93" s="46" t="s">
        <v>772</v>
      </c>
      <c r="N93" s="51">
        <v>764.37429205623062</v>
      </c>
      <c r="O93" s="63">
        <v>0</v>
      </c>
      <c r="P93" s="63">
        <v>0</v>
      </c>
    </row>
    <row r="94" spans="1:16" s="15" customFormat="1" thickBot="1" x14ac:dyDescent="0.25">
      <c r="A94" s="17">
        <v>603256000</v>
      </c>
      <c r="B94" s="18" t="s">
        <v>200</v>
      </c>
      <c r="C94" s="18" t="s">
        <v>201</v>
      </c>
      <c r="D94" s="18"/>
      <c r="E94" s="18">
        <v>135</v>
      </c>
      <c r="F94" s="69">
        <v>620.64965186503696</v>
      </c>
      <c r="G94" s="70">
        <v>187.86091684381194</v>
      </c>
      <c r="H94" s="19">
        <v>1</v>
      </c>
      <c r="I94" s="25" t="s">
        <v>26</v>
      </c>
      <c r="J94" s="21">
        <v>1</v>
      </c>
      <c r="K94" s="14" t="s">
        <v>832</v>
      </c>
      <c r="L94" s="13"/>
      <c r="M94" s="46" t="s">
        <v>786</v>
      </c>
      <c r="N94" s="51">
        <v>559.75986665396476</v>
      </c>
      <c r="O94" s="63">
        <v>0.23249635399874549</v>
      </c>
      <c r="P94" s="63">
        <v>0.53632983104940035</v>
      </c>
    </row>
    <row r="95" spans="1:16" s="15" customFormat="1" thickBot="1" x14ac:dyDescent="0.25">
      <c r="A95" s="17">
        <v>603258000</v>
      </c>
      <c r="B95" s="18" t="s">
        <v>202</v>
      </c>
      <c r="C95" s="18" t="s">
        <v>201</v>
      </c>
      <c r="D95" s="18"/>
      <c r="E95" s="18">
        <v>22</v>
      </c>
      <c r="F95" s="69">
        <v>620.64965186503696</v>
      </c>
      <c r="G95" s="70">
        <v>187.86091684381194</v>
      </c>
      <c r="H95" s="19">
        <v>1</v>
      </c>
      <c r="I95" s="25" t="s">
        <v>26</v>
      </c>
      <c r="J95" s="21">
        <v>1</v>
      </c>
      <c r="K95" s="14" t="s">
        <v>831</v>
      </c>
      <c r="L95" s="13" t="s">
        <v>840</v>
      </c>
      <c r="M95" s="46">
        <v>0</v>
      </c>
      <c r="N95" s="51">
        <v>559.75986665396476</v>
      </c>
      <c r="O95" s="63">
        <v>0.23249635399874549</v>
      </c>
      <c r="P95" s="63">
        <v>0.53632983104940035</v>
      </c>
    </row>
    <row r="96" spans="1:16" s="15" customFormat="1" thickBot="1" x14ac:dyDescent="0.25">
      <c r="A96" s="17">
        <v>801374000</v>
      </c>
      <c r="B96" s="18" t="s">
        <v>203</v>
      </c>
      <c r="C96" s="18" t="s">
        <v>204</v>
      </c>
      <c r="D96" s="28"/>
      <c r="E96" s="18">
        <v>644</v>
      </c>
      <c r="F96" s="69">
        <v>420.80337628212095</v>
      </c>
      <c r="G96" s="70">
        <v>55.756818748263484</v>
      </c>
      <c r="H96" s="19">
        <v>1.1000000000000001</v>
      </c>
      <c r="I96" s="61" t="s">
        <v>205</v>
      </c>
      <c r="J96" s="21">
        <v>1</v>
      </c>
      <c r="K96" s="14" t="s">
        <v>831</v>
      </c>
      <c r="L96" s="13" t="s">
        <v>205</v>
      </c>
      <c r="M96" s="46">
        <v>0</v>
      </c>
      <c r="N96" s="51">
        <v>21.471131848214178</v>
      </c>
      <c r="O96" s="63">
        <v>0.20134375871772328</v>
      </c>
      <c r="P96" s="63">
        <v>0.29456486511247448</v>
      </c>
    </row>
    <row r="97" spans="1:16" s="15" customFormat="1" thickBot="1" x14ac:dyDescent="0.25">
      <c r="A97" s="17">
        <v>801375000</v>
      </c>
      <c r="B97" s="18" t="s">
        <v>206</v>
      </c>
      <c r="C97" s="18" t="s">
        <v>207</v>
      </c>
      <c r="D97" s="28"/>
      <c r="E97" s="18">
        <v>23505</v>
      </c>
      <c r="F97" s="69">
        <v>420.80337628212095</v>
      </c>
      <c r="G97" s="70">
        <v>55.756818748263484</v>
      </c>
      <c r="H97" s="19">
        <v>1.1000000000000001</v>
      </c>
      <c r="I97" s="19" t="s">
        <v>13</v>
      </c>
      <c r="J97" s="21">
        <v>1</v>
      </c>
      <c r="K97" s="14" t="s">
        <v>832</v>
      </c>
      <c r="L97" s="13"/>
      <c r="M97" s="46" t="s">
        <v>815</v>
      </c>
      <c r="N97" s="51">
        <v>21.471131848214178</v>
      </c>
      <c r="O97" s="63">
        <v>0.20134375871772328</v>
      </c>
      <c r="P97" s="63">
        <v>0.29456486511247448</v>
      </c>
    </row>
    <row r="98" spans="1:16" s="15" customFormat="1" thickBot="1" x14ac:dyDescent="0.25">
      <c r="A98" s="17">
        <v>801376000</v>
      </c>
      <c r="B98" s="18" t="s">
        <v>208</v>
      </c>
      <c r="C98" s="18" t="s">
        <v>209</v>
      </c>
      <c r="D98" s="28"/>
      <c r="E98" s="18">
        <v>7988</v>
      </c>
      <c r="F98" s="69">
        <v>382.54852389283718</v>
      </c>
      <c r="G98" s="70">
        <v>50.688017043875888</v>
      </c>
      <c r="H98" s="19">
        <v>1</v>
      </c>
      <c r="I98" s="61" t="s">
        <v>57</v>
      </c>
      <c r="J98" s="21">
        <v>2</v>
      </c>
      <c r="K98" s="14" t="s">
        <v>831</v>
      </c>
      <c r="L98" s="49" t="s">
        <v>205</v>
      </c>
      <c r="M98" s="46">
        <v>0</v>
      </c>
      <c r="N98" s="51">
        <v>21.471131848214178</v>
      </c>
      <c r="O98" s="63">
        <v>0.20134375871772328</v>
      </c>
      <c r="P98" s="63">
        <v>0.29456486511247448</v>
      </c>
    </row>
    <row r="99" spans="1:16" s="15" customFormat="1" thickBot="1" x14ac:dyDescent="0.25">
      <c r="A99" s="17">
        <v>801377000</v>
      </c>
      <c r="B99" s="18" t="s">
        <v>211</v>
      </c>
      <c r="C99" s="18" t="s">
        <v>212</v>
      </c>
      <c r="D99" s="28"/>
      <c r="E99" s="18">
        <v>19602</v>
      </c>
      <c r="F99" s="69">
        <v>382.54852389283718</v>
      </c>
      <c r="G99" s="70">
        <v>50.688017043875888</v>
      </c>
      <c r="H99" s="19">
        <v>1</v>
      </c>
      <c r="I99" s="61" t="s">
        <v>57</v>
      </c>
      <c r="J99" s="21">
        <v>2</v>
      </c>
      <c r="K99" s="14" t="s">
        <v>831</v>
      </c>
      <c r="L99" s="49" t="s">
        <v>205</v>
      </c>
      <c r="M99" s="46">
        <v>0</v>
      </c>
      <c r="N99" s="51">
        <v>21.471131848214178</v>
      </c>
      <c r="O99" s="63">
        <v>0.20134375871772328</v>
      </c>
      <c r="P99" s="63">
        <v>0.29456486511247448</v>
      </c>
    </row>
    <row r="100" spans="1:16" s="15" customFormat="1" thickBot="1" x14ac:dyDescent="0.25">
      <c r="A100" s="17">
        <v>801378000</v>
      </c>
      <c r="B100" s="18" t="s">
        <v>213</v>
      </c>
      <c r="C100" s="18" t="s">
        <v>214</v>
      </c>
      <c r="D100" s="28"/>
      <c r="E100" s="18">
        <v>1281</v>
      </c>
      <c r="F100" s="69">
        <v>6533.9287880896582</v>
      </c>
      <c r="G100" s="70">
        <v>865.7513311094001</v>
      </c>
      <c r="H100" s="19">
        <v>17.079999999999998</v>
      </c>
      <c r="I100" s="61" t="s">
        <v>13</v>
      </c>
      <c r="J100" s="21">
        <v>1</v>
      </c>
      <c r="K100" s="14" t="s">
        <v>831</v>
      </c>
      <c r="L100" s="49" t="s">
        <v>205</v>
      </c>
      <c r="M100" s="46">
        <v>0</v>
      </c>
      <c r="N100" s="51">
        <v>21.471131848214178</v>
      </c>
      <c r="O100" s="63">
        <v>0.20134375871772328</v>
      </c>
      <c r="P100" s="63">
        <v>0.29456486511247448</v>
      </c>
    </row>
    <row r="101" spans="1:16" s="15" customFormat="1" thickBot="1" x14ac:dyDescent="0.25">
      <c r="A101" s="17">
        <v>801379000</v>
      </c>
      <c r="B101" s="18" t="s">
        <v>215</v>
      </c>
      <c r="C101" s="18" t="s">
        <v>23</v>
      </c>
      <c r="D101" s="28"/>
      <c r="E101" s="18">
        <v>1025</v>
      </c>
      <c r="F101" s="69">
        <v>585.2992415560409</v>
      </c>
      <c r="G101" s="70">
        <v>77.552666077130112</v>
      </c>
      <c r="H101" s="19">
        <v>1.53</v>
      </c>
      <c r="I101" s="61" t="s">
        <v>13</v>
      </c>
      <c r="J101" s="21">
        <v>2</v>
      </c>
      <c r="K101" s="14" t="s">
        <v>831</v>
      </c>
      <c r="L101" s="49" t="s">
        <v>205</v>
      </c>
      <c r="M101" s="46">
        <v>0</v>
      </c>
      <c r="N101" s="51">
        <v>21.471131848214178</v>
      </c>
      <c r="O101" s="63">
        <v>0.20134375871772328</v>
      </c>
      <c r="P101" s="63">
        <v>0.29456486511247448</v>
      </c>
    </row>
    <row r="102" spans="1:16" s="15" customFormat="1" thickBot="1" x14ac:dyDescent="0.25">
      <c r="A102" s="17">
        <v>802148000</v>
      </c>
      <c r="B102" s="18" t="s">
        <v>216</v>
      </c>
      <c r="C102" s="18" t="s">
        <v>217</v>
      </c>
      <c r="D102" s="18"/>
      <c r="E102" s="18">
        <v>180</v>
      </c>
      <c r="F102" s="69">
        <v>597.58888275820482</v>
      </c>
      <c r="G102" s="70">
        <v>45.191250290119939</v>
      </c>
      <c r="H102" s="19">
        <v>1.23</v>
      </c>
      <c r="I102" s="19" t="s">
        <v>13</v>
      </c>
      <c r="J102" s="24">
        <v>1</v>
      </c>
      <c r="K102" s="14" t="s">
        <v>832</v>
      </c>
      <c r="L102" s="13"/>
      <c r="M102" s="46" t="s">
        <v>760</v>
      </c>
      <c r="N102" s="51">
        <v>59.706275147753132</v>
      </c>
      <c r="O102" s="63">
        <v>0.47052030071231837</v>
      </c>
      <c r="P102" s="63">
        <v>0.39485508370822636</v>
      </c>
    </row>
    <row r="103" spans="1:16" s="15" customFormat="1" thickBot="1" x14ac:dyDescent="0.25">
      <c r="A103" s="17">
        <v>802234000</v>
      </c>
      <c r="B103" s="18" t="s">
        <v>219</v>
      </c>
      <c r="C103" s="18" t="s">
        <v>220</v>
      </c>
      <c r="D103" s="18"/>
      <c r="E103" s="18">
        <v>271</v>
      </c>
      <c r="F103" s="69">
        <v>295.84515033674063</v>
      </c>
      <c r="G103" s="70">
        <v>152.20419676303504</v>
      </c>
      <c r="H103" s="19">
        <v>1.1599999999999999</v>
      </c>
      <c r="I103" s="19" t="s">
        <v>13</v>
      </c>
      <c r="J103" s="21">
        <v>1</v>
      </c>
      <c r="K103" s="14" t="s">
        <v>832</v>
      </c>
      <c r="L103" s="13"/>
      <c r="M103" s="46" t="s">
        <v>219</v>
      </c>
      <c r="N103" s="51">
        <v>244.72117051750075</v>
      </c>
      <c r="O103" s="63">
        <v>0</v>
      </c>
      <c r="P103" s="63">
        <v>0</v>
      </c>
    </row>
    <row r="104" spans="1:16" s="15" customFormat="1" thickBot="1" x14ac:dyDescent="0.25">
      <c r="A104" s="17">
        <v>802270000</v>
      </c>
      <c r="B104" s="18" t="s">
        <v>221</v>
      </c>
      <c r="C104" s="18" t="s">
        <v>222</v>
      </c>
      <c r="D104" s="18" t="s">
        <v>223</v>
      </c>
      <c r="E104" s="18">
        <v>8602</v>
      </c>
      <c r="F104" s="69">
        <v>1118.6620094454654</v>
      </c>
      <c r="G104" s="70">
        <v>102.87803623796189</v>
      </c>
      <c r="H104" s="19">
        <v>1.22</v>
      </c>
      <c r="I104" s="19" t="s">
        <v>13</v>
      </c>
      <c r="J104" s="21">
        <v>1</v>
      </c>
      <c r="K104" s="14" t="s">
        <v>832</v>
      </c>
      <c r="L104" s="13"/>
      <c r="M104" s="46" t="s">
        <v>751</v>
      </c>
      <c r="N104" s="51">
        <v>68.188730088542897</v>
      </c>
      <c r="O104" s="63">
        <v>0.71232888204115818</v>
      </c>
      <c r="P104" s="63">
        <v>0.71591182418772281</v>
      </c>
    </row>
    <row r="105" spans="1:16" s="15" customFormat="1" thickBot="1" x14ac:dyDescent="0.25">
      <c r="A105" s="17">
        <v>802271000</v>
      </c>
      <c r="B105" s="18" t="s">
        <v>224</v>
      </c>
      <c r="C105" s="18" t="s">
        <v>225</v>
      </c>
      <c r="D105" s="18" t="s">
        <v>223</v>
      </c>
      <c r="E105" s="18">
        <v>5298</v>
      </c>
      <c r="F105" s="69">
        <v>171324.72269928976</v>
      </c>
      <c r="G105" s="70">
        <v>22266.030750302827</v>
      </c>
      <c r="H105" s="25">
        <v>12.198</v>
      </c>
      <c r="I105" s="25" t="s">
        <v>19</v>
      </c>
      <c r="J105" s="21">
        <v>1</v>
      </c>
      <c r="K105" s="14" t="s">
        <v>832</v>
      </c>
      <c r="L105" s="13"/>
      <c r="M105" s="46" t="s">
        <v>790</v>
      </c>
      <c r="N105" s="51">
        <v>2188.6720343686088</v>
      </c>
      <c r="O105" s="63">
        <v>1</v>
      </c>
      <c r="P105" s="63">
        <v>1</v>
      </c>
    </row>
    <row r="106" spans="1:16" s="15" customFormat="1" thickBot="1" x14ac:dyDescent="0.25">
      <c r="A106" s="17">
        <v>802272000</v>
      </c>
      <c r="B106" s="18" t="s">
        <v>227</v>
      </c>
      <c r="C106" s="18" t="s">
        <v>228</v>
      </c>
      <c r="D106" s="18"/>
      <c r="E106" s="18">
        <v>26399</v>
      </c>
      <c r="F106" s="69">
        <v>1109.4926487123057</v>
      </c>
      <c r="G106" s="70">
        <v>102.03477364584745</v>
      </c>
      <c r="H106" s="19">
        <v>1.21</v>
      </c>
      <c r="I106" s="25" t="s">
        <v>13</v>
      </c>
      <c r="J106" s="21">
        <v>1</v>
      </c>
      <c r="K106" s="14" t="s">
        <v>832</v>
      </c>
      <c r="L106" s="13"/>
      <c r="M106" s="46" t="s">
        <v>751</v>
      </c>
      <c r="N106" s="51">
        <v>68.188730088542897</v>
      </c>
      <c r="O106" s="63">
        <v>0.71232888204115818</v>
      </c>
      <c r="P106" s="63">
        <v>0.71591182418772281</v>
      </c>
    </row>
    <row r="107" spans="1:16" s="15" customFormat="1" thickBot="1" x14ac:dyDescent="0.25">
      <c r="A107" s="17">
        <v>802273000</v>
      </c>
      <c r="B107" s="18" t="s">
        <v>229</v>
      </c>
      <c r="C107" s="18" t="s">
        <v>230</v>
      </c>
      <c r="D107" s="18"/>
      <c r="E107" s="18">
        <v>12647</v>
      </c>
      <c r="F107" s="69">
        <v>142489.69599805662</v>
      </c>
      <c r="G107" s="70">
        <v>18518.517950633068</v>
      </c>
      <c r="H107" s="19">
        <v>10.145</v>
      </c>
      <c r="I107" s="25" t="s">
        <v>19</v>
      </c>
      <c r="J107" s="24">
        <v>1</v>
      </c>
      <c r="K107" s="14" t="s">
        <v>832</v>
      </c>
      <c r="L107" s="13"/>
      <c r="M107" s="46" t="s">
        <v>790</v>
      </c>
      <c r="N107" s="51">
        <v>2188.6720343686088</v>
      </c>
      <c r="O107" s="63">
        <v>1</v>
      </c>
      <c r="P107" s="63">
        <v>1</v>
      </c>
    </row>
    <row r="108" spans="1:16" s="15" customFormat="1" thickBot="1" x14ac:dyDescent="0.25">
      <c r="A108" s="17">
        <v>901075000</v>
      </c>
      <c r="B108" s="18" t="s">
        <v>231</v>
      </c>
      <c r="C108" s="18" t="s">
        <v>232</v>
      </c>
      <c r="D108" s="18" t="s">
        <v>233</v>
      </c>
      <c r="E108" s="18">
        <v>1292</v>
      </c>
      <c r="F108" s="69">
        <v>3040.5033168378482</v>
      </c>
      <c r="G108" s="70">
        <v>280.62089886287356</v>
      </c>
      <c r="H108" s="19">
        <v>1.96</v>
      </c>
      <c r="I108" s="19" t="s">
        <v>13</v>
      </c>
      <c r="J108" s="24">
        <v>1</v>
      </c>
      <c r="K108" s="14" t="s">
        <v>832</v>
      </c>
      <c r="L108" s="13"/>
      <c r="M108" s="46" t="s">
        <v>777</v>
      </c>
      <c r="N108" s="51">
        <v>28.304332486862776</v>
      </c>
      <c r="O108" s="63">
        <v>0.13030999843067953</v>
      </c>
      <c r="P108" s="63">
        <v>5.858919261381304E-2</v>
      </c>
    </row>
    <row r="109" spans="1:16" s="15" customFormat="1" thickBot="1" x14ac:dyDescent="0.25">
      <c r="A109" s="17">
        <v>901187000</v>
      </c>
      <c r="B109" s="18" t="s">
        <v>236</v>
      </c>
      <c r="C109" s="18" t="s">
        <v>237</v>
      </c>
      <c r="D109" s="18"/>
      <c r="E109" s="18">
        <v>171</v>
      </c>
      <c r="F109" s="69">
        <v>3366.2715293561891</v>
      </c>
      <c r="G109" s="70">
        <v>310.68742374103857</v>
      </c>
      <c r="H109" s="19">
        <v>2.17</v>
      </c>
      <c r="I109" s="19" t="s">
        <v>13</v>
      </c>
      <c r="J109" s="24">
        <v>1</v>
      </c>
      <c r="K109" s="14" t="s">
        <v>832</v>
      </c>
      <c r="L109" s="13"/>
      <c r="M109" s="46" t="s">
        <v>777</v>
      </c>
      <c r="N109" s="51">
        <v>28.304332486862776</v>
      </c>
      <c r="O109" s="63">
        <v>0.13030999843067953</v>
      </c>
      <c r="P109" s="63">
        <v>5.858919261381304E-2</v>
      </c>
    </row>
    <row r="110" spans="1:16" s="15" customFormat="1" thickBot="1" x14ac:dyDescent="0.25">
      <c r="A110" s="17">
        <v>901399000</v>
      </c>
      <c r="B110" s="18" t="s">
        <v>238</v>
      </c>
      <c r="C110" s="18" t="s">
        <v>239</v>
      </c>
      <c r="D110" s="18" t="s">
        <v>240</v>
      </c>
      <c r="E110" s="18">
        <v>1250</v>
      </c>
      <c r="F110" s="69">
        <v>1530.948315023559</v>
      </c>
      <c r="G110" s="70">
        <v>147.82760963609704</v>
      </c>
      <c r="H110" s="19">
        <v>1.92</v>
      </c>
      <c r="I110" s="19" t="s">
        <v>13</v>
      </c>
      <c r="J110" s="21">
        <v>1</v>
      </c>
      <c r="K110" s="45" t="s">
        <v>832</v>
      </c>
      <c r="L110" s="13"/>
      <c r="M110" s="46" t="s">
        <v>818</v>
      </c>
      <c r="N110" s="51">
        <v>71.593152497603526</v>
      </c>
      <c r="O110" s="63">
        <v>0.37768424394791095</v>
      </c>
      <c r="P110" s="63">
        <v>0.38737623046106467</v>
      </c>
    </row>
    <row r="111" spans="1:16" s="15" customFormat="1" thickBot="1" x14ac:dyDescent="0.25">
      <c r="A111" s="17">
        <v>901400000</v>
      </c>
      <c r="B111" s="18" t="s">
        <v>241</v>
      </c>
      <c r="C111" s="18" t="s">
        <v>23</v>
      </c>
      <c r="D111" s="18"/>
      <c r="E111" s="18">
        <v>19</v>
      </c>
      <c r="F111" s="69">
        <v>1530.948315023559</v>
      </c>
      <c r="G111" s="70">
        <v>147.82760963609704</v>
      </c>
      <c r="H111" s="19">
        <v>1.92</v>
      </c>
      <c r="I111" s="25" t="s">
        <v>13</v>
      </c>
      <c r="J111" s="21">
        <v>1</v>
      </c>
      <c r="K111" s="14" t="s">
        <v>831</v>
      </c>
      <c r="L111" s="49" t="s">
        <v>851</v>
      </c>
      <c r="M111" s="46">
        <v>0</v>
      </c>
      <c r="N111" s="51">
        <v>71.593152497603526</v>
      </c>
      <c r="O111" s="63">
        <v>0.37768424394791095</v>
      </c>
      <c r="P111" s="63">
        <v>0.38737623046106467</v>
      </c>
    </row>
    <row r="112" spans="1:16" s="15" customFormat="1" thickBot="1" x14ac:dyDescent="0.25">
      <c r="A112" s="17">
        <v>902021000</v>
      </c>
      <c r="B112" s="18" t="s">
        <v>242</v>
      </c>
      <c r="C112" s="18" t="s">
        <v>243</v>
      </c>
      <c r="D112" s="18" t="s">
        <v>244</v>
      </c>
      <c r="E112" s="18">
        <v>3</v>
      </c>
      <c r="F112" s="69">
        <v>180.75572089928204</v>
      </c>
      <c r="G112" s="70">
        <v>35.044217756666605</v>
      </c>
      <c r="H112" s="20">
        <v>1</v>
      </c>
      <c r="I112" s="25" t="s">
        <v>26</v>
      </c>
      <c r="J112" s="21">
        <v>1</v>
      </c>
      <c r="K112" s="14" t="s">
        <v>831</v>
      </c>
      <c r="L112" s="13" t="s">
        <v>245</v>
      </c>
      <c r="M112" s="46">
        <v>0</v>
      </c>
      <c r="N112" s="51">
        <v>128.75898561221206</v>
      </c>
      <c r="O112" s="63">
        <v>0.17310848532097828</v>
      </c>
      <c r="P112" s="63">
        <v>0.36131149451708972</v>
      </c>
    </row>
    <row r="113" spans="1:16" s="15" customFormat="1" thickBot="1" x14ac:dyDescent="0.25">
      <c r="A113" s="17">
        <v>902088000</v>
      </c>
      <c r="B113" s="18" t="s">
        <v>246</v>
      </c>
      <c r="C113" s="18" t="s">
        <v>247</v>
      </c>
      <c r="D113" s="18" t="s">
        <v>248</v>
      </c>
      <c r="E113" s="18">
        <v>38</v>
      </c>
      <c r="F113" s="69">
        <v>180.75572089928204</v>
      </c>
      <c r="G113" s="70">
        <v>35.044217756666605</v>
      </c>
      <c r="H113" s="19">
        <v>1</v>
      </c>
      <c r="I113" s="25" t="s">
        <v>26</v>
      </c>
      <c r="J113" s="21">
        <v>1</v>
      </c>
      <c r="K113" s="14" t="s">
        <v>831</v>
      </c>
      <c r="L113" s="13" t="s">
        <v>245</v>
      </c>
      <c r="M113" s="46">
        <v>0</v>
      </c>
      <c r="N113" s="51">
        <v>128.75898561221206</v>
      </c>
      <c r="O113" s="63">
        <v>0.17310848532097828</v>
      </c>
      <c r="P113" s="63">
        <v>0.36131149451708972</v>
      </c>
    </row>
    <row r="114" spans="1:16" s="15" customFormat="1" thickBot="1" x14ac:dyDescent="0.25">
      <c r="A114" s="17">
        <v>902102000</v>
      </c>
      <c r="B114" s="18" t="s">
        <v>249</v>
      </c>
      <c r="C114" s="18" t="s">
        <v>250</v>
      </c>
      <c r="D114" s="18" t="s">
        <v>251</v>
      </c>
      <c r="E114" s="18">
        <v>2</v>
      </c>
      <c r="F114" s="69">
        <v>435.62956961126383</v>
      </c>
      <c r="G114" s="70">
        <v>68.920688160613366</v>
      </c>
      <c r="H114" s="19">
        <v>1.42</v>
      </c>
      <c r="I114" s="19" t="s">
        <v>13</v>
      </c>
      <c r="J114" s="21">
        <v>1</v>
      </c>
      <c r="K114" s="14" t="s">
        <v>832</v>
      </c>
      <c r="L114" s="13"/>
      <c r="M114" s="46" t="s">
        <v>797</v>
      </c>
      <c r="N114" s="51">
        <v>171.83270393786032</v>
      </c>
      <c r="O114" s="63">
        <v>0.18876048263734671</v>
      </c>
      <c r="P114" s="63">
        <v>0.32685798096568686</v>
      </c>
    </row>
    <row r="115" spans="1:16" s="15" customFormat="1" thickBot="1" x14ac:dyDescent="0.25">
      <c r="A115" s="17">
        <v>902135000</v>
      </c>
      <c r="B115" s="18" t="s">
        <v>253</v>
      </c>
      <c r="C115" s="18" t="s">
        <v>254</v>
      </c>
      <c r="D115" s="18"/>
      <c r="E115" s="18">
        <v>9894</v>
      </c>
      <c r="F115" s="69">
        <v>186.1783925262605</v>
      </c>
      <c r="G115" s="70">
        <v>36.0955442893666</v>
      </c>
      <c r="H115" s="19">
        <v>1.03</v>
      </c>
      <c r="I115" s="19" t="s">
        <v>13</v>
      </c>
      <c r="J115" s="21">
        <v>1</v>
      </c>
      <c r="K115" s="14" t="s">
        <v>832</v>
      </c>
      <c r="L115" s="13"/>
      <c r="M115" s="46" t="s">
        <v>757</v>
      </c>
      <c r="N115" s="51">
        <v>128.75898561221206</v>
      </c>
      <c r="O115" s="63">
        <v>0.17310848532097828</v>
      </c>
      <c r="P115" s="63">
        <v>0.36131149451708972</v>
      </c>
    </row>
    <row r="116" spans="1:16" s="15" customFormat="1" thickBot="1" x14ac:dyDescent="0.25">
      <c r="A116" s="17">
        <v>902308000</v>
      </c>
      <c r="B116" s="18" t="s">
        <v>255</v>
      </c>
      <c r="C116" s="18" t="s">
        <v>237</v>
      </c>
      <c r="D116" s="18"/>
      <c r="E116" s="18">
        <v>367</v>
      </c>
      <c r="F116" s="69">
        <v>438.69738348176566</v>
      </c>
      <c r="G116" s="70">
        <v>69.406045119490926</v>
      </c>
      <c r="H116" s="19">
        <v>1.43</v>
      </c>
      <c r="I116" s="19" t="s">
        <v>13</v>
      </c>
      <c r="J116" s="21">
        <v>1</v>
      </c>
      <c r="K116" s="14" t="s">
        <v>832</v>
      </c>
      <c r="L116" s="13"/>
      <c r="M116" s="46" t="s">
        <v>797</v>
      </c>
      <c r="N116" s="51">
        <v>171.83270393786032</v>
      </c>
      <c r="O116" s="63">
        <v>0.18876048263734671</v>
      </c>
      <c r="P116" s="63">
        <v>0.32685798096568686</v>
      </c>
    </row>
    <row r="117" spans="1:16" s="15" customFormat="1" thickBot="1" x14ac:dyDescent="0.25">
      <c r="A117" s="17">
        <v>902309000</v>
      </c>
      <c r="B117" s="18" t="s">
        <v>256</v>
      </c>
      <c r="C117" s="18" t="s">
        <v>257</v>
      </c>
      <c r="D117" s="18"/>
      <c r="E117" s="18">
        <v>231</v>
      </c>
      <c r="F117" s="69">
        <v>306.7813870501858</v>
      </c>
      <c r="G117" s="70">
        <v>48.535695887755892</v>
      </c>
      <c r="H117" s="19">
        <v>1</v>
      </c>
      <c r="I117" s="25" t="s">
        <v>26</v>
      </c>
      <c r="J117" s="21">
        <v>1</v>
      </c>
      <c r="K117" s="14" t="s">
        <v>831</v>
      </c>
      <c r="L117" s="49" t="s">
        <v>252</v>
      </c>
      <c r="M117" s="46" t="s">
        <v>778</v>
      </c>
      <c r="N117" s="51">
        <v>171.83270393786032</v>
      </c>
      <c r="O117" s="63">
        <v>0.18876048263734671</v>
      </c>
      <c r="P117" s="63">
        <v>0.32685798096568686</v>
      </c>
    </row>
    <row r="118" spans="1:16" s="15" customFormat="1" thickBot="1" x14ac:dyDescent="0.25">
      <c r="A118" s="17">
        <v>902356000</v>
      </c>
      <c r="B118" s="18" t="s">
        <v>258</v>
      </c>
      <c r="C118" s="18" t="s">
        <v>259</v>
      </c>
      <c r="D118" s="18" t="s">
        <v>260</v>
      </c>
      <c r="E118" s="18">
        <v>1642</v>
      </c>
      <c r="F118" s="69">
        <v>322.12045640269508</v>
      </c>
      <c r="G118" s="70">
        <v>50.962480682143692</v>
      </c>
      <c r="H118" s="19">
        <v>1.05</v>
      </c>
      <c r="I118" s="25" t="s">
        <v>13</v>
      </c>
      <c r="J118" s="21">
        <v>1</v>
      </c>
      <c r="K118" s="14" t="s">
        <v>831</v>
      </c>
      <c r="L118" s="49" t="s">
        <v>252</v>
      </c>
      <c r="M118" s="46">
        <v>0</v>
      </c>
      <c r="N118" s="51">
        <v>171.83270393786032</v>
      </c>
      <c r="O118" s="63">
        <v>0.18876048263734671</v>
      </c>
      <c r="P118" s="63">
        <v>0.32685798096568686</v>
      </c>
    </row>
    <row r="119" spans="1:16" s="15" customFormat="1" thickBot="1" x14ac:dyDescent="0.25">
      <c r="A119" s="17">
        <v>902357000</v>
      </c>
      <c r="B119" s="18" t="s">
        <v>261</v>
      </c>
      <c r="C119" s="18" t="s">
        <v>262</v>
      </c>
      <c r="D119" s="18" t="s">
        <v>263</v>
      </c>
      <c r="E119" s="18">
        <v>392</v>
      </c>
      <c r="F119" s="69">
        <v>432.56175574076195</v>
      </c>
      <c r="G119" s="70">
        <v>68.435331201735806</v>
      </c>
      <c r="H119" s="19">
        <v>1.41</v>
      </c>
      <c r="I119" s="25" t="s">
        <v>13</v>
      </c>
      <c r="J119" s="21">
        <v>1</v>
      </c>
      <c r="K119" s="14" t="s">
        <v>832</v>
      </c>
      <c r="L119" s="13"/>
      <c r="M119" s="46" t="s">
        <v>797</v>
      </c>
      <c r="N119" s="51">
        <v>171.83270393786032</v>
      </c>
      <c r="O119" s="63">
        <v>0.18876048263734671</v>
      </c>
      <c r="P119" s="63">
        <v>0.32685798096568686</v>
      </c>
    </row>
    <row r="120" spans="1:16" s="15" customFormat="1" thickBot="1" x14ac:dyDescent="0.25">
      <c r="A120" s="17">
        <v>1001106000</v>
      </c>
      <c r="B120" s="18" t="s">
        <v>264</v>
      </c>
      <c r="C120" s="18" t="s">
        <v>265</v>
      </c>
      <c r="D120" s="18"/>
      <c r="E120" s="18">
        <v>37</v>
      </c>
      <c r="F120" s="69">
        <v>4526.8678534230839</v>
      </c>
      <c r="G120" s="70">
        <v>429.15660985097946</v>
      </c>
      <c r="H120" s="19">
        <v>2</v>
      </c>
      <c r="I120" s="25" t="s">
        <v>266</v>
      </c>
      <c r="J120" s="21">
        <v>1</v>
      </c>
      <c r="K120" s="14" t="s">
        <v>831</v>
      </c>
      <c r="L120" s="13" t="s">
        <v>267</v>
      </c>
      <c r="M120" s="46">
        <v>0</v>
      </c>
      <c r="N120" s="51">
        <v>182.35473226370797</v>
      </c>
      <c r="O120" s="63">
        <v>0.13900578865002031</v>
      </c>
      <c r="P120" s="63">
        <v>0.1234510399663709</v>
      </c>
    </row>
    <row r="121" spans="1:16" s="15" customFormat="1" thickBot="1" x14ac:dyDescent="0.25">
      <c r="A121" s="17">
        <v>1001107000</v>
      </c>
      <c r="B121" s="18" t="s">
        <v>268</v>
      </c>
      <c r="C121" s="18" t="s">
        <v>269</v>
      </c>
      <c r="D121" s="18" t="s">
        <v>270</v>
      </c>
      <c r="E121" s="18">
        <v>20</v>
      </c>
      <c r="F121" s="69">
        <v>3055.6358010605818</v>
      </c>
      <c r="G121" s="70">
        <v>289.68071164941114</v>
      </c>
      <c r="H121" s="19">
        <v>1.35</v>
      </c>
      <c r="I121" s="25" t="s">
        <v>271</v>
      </c>
      <c r="J121" s="21">
        <v>1</v>
      </c>
      <c r="K121" s="14" t="s">
        <v>831</v>
      </c>
      <c r="L121" s="13" t="s">
        <v>267</v>
      </c>
      <c r="M121" s="46">
        <v>0</v>
      </c>
      <c r="N121" s="51">
        <v>182.35473226370797</v>
      </c>
      <c r="O121" s="63">
        <v>0.13900578865002031</v>
      </c>
      <c r="P121" s="63">
        <v>0.1234510399663709</v>
      </c>
    </row>
    <row r="122" spans="1:16" s="15" customFormat="1" thickBot="1" x14ac:dyDescent="0.25">
      <c r="A122" s="17">
        <v>1001240000</v>
      </c>
      <c r="B122" s="18" t="s">
        <v>272</v>
      </c>
      <c r="C122" s="18" t="s">
        <v>269</v>
      </c>
      <c r="D122" s="18"/>
      <c r="E122" s="18">
        <v>3262</v>
      </c>
      <c r="F122" s="69">
        <v>962.1607768383642</v>
      </c>
      <c r="G122" s="70">
        <v>149.74465667559181</v>
      </c>
      <c r="H122" s="19">
        <v>1.37</v>
      </c>
      <c r="I122" s="19" t="s">
        <v>13</v>
      </c>
      <c r="J122" s="21">
        <v>1</v>
      </c>
      <c r="K122" s="14" t="s">
        <v>832</v>
      </c>
      <c r="L122" s="13"/>
      <c r="M122" s="46" t="s">
        <v>784</v>
      </c>
      <c r="N122" s="51">
        <v>180.51247722602639</v>
      </c>
      <c r="O122" s="63">
        <v>2.1944761198018164E-2</v>
      </c>
      <c r="P122" s="63">
        <v>4.9151332726262313E-2</v>
      </c>
    </row>
    <row r="123" spans="1:16" s="15" customFormat="1" ht="17" thickBot="1" x14ac:dyDescent="0.25">
      <c r="A123" s="17">
        <v>1001241000</v>
      </c>
      <c r="B123" s="18" t="s">
        <v>273</v>
      </c>
      <c r="C123" s="25" t="s">
        <v>23</v>
      </c>
      <c r="D123" s="18"/>
      <c r="E123" s="18">
        <v>18007</v>
      </c>
      <c r="F123" s="69">
        <v>1404.614272756736</v>
      </c>
      <c r="G123" s="70">
        <v>218.60533821254276</v>
      </c>
      <c r="H123" s="55">
        <v>2</v>
      </c>
      <c r="I123" s="25" t="s">
        <v>57</v>
      </c>
      <c r="J123" s="21">
        <v>2</v>
      </c>
      <c r="K123" s="14" t="s">
        <v>831</v>
      </c>
      <c r="L123" s="13" t="s">
        <v>276</v>
      </c>
      <c r="M123" s="46">
        <v>0</v>
      </c>
      <c r="N123" s="51">
        <v>180.51247722602639</v>
      </c>
      <c r="O123" s="63">
        <v>2.1944761198018164E-2</v>
      </c>
      <c r="P123" s="63">
        <v>4.9151332726262313E-2</v>
      </c>
    </row>
    <row r="124" spans="1:16" s="15" customFormat="1" thickBot="1" x14ac:dyDescent="0.25">
      <c r="A124" s="17">
        <v>1001242000</v>
      </c>
      <c r="B124" s="18" t="s">
        <v>274</v>
      </c>
      <c r="C124" s="18" t="s">
        <v>275</v>
      </c>
      <c r="D124" s="18"/>
      <c r="E124" s="18">
        <v>202</v>
      </c>
      <c r="F124" s="69">
        <v>702.307136378368</v>
      </c>
      <c r="G124" s="70">
        <v>109.30266910627138</v>
      </c>
      <c r="H124" s="19">
        <v>1</v>
      </c>
      <c r="I124" s="25" t="s">
        <v>26</v>
      </c>
      <c r="J124" s="21">
        <v>1</v>
      </c>
      <c r="K124" s="14" t="s">
        <v>831</v>
      </c>
      <c r="L124" s="13" t="s">
        <v>276</v>
      </c>
      <c r="M124" s="46">
        <v>0</v>
      </c>
      <c r="N124" s="51">
        <v>180.51247722602639</v>
      </c>
      <c r="O124" s="63">
        <v>2.1944761198018164E-2</v>
      </c>
      <c r="P124" s="63">
        <v>4.9151332726262313E-2</v>
      </c>
    </row>
    <row r="125" spans="1:16" s="15" customFormat="1" thickBot="1" x14ac:dyDescent="0.25">
      <c r="A125" s="17">
        <v>1001369000</v>
      </c>
      <c r="B125" s="18" t="s">
        <v>277</v>
      </c>
      <c r="C125" s="18" t="s">
        <v>269</v>
      </c>
      <c r="D125" s="18" t="s">
        <v>278</v>
      </c>
      <c r="E125" s="18">
        <v>720</v>
      </c>
      <c r="F125" s="69">
        <v>2295.2366652706428</v>
      </c>
      <c r="G125" s="70">
        <v>172.33050748945789</v>
      </c>
      <c r="H125" s="56">
        <v>1.35</v>
      </c>
      <c r="I125" s="19" t="s">
        <v>13</v>
      </c>
      <c r="J125" s="21">
        <v>1</v>
      </c>
      <c r="K125" s="14" t="s">
        <v>832</v>
      </c>
      <c r="L125" s="13"/>
      <c r="M125" s="46" t="s">
        <v>812</v>
      </c>
      <c r="N125" s="51">
        <v>130.6986132764099</v>
      </c>
      <c r="O125" s="63">
        <v>0.13439602686828012</v>
      </c>
      <c r="P125" s="63">
        <v>0.11106285226317739</v>
      </c>
    </row>
    <row r="126" spans="1:16" s="15" customFormat="1" thickBot="1" x14ac:dyDescent="0.25">
      <c r="A126" s="17">
        <v>1001370000</v>
      </c>
      <c r="B126" s="18" t="s">
        <v>279</v>
      </c>
      <c r="C126" s="18" t="s">
        <v>23</v>
      </c>
      <c r="D126" s="18" t="s">
        <v>280</v>
      </c>
      <c r="E126" s="18">
        <v>6891</v>
      </c>
      <c r="F126" s="69">
        <v>3400.350615215767</v>
      </c>
      <c r="G126" s="70">
        <v>255.30445553993758</v>
      </c>
      <c r="H126" s="19">
        <v>2</v>
      </c>
      <c r="I126" s="25" t="s">
        <v>13</v>
      </c>
      <c r="J126" s="21">
        <v>1</v>
      </c>
      <c r="K126" s="14" t="s">
        <v>831</v>
      </c>
      <c r="L126" s="49" t="s">
        <v>850</v>
      </c>
      <c r="M126" s="46">
        <v>0</v>
      </c>
      <c r="N126" s="51">
        <v>130.6986132764099</v>
      </c>
      <c r="O126" s="63">
        <v>0.13439602686828012</v>
      </c>
      <c r="P126" s="63">
        <v>0.11106285226317739</v>
      </c>
    </row>
    <row r="127" spans="1:16" s="15" customFormat="1" thickBot="1" x14ac:dyDescent="0.25">
      <c r="A127" s="17">
        <v>1002197000</v>
      </c>
      <c r="B127" s="18" t="s">
        <v>281</v>
      </c>
      <c r="C127" s="18" t="s">
        <v>282</v>
      </c>
      <c r="D127" s="18"/>
      <c r="E127" s="18">
        <v>1</v>
      </c>
      <c r="F127" s="69">
        <v>2444.5086408484653</v>
      </c>
      <c r="G127" s="70">
        <v>231.74456931952892</v>
      </c>
      <c r="H127" s="19">
        <v>1.08</v>
      </c>
      <c r="I127" s="19" t="s">
        <v>13</v>
      </c>
      <c r="J127" s="21">
        <v>1</v>
      </c>
      <c r="K127" s="14" t="s">
        <v>831</v>
      </c>
      <c r="L127" s="13" t="s">
        <v>267</v>
      </c>
      <c r="M127" s="46">
        <v>0</v>
      </c>
      <c r="N127" s="51">
        <v>182.35473226370797</v>
      </c>
      <c r="O127" s="63">
        <v>0.13900578865002031</v>
      </c>
      <c r="P127" s="63">
        <v>0.1234510399663709</v>
      </c>
    </row>
    <row r="128" spans="1:16" s="15" customFormat="1" thickBot="1" x14ac:dyDescent="0.25">
      <c r="A128" s="17">
        <v>1002199000</v>
      </c>
      <c r="B128" s="18" t="s">
        <v>283</v>
      </c>
      <c r="C128" s="18" t="s">
        <v>269</v>
      </c>
      <c r="D128" s="18"/>
      <c r="E128" s="18">
        <v>2076</v>
      </c>
      <c r="F128" s="69">
        <v>6607.5336112720279</v>
      </c>
      <c r="G128" s="70">
        <v>473.06132600087869</v>
      </c>
      <c r="H128" s="19">
        <v>1.89</v>
      </c>
      <c r="I128" s="19" t="s">
        <v>13</v>
      </c>
      <c r="J128" s="21">
        <v>1</v>
      </c>
      <c r="K128" s="14" t="s">
        <v>832</v>
      </c>
      <c r="L128" s="13"/>
      <c r="M128" s="46" t="s">
        <v>771</v>
      </c>
      <c r="N128" s="51">
        <v>200.04772800722753</v>
      </c>
      <c r="O128" s="63">
        <v>0.32198077691601062</v>
      </c>
      <c r="P128" s="63">
        <v>0.25796078737806927</v>
      </c>
    </row>
    <row r="129" spans="1:16" s="15" customFormat="1" ht="17" thickBot="1" x14ac:dyDescent="0.25">
      <c r="A129" s="17">
        <v>1002200000</v>
      </c>
      <c r="B129" s="18" t="s">
        <v>284</v>
      </c>
      <c r="C129" s="25" t="s">
        <v>23</v>
      </c>
      <c r="D129" s="18"/>
      <c r="E129" s="18">
        <v>21356</v>
      </c>
      <c r="F129" s="69">
        <v>11362.160971764069</v>
      </c>
      <c r="G129" s="70">
        <v>813.46524312320412</v>
      </c>
      <c r="H129" s="55">
        <v>3.25</v>
      </c>
      <c r="I129" s="25" t="s">
        <v>57</v>
      </c>
      <c r="J129" s="21">
        <v>2</v>
      </c>
      <c r="K129" s="14" t="s">
        <v>831</v>
      </c>
      <c r="L129" s="48" t="s">
        <v>283</v>
      </c>
      <c r="M129" s="46">
        <v>0</v>
      </c>
      <c r="N129" s="51">
        <v>200.04772800722753</v>
      </c>
      <c r="O129" s="63">
        <v>0.32198077691601062</v>
      </c>
      <c r="P129" s="63">
        <v>0.25796078737806927</v>
      </c>
    </row>
    <row r="130" spans="1:16" s="15" customFormat="1" thickBot="1" x14ac:dyDescent="0.25">
      <c r="A130" s="17">
        <v>1002201000</v>
      </c>
      <c r="B130" s="18" t="s">
        <v>285</v>
      </c>
      <c r="C130" s="18" t="s">
        <v>275</v>
      </c>
      <c r="D130" s="18"/>
      <c r="E130" s="18">
        <v>770</v>
      </c>
      <c r="F130" s="69">
        <v>2263.433926711542</v>
      </c>
      <c r="G130" s="70">
        <v>214.57830492548973</v>
      </c>
      <c r="H130" s="19">
        <v>1</v>
      </c>
      <c r="I130" s="25" t="s">
        <v>26</v>
      </c>
      <c r="J130" s="21">
        <v>1</v>
      </c>
      <c r="K130" s="14" t="s">
        <v>831</v>
      </c>
      <c r="L130" s="13" t="s">
        <v>267</v>
      </c>
      <c r="M130" s="46">
        <v>0</v>
      </c>
      <c r="N130" s="51">
        <v>182.35473226370797</v>
      </c>
      <c r="O130" s="63">
        <v>0.13900578865002031</v>
      </c>
      <c r="P130" s="63">
        <v>0.1234510399663709</v>
      </c>
    </row>
    <row r="131" spans="1:16" s="15" customFormat="1" thickBot="1" x14ac:dyDescent="0.25">
      <c r="A131" s="17">
        <v>1002206000</v>
      </c>
      <c r="B131" s="18" t="s">
        <v>286</v>
      </c>
      <c r="C131" s="18" t="s">
        <v>269</v>
      </c>
      <c r="D131" s="18" t="s">
        <v>287</v>
      </c>
      <c r="E131" s="18">
        <v>34</v>
      </c>
      <c r="F131" s="69">
        <v>4195.2594357282715</v>
      </c>
      <c r="G131" s="70">
        <v>300.35639746087537</v>
      </c>
      <c r="H131" s="19">
        <v>1.2</v>
      </c>
      <c r="I131" s="19" t="s">
        <v>13</v>
      </c>
      <c r="J131" s="21">
        <v>1</v>
      </c>
      <c r="K131" s="14" t="s">
        <v>832</v>
      </c>
      <c r="L131" s="13"/>
      <c r="M131" s="46" t="s">
        <v>771</v>
      </c>
      <c r="N131" s="51">
        <v>200.04772800722753</v>
      </c>
      <c r="O131" s="63">
        <v>0.32198077691601062</v>
      </c>
      <c r="P131" s="63">
        <v>0.25796078737806927</v>
      </c>
    </row>
    <row r="132" spans="1:16" s="15" customFormat="1" thickBot="1" x14ac:dyDescent="0.25">
      <c r="A132" s="17">
        <v>1002207000</v>
      </c>
      <c r="B132" s="18" t="s">
        <v>288</v>
      </c>
      <c r="C132" s="18" t="s">
        <v>23</v>
      </c>
      <c r="D132" s="18" t="s">
        <v>289</v>
      </c>
      <c r="E132" s="18">
        <v>7724</v>
      </c>
      <c r="F132" s="69">
        <v>11362.160971764069</v>
      </c>
      <c r="G132" s="70">
        <v>813.46524312320412</v>
      </c>
      <c r="H132" s="19">
        <v>3.25</v>
      </c>
      <c r="I132" s="19" t="s">
        <v>13</v>
      </c>
      <c r="J132" s="21">
        <v>1</v>
      </c>
      <c r="K132" s="47" t="s">
        <v>831</v>
      </c>
      <c r="L132" s="13" t="s">
        <v>286</v>
      </c>
      <c r="M132" s="46">
        <v>0</v>
      </c>
      <c r="N132" s="51">
        <v>200.04772800722753</v>
      </c>
      <c r="O132" s="63">
        <v>0.32198077691601062</v>
      </c>
      <c r="P132" s="63">
        <v>0.25796078737806927</v>
      </c>
    </row>
    <row r="133" spans="1:16" s="15" customFormat="1" thickBot="1" x14ac:dyDescent="0.25">
      <c r="A133" s="17">
        <v>1003180000</v>
      </c>
      <c r="B133" s="18" t="s">
        <v>290</v>
      </c>
      <c r="C133" s="18" t="s">
        <v>237</v>
      </c>
      <c r="D133" s="18" t="s">
        <v>291</v>
      </c>
      <c r="E133" s="18">
        <v>618</v>
      </c>
      <c r="F133" s="69">
        <v>1665.7784754292593</v>
      </c>
      <c r="G133" s="70">
        <v>148.63429852253623</v>
      </c>
      <c r="H133" s="19">
        <v>2</v>
      </c>
      <c r="I133" s="19" t="s">
        <v>13</v>
      </c>
      <c r="J133" s="21">
        <v>1</v>
      </c>
      <c r="K133" s="14" t="s">
        <v>832</v>
      </c>
      <c r="L133" s="13"/>
      <c r="M133" s="46" t="s">
        <v>765</v>
      </c>
      <c r="N133" s="51">
        <v>202.95210486634943</v>
      </c>
      <c r="O133" s="63">
        <v>7.084392721600382E-3</v>
      </c>
      <c r="P133" s="63">
        <v>7.2338450630638736E-3</v>
      </c>
    </row>
    <row r="134" spans="1:16" s="15" customFormat="1" thickBot="1" x14ac:dyDescent="0.25">
      <c r="A134" s="17">
        <v>1003181000</v>
      </c>
      <c r="B134" s="18" t="s">
        <v>292</v>
      </c>
      <c r="C134" s="18" t="s">
        <v>23</v>
      </c>
      <c r="D134" s="18"/>
      <c r="E134" s="18">
        <v>7511</v>
      </c>
      <c r="F134" s="69">
        <v>1874.0007848579166</v>
      </c>
      <c r="G134" s="70">
        <v>167.21358583785326</v>
      </c>
      <c r="H134" s="19">
        <v>2.25</v>
      </c>
      <c r="I134" s="25" t="s">
        <v>13</v>
      </c>
      <c r="J134" s="21">
        <v>1</v>
      </c>
      <c r="K134" s="14" t="s">
        <v>831</v>
      </c>
      <c r="L134" s="13" t="s">
        <v>266</v>
      </c>
      <c r="M134" s="46">
        <v>0</v>
      </c>
      <c r="N134" s="51">
        <v>202.95210486634943</v>
      </c>
      <c r="O134" s="63">
        <v>7.084392721600382E-3</v>
      </c>
      <c r="P134" s="63">
        <v>7.2338450630638736E-3</v>
      </c>
    </row>
    <row r="135" spans="1:16" s="15" customFormat="1" thickBot="1" x14ac:dyDescent="0.25">
      <c r="A135" s="17">
        <v>1100007000</v>
      </c>
      <c r="B135" s="18" t="s">
        <v>293</v>
      </c>
      <c r="C135" s="18" t="s">
        <v>294</v>
      </c>
      <c r="D135" s="18"/>
      <c r="E135" s="18">
        <v>6912</v>
      </c>
      <c r="F135" s="69">
        <v>594.340631499761</v>
      </c>
      <c r="G135" s="70">
        <v>154.91908014717873</v>
      </c>
      <c r="H135" s="19">
        <v>1.1100000000000001</v>
      </c>
      <c r="I135" s="25" t="s">
        <v>132</v>
      </c>
      <c r="J135" s="21">
        <v>1</v>
      </c>
      <c r="K135" s="14" t="s">
        <v>832</v>
      </c>
      <c r="L135" s="13"/>
      <c r="M135" s="46" t="s">
        <v>734</v>
      </c>
      <c r="N135" s="51">
        <v>127.68138965668678</v>
      </c>
      <c r="O135" s="63">
        <v>3.8265341153325055E-2</v>
      </c>
      <c r="P135" s="63">
        <v>0.14126309096059095</v>
      </c>
    </row>
    <row r="136" spans="1:16" s="15" customFormat="1" thickBot="1" x14ac:dyDescent="0.25">
      <c r="A136" s="17">
        <v>1100008000</v>
      </c>
      <c r="B136" s="18" t="s">
        <v>295</v>
      </c>
      <c r="C136" s="18" t="s">
        <v>296</v>
      </c>
      <c r="D136" s="18"/>
      <c r="E136" s="18">
        <v>1123</v>
      </c>
      <c r="F136" s="69">
        <v>696.07461346818855</v>
      </c>
      <c r="G136" s="70">
        <v>181.43676053273182</v>
      </c>
      <c r="H136" s="25">
        <v>1.3</v>
      </c>
      <c r="I136" s="25" t="s">
        <v>19</v>
      </c>
      <c r="J136" s="21">
        <v>1</v>
      </c>
      <c r="K136" s="14" t="s">
        <v>831</v>
      </c>
      <c r="L136" s="13" t="s">
        <v>297</v>
      </c>
      <c r="M136" s="46">
        <v>0</v>
      </c>
      <c r="N136" s="51">
        <v>127.68138965668678</v>
      </c>
      <c r="O136" s="63">
        <v>3.8265341153325055E-2</v>
      </c>
      <c r="P136" s="63">
        <v>0.14126309096059095</v>
      </c>
    </row>
    <row r="137" spans="1:16" s="15" customFormat="1" thickBot="1" x14ac:dyDescent="0.25">
      <c r="A137" s="17">
        <v>1100009000</v>
      </c>
      <c r="B137" s="18" t="s">
        <v>298</v>
      </c>
      <c r="C137" s="18" t="s">
        <v>299</v>
      </c>
      <c r="D137" s="18"/>
      <c r="E137" s="18">
        <v>2932</v>
      </c>
      <c r="F137" s="69">
        <v>3292.9683637148919</v>
      </c>
      <c r="G137" s="70">
        <v>858.33544405869293</v>
      </c>
      <c r="H137" s="19">
        <v>6.15</v>
      </c>
      <c r="I137" s="19" t="s">
        <v>13</v>
      </c>
      <c r="J137" s="21">
        <v>1</v>
      </c>
      <c r="K137" s="14" t="s">
        <v>831</v>
      </c>
      <c r="L137" s="13" t="s">
        <v>297</v>
      </c>
      <c r="M137" s="46">
        <v>0</v>
      </c>
      <c r="N137" s="51">
        <v>127.68138965668678</v>
      </c>
      <c r="O137" s="63">
        <v>3.8265341153325055E-2</v>
      </c>
      <c r="P137" s="63">
        <v>0.14126309096059095</v>
      </c>
    </row>
    <row r="138" spans="1:16" s="15" customFormat="1" thickBot="1" x14ac:dyDescent="0.25">
      <c r="A138" s="17">
        <v>1100010000</v>
      </c>
      <c r="B138" s="18" t="s">
        <v>300</v>
      </c>
      <c r="C138" s="18" t="s">
        <v>23</v>
      </c>
      <c r="D138" s="18"/>
      <c r="E138" s="18">
        <v>14568</v>
      </c>
      <c r="F138" s="69">
        <v>803.16301554021743</v>
      </c>
      <c r="G138" s="70">
        <v>209.35010830699827</v>
      </c>
      <c r="H138" s="19">
        <v>1.5</v>
      </c>
      <c r="I138" s="19" t="s">
        <v>13</v>
      </c>
      <c r="J138" s="21">
        <v>1</v>
      </c>
      <c r="K138" s="14" t="s">
        <v>831</v>
      </c>
      <c r="L138" s="13" t="s">
        <v>297</v>
      </c>
      <c r="M138" s="46">
        <v>0</v>
      </c>
      <c r="N138" s="51">
        <v>127.68138965668678</v>
      </c>
      <c r="O138" s="63">
        <v>3.8265341153325055E-2</v>
      </c>
      <c r="P138" s="63">
        <v>0.14126309096059095</v>
      </c>
    </row>
    <row r="139" spans="1:16" s="15" customFormat="1" thickBot="1" x14ac:dyDescent="0.25">
      <c r="A139" s="17">
        <v>1100011000</v>
      </c>
      <c r="B139" s="18" t="s">
        <v>301</v>
      </c>
      <c r="C139" s="18" t="s">
        <v>302</v>
      </c>
      <c r="D139" s="18"/>
      <c r="E139" s="18">
        <v>1353</v>
      </c>
      <c r="F139" s="69">
        <v>749.61881450420299</v>
      </c>
      <c r="G139" s="70">
        <v>195.39343441986503</v>
      </c>
      <c r="H139" s="19">
        <v>1.4</v>
      </c>
      <c r="I139" s="19" t="s">
        <v>13</v>
      </c>
      <c r="J139" s="21">
        <v>1</v>
      </c>
      <c r="K139" s="14" t="s">
        <v>831</v>
      </c>
      <c r="L139" s="13" t="s">
        <v>297</v>
      </c>
      <c r="M139" s="46">
        <v>0</v>
      </c>
      <c r="N139" s="51">
        <v>127.68138965668678</v>
      </c>
      <c r="O139" s="63">
        <v>3.8265341153325055E-2</v>
      </c>
      <c r="P139" s="63">
        <v>0.14126309096059095</v>
      </c>
    </row>
    <row r="140" spans="1:16" s="15" customFormat="1" thickBot="1" x14ac:dyDescent="0.25">
      <c r="A140" s="17">
        <v>1100266000</v>
      </c>
      <c r="B140" s="18" t="s">
        <v>303</v>
      </c>
      <c r="C140" s="18" t="s">
        <v>304</v>
      </c>
      <c r="D140" s="18" t="s">
        <v>305</v>
      </c>
      <c r="E140" s="18">
        <v>3209</v>
      </c>
      <c r="F140" s="69">
        <v>1022.6472485765083</v>
      </c>
      <c r="G140" s="70">
        <v>215.24416733730411</v>
      </c>
      <c r="H140" s="19">
        <v>1.1100000000000001</v>
      </c>
      <c r="I140" s="19" t="s">
        <v>13</v>
      </c>
      <c r="J140" s="21">
        <v>1</v>
      </c>
      <c r="K140" s="14" t="s">
        <v>832</v>
      </c>
      <c r="L140" s="13"/>
      <c r="M140" s="46" t="s">
        <v>788</v>
      </c>
      <c r="N140" s="51">
        <v>64.060914098545467</v>
      </c>
      <c r="O140" s="63">
        <v>0.12154204035495979</v>
      </c>
      <c r="P140" s="63">
        <v>0.30811357550814017</v>
      </c>
    </row>
    <row r="141" spans="1:16" s="15" customFormat="1" thickBot="1" x14ac:dyDescent="0.25">
      <c r="A141" s="17">
        <v>1100267000</v>
      </c>
      <c r="B141" s="18" t="s">
        <v>306</v>
      </c>
      <c r="C141" s="18" t="s">
        <v>307</v>
      </c>
      <c r="D141" s="18" t="s">
        <v>305</v>
      </c>
      <c r="E141" s="18">
        <v>142</v>
      </c>
      <c r="F141" s="69">
        <v>4606.5191377320189</v>
      </c>
      <c r="G141" s="70">
        <v>969.56832133920761</v>
      </c>
      <c r="H141" s="19">
        <v>5</v>
      </c>
      <c r="I141" s="25" t="s">
        <v>13</v>
      </c>
      <c r="J141" s="21">
        <v>1</v>
      </c>
      <c r="K141" s="14" t="s">
        <v>831</v>
      </c>
      <c r="L141" s="18" t="s">
        <v>308</v>
      </c>
      <c r="M141" s="46">
        <v>0</v>
      </c>
      <c r="N141" s="51">
        <v>64.060914098545467</v>
      </c>
      <c r="O141" s="63">
        <v>0.12154204035495979</v>
      </c>
      <c r="P141" s="63">
        <v>0.30811357550814017</v>
      </c>
    </row>
    <row r="142" spans="1:16" s="15" customFormat="1" thickBot="1" x14ac:dyDescent="0.25">
      <c r="A142" s="17">
        <v>1100268000</v>
      </c>
      <c r="B142" s="18" t="s">
        <v>309</v>
      </c>
      <c r="C142" s="18" t="s">
        <v>23</v>
      </c>
      <c r="D142" s="18" t="s">
        <v>305</v>
      </c>
      <c r="E142" s="18">
        <v>6975</v>
      </c>
      <c r="F142" s="69">
        <v>1381.9557413196057</v>
      </c>
      <c r="G142" s="70">
        <v>290.87049640176224</v>
      </c>
      <c r="H142" s="19">
        <v>1.5</v>
      </c>
      <c r="I142" s="25" t="s">
        <v>310</v>
      </c>
      <c r="J142" s="21">
        <v>1</v>
      </c>
      <c r="K142" s="14" t="s">
        <v>831</v>
      </c>
      <c r="L142" s="18" t="s">
        <v>308</v>
      </c>
      <c r="M142" s="46">
        <v>0</v>
      </c>
      <c r="N142" s="51">
        <v>64.060914098545467</v>
      </c>
      <c r="O142" s="63">
        <v>0.12154204035495979</v>
      </c>
      <c r="P142" s="63">
        <v>0.30811357550814017</v>
      </c>
    </row>
    <row r="143" spans="1:16" s="15" customFormat="1" thickBot="1" x14ac:dyDescent="0.25">
      <c r="A143" s="17">
        <v>1201090000</v>
      </c>
      <c r="B143" s="18" t="s">
        <v>311</v>
      </c>
      <c r="C143" s="18" t="s">
        <v>312</v>
      </c>
      <c r="D143" s="18" t="s">
        <v>313</v>
      </c>
      <c r="E143" s="18">
        <v>11075</v>
      </c>
      <c r="F143" s="69">
        <v>4215.8142494497124</v>
      </c>
      <c r="G143" s="70">
        <v>827.60530955193053</v>
      </c>
      <c r="H143" s="19">
        <v>1.0900000000000001</v>
      </c>
      <c r="I143" s="19" t="s">
        <v>13</v>
      </c>
      <c r="J143" s="21">
        <v>1</v>
      </c>
      <c r="K143" s="14" t="s">
        <v>832</v>
      </c>
      <c r="L143" s="18"/>
      <c r="M143" s="46" t="s">
        <v>748</v>
      </c>
      <c r="N143" s="51">
        <v>268.382802154307</v>
      </c>
      <c r="O143" s="63">
        <v>6.0189073638924416E-2</v>
      </c>
      <c r="P143" s="63">
        <v>0.16868227293096971</v>
      </c>
    </row>
    <row r="144" spans="1:16" s="15" customFormat="1" thickBot="1" x14ac:dyDescent="0.25">
      <c r="A144" s="17">
        <v>1201091000</v>
      </c>
      <c r="B144" s="18" t="s">
        <v>315</v>
      </c>
      <c r="C144" s="18" t="s">
        <v>23</v>
      </c>
      <c r="D144" s="18" t="s">
        <v>313</v>
      </c>
      <c r="E144" s="18">
        <v>6943</v>
      </c>
      <c r="F144" s="69">
        <v>5028.0353433803912</v>
      </c>
      <c r="G144" s="70">
        <v>987.05220405276111</v>
      </c>
      <c r="H144" s="19">
        <v>1.3</v>
      </c>
      <c r="I144" s="25" t="s">
        <v>316</v>
      </c>
      <c r="J144" s="21">
        <v>1</v>
      </c>
      <c r="K144" s="14" t="s">
        <v>831</v>
      </c>
      <c r="L144" s="18" t="s">
        <v>317</v>
      </c>
      <c r="M144" s="46">
        <v>0</v>
      </c>
      <c r="N144" s="51">
        <v>268.382802154307</v>
      </c>
      <c r="O144" s="63">
        <v>6.0189073638924416E-2</v>
      </c>
      <c r="P144" s="63">
        <v>0.16868227293096971</v>
      </c>
    </row>
    <row r="145" spans="1:16" s="15" customFormat="1" thickBot="1" x14ac:dyDescent="0.25">
      <c r="A145" s="17">
        <v>1202012000</v>
      </c>
      <c r="B145" s="18" t="s">
        <v>318</v>
      </c>
      <c r="C145" s="18" t="s">
        <v>319</v>
      </c>
      <c r="D145" s="18" t="s">
        <v>320</v>
      </c>
      <c r="E145" s="18">
        <v>1271</v>
      </c>
      <c r="F145" s="69">
        <v>6709.2314334116072</v>
      </c>
      <c r="G145" s="70">
        <v>858.50207053153758</v>
      </c>
      <c r="H145" s="19">
        <v>1.08</v>
      </c>
      <c r="I145" s="19" t="s">
        <v>13</v>
      </c>
      <c r="J145" s="21">
        <v>1</v>
      </c>
      <c r="K145" s="14" t="s">
        <v>832</v>
      </c>
      <c r="L145" s="18"/>
      <c r="M145" s="46" t="s">
        <v>735</v>
      </c>
      <c r="N145" s="51">
        <v>152.9300135526255</v>
      </c>
      <c r="O145" s="63">
        <v>1.0077452586477697E-2</v>
      </c>
      <c r="P145" s="63">
        <v>1.2677145215931787E-2</v>
      </c>
    </row>
    <row r="146" spans="1:16" s="15" customFormat="1" thickBot="1" x14ac:dyDescent="0.25">
      <c r="A146" s="17">
        <v>1202013000</v>
      </c>
      <c r="B146" s="18" t="s">
        <v>321</v>
      </c>
      <c r="C146" s="18" t="s">
        <v>322</v>
      </c>
      <c r="D146" s="18" t="s">
        <v>320</v>
      </c>
      <c r="E146" s="18">
        <v>178</v>
      </c>
      <c r="F146" s="69">
        <v>33918.892246692012</v>
      </c>
      <c r="G146" s="70">
        <v>4340.2049121316613</v>
      </c>
      <c r="H146" s="19">
        <v>5.46</v>
      </c>
      <c r="I146" s="19" t="s">
        <v>13</v>
      </c>
      <c r="J146" s="21">
        <v>1</v>
      </c>
      <c r="K146" s="14" t="s">
        <v>831</v>
      </c>
      <c r="L146" s="29" t="s">
        <v>833</v>
      </c>
      <c r="M146" s="46">
        <v>0</v>
      </c>
      <c r="N146" s="51">
        <v>152.9300135526255</v>
      </c>
      <c r="O146" s="63">
        <v>1.0077452586477697E-2</v>
      </c>
      <c r="P146" s="63">
        <v>1.2677145215931787E-2</v>
      </c>
    </row>
    <row r="147" spans="1:16" s="15" customFormat="1" thickBot="1" x14ac:dyDescent="0.25">
      <c r="A147" s="17">
        <v>1202014000</v>
      </c>
      <c r="B147" s="18" t="s">
        <v>323</v>
      </c>
      <c r="C147" s="18" t="s">
        <v>23</v>
      </c>
      <c r="D147" s="18" t="s">
        <v>320</v>
      </c>
      <c r="E147" s="18">
        <v>6127</v>
      </c>
      <c r="F147" s="69">
        <v>10125.969663389738</v>
      </c>
      <c r="G147" s="70">
        <v>1295.7021990429685</v>
      </c>
      <c r="H147" s="19">
        <v>1.63</v>
      </c>
      <c r="I147" s="25" t="s">
        <v>324</v>
      </c>
      <c r="J147" s="21">
        <v>1</v>
      </c>
      <c r="K147" s="14" t="s">
        <v>831</v>
      </c>
      <c r="L147" s="13" t="s">
        <v>833</v>
      </c>
      <c r="M147" s="46">
        <v>0</v>
      </c>
      <c r="N147" s="51">
        <v>152.9300135526255</v>
      </c>
      <c r="O147" s="63">
        <v>1.0077452586477697E-2</v>
      </c>
      <c r="P147" s="63">
        <v>1.2677145215931787E-2</v>
      </c>
    </row>
    <row r="148" spans="1:16" s="15" customFormat="1" thickBot="1" x14ac:dyDescent="0.25">
      <c r="A148" s="17">
        <v>1202230000</v>
      </c>
      <c r="B148" s="18" t="s">
        <v>325</v>
      </c>
      <c r="C148" s="18" t="s">
        <v>326</v>
      </c>
      <c r="D148" s="18"/>
      <c r="E148" s="18">
        <v>233</v>
      </c>
      <c r="F148" s="69">
        <v>3688.4461009233778</v>
      </c>
      <c r="G148" s="70">
        <v>523.16416641203489</v>
      </c>
      <c r="H148" s="19">
        <v>1.1000000000000001</v>
      </c>
      <c r="I148" s="19" t="s">
        <v>13</v>
      </c>
      <c r="J148" s="21">
        <v>1</v>
      </c>
      <c r="K148" s="14" t="s">
        <v>832</v>
      </c>
      <c r="L148" s="13"/>
      <c r="M148" s="46" t="s">
        <v>787</v>
      </c>
      <c r="N148" s="51">
        <v>179.86974219900705</v>
      </c>
      <c r="O148" s="63">
        <v>2.6647997280202017E-2</v>
      </c>
      <c r="P148" s="63">
        <v>5.7336634989583406E-2</v>
      </c>
    </row>
    <row r="149" spans="1:16" s="15" customFormat="1" thickBot="1" x14ac:dyDescent="0.25">
      <c r="A149" s="17">
        <v>1202260000</v>
      </c>
      <c r="B149" s="18" t="s">
        <v>327</v>
      </c>
      <c r="C149" s="18" t="s">
        <v>319</v>
      </c>
      <c r="D149" s="18"/>
      <c r="E149" s="18">
        <v>16920</v>
      </c>
      <c r="F149" s="69">
        <v>3487.2581317821023</v>
      </c>
      <c r="G149" s="70">
        <v>494.62793915319656</v>
      </c>
      <c r="H149" s="19">
        <v>1.04</v>
      </c>
      <c r="I149" s="25" t="s">
        <v>13</v>
      </c>
      <c r="J149" s="21">
        <v>1</v>
      </c>
      <c r="K149" s="14" t="s">
        <v>832</v>
      </c>
      <c r="L149" s="13"/>
      <c r="M149" s="46" t="s">
        <v>787</v>
      </c>
      <c r="N149" s="51">
        <v>179.86974219900705</v>
      </c>
      <c r="O149" s="63">
        <v>2.6647997280202017E-2</v>
      </c>
      <c r="P149" s="63">
        <v>5.7336634989583406E-2</v>
      </c>
    </row>
    <row r="150" spans="1:16" s="15" customFormat="1" thickBot="1" x14ac:dyDescent="0.25">
      <c r="A150" s="17">
        <v>1202261000</v>
      </c>
      <c r="B150" s="18" t="s">
        <v>328</v>
      </c>
      <c r="C150" s="18" t="s">
        <v>329</v>
      </c>
      <c r="D150" s="18"/>
      <c r="E150" s="18">
        <v>1722</v>
      </c>
      <c r="F150" s="69">
        <v>21392.987385355587</v>
      </c>
      <c r="G150" s="70">
        <v>3034.3521651898018</v>
      </c>
      <c r="H150" s="19">
        <v>6.38</v>
      </c>
      <c r="I150" s="25" t="s">
        <v>13</v>
      </c>
      <c r="J150" s="21">
        <v>1</v>
      </c>
      <c r="K150" s="14" t="s">
        <v>831</v>
      </c>
      <c r="L150" s="13" t="s">
        <v>330</v>
      </c>
      <c r="M150" s="46">
        <v>0</v>
      </c>
      <c r="N150" s="51">
        <v>179.86974219900705</v>
      </c>
      <c r="O150" s="63">
        <v>2.6647997280202017E-2</v>
      </c>
      <c r="P150" s="63">
        <v>5.7336634989583406E-2</v>
      </c>
    </row>
    <row r="151" spans="1:16" s="15" customFormat="1" thickBot="1" x14ac:dyDescent="0.25">
      <c r="A151" s="17">
        <v>1202262000</v>
      </c>
      <c r="B151" s="18" t="s">
        <v>331</v>
      </c>
      <c r="C151" s="18" t="s">
        <v>23</v>
      </c>
      <c r="D151" s="18"/>
      <c r="E151" s="18">
        <v>78</v>
      </c>
      <c r="F151" s="69">
        <v>5465.6064950046402</v>
      </c>
      <c r="G151" s="70">
        <v>775.23417386510607</v>
      </c>
      <c r="H151" s="19">
        <v>1.63</v>
      </c>
      <c r="I151" s="25" t="s">
        <v>324</v>
      </c>
      <c r="J151" s="21">
        <v>1</v>
      </c>
      <c r="K151" s="14" t="s">
        <v>831</v>
      </c>
      <c r="L151" s="13" t="s">
        <v>330</v>
      </c>
      <c r="M151" s="46">
        <v>0</v>
      </c>
      <c r="N151" s="51">
        <v>179.86974219900705</v>
      </c>
      <c r="O151" s="63">
        <v>2.6647997280202017E-2</v>
      </c>
      <c r="P151" s="63">
        <v>5.7336634989583406E-2</v>
      </c>
    </row>
    <row r="152" spans="1:16" s="15" customFormat="1" thickBot="1" x14ac:dyDescent="0.25">
      <c r="A152" s="17">
        <v>1203285000</v>
      </c>
      <c r="B152" s="18" t="s">
        <v>332</v>
      </c>
      <c r="C152" s="18" t="s">
        <v>333</v>
      </c>
      <c r="D152" s="18" t="s">
        <v>334</v>
      </c>
      <c r="E152" s="18">
        <v>417</v>
      </c>
      <c r="F152" s="69">
        <v>5382.7252167070646</v>
      </c>
      <c r="G152" s="70">
        <v>732.35752022055101</v>
      </c>
      <c r="H152" s="19">
        <v>1.06</v>
      </c>
      <c r="I152" s="19" t="s">
        <v>13</v>
      </c>
      <c r="J152" s="21">
        <v>1</v>
      </c>
      <c r="K152" s="45" t="s">
        <v>832</v>
      </c>
      <c r="L152" s="13"/>
      <c r="M152" s="46" t="s">
        <v>794</v>
      </c>
      <c r="N152" s="51">
        <v>142.34885157494398</v>
      </c>
      <c r="O152" s="63">
        <v>3.072409487853639E-2</v>
      </c>
      <c r="P152" s="63">
        <v>6.0961090120275022E-2</v>
      </c>
    </row>
    <row r="153" spans="1:16" s="15" customFormat="1" thickBot="1" x14ac:dyDescent="0.25">
      <c r="A153" s="17">
        <v>1203286000</v>
      </c>
      <c r="B153" s="18" t="s">
        <v>335</v>
      </c>
      <c r="C153" s="18" t="s">
        <v>336</v>
      </c>
      <c r="D153" s="18"/>
      <c r="E153" s="18">
        <v>50</v>
      </c>
      <c r="F153" s="69">
        <v>5382.7252167070646</v>
      </c>
      <c r="G153" s="70">
        <v>732.35752022055101</v>
      </c>
      <c r="H153" s="19">
        <v>1.06</v>
      </c>
      <c r="I153" s="19" t="s">
        <v>13</v>
      </c>
      <c r="J153" s="21">
        <v>1</v>
      </c>
      <c r="K153" s="14" t="s">
        <v>831</v>
      </c>
      <c r="L153" s="13" t="s">
        <v>844</v>
      </c>
      <c r="M153" s="46">
        <v>0</v>
      </c>
      <c r="N153" s="51">
        <v>142.34885157494398</v>
      </c>
      <c r="O153" s="63">
        <v>3.072409487853639E-2</v>
      </c>
      <c r="P153" s="63">
        <v>6.0961090120275022E-2</v>
      </c>
    </row>
    <row r="154" spans="1:16" s="15" customFormat="1" thickBot="1" x14ac:dyDescent="0.25">
      <c r="A154" s="17">
        <v>1203287000</v>
      </c>
      <c r="B154" s="18" t="s">
        <v>337</v>
      </c>
      <c r="C154" s="18" t="s">
        <v>338</v>
      </c>
      <c r="D154" s="18"/>
      <c r="E154" s="18">
        <v>260</v>
      </c>
      <c r="F154" s="69">
        <v>29097.184426161777</v>
      </c>
      <c r="G154" s="70">
        <v>3958.8760291167523</v>
      </c>
      <c r="H154" s="19">
        <v>5.73</v>
      </c>
      <c r="I154" s="25" t="s">
        <v>13</v>
      </c>
      <c r="J154" s="21">
        <v>1</v>
      </c>
      <c r="K154" s="14" t="s">
        <v>831</v>
      </c>
      <c r="L154" s="13" t="s">
        <v>844</v>
      </c>
      <c r="M154" s="46">
        <v>0</v>
      </c>
      <c r="N154" s="51">
        <v>142.34885157494398</v>
      </c>
      <c r="O154" s="63">
        <v>3.072409487853639E-2</v>
      </c>
      <c r="P154" s="63">
        <v>6.0961090120275022E-2</v>
      </c>
    </row>
    <row r="155" spans="1:16" s="15" customFormat="1" thickBot="1" x14ac:dyDescent="0.25">
      <c r="A155" s="17">
        <v>1203288000</v>
      </c>
      <c r="B155" s="18" t="s">
        <v>339</v>
      </c>
      <c r="C155" s="18" t="s">
        <v>23</v>
      </c>
      <c r="D155" s="18"/>
      <c r="E155" s="18">
        <v>125</v>
      </c>
      <c r="F155" s="69">
        <v>8277.2095313514292</v>
      </c>
      <c r="G155" s="70">
        <v>1126.1724131693377</v>
      </c>
      <c r="H155" s="19">
        <v>1.63</v>
      </c>
      <c r="I155" s="25" t="s">
        <v>13</v>
      </c>
      <c r="J155" s="21">
        <v>1</v>
      </c>
      <c r="K155" s="14" t="s">
        <v>831</v>
      </c>
      <c r="L155" s="13" t="s">
        <v>844</v>
      </c>
      <c r="M155" s="46">
        <v>0</v>
      </c>
      <c r="N155" s="51">
        <v>142.34885157494398</v>
      </c>
      <c r="O155" s="63">
        <v>3.072409487853639E-2</v>
      </c>
      <c r="P155" s="63">
        <v>6.0961090120275022E-2</v>
      </c>
    </row>
    <row r="156" spans="1:16" s="15" customFormat="1" thickBot="1" x14ac:dyDescent="0.25">
      <c r="A156" s="17">
        <v>1301055000</v>
      </c>
      <c r="B156" s="18" t="s">
        <v>340</v>
      </c>
      <c r="C156" s="18" t="s">
        <v>341</v>
      </c>
      <c r="D156" s="18" t="s">
        <v>342</v>
      </c>
      <c r="E156" s="18">
        <v>7185</v>
      </c>
      <c r="F156" s="69">
        <v>819.74470126329447</v>
      </c>
      <c r="G156" s="70">
        <v>89.088273994823467</v>
      </c>
      <c r="H156" s="19">
        <v>1.04</v>
      </c>
      <c r="I156" s="19" t="s">
        <v>13</v>
      </c>
      <c r="J156" s="21">
        <v>1</v>
      </c>
      <c r="K156" s="14" t="s">
        <v>831</v>
      </c>
      <c r="L156" s="13" t="s">
        <v>343</v>
      </c>
      <c r="M156" s="46">
        <v>0</v>
      </c>
      <c r="N156" s="51">
        <v>100.96919411550539</v>
      </c>
      <c r="O156" s="63">
        <v>2.6419566366104132E-2</v>
      </c>
      <c r="P156" s="63">
        <v>3.1684699856034365E-2</v>
      </c>
    </row>
    <row r="157" spans="1:16" s="15" customFormat="1" thickBot="1" x14ac:dyDescent="0.25">
      <c r="A157" s="17">
        <v>1301056000</v>
      </c>
      <c r="B157" s="18" t="s">
        <v>344</v>
      </c>
      <c r="C157" s="18" t="s">
        <v>23</v>
      </c>
      <c r="D157" s="18" t="s">
        <v>342</v>
      </c>
      <c r="E157" s="18">
        <v>10</v>
      </c>
      <c r="F157" s="69">
        <v>1024.6808765791181</v>
      </c>
      <c r="G157" s="70">
        <v>111.36034249352933</v>
      </c>
      <c r="H157" s="19">
        <v>1.3</v>
      </c>
      <c r="I157" s="19" t="s">
        <v>13</v>
      </c>
      <c r="J157" s="21">
        <v>1</v>
      </c>
      <c r="K157" s="14" t="s">
        <v>831</v>
      </c>
      <c r="L157" s="13" t="s">
        <v>343</v>
      </c>
      <c r="M157" s="46">
        <v>0</v>
      </c>
      <c r="N157" s="51">
        <v>100.96919411550539</v>
      </c>
      <c r="O157" s="63">
        <v>2.6419566366104132E-2</v>
      </c>
      <c r="P157" s="63">
        <v>3.1684699856034365E-2</v>
      </c>
    </row>
    <row r="158" spans="1:16" s="15" customFormat="1" thickBot="1" x14ac:dyDescent="0.25">
      <c r="A158" s="17">
        <v>1301058000</v>
      </c>
      <c r="B158" s="18" t="s">
        <v>345</v>
      </c>
      <c r="C158" s="18" t="s">
        <v>341</v>
      </c>
      <c r="D158" s="18"/>
      <c r="E158" s="18">
        <v>6145</v>
      </c>
      <c r="F158" s="69">
        <v>819.74470126329447</v>
      </c>
      <c r="G158" s="70">
        <v>89.088273994823467</v>
      </c>
      <c r="H158" s="19">
        <v>1.04</v>
      </c>
      <c r="I158" s="19" t="s">
        <v>13</v>
      </c>
      <c r="J158" s="21">
        <v>1</v>
      </c>
      <c r="K158" s="14" t="s">
        <v>831</v>
      </c>
      <c r="L158" s="13" t="s">
        <v>343</v>
      </c>
      <c r="M158" s="46">
        <v>0</v>
      </c>
      <c r="N158" s="51">
        <v>100.96919411550539</v>
      </c>
      <c r="O158" s="63">
        <v>2.6419566366104132E-2</v>
      </c>
      <c r="P158" s="63">
        <v>3.1684699856034365E-2</v>
      </c>
    </row>
    <row r="159" spans="1:16" s="15" customFormat="1" thickBot="1" x14ac:dyDescent="0.25">
      <c r="A159" s="17">
        <v>1301320000</v>
      </c>
      <c r="B159" s="18" t="s">
        <v>346</v>
      </c>
      <c r="C159" s="18" t="s">
        <v>341</v>
      </c>
      <c r="D159" s="18" t="s">
        <v>347</v>
      </c>
      <c r="E159" s="18">
        <v>11006</v>
      </c>
      <c r="F159" s="69">
        <v>2524.3654256082536</v>
      </c>
      <c r="G159" s="70">
        <v>181.03277027861739</v>
      </c>
      <c r="H159" s="56">
        <v>1.04</v>
      </c>
      <c r="I159" s="19" t="s">
        <v>13</v>
      </c>
      <c r="J159" s="21">
        <v>1</v>
      </c>
      <c r="K159" s="14" t="s">
        <v>832</v>
      </c>
      <c r="L159" s="13"/>
      <c r="M159" s="46" t="s">
        <v>799</v>
      </c>
      <c r="N159" s="51">
        <v>92.065622915311181</v>
      </c>
      <c r="O159" s="63">
        <v>0</v>
      </c>
      <c r="P159" s="63">
        <v>0</v>
      </c>
    </row>
    <row r="160" spans="1:16" s="15" customFormat="1" thickBot="1" x14ac:dyDescent="0.25">
      <c r="A160" s="17">
        <v>1301321000</v>
      </c>
      <c r="B160" s="18" t="s">
        <v>348</v>
      </c>
      <c r="C160" s="18" t="s">
        <v>23</v>
      </c>
      <c r="D160" s="18" t="s">
        <v>347</v>
      </c>
      <c r="E160" s="18">
        <v>6120</v>
      </c>
      <c r="F160" s="69">
        <v>2427.2744477002439</v>
      </c>
      <c r="G160" s="70">
        <v>174.06997142174748</v>
      </c>
      <c r="H160" s="19">
        <v>1</v>
      </c>
      <c r="I160" s="25" t="s">
        <v>26</v>
      </c>
      <c r="J160" s="21">
        <v>1</v>
      </c>
      <c r="K160" s="14" t="s">
        <v>831</v>
      </c>
      <c r="L160" s="49" t="s">
        <v>846</v>
      </c>
      <c r="M160" s="46">
        <v>0</v>
      </c>
      <c r="N160" s="51">
        <v>92.065622915311181</v>
      </c>
      <c r="O160" s="63">
        <v>0</v>
      </c>
      <c r="P160" s="63">
        <v>0</v>
      </c>
    </row>
    <row r="161" spans="1:16" s="15" customFormat="1" thickBot="1" x14ac:dyDescent="0.25">
      <c r="A161" s="17">
        <v>1302057000</v>
      </c>
      <c r="B161" s="18" t="s">
        <v>349</v>
      </c>
      <c r="C161" s="18" t="s">
        <v>341</v>
      </c>
      <c r="D161" s="18" t="s">
        <v>350</v>
      </c>
      <c r="E161" s="18">
        <v>16469</v>
      </c>
      <c r="F161" s="69">
        <v>418.65076395192807</v>
      </c>
      <c r="G161" s="70">
        <v>139.31607146845468</v>
      </c>
      <c r="H161" s="19">
        <v>1.05</v>
      </c>
      <c r="I161" s="19" t="s">
        <v>13</v>
      </c>
      <c r="J161" s="21">
        <v>1</v>
      </c>
      <c r="K161" s="14" t="s">
        <v>832</v>
      </c>
      <c r="L161" s="13"/>
      <c r="M161" s="46" t="s">
        <v>741</v>
      </c>
      <c r="N161" s="51">
        <v>252.1964664820656</v>
      </c>
      <c r="O161" s="63">
        <v>1.5836608090108853E-2</v>
      </c>
      <c r="P161" s="63">
        <v>3.1212965636447921E-2</v>
      </c>
    </row>
    <row r="162" spans="1:16" s="15" customFormat="1" ht="17" thickBot="1" x14ac:dyDescent="0.25">
      <c r="A162" s="17">
        <v>1302137000</v>
      </c>
      <c r="B162" s="18" t="s">
        <v>351</v>
      </c>
      <c r="C162" s="18" t="s">
        <v>352</v>
      </c>
      <c r="D162" s="18" t="s">
        <v>353</v>
      </c>
      <c r="E162" s="18">
        <v>17</v>
      </c>
      <c r="F162" s="69">
        <v>20.39000719610944</v>
      </c>
      <c r="G162" s="70">
        <v>2.738043568432353</v>
      </c>
      <c r="H162" s="57">
        <v>5.13</v>
      </c>
      <c r="I162" s="19" t="s">
        <v>13</v>
      </c>
      <c r="J162" s="21">
        <v>1</v>
      </c>
      <c r="K162" s="14" t="s">
        <v>832</v>
      </c>
      <c r="L162" s="13"/>
      <c r="M162" s="46" t="s">
        <v>758</v>
      </c>
      <c r="N162" s="51">
        <v>4.7770827861458116</v>
      </c>
      <c r="O162" s="63">
        <v>1</v>
      </c>
      <c r="P162" s="63">
        <v>1</v>
      </c>
    </row>
    <row r="163" spans="1:16" s="15" customFormat="1" thickBot="1" x14ac:dyDescent="0.25">
      <c r="A163" s="17">
        <v>1302174000</v>
      </c>
      <c r="B163" s="18" t="s">
        <v>355</v>
      </c>
      <c r="C163" s="18" t="s">
        <v>341</v>
      </c>
      <c r="D163" s="18"/>
      <c r="E163" s="18">
        <v>15</v>
      </c>
      <c r="F163" s="69">
        <v>788.21605890701392</v>
      </c>
      <c r="G163" s="70">
        <v>85.661801918099485</v>
      </c>
      <c r="H163" s="19">
        <v>1</v>
      </c>
      <c r="I163" s="25" t="s">
        <v>26</v>
      </c>
      <c r="J163" s="21">
        <v>1</v>
      </c>
      <c r="K163" s="14" t="s">
        <v>831</v>
      </c>
      <c r="L163" s="13" t="s">
        <v>343</v>
      </c>
      <c r="M163" s="46" t="s">
        <v>763</v>
      </c>
      <c r="N163" s="51">
        <v>100.96919411550539</v>
      </c>
      <c r="O163" s="63">
        <v>2.6419566366104132E-2</v>
      </c>
      <c r="P163" s="63">
        <v>3.1684699856034365E-2</v>
      </c>
    </row>
    <row r="164" spans="1:16" s="15" customFormat="1" thickBot="1" x14ac:dyDescent="0.25">
      <c r="A164" s="17">
        <v>1302191000</v>
      </c>
      <c r="B164" s="18" t="s">
        <v>356</v>
      </c>
      <c r="C164" s="18" t="s">
        <v>341</v>
      </c>
      <c r="D164" s="18"/>
      <c r="E164" s="18">
        <v>36</v>
      </c>
      <c r="F164" s="69">
        <v>827.62686185236464</v>
      </c>
      <c r="G164" s="70">
        <v>89.944892014004466</v>
      </c>
      <c r="H164" s="19">
        <v>1.05</v>
      </c>
      <c r="I164" s="19" t="s">
        <v>13</v>
      </c>
      <c r="J164" s="21">
        <v>1</v>
      </c>
      <c r="K164" s="14" t="s">
        <v>831</v>
      </c>
      <c r="L164" s="13" t="s">
        <v>343</v>
      </c>
      <c r="M164" s="46">
        <v>0</v>
      </c>
      <c r="N164" s="51">
        <v>100.96919411550539</v>
      </c>
      <c r="O164" s="63">
        <v>2.6419566366104132E-2</v>
      </c>
      <c r="P164" s="63">
        <v>3.1684699856034365E-2</v>
      </c>
    </row>
    <row r="165" spans="1:16" s="15" customFormat="1" thickBot="1" x14ac:dyDescent="0.25">
      <c r="A165" s="17">
        <v>1303227000</v>
      </c>
      <c r="B165" s="18" t="s">
        <v>357</v>
      </c>
      <c r="C165" s="18" t="s">
        <v>247</v>
      </c>
      <c r="D165" s="18" t="s">
        <v>358</v>
      </c>
      <c r="E165" s="18">
        <v>1</v>
      </c>
      <c r="F165" s="69">
        <v>819.74470126329447</v>
      </c>
      <c r="G165" s="70">
        <v>89.088273994823467</v>
      </c>
      <c r="H165" s="19">
        <v>1.04</v>
      </c>
      <c r="I165" s="19" t="s">
        <v>13</v>
      </c>
      <c r="J165" s="21">
        <v>1</v>
      </c>
      <c r="K165" s="14" t="s">
        <v>831</v>
      </c>
      <c r="L165" s="13" t="s">
        <v>343</v>
      </c>
      <c r="M165" s="46">
        <v>0</v>
      </c>
      <c r="N165" s="51">
        <v>100.96919411550539</v>
      </c>
      <c r="O165" s="63">
        <v>2.6419566366104132E-2</v>
      </c>
      <c r="P165" s="63">
        <v>3.1684699856034365E-2</v>
      </c>
    </row>
    <row r="166" spans="1:16" s="15" customFormat="1" thickBot="1" x14ac:dyDescent="0.25">
      <c r="A166" s="17">
        <v>1304175000</v>
      </c>
      <c r="B166" s="18" t="s">
        <v>359</v>
      </c>
      <c r="C166" s="18" t="s">
        <v>360</v>
      </c>
      <c r="D166" s="18" t="s">
        <v>361</v>
      </c>
      <c r="E166" s="18">
        <v>5959</v>
      </c>
      <c r="F166" s="69">
        <v>3464.8438922863438</v>
      </c>
      <c r="G166" s="70">
        <v>385.40112329190907</v>
      </c>
      <c r="H166" s="19">
        <v>1.04</v>
      </c>
      <c r="I166" s="19" t="s">
        <v>13</v>
      </c>
      <c r="J166" s="21">
        <v>1</v>
      </c>
      <c r="K166" s="14" t="s">
        <v>832</v>
      </c>
      <c r="L166" s="13"/>
      <c r="M166" s="46" t="s">
        <v>764</v>
      </c>
      <c r="N166" s="51">
        <v>60.148428868566519</v>
      </c>
      <c r="O166" s="63">
        <v>5.7767622563298669E-2</v>
      </c>
      <c r="P166" s="63">
        <v>8.8322179330618658E-2</v>
      </c>
    </row>
    <row r="167" spans="1:16" s="15" customFormat="1" thickBot="1" x14ac:dyDescent="0.25">
      <c r="A167" s="17">
        <v>1304176000</v>
      </c>
      <c r="B167" s="18" t="s">
        <v>362</v>
      </c>
      <c r="C167" s="18" t="s">
        <v>23</v>
      </c>
      <c r="D167" s="18" t="s">
        <v>363</v>
      </c>
      <c r="E167" s="18">
        <v>12486</v>
      </c>
      <c r="F167" s="69">
        <v>4331.0548653579299</v>
      </c>
      <c r="G167" s="70">
        <v>481.75140411488633</v>
      </c>
      <c r="H167" s="19">
        <v>1.3</v>
      </c>
      <c r="I167" s="19" t="s">
        <v>13</v>
      </c>
      <c r="J167" s="21">
        <v>1</v>
      </c>
      <c r="K167" s="14" t="s">
        <v>831</v>
      </c>
      <c r="L167" s="13" t="s">
        <v>359</v>
      </c>
      <c r="M167" s="46">
        <v>0</v>
      </c>
      <c r="N167" s="51">
        <v>60.148428868566519</v>
      </c>
      <c r="O167" s="63">
        <v>5.7767622563298669E-2</v>
      </c>
      <c r="P167" s="63">
        <v>8.8322179330618658E-2</v>
      </c>
    </row>
    <row r="168" spans="1:16" s="15" customFormat="1" ht="17" thickBot="1" x14ac:dyDescent="0.25">
      <c r="A168" s="17">
        <v>1304178000</v>
      </c>
      <c r="B168" s="18" t="s">
        <v>364</v>
      </c>
      <c r="C168" s="18" t="s">
        <v>365</v>
      </c>
      <c r="D168" s="18" t="s">
        <v>366</v>
      </c>
      <c r="E168" s="18">
        <v>8179</v>
      </c>
      <c r="F168" s="69">
        <v>15125.376222096154</v>
      </c>
      <c r="G168" s="70">
        <v>1682.4241343704491</v>
      </c>
      <c r="H168" s="55">
        <v>4.54</v>
      </c>
      <c r="I168" s="19" t="s">
        <v>13</v>
      </c>
      <c r="J168" s="21">
        <v>1</v>
      </c>
      <c r="K168" s="14" t="s">
        <v>831</v>
      </c>
      <c r="L168" s="13" t="s">
        <v>359</v>
      </c>
      <c r="M168" s="46">
        <v>0</v>
      </c>
      <c r="N168" s="51">
        <v>60.148428868566519</v>
      </c>
      <c r="O168" s="63">
        <v>5.7767622563298669E-2</v>
      </c>
      <c r="P168" s="63">
        <v>8.8322179330618658E-2</v>
      </c>
    </row>
    <row r="169" spans="1:16" s="15" customFormat="1" thickBot="1" x14ac:dyDescent="0.25">
      <c r="A169" s="17">
        <v>1304179000</v>
      </c>
      <c r="B169" s="18" t="s">
        <v>367</v>
      </c>
      <c r="C169" s="18" t="s">
        <v>368</v>
      </c>
      <c r="D169" s="18"/>
      <c r="E169" s="18">
        <v>6014</v>
      </c>
      <c r="F169" s="69">
        <v>4730.8445452371225</v>
      </c>
      <c r="G169" s="70">
        <v>526.22076449472195</v>
      </c>
      <c r="H169" s="19">
        <v>1.42</v>
      </c>
      <c r="I169" s="25" t="s">
        <v>26</v>
      </c>
      <c r="J169" s="24">
        <v>2</v>
      </c>
      <c r="K169" s="14" t="s">
        <v>831</v>
      </c>
      <c r="L169" s="13" t="s">
        <v>359</v>
      </c>
      <c r="M169" s="46">
        <v>0</v>
      </c>
      <c r="N169" s="51">
        <v>60.148428868566519</v>
      </c>
      <c r="O169" s="63">
        <v>5.7767622563298669E-2</v>
      </c>
      <c r="P169" s="63">
        <v>8.8322179330618658E-2</v>
      </c>
    </row>
    <row r="170" spans="1:16" s="15" customFormat="1" thickBot="1" x14ac:dyDescent="0.25">
      <c r="A170" s="17">
        <v>1304195000</v>
      </c>
      <c r="B170" s="18" t="s">
        <v>369</v>
      </c>
      <c r="C170" s="18" t="s">
        <v>370</v>
      </c>
      <c r="D170" s="18"/>
      <c r="E170" s="18">
        <v>169</v>
      </c>
      <c r="F170" s="69">
        <v>4280.7551673260559</v>
      </c>
      <c r="G170" s="70">
        <v>398.8216437222431</v>
      </c>
      <c r="H170" s="19">
        <v>1.1599999999999999</v>
      </c>
      <c r="I170" s="19" t="s">
        <v>13</v>
      </c>
      <c r="J170" s="21">
        <v>1</v>
      </c>
      <c r="K170" s="14" t="s">
        <v>832</v>
      </c>
      <c r="L170" s="13"/>
      <c r="M170" s="46" t="s">
        <v>770</v>
      </c>
      <c r="N170" s="51">
        <v>153.21092676363369</v>
      </c>
      <c r="O170" s="63">
        <v>0.4840477669870325</v>
      </c>
      <c r="P170" s="63">
        <v>0.66645155992821581</v>
      </c>
    </row>
    <row r="171" spans="1:16" s="15" customFormat="1" thickBot="1" x14ac:dyDescent="0.25">
      <c r="A171" s="17">
        <v>1307130000</v>
      </c>
      <c r="B171" s="18" t="s">
        <v>371</v>
      </c>
      <c r="C171" s="18" t="s">
        <v>341</v>
      </c>
      <c r="D171" s="18"/>
      <c r="E171" s="18">
        <v>174</v>
      </c>
      <c r="F171" s="69">
        <v>124.55837726237468</v>
      </c>
      <c r="G171" s="70">
        <v>47.351048846071059</v>
      </c>
      <c r="H171" s="19">
        <v>1.02</v>
      </c>
      <c r="I171" s="19" t="s">
        <v>13</v>
      </c>
      <c r="J171" s="21">
        <v>1</v>
      </c>
      <c r="K171" s="14" t="s">
        <v>832</v>
      </c>
      <c r="L171" s="13"/>
      <c r="M171" s="46" t="s">
        <v>756</v>
      </c>
      <c r="N171" s="51">
        <v>111.69484626170296</v>
      </c>
      <c r="O171" s="63">
        <v>1.4227988922536487E-2</v>
      </c>
      <c r="P171" s="63">
        <v>3.2092731441489053E-2</v>
      </c>
    </row>
    <row r="172" spans="1:16" s="15" customFormat="1" thickBot="1" x14ac:dyDescent="0.25">
      <c r="A172" s="17">
        <v>1307131000</v>
      </c>
      <c r="B172" s="18" t="s">
        <v>372</v>
      </c>
      <c r="C172" s="18" t="s">
        <v>352</v>
      </c>
      <c r="D172" s="18"/>
      <c r="E172" s="18">
        <v>813</v>
      </c>
      <c r="F172" s="69">
        <v>810.99314570301908</v>
      </c>
      <c r="G172" s="70">
        <v>308.3002275721874</v>
      </c>
      <c r="H172" s="25">
        <v>6.6411671924290197</v>
      </c>
      <c r="I172" s="25" t="s">
        <v>19</v>
      </c>
      <c r="J172" s="21">
        <v>1</v>
      </c>
      <c r="K172" s="14" t="s">
        <v>831</v>
      </c>
      <c r="L172" s="13" t="s">
        <v>836</v>
      </c>
      <c r="M172" s="46">
        <v>0</v>
      </c>
      <c r="N172" s="51">
        <v>111.69484626170296</v>
      </c>
      <c r="O172" s="63">
        <v>1.4227988922536487E-2</v>
      </c>
      <c r="P172" s="63">
        <v>3.2092731441489053E-2</v>
      </c>
    </row>
    <row r="173" spans="1:16" s="15" customFormat="1" thickBot="1" x14ac:dyDescent="0.25">
      <c r="A173" s="17">
        <v>1307132000</v>
      </c>
      <c r="B173" s="18" t="s">
        <v>373</v>
      </c>
      <c r="C173" s="18" t="s">
        <v>23</v>
      </c>
      <c r="D173" s="18"/>
      <c r="E173" s="18">
        <v>7477</v>
      </c>
      <c r="F173" s="69">
        <v>158.75087298145792</v>
      </c>
      <c r="G173" s="70">
        <v>60.349375980286645</v>
      </c>
      <c r="H173" s="19">
        <v>1.3</v>
      </c>
      <c r="I173" s="19" t="s">
        <v>13</v>
      </c>
      <c r="J173" s="21">
        <v>1</v>
      </c>
      <c r="K173" s="14" t="s">
        <v>831</v>
      </c>
      <c r="L173" s="13" t="s">
        <v>836</v>
      </c>
      <c r="M173" s="46">
        <v>0</v>
      </c>
      <c r="N173" s="51">
        <v>111.69484626170296</v>
      </c>
      <c r="O173" s="63">
        <v>1.4227988922536487E-2</v>
      </c>
      <c r="P173" s="63">
        <v>3.2092731441489053E-2</v>
      </c>
    </row>
    <row r="174" spans="1:16" s="15" customFormat="1" thickBot="1" x14ac:dyDescent="0.25">
      <c r="A174" s="17">
        <v>1307359000</v>
      </c>
      <c r="B174" s="18" t="s">
        <v>374</v>
      </c>
      <c r="C174" s="18" t="s">
        <v>375</v>
      </c>
      <c r="D174" s="18"/>
      <c r="E174" s="18">
        <v>12636</v>
      </c>
      <c r="F174" s="69">
        <v>1052.553264052154</v>
      </c>
      <c r="G174" s="70">
        <v>79.642536539761707</v>
      </c>
      <c r="H174" s="19">
        <v>1.06</v>
      </c>
      <c r="I174" s="19" t="s">
        <v>13</v>
      </c>
      <c r="J174" s="21">
        <v>1</v>
      </c>
      <c r="K174" s="14" t="s">
        <v>832</v>
      </c>
      <c r="L174" s="13"/>
      <c r="M174" s="46" t="s">
        <v>806</v>
      </c>
      <c r="N174" s="51">
        <v>48.889034918447202</v>
      </c>
      <c r="O174" s="63">
        <v>7.5613668451771185E-2</v>
      </c>
      <c r="P174" s="63">
        <v>6.343310234620049E-2</v>
      </c>
    </row>
    <row r="175" spans="1:16" s="15" customFormat="1" thickBot="1" x14ac:dyDescent="0.25">
      <c r="A175" s="17">
        <v>1307360000</v>
      </c>
      <c r="B175" s="18" t="s">
        <v>376</v>
      </c>
      <c r="C175" s="18" t="s">
        <v>23</v>
      </c>
      <c r="D175" s="18"/>
      <c r="E175" s="18">
        <v>9565</v>
      </c>
      <c r="F175" s="69">
        <v>1290.86721063</v>
      </c>
      <c r="G175" s="70">
        <v>97.674808963858695</v>
      </c>
      <c r="H175" s="19">
        <v>1.3</v>
      </c>
      <c r="I175" s="25" t="s">
        <v>13</v>
      </c>
      <c r="J175" s="21">
        <v>1</v>
      </c>
      <c r="K175" s="14" t="s">
        <v>831</v>
      </c>
      <c r="L175" s="13" t="s">
        <v>377</v>
      </c>
      <c r="M175" s="46">
        <v>0</v>
      </c>
      <c r="N175" s="51">
        <v>48.889034918447202</v>
      </c>
      <c r="O175" s="63">
        <v>7.5613668451771185E-2</v>
      </c>
      <c r="P175" s="63">
        <v>6.343310234620049E-2</v>
      </c>
    </row>
    <row r="176" spans="1:16" s="15" customFormat="1" thickBot="1" x14ac:dyDescent="0.25">
      <c r="A176" s="17">
        <v>1400003000</v>
      </c>
      <c r="B176" s="18" t="s">
        <v>378</v>
      </c>
      <c r="C176" s="18" t="s">
        <v>379</v>
      </c>
      <c r="D176" s="18"/>
      <c r="E176" s="18">
        <v>6948</v>
      </c>
      <c r="F176" s="69">
        <v>38741.820734781169</v>
      </c>
      <c r="G176" s="70">
        <v>5211.6399751260224</v>
      </c>
      <c r="H176" s="20">
        <v>1.67</v>
      </c>
      <c r="I176" s="19" t="s">
        <v>867</v>
      </c>
      <c r="J176" s="21">
        <v>1</v>
      </c>
      <c r="K176" s="14" t="s">
        <v>832</v>
      </c>
      <c r="L176" s="13"/>
      <c r="M176" s="46" t="s">
        <v>733</v>
      </c>
      <c r="N176" s="51">
        <v>676.28522120082107</v>
      </c>
      <c r="O176" s="63">
        <v>4.7598323672456901E-2</v>
      </c>
      <c r="P176" s="63">
        <v>7.5765463154724419E-2</v>
      </c>
    </row>
    <row r="177" spans="1:16" s="15" customFormat="1" thickBot="1" x14ac:dyDescent="0.25">
      <c r="A177" s="17">
        <v>1400004000</v>
      </c>
      <c r="B177" s="18" t="s">
        <v>381</v>
      </c>
      <c r="C177" s="18" t="s">
        <v>155</v>
      </c>
      <c r="D177" s="18"/>
      <c r="E177" s="18">
        <v>51</v>
      </c>
      <c r="F177" s="69">
        <v>38741.820734781169</v>
      </c>
      <c r="G177" s="70">
        <v>5211.6399751260224</v>
      </c>
      <c r="H177" s="20">
        <v>1.67</v>
      </c>
      <c r="I177" s="19" t="s">
        <v>867</v>
      </c>
      <c r="J177" s="21">
        <v>1</v>
      </c>
      <c r="K177" s="14" t="s">
        <v>831</v>
      </c>
      <c r="L177" s="49" t="s">
        <v>382</v>
      </c>
      <c r="M177" s="46">
        <v>0</v>
      </c>
      <c r="N177" s="51">
        <v>676.28522120082107</v>
      </c>
      <c r="O177" s="63">
        <v>4.7598323672456901E-2</v>
      </c>
      <c r="P177" s="63">
        <v>7.5765463154724419E-2</v>
      </c>
    </row>
    <row r="178" spans="1:16" s="15" customFormat="1" thickBot="1" x14ac:dyDescent="0.25">
      <c r="A178" s="17">
        <v>1400059000</v>
      </c>
      <c r="B178" s="18" t="s">
        <v>383</v>
      </c>
      <c r="C178" s="18" t="s">
        <v>379</v>
      </c>
      <c r="D178" s="18"/>
      <c r="E178" s="18">
        <v>64</v>
      </c>
      <c r="F178" s="69">
        <v>30067.936125053333</v>
      </c>
      <c r="G178" s="70">
        <v>4624.822316052142</v>
      </c>
      <c r="H178" s="56">
        <v>2</v>
      </c>
      <c r="I178" s="19" t="s">
        <v>867</v>
      </c>
      <c r="J178" s="21">
        <v>1</v>
      </c>
      <c r="K178" s="14" t="s">
        <v>831</v>
      </c>
      <c r="L178" s="13" t="s">
        <v>380</v>
      </c>
      <c r="M178" s="46">
        <v>0</v>
      </c>
      <c r="N178" s="51">
        <v>1927.8230473029967</v>
      </c>
      <c r="O178" s="63">
        <v>0.47203564928330305</v>
      </c>
      <c r="P178" s="63">
        <v>0.54488322363182451</v>
      </c>
    </row>
    <row r="179" spans="1:16" s="15" customFormat="1" thickBot="1" x14ac:dyDescent="0.25">
      <c r="A179" s="17">
        <v>1400068000</v>
      </c>
      <c r="B179" s="18" t="s">
        <v>384</v>
      </c>
      <c r="C179" s="18" t="s">
        <v>379</v>
      </c>
      <c r="D179" s="18"/>
      <c r="E179" s="18">
        <v>9</v>
      </c>
      <c r="F179" s="69">
        <v>37584.920156316664</v>
      </c>
      <c r="G179" s="70">
        <v>5781.0278950651773</v>
      </c>
      <c r="H179" s="19">
        <v>2.5</v>
      </c>
      <c r="I179" s="19" t="s">
        <v>867</v>
      </c>
      <c r="J179" s="21">
        <v>1</v>
      </c>
      <c r="K179" s="14" t="s">
        <v>831</v>
      </c>
      <c r="L179" s="13" t="s">
        <v>380</v>
      </c>
      <c r="M179" s="46">
        <v>0</v>
      </c>
      <c r="N179" s="51">
        <v>1927.8230473029967</v>
      </c>
      <c r="O179" s="63">
        <v>0.47203564928330305</v>
      </c>
      <c r="P179" s="63">
        <v>0.54488322363182451</v>
      </c>
    </row>
    <row r="180" spans="1:16" s="15" customFormat="1" thickBot="1" x14ac:dyDescent="0.25">
      <c r="A180" s="17">
        <v>1400081000</v>
      </c>
      <c r="B180" s="18" t="s">
        <v>385</v>
      </c>
      <c r="C180" s="18" t="s">
        <v>379</v>
      </c>
      <c r="D180" s="18"/>
      <c r="E180" s="18">
        <v>2217</v>
      </c>
      <c r="F180" s="69">
        <v>60389.223464933675</v>
      </c>
      <c r="G180" s="70">
        <v>13801.366369570193</v>
      </c>
      <c r="H180" s="19">
        <v>4.55</v>
      </c>
      <c r="I180" s="19" t="s">
        <v>867</v>
      </c>
      <c r="J180" s="21">
        <v>1</v>
      </c>
      <c r="K180" s="14" t="s">
        <v>832</v>
      </c>
      <c r="L180" s="13"/>
      <c r="M180" s="46" t="s">
        <v>746</v>
      </c>
      <c r="N180" s="51">
        <v>7036.9860447875108</v>
      </c>
      <c r="O180" s="63">
        <v>1</v>
      </c>
      <c r="P180" s="63">
        <v>1</v>
      </c>
    </row>
    <row r="181" spans="1:16" s="15" customFormat="1" thickBot="1" x14ac:dyDescent="0.25">
      <c r="A181" s="17">
        <v>1400092000</v>
      </c>
      <c r="B181" s="18" t="s">
        <v>386</v>
      </c>
      <c r="C181" s="18" t="s">
        <v>387</v>
      </c>
      <c r="D181" s="18"/>
      <c r="E181" s="18">
        <v>10</v>
      </c>
      <c r="F181" s="69">
        <v>9234.5612563294435</v>
      </c>
      <c r="G181" s="70">
        <v>880.28775156786844</v>
      </c>
      <c r="H181" s="19">
        <v>1.24</v>
      </c>
      <c r="I181" s="25" t="s">
        <v>13</v>
      </c>
      <c r="J181" s="21">
        <v>1</v>
      </c>
      <c r="K181" s="45" t="s">
        <v>832</v>
      </c>
      <c r="L181" s="13"/>
      <c r="M181" s="46" t="s">
        <v>749</v>
      </c>
      <c r="N181" s="51">
        <v>770.17719702625152</v>
      </c>
      <c r="O181" s="63">
        <v>1</v>
      </c>
      <c r="P181" s="63">
        <v>1</v>
      </c>
    </row>
    <row r="182" spans="1:16" s="15" customFormat="1" thickBot="1" x14ac:dyDescent="0.25">
      <c r="A182" s="17">
        <v>1400111000</v>
      </c>
      <c r="B182" s="18" t="s">
        <v>388</v>
      </c>
      <c r="C182" s="18" t="s">
        <v>389</v>
      </c>
      <c r="D182" s="18" t="s">
        <v>390</v>
      </c>
      <c r="E182" s="18">
        <v>98</v>
      </c>
      <c r="F182" s="69">
        <v>5019.2675309146498</v>
      </c>
      <c r="G182" s="70">
        <v>925.46014712703993</v>
      </c>
      <c r="H182" s="19">
        <v>1.92</v>
      </c>
      <c r="I182" s="25" t="s">
        <v>19</v>
      </c>
      <c r="J182" s="21">
        <v>1</v>
      </c>
      <c r="K182" s="14" t="s">
        <v>832</v>
      </c>
      <c r="L182" s="13"/>
      <c r="M182" s="46" t="s">
        <v>754</v>
      </c>
      <c r="N182" s="51">
        <v>2476.7056599562829</v>
      </c>
      <c r="O182" s="63">
        <v>1</v>
      </c>
      <c r="P182" s="63">
        <v>1</v>
      </c>
    </row>
    <row r="183" spans="1:16" s="15" customFormat="1" thickBot="1" x14ac:dyDescent="0.25">
      <c r="A183" s="17">
        <v>1400112000</v>
      </c>
      <c r="B183" s="18" t="s">
        <v>391</v>
      </c>
      <c r="C183" s="18" t="s">
        <v>392</v>
      </c>
      <c r="D183" s="18"/>
      <c r="E183" s="18">
        <v>2027</v>
      </c>
      <c r="F183" s="69">
        <v>4783.5800487596789</v>
      </c>
      <c r="G183" s="70">
        <v>882.00373230800483</v>
      </c>
      <c r="H183" s="25">
        <v>1.8298434257687231</v>
      </c>
      <c r="I183" s="25" t="s">
        <v>19</v>
      </c>
      <c r="J183" s="21">
        <v>1</v>
      </c>
      <c r="K183" s="14" t="s">
        <v>831</v>
      </c>
      <c r="L183" s="13" t="s">
        <v>393</v>
      </c>
      <c r="M183" s="46">
        <v>0</v>
      </c>
      <c r="N183" s="51">
        <v>2476.7056599562829</v>
      </c>
      <c r="O183" s="63">
        <v>1</v>
      </c>
      <c r="P183" s="63">
        <v>1</v>
      </c>
    </row>
    <row r="184" spans="1:16" s="15" customFormat="1" thickBot="1" x14ac:dyDescent="0.25">
      <c r="A184" s="17">
        <v>1400113000</v>
      </c>
      <c r="B184" s="18" t="s">
        <v>394</v>
      </c>
      <c r="C184" s="18" t="s">
        <v>395</v>
      </c>
      <c r="D184" s="18"/>
      <c r="E184" s="18">
        <v>119</v>
      </c>
      <c r="F184" s="69">
        <v>2614.2018390180469</v>
      </c>
      <c r="G184" s="70">
        <v>482.01049329533333</v>
      </c>
      <c r="H184" s="19">
        <v>1</v>
      </c>
      <c r="I184" s="25" t="s">
        <v>26</v>
      </c>
      <c r="J184" s="21">
        <v>1</v>
      </c>
      <c r="K184" s="14" t="s">
        <v>832</v>
      </c>
      <c r="L184" s="49"/>
      <c r="M184" s="46" t="s">
        <v>754</v>
      </c>
      <c r="N184" s="51">
        <v>2476.7056599562829</v>
      </c>
      <c r="O184" s="63">
        <v>1</v>
      </c>
      <c r="P184" s="63">
        <v>1</v>
      </c>
    </row>
    <row r="185" spans="1:16" s="15" customFormat="1" thickBot="1" x14ac:dyDescent="0.25">
      <c r="A185" s="17">
        <v>1400114000</v>
      </c>
      <c r="B185" s="18" t="s">
        <v>396</v>
      </c>
      <c r="C185" s="18" t="s">
        <v>155</v>
      </c>
      <c r="D185" s="18"/>
      <c r="E185" s="18">
        <v>11877</v>
      </c>
      <c r="F185" s="69">
        <v>5019.2675309146498</v>
      </c>
      <c r="G185" s="70">
        <v>925.46014712703993</v>
      </c>
      <c r="H185" s="19">
        <v>1.92</v>
      </c>
      <c r="I185" s="25" t="s">
        <v>13</v>
      </c>
      <c r="J185" s="21">
        <v>2</v>
      </c>
      <c r="K185" s="14" t="s">
        <v>831</v>
      </c>
      <c r="L185" s="49" t="s">
        <v>393</v>
      </c>
      <c r="M185" s="46">
        <v>0</v>
      </c>
      <c r="N185" s="51">
        <v>2476.7056599562829</v>
      </c>
      <c r="O185" s="63">
        <v>1</v>
      </c>
      <c r="P185" s="63">
        <v>1</v>
      </c>
    </row>
    <row r="186" spans="1:16" s="15" customFormat="1" thickBot="1" x14ac:dyDescent="0.25">
      <c r="A186" s="17">
        <v>1400155000</v>
      </c>
      <c r="B186" s="18" t="s">
        <v>397</v>
      </c>
      <c r="C186" s="18" t="s">
        <v>379</v>
      </c>
      <c r="D186" s="18" t="s">
        <v>398</v>
      </c>
      <c r="E186" s="18">
        <v>1707</v>
      </c>
      <c r="F186" s="69">
        <v>12170.200213705739</v>
      </c>
      <c r="G186" s="70">
        <v>3579.6861654450872</v>
      </c>
      <c r="H186" s="19">
        <v>2.5</v>
      </c>
      <c r="I186" s="19" t="s">
        <v>867</v>
      </c>
      <c r="J186" s="21">
        <v>1</v>
      </c>
      <c r="K186" s="14" t="s">
        <v>832</v>
      </c>
      <c r="L186" s="49" t="s">
        <v>380</v>
      </c>
      <c r="M186" s="46" t="s">
        <v>769</v>
      </c>
      <c r="N186" s="51">
        <v>1395.1041874789053</v>
      </c>
      <c r="O186" s="63">
        <v>0.25201840877444798</v>
      </c>
      <c r="P186" s="63">
        <v>0.73169569474270513</v>
      </c>
    </row>
    <row r="187" spans="1:16" s="15" customFormat="1" thickBot="1" x14ac:dyDescent="0.25">
      <c r="A187" s="17">
        <v>1400213000</v>
      </c>
      <c r="B187" s="18" t="s">
        <v>399</v>
      </c>
      <c r="C187" s="18" t="s">
        <v>379</v>
      </c>
      <c r="D187" s="18"/>
      <c r="E187" s="18">
        <v>11</v>
      </c>
      <c r="F187" s="69">
        <v>39539.336004445133</v>
      </c>
      <c r="G187" s="70">
        <v>6081.6413456085666</v>
      </c>
      <c r="H187" s="19">
        <v>2.63</v>
      </c>
      <c r="I187" s="19" t="s">
        <v>867</v>
      </c>
      <c r="J187" s="21">
        <v>1</v>
      </c>
      <c r="K187" s="14" t="s">
        <v>831</v>
      </c>
      <c r="L187" s="49" t="s">
        <v>380</v>
      </c>
      <c r="M187" s="46">
        <v>0</v>
      </c>
      <c r="N187" s="51">
        <v>1927.8230473029967</v>
      </c>
      <c r="O187" s="63">
        <v>0.47203564928330305</v>
      </c>
      <c r="P187" s="63">
        <v>0.54488322363182451</v>
      </c>
    </row>
    <row r="188" spans="1:16" s="15" customFormat="1" thickBot="1" x14ac:dyDescent="0.25">
      <c r="A188" s="17">
        <v>1400269000</v>
      </c>
      <c r="B188" s="18" t="s">
        <v>400</v>
      </c>
      <c r="C188" s="18" t="s">
        <v>379</v>
      </c>
      <c r="D188" s="18"/>
      <c r="E188" s="18">
        <v>2361</v>
      </c>
      <c r="F188" s="69">
        <v>30067.936125053333</v>
      </c>
      <c r="G188" s="70">
        <v>4624.822316052142</v>
      </c>
      <c r="H188" s="19">
        <v>2</v>
      </c>
      <c r="I188" s="19" t="s">
        <v>867</v>
      </c>
      <c r="J188" s="21">
        <v>1</v>
      </c>
      <c r="K188" s="14" t="s">
        <v>831</v>
      </c>
      <c r="L188" s="49" t="s">
        <v>380</v>
      </c>
      <c r="M188" s="46">
        <v>0</v>
      </c>
      <c r="N188" s="51">
        <v>1927.8230473029967</v>
      </c>
      <c r="O188" s="63">
        <v>0.47203564928330305</v>
      </c>
      <c r="P188" s="63">
        <v>0.54488322363182451</v>
      </c>
    </row>
    <row r="189" spans="1:16" s="15" customFormat="1" thickBot="1" x14ac:dyDescent="0.25">
      <c r="A189" s="17">
        <v>1400278000</v>
      </c>
      <c r="B189" s="18" t="s">
        <v>401</v>
      </c>
      <c r="C189" s="18" t="s">
        <v>379</v>
      </c>
      <c r="D189" s="18" t="s">
        <v>402</v>
      </c>
      <c r="E189" s="18">
        <v>65</v>
      </c>
      <c r="F189" s="69">
        <v>15033.968062526666</v>
      </c>
      <c r="G189" s="70">
        <v>2312.411158026071</v>
      </c>
      <c r="H189" s="19">
        <v>1</v>
      </c>
      <c r="I189" s="25" t="s">
        <v>13</v>
      </c>
      <c r="J189" s="21">
        <v>1</v>
      </c>
      <c r="K189" s="14" t="s">
        <v>831</v>
      </c>
      <c r="L189" s="49" t="s">
        <v>380</v>
      </c>
      <c r="M189" s="46">
        <v>0</v>
      </c>
      <c r="N189" s="51">
        <v>1927.8230473029967</v>
      </c>
      <c r="O189" s="63">
        <v>0.47203564928330305</v>
      </c>
      <c r="P189" s="63">
        <v>0.54488322363182451</v>
      </c>
    </row>
    <row r="190" spans="1:16" s="15" customFormat="1" thickBot="1" x14ac:dyDescent="0.25">
      <c r="A190" s="17">
        <v>1400282000</v>
      </c>
      <c r="B190" s="18" t="s">
        <v>403</v>
      </c>
      <c r="C190" s="18" t="s">
        <v>379</v>
      </c>
      <c r="D190" s="18"/>
      <c r="E190" s="18">
        <v>155</v>
      </c>
      <c r="F190" s="69">
        <v>64362.696765046268</v>
      </c>
      <c r="G190" s="70">
        <v>8978.8457907024804</v>
      </c>
      <c r="H190" s="19">
        <v>2.33</v>
      </c>
      <c r="I190" s="19" t="s">
        <v>867</v>
      </c>
      <c r="J190" s="21">
        <v>1</v>
      </c>
      <c r="K190" s="14" t="s">
        <v>832</v>
      </c>
      <c r="L190" s="49"/>
      <c r="M190" s="46" t="s">
        <v>792</v>
      </c>
      <c r="N190" s="51">
        <v>450.75770097045552</v>
      </c>
      <c r="O190" s="63">
        <v>4.3442799640816387E-3</v>
      </c>
      <c r="P190" s="63">
        <v>6.309883374098756E-3</v>
      </c>
    </row>
    <row r="191" spans="1:16" s="15" customFormat="1" thickBot="1" x14ac:dyDescent="0.25">
      <c r="A191" s="17">
        <v>1400391000</v>
      </c>
      <c r="B191" s="18" t="s">
        <v>404</v>
      </c>
      <c r="C191" s="18" t="s">
        <v>379</v>
      </c>
      <c r="D191" s="18"/>
      <c r="E191" s="18">
        <v>3274</v>
      </c>
      <c r="F191" s="69">
        <v>65534.352077152711</v>
      </c>
      <c r="G191" s="70">
        <v>8888.7298779241682</v>
      </c>
      <c r="H191" s="19">
        <v>2.5</v>
      </c>
      <c r="I191" s="19" t="s">
        <v>867</v>
      </c>
      <c r="J191" s="21">
        <v>1</v>
      </c>
      <c r="K191" s="45" t="s">
        <v>832</v>
      </c>
      <c r="L191" s="49"/>
      <c r="M191" s="46" t="s">
        <v>817</v>
      </c>
      <c r="N191" s="51">
        <v>688.74531970075009</v>
      </c>
      <c r="O191" s="63">
        <v>2.8853257213466124E-4</v>
      </c>
      <c r="P191" s="63">
        <v>4.1152415124382874E-4</v>
      </c>
    </row>
    <row r="192" spans="1:16" s="15" customFormat="1" thickBot="1" x14ac:dyDescent="0.25">
      <c r="A192" s="17">
        <v>1500025000</v>
      </c>
      <c r="B192" s="18" t="s">
        <v>405</v>
      </c>
      <c r="C192" s="18" t="s">
        <v>406</v>
      </c>
      <c r="D192" s="18"/>
      <c r="E192" s="18">
        <v>729</v>
      </c>
      <c r="F192" s="69">
        <v>1374.14927165534</v>
      </c>
      <c r="G192" s="70">
        <v>174.31374308331871</v>
      </c>
      <c r="H192" s="25">
        <v>1</v>
      </c>
      <c r="I192" s="25" t="s">
        <v>57</v>
      </c>
      <c r="J192" s="21">
        <v>1</v>
      </c>
      <c r="K192" s="14" t="s">
        <v>832</v>
      </c>
      <c r="L192" s="49"/>
      <c r="M192" s="46" t="s">
        <v>739</v>
      </c>
      <c r="N192" s="51">
        <v>320.5689220465498</v>
      </c>
      <c r="O192" s="63">
        <v>2.8315809122962905E-2</v>
      </c>
      <c r="P192" s="63">
        <v>2.1297928015970538E-2</v>
      </c>
    </row>
    <row r="193" spans="1:16" s="15" customFormat="1" thickBot="1" x14ac:dyDescent="0.25">
      <c r="A193" s="17">
        <v>1500026000</v>
      </c>
      <c r="B193" s="18" t="s">
        <v>408</v>
      </c>
      <c r="C193" s="18" t="s">
        <v>40</v>
      </c>
      <c r="D193" s="18" t="s">
        <v>409</v>
      </c>
      <c r="E193" s="18">
        <v>19689</v>
      </c>
      <c r="F193" s="69">
        <v>1374.14927165534</v>
      </c>
      <c r="G193" s="70">
        <v>174.31374308331871</v>
      </c>
      <c r="H193" s="25">
        <v>1</v>
      </c>
      <c r="I193" s="25" t="s">
        <v>57</v>
      </c>
      <c r="J193" s="21">
        <v>2</v>
      </c>
      <c r="K193" s="14" t="s">
        <v>831</v>
      </c>
      <c r="L193" s="49" t="s">
        <v>853</v>
      </c>
      <c r="M193" s="46">
        <v>0</v>
      </c>
      <c r="N193" s="51">
        <v>320.5689220465498</v>
      </c>
      <c r="O193" s="63">
        <v>2.8315809122962905E-2</v>
      </c>
      <c r="P193" s="63">
        <v>2.1297928015970538E-2</v>
      </c>
    </row>
    <row r="194" spans="1:16" s="15" customFormat="1" thickBot="1" x14ac:dyDescent="0.25">
      <c r="A194" s="17">
        <v>1500027000</v>
      </c>
      <c r="B194" s="18" t="s">
        <v>411</v>
      </c>
      <c r="C194" s="18" t="s">
        <v>412</v>
      </c>
      <c r="D194" s="18"/>
      <c r="E194" s="18">
        <v>84</v>
      </c>
      <c r="F194" s="69">
        <v>1374.14927165534</v>
      </c>
      <c r="G194" s="70">
        <v>174.31374308331871</v>
      </c>
      <c r="H194" s="20">
        <v>1</v>
      </c>
      <c r="I194" s="25" t="s">
        <v>26</v>
      </c>
      <c r="J194" s="21">
        <v>1</v>
      </c>
      <c r="K194" s="14" t="s">
        <v>831</v>
      </c>
      <c r="L194" s="49" t="s">
        <v>853</v>
      </c>
      <c r="M194" s="46">
        <v>0</v>
      </c>
      <c r="N194" s="51">
        <v>320.5689220465498</v>
      </c>
      <c r="O194" s="63">
        <v>2.8315809122962905E-2</v>
      </c>
      <c r="P194" s="63">
        <v>2.1297928015970538E-2</v>
      </c>
    </row>
    <row r="195" spans="1:16" s="15" customFormat="1" thickBot="1" x14ac:dyDescent="0.25">
      <c r="A195" s="17">
        <v>1500065000</v>
      </c>
      <c r="B195" s="18" t="s">
        <v>413</v>
      </c>
      <c r="C195" s="18" t="s">
        <v>414</v>
      </c>
      <c r="D195" s="18"/>
      <c r="E195" s="18">
        <v>277</v>
      </c>
      <c r="F195" s="69">
        <v>974.26072272825695</v>
      </c>
      <c r="G195" s="70">
        <v>724.26892388382305</v>
      </c>
      <c r="H195" s="19">
        <v>1</v>
      </c>
      <c r="I195" s="25" t="s">
        <v>26</v>
      </c>
      <c r="J195" s="21">
        <v>1</v>
      </c>
      <c r="K195" s="14" t="s">
        <v>832</v>
      </c>
      <c r="L195" s="49"/>
      <c r="M195" s="46" t="s">
        <v>413</v>
      </c>
      <c r="N195" s="51">
        <v>2694.3471301565073</v>
      </c>
      <c r="O195" s="63">
        <v>0</v>
      </c>
      <c r="P195" s="63">
        <v>0</v>
      </c>
    </row>
    <row r="196" spans="1:16" s="15" customFormat="1" thickBot="1" x14ac:dyDescent="0.25">
      <c r="A196" s="17">
        <v>1500120000</v>
      </c>
      <c r="B196" s="18" t="s">
        <v>415</v>
      </c>
      <c r="C196" s="18" t="s">
        <v>416</v>
      </c>
      <c r="D196" s="18"/>
      <c r="E196" s="18">
        <v>16081</v>
      </c>
      <c r="F196" s="69">
        <v>253.36852590110749</v>
      </c>
      <c r="G196" s="70">
        <v>86.628133225592094</v>
      </c>
      <c r="H196" s="25">
        <v>1</v>
      </c>
      <c r="I196" s="25" t="s">
        <v>57</v>
      </c>
      <c r="J196" s="21">
        <v>2</v>
      </c>
      <c r="K196" s="14" t="s">
        <v>831</v>
      </c>
      <c r="L196" s="49" t="s">
        <v>420</v>
      </c>
      <c r="M196" s="46" t="s">
        <v>775</v>
      </c>
      <c r="N196" s="51">
        <v>336.79843380531236</v>
      </c>
      <c r="O196" s="63">
        <v>3.7660156755563246E-3</v>
      </c>
      <c r="P196" s="63">
        <v>1.0797278559043411E-2</v>
      </c>
    </row>
    <row r="197" spans="1:16" s="15" customFormat="1" thickBot="1" x14ac:dyDescent="0.25">
      <c r="A197" s="17">
        <v>1500121000</v>
      </c>
      <c r="B197" s="18" t="s">
        <v>417</v>
      </c>
      <c r="C197" s="18" t="s">
        <v>418</v>
      </c>
      <c r="D197" s="18" t="s">
        <v>419</v>
      </c>
      <c r="E197" s="18">
        <v>12427</v>
      </c>
      <c r="F197" s="69">
        <v>253.36852590110749</v>
      </c>
      <c r="G197" s="70">
        <v>86.628133225592094</v>
      </c>
      <c r="H197" s="25">
        <v>1</v>
      </c>
      <c r="I197" s="25" t="s">
        <v>57</v>
      </c>
      <c r="J197" s="21">
        <v>2</v>
      </c>
      <c r="K197" s="14" t="s">
        <v>831</v>
      </c>
      <c r="L197" s="49" t="s">
        <v>420</v>
      </c>
      <c r="M197" s="46" t="s">
        <v>775</v>
      </c>
      <c r="N197" s="51">
        <v>336.79843380531236</v>
      </c>
      <c r="O197" s="63">
        <v>3.7660156755563246E-3</v>
      </c>
      <c r="P197" s="63">
        <v>1.0797278559043411E-2</v>
      </c>
    </row>
    <row r="198" spans="1:16" s="15" customFormat="1" thickBot="1" x14ac:dyDescent="0.25">
      <c r="A198" s="17">
        <v>1500122000</v>
      </c>
      <c r="B198" s="18" t="s">
        <v>421</v>
      </c>
      <c r="C198" s="18" t="s">
        <v>412</v>
      </c>
      <c r="D198" s="18"/>
      <c r="E198" s="18">
        <v>555</v>
      </c>
      <c r="F198" s="69">
        <v>253.36852590110749</v>
      </c>
      <c r="G198" s="70">
        <v>86.628133225592094</v>
      </c>
      <c r="H198" s="19">
        <v>1</v>
      </c>
      <c r="I198" s="25" t="s">
        <v>26</v>
      </c>
      <c r="J198" s="21">
        <v>2</v>
      </c>
      <c r="K198" s="14" t="s">
        <v>831</v>
      </c>
      <c r="L198" s="49" t="s">
        <v>420</v>
      </c>
      <c r="M198" s="46">
        <v>0</v>
      </c>
      <c r="N198" s="51">
        <v>336.79843380531236</v>
      </c>
      <c r="O198" s="63">
        <v>3.7660156755563246E-3</v>
      </c>
      <c r="P198" s="63">
        <v>1.0797278559043411E-2</v>
      </c>
    </row>
    <row r="199" spans="1:16" s="15" customFormat="1" thickBot="1" x14ac:dyDescent="0.25">
      <c r="A199" s="17">
        <v>1500123000</v>
      </c>
      <c r="B199" s="18" t="s">
        <v>422</v>
      </c>
      <c r="C199" s="18" t="s">
        <v>423</v>
      </c>
      <c r="D199" s="18"/>
      <c r="E199" s="18">
        <v>34670</v>
      </c>
      <c r="F199" s="69">
        <v>253.36852590110749</v>
      </c>
      <c r="G199" s="70">
        <v>86.628133225592094</v>
      </c>
      <c r="H199" s="25">
        <v>1</v>
      </c>
      <c r="I199" s="25" t="s">
        <v>57</v>
      </c>
      <c r="J199" s="21">
        <v>2</v>
      </c>
      <c r="K199" s="14" t="s">
        <v>831</v>
      </c>
      <c r="L199" s="49" t="s">
        <v>420</v>
      </c>
      <c r="M199" s="46">
        <v>0</v>
      </c>
      <c r="N199" s="51">
        <v>336.79843380531236</v>
      </c>
      <c r="O199" s="63">
        <v>3.7660156755563246E-3</v>
      </c>
      <c r="P199" s="63">
        <v>1.0797278559043411E-2</v>
      </c>
    </row>
    <row r="200" spans="1:16" s="15" customFormat="1" thickBot="1" x14ac:dyDescent="0.25">
      <c r="A200" s="17">
        <v>1500124000</v>
      </c>
      <c r="B200" s="18" t="s">
        <v>424</v>
      </c>
      <c r="C200" s="18" t="s">
        <v>425</v>
      </c>
      <c r="D200" s="18"/>
      <c r="E200" s="18">
        <v>49699</v>
      </c>
      <c r="F200" s="69">
        <f>253.368525901107*H200</f>
        <v>192.56007968484133</v>
      </c>
      <c r="G200" s="70">
        <f>86.6281332255921*H200</f>
        <v>65.837381251449997</v>
      </c>
      <c r="H200" s="25">
        <v>0.76</v>
      </c>
      <c r="I200" s="25" t="s">
        <v>894</v>
      </c>
      <c r="J200" s="21">
        <v>2</v>
      </c>
      <c r="K200" s="14" t="s">
        <v>831</v>
      </c>
      <c r="L200" s="49" t="s">
        <v>420</v>
      </c>
      <c r="M200" s="46">
        <v>0</v>
      </c>
      <c r="N200" s="51">
        <v>336.79843380531236</v>
      </c>
      <c r="O200" s="63">
        <v>3.7660156755563246E-3</v>
      </c>
      <c r="P200" s="63">
        <v>1.0797278559043411E-2</v>
      </c>
    </row>
    <row r="201" spans="1:16" s="15" customFormat="1" thickBot="1" x14ac:dyDescent="0.25">
      <c r="A201" s="17">
        <v>1500125000</v>
      </c>
      <c r="B201" s="18" t="s">
        <v>426</v>
      </c>
      <c r="C201" s="18" t="s">
        <v>155</v>
      </c>
      <c r="D201" s="18"/>
      <c r="E201" s="18">
        <v>45585</v>
      </c>
      <c r="F201" s="69">
        <v>253.36852590110749</v>
      </c>
      <c r="G201" s="70">
        <v>86.628133225592094</v>
      </c>
      <c r="H201" s="25">
        <v>1</v>
      </c>
      <c r="I201" s="25" t="s">
        <v>57</v>
      </c>
      <c r="J201" s="21">
        <v>2</v>
      </c>
      <c r="K201" s="14" t="s">
        <v>831</v>
      </c>
      <c r="L201" s="49" t="s">
        <v>420</v>
      </c>
      <c r="M201" s="46">
        <v>0</v>
      </c>
      <c r="N201" s="51">
        <v>336.79843380531236</v>
      </c>
      <c r="O201" s="63">
        <v>3.7660156755563246E-3</v>
      </c>
      <c r="P201" s="63">
        <v>1.0797278559043411E-2</v>
      </c>
    </row>
    <row r="202" spans="1:16" s="15" customFormat="1" thickBot="1" x14ac:dyDescent="0.25">
      <c r="A202" s="17">
        <v>1500126000</v>
      </c>
      <c r="B202" s="18" t="s">
        <v>427</v>
      </c>
      <c r="C202" s="18" t="s">
        <v>428</v>
      </c>
      <c r="D202" s="18"/>
      <c r="E202" s="18">
        <v>3050</v>
      </c>
      <c r="F202" s="69">
        <v>1569.8180101921243</v>
      </c>
      <c r="G202" s="70">
        <v>390.31414982087028</v>
      </c>
      <c r="H202" s="20">
        <v>1</v>
      </c>
      <c r="I202" s="25" t="s">
        <v>13</v>
      </c>
      <c r="J202" s="21">
        <v>1</v>
      </c>
      <c r="K202" s="14" t="s">
        <v>831</v>
      </c>
      <c r="L202" s="13" t="s">
        <v>407</v>
      </c>
      <c r="M202" s="46">
        <v>0</v>
      </c>
      <c r="N202" s="51">
        <v>1805.6269440239741</v>
      </c>
      <c r="O202" s="63">
        <v>0.26584393959146679</v>
      </c>
      <c r="P202" s="63">
        <v>0.28644422503245387</v>
      </c>
    </row>
    <row r="203" spans="1:16" s="15" customFormat="1" thickBot="1" x14ac:dyDescent="0.25">
      <c r="A203" s="17">
        <v>1500127000</v>
      </c>
      <c r="B203" s="18" t="s">
        <v>429</v>
      </c>
      <c r="C203" s="18" t="s">
        <v>428</v>
      </c>
      <c r="D203" s="18"/>
      <c r="E203" s="18">
        <v>6356</v>
      </c>
      <c r="F203" s="69">
        <v>1106.0478096857482</v>
      </c>
      <c r="G203" s="70">
        <v>346.98429735667617</v>
      </c>
      <c r="H203" s="19">
        <v>2.78</v>
      </c>
      <c r="I203" s="19" t="s">
        <v>13</v>
      </c>
      <c r="J203" s="21">
        <v>1</v>
      </c>
      <c r="K203" s="14" t="s">
        <v>832</v>
      </c>
      <c r="L203" s="13"/>
      <c r="M203" s="46" t="s">
        <v>766</v>
      </c>
      <c r="N203" s="51">
        <v>172.91096786887277</v>
      </c>
      <c r="O203" s="63">
        <v>9.7764683052676358E-3</v>
      </c>
      <c r="P203" s="63">
        <v>3.3485932335001189E-2</v>
      </c>
    </row>
    <row r="204" spans="1:16" s="15" customFormat="1" thickBot="1" x14ac:dyDescent="0.25">
      <c r="A204" s="17">
        <v>1500226000</v>
      </c>
      <c r="B204" s="18" t="s">
        <v>430</v>
      </c>
      <c r="C204" s="18" t="s">
        <v>431</v>
      </c>
      <c r="D204" s="18"/>
      <c r="E204" s="18">
        <v>8</v>
      </c>
      <c r="F204" s="69">
        <v>4276.7440986627344</v>
      </c>
      <c r="G204" s="70">
        <v>950.7676044188911</v>
      </c>
      <c r="H204" s="19">
        <v>1</v>
      </c>
      <c r="I204" s="25" t="s">
        <v>26</v>
      </c>
      <c r="J204" s="21">
        <v>1</v>
      </c>
      <c r="K204" s="14" t="s">
        <v>832</v>
      </c>
      <c r="L204" s="13"/>
      <c r="M204" s="46" t="s">
        <v>779</v>
      </c>
      <c r="N204" s="51">
        <v>1155.8045425200401</v>
      </c>
      <c r="O204" s="63">
        <v>1.3690837100500364E-2</v>
      </c>
      <c r="P204" s="63">
        <v>2.6896758117563653E-2</v>
      </c>
    </row>
    <row r="205" spans="1:16" s="15" customFormat="1" thickBot="1" x14ac:dyDescent="0.25">
      <c r="A205" s="17">
        <v>1500231000</v>
      </c>
      <c r="B205" s="18" t="s">
        <v>432</v>
      </c>
      <c r="C205" s="18" t="s">
        <v>412</v>
      </c>
      <c r="D205" s="18"/>
      <c r="E205" s="18">
        <v>711</v>
      </c>
      <c r="F205" s="69">
        <v>408.61396276299121</v>
      </c>
      <c r="G205" s="70">
        <v>84.966389492885654</v>
      </c>
      <c r="H205" s="19">
        <v>1</v>
      </c>
      <c r="I205" s="25" t="s">
        <v>13</v>
      </c>
      <c r="J205" s="21">
        <v>2</v>
      </c>
      <c r="K205" s="47" t="s">
        <v>831</v>
      </c>
      <c r="L205" s="13" t="s">
        <v>839</v>
      </c>
      <c r="M205" s="46">
        <v>0</v>
      </c>
      <c r="N205" s="51">
        <v>492.75336115950097</v>
      </c>
      <c r="O205" s="63">
        <v>0.34890334242746723</v>
      </c>
      <c r="P205" s="63">
        <v>0.41997926843193256</v>
      </c>
    </row>
    <row r="206" spans="1:16" s="15" customFormat="1" thickBot="1" x14ac:dyDescent="0.25">
      <c r="A206" s="30">
        <v>1500232000</v>
      </c>
      <c r="B206" s="18" t="s">
        <v>433</v>
      </c>
      <c r="C206" s="18" t="s">
        <v>40</v>
      </c>
      <c r="D206" s="18"/>
      <c r="E206" s="18">
        <v>1147</v>
      </c>
      <c r="F206" s="69">
        <v>408.61396276299121</v>
      </c>
      <c r="G206" s="70">
        <v>84.966389492885654</v>
      </c>
      <c r="H206" s="19">
        <v>1</v>
      </c>
      <c r="I206" s="25" t="s">
        <v>13</v>
      </c>
      <c r="J206" s="21">
        <v>2</v>
      </c>
      <c r="K206" s="47" t="s">
        <v>831</v>
      </c>
      <c r="L206" s="13" t="s">
        <v>839</v>
      </c>
      <c r="M206" s="46">
        <v>0</v>
      </c>
      <c r="N206" s="51">
        <v>492.75336115950097</v>
      </c>
      <c r="O206" s="63">
        <v>0.34890334242746723</v>
      </c>
      <c r="P206" s="63">
        <v>0.41997926843193256</v>
      </c>
    </row>
    <row r="207" spans="1:16" s="15" customFormat="1" thickBot="1" x14ac:dyDescent="0.25">
      <c r="A207" s="17">
        <v>1500233000</v>
      </c>
      <c r="B207" s="18" t="s">
        <v>434</v>
      </c>
      <c r="C207" s="18" t="s">
        <v>435</v>
      </c>
      <c r="D207" s="18"/>
      <c r="E207" s="18">
        <v>13263</v>
      </c>
      <c r="F207" s="69">
        <v>408.61396276299121</v>
      </c>
      <c r="G207" s="70">
        <v>84.966389492885654</v>
      </c>
      <c r="H207" s="19">
        <v>1</v>
      </c>
      <c r="I207" s="25" t="s">
        <v>57</v>
      </c>
      <c r="J207" s="21">
        <v>1</v>
      </c>
      <c r="K207" s="14" t="s">
        <v>832</v>
      </c>
      <c r="L207" s="13"/>
      <c r="M207" s="46" t="s">
        <v>780</v>
      </c>
      <c r="N207" s="51">
        <v>492.75336115950097</v>
      </c>
      <c r="O207" s="63">
        <v>0.34890334242746723</v>
      </c>
      <c r="P207" s="63">
        <v>0.41997926843193256</v>
      </c>
    </row>
    <row r="208" spans="1:16" s="15" customFormat="1" thickBot="1" x14ac:dyDescent="0.25">
      <c r="A208" s="17">
        <v>1500323000</v>
      </c>
      <c r="B208" s="18" t="s">
        <v>436</v>
      </c>
      <c r="C208" s="18" t="s">
        <v>431</v>
      </c>
      <c r="D208" s="18"/>
      <c r="E208" s="18">
        <v>15650</v>
      </c>
      <c r="F208" s="69">
        <v>1942.509512731066</v>
      </c>
      <c r="G208" s="70">
        <v>577.26568383421227</v>
      </c>
      <c r="H208" s="19">
        <v>1</v>
      </c>
      <c r="I208" s="25" t="s">
        <v>26</v>
      </c>
      <c r="J208" s="21">
        <v>2</v>
      </c>
      <c r="K208" s="14" t="s">
        <v>832</v>
      </c>
      <c r="L208" s="13"/>
      <c r="M208" s="46" t="s">
        <v>800</v>
      </c>
      <c r="N208" s="51">
        <v>723.26161158865602</v>
      </c>
      <c r="O208" s="63">
        <v>8.0615173813079463E-2</v>
      </c>
      <c r="P208" s="63">
        <v>0.17018623055792448</v>
      </c>
    </row>
    <row r="209" spans="1:16" s="15" customFormat="1" thickBot="1" x14ac:dyDescent="0.25">
      <c r="A209" s="17">
        <v>1500324000</v>
      </c>
      <c r="B209" s="18" t="s">
        <v>437</v>
      </c>
      <c r="C209" s="18" t="s">
        <v>438</v>
      </c>
      <c r="D209" s="18"/>
      <c r="E209" s="18">
        <v>1983</v>
      </c>
      <c r="F209" s="69">
        <v>1942.509512731066</v>
      </c>
      <c r="G209" s="70">
        <v>577.26568383421227</v>
      </c>
      <c r="H209" s="19">
        <v>1</v>
      </c>
      <c r="I209" s="25" t="s">
        <v>26</v>
      </c>
      <c r="J209" s="21">
        <v>1</v>
      </c>
      <c r="K209" s="14" t="s">
        <v>832</v>
      </c>
      <c r="L209" s="59"/>
      <c r="M209" s="46" t="s">
        <v>800</v>
      </c>
      <c r="N209" s="51">
        <v>723.26161158865602</v>
      </c>
      <c r="O209" s="63">
        <v>8.0615173813079463E-2</v>
      </c>
      <c r="P209" s="63">
        <v>0.17018623055792448</v>
      </c>
    </row>
    <row r="210" spans="1:16" s="15" customFormat="1" thickBot="1" x14ac:dyDescent="0.25">
      <c r="A210" s="17">
        <v>1500325000</v>
      </c>
      <c r="B210" s="18" t="s">
        <v>440</v>
      </c>
      <c r="C210" s="18" t="s">
        <v>40</v>
      </c>
      <c r="D210" s="18"/>
      <c r="E210" s="18">
        <v>27487</v>
      </c>
      <c r="F210" s="69">
        <v>1942.509512731066</v>
      </c>
      <c r="G210" s="70">
        <v>577.26568383421227</v>
      </c>
      <c r="H210" s="19">
        <v>1</v>
      </c>
      <c r="I210" s="25" t="s">
        <v>26</v>
      </c>
      <c r="J210" s="21">
        <v>2</v>
      </c>
      <c r="K210" s="14" t="s">
        <v>831</v>
      </c>
      <c r="L210" s="49" t="s">
        <v>439</v>
      </c>
      <c r="M210" s="46">
        <v>0</v>
      </c>
      <c r="N210" s="51">
        <v>723.26161158865602</v>
      </c>
      <c r="O210" s="63">
        <v>8.0615173813079463E-2</v>
      </c>
      <c r="P210" s="63">
        <v>0.17018623055792448</v>
      </c>
    </row>
    <row r="211" spans="1:16" s="15" customFormat="1" thickBot="1" x14ac:dyDescent="0.25">
      <c r="A211" s="17">
        <v>1500326000</v>
      </c>
      <c r="B211" s="18" t="s">
        <v>441</v>
      </c>
      <c r="C211" s="18" t="s">
        <v>412</v>
      </c>
      <c r="D211" s="18"/>
      <c r="E211" s="18">
        <v>50</v>
      </c>
      <c r="F211" s="69">
        <v>1942.509512731066</v>
      </c>
      <c r="G211" s="70">
        <v>577.26568383421227</v>
      </c>
      <c r="H211" s="19">
        <v>1</v>
      </c>
      <c r="I211" s="25" t="s">
        <v>26</v>
      </c>
      <c r="J211" s="21">
        <v>2</v>
      </c>
      <c r="K211" s="14" t="s">
        <v>831</v>
      </c>
      <c r="L211" s="13" t="s">
        <v>439</v>
      </c>
      <c r="M211" s="46">
        <v>0</v>
      </c>
      <c r="N211" s="51">
        <v>723.26161158865602</v>
      </c>
      <c r="O211" s="63">
        <v>8.0615173813079463E-2</v>
      </c>
      <c r="P211" s="63">
        <v>0.17018623055792448</v>
      </c>
    </row>
    <row r="212" spans="1:16" s="15" customFormat="1" thickBot="1" x14ac:dyDescent="0.25">
      <c r="A212" s="17">
        <v>1500328000</v>
      </c>
      <c r="B212" s="18" t="s">
        <v>442</v>
      </c>
      <c r="C212" s="18" t="s">
        <v>443</v>
      </c>
      <c r="D212" s="18"/>
      <c r="E212" s="18">
        <v>2057</v>
      </c>
      <c r="F212" s="69">
        <v>204.42822089848696</v>
      </c>
      <c r="G212" s="70">
        <v>118.46878180943887</v>
      </c>
      <c r="H212" s="56">
        <v>1</v>
      </c>
      <c r="I212" s="25" t="s">
        <v>26</v>
      </c>
      <c r="J212" s="21">
        <v>1</v>
      </c>
      <c r="K212" s="14" t="s">
        <v>832</v>
      </c>
      <c r="L212" s="13"/>
      <c r="M212" s="46" t="s">
        <v>801</v>
      </c>
      <c r="N212" s="51">
        <v>496.62689548706476</v>
      </c>
      <c r="O212" s="63">
        <v>3.6021123561472593E-2</v>
      </c>
      <c r="P212" s="63">
        <v>5.1650076564355163E-2</v>
      </c>
    </row>
    <row r="213" spans="1:16" s="15" customFormat="1" thickBot="1" x14ac:dyDescent="0.25">
      <c r="A213" s="17">
        <v>1500329000</v>
      </c>
      <c r="B213" s="18" t="s">
        <v>444</v>
      </c>
      <c r="C213" s="18" t="s">
        <v>40</v>
      </c>
      <c r="D213" s="18"/>
      <c r="E213" s="18">
        <v>5</v>
      </c>
      <c r="F213" s="69">
        <v>204.42822089848696</v>
      </c>
      <c r="G213" s="70">
        <v>118.46878180943887</v>
      </c>
      <c r="H213" s="19">
        <v>1</v>
      </c>
      <c r="I213" s="25" t="s">
        <v>26</v>
      </c>
      <c r="J213" s="21">
        <v>2</v>
      </c>
      <c r="K213" s="14" t="s">
        <v>831</v>
      </c>
      <c r="L213" s="49" t="s">
        <v>847</v>
      </c>
      <c r="M213" s="46">
        <v>0</v>
      </c>
      <c r="N213" s="51">
        <v>496.62689548706476</v>
      </c>
      <c r="O213" s="63">
        <v>3.6021123561472593E-2</v>
      </c>
      <c r="P213" s="63">
        <v>5.1650076564355163E-2</v>
      </c>
    </row>
    <row r="214" spans="1:16" s="15" customFormat="1" thickBot="1" x14ac:dyDescent="0.25">
      <c r="A214" s="17">
        <v>1500345000</v>
      </c>
      <c r="B214" s="18" t="s">
        <v>445</v>
      </c>
      <c r="C214" s="18" t="s">
        <v>425</v>
      </c>
      <c r="D214" s="18"/>
      <c r="E214" s="18">
        <v>1</v>
      </c>
      <c r="F214" s="69">
        <v>1295.9289947646105</v>
      </c>
      <c r="G214" s="70">
        <v>301.22502715839022</v>
      </c>
      <c r="H214" s="19">
        <v>1</v>
      </c>
      <c r="I214" s="25" t="s">
        <v>13</v>
      </c>
      <c r="J214" s="21">
        <v>2</v>
      </c>
      <c r="K214" s="14" t="s">
        <v>832</v>
      </c>
      <c r="L214" s="13"/>
      <c r="M214" s="46" t="s">
        <v>804</v>
      </c>
      <c r="N214" s="51">
        <v>588.37893299347286</v>
      </c>
      <c r="O214" s="63">
        <v>1.3071467467392164E-3</v>
      </c>
      <c r="P214" s="63">
        <v>3.6286517966837434E-3</v>
      </c>
    </row>
    <row r="215" spans="1:16" s="15" customFormat="1" thickBot="1" x14ac:dyDescent="0.25">
      <c r="A215" s="17">
        <v>1500381000</v>
      </c>
      <c r="B215" s="18" t="s">
        <v>446</v>
      </c>
      <c r="C215" s="18" t="s">
        <v>40</v>
      </c>
      <c r="D215" s="18"/>
      <c r="E215" s="18">
        <v>259</v>
      </c>
      <c r="F215" s="69">
        <v>31.652058892174953</v>
      </c>
      <c r="G215" s="70">
        <v>5.3345214191389498</v>
      </c>
      <c r="H215" s="19">
        <v>1</v>
      </c>
      <c r="I215" s="25" t="s">
        <v>26</v>
      </c>
      <c r="J215" s="21">
        <v>2</v>
      </c>
      <c r="K215" s="14" t="s">
        <v>832</v>
      </c>
      <c r="L215" s="13"/>
      <c r="M215" s="46" t="s">
        <v>816</v>
      </c>
      <c r="N215" s="51">
        <v>162.02556544405567</v>
      </c>
      <c r="O215" s="63">
        <v>1</v>
      </c>
      <c r="P215" s="63">
        <v>1</v>
      </c>
    </row>
    <row r="216" spans="1:16" s="15" customFormat="1" thickBot="1" x14ac:dyDescent="0.25">
      <c r="A216" s="17">
        <v>1500401000</v>
      </c>
      <c r="B216" s="18" t="s">
        <v>447</v>
      </c>
      <c r="C216" s="18" t="s">
        <v>431</v>
      </c>
      <c r="D216" s="18" t="s">
        <v>448</v>
      </c>
      <c r="E216" s="18">
        <v>16047</v>
      </c>
      <c r="F216" s="69">
        <v>725.98873165325404</v>
      </c>
      <c r="G216" s="70">
        <v>239.39679935057094</v>
      </c>
      <c r="H216" s="19">
        <v>1</v>
      </c>
      <c r="I216" s="25" t="s">
        <v>13</v>
      </c>
      <c r="J216" s="21">
        <v>1</v>
      </c>
      <c r="K216" s="14" t="s">
        <v>832</v>
      </c>
      <c r="L216" s="13"/>
      <c r="M216" s="46" t="s">
        <v>819</v>
      </c>
      <c r="N216" s="51">
        <v>555.26446198837323</v>
      </c>
      <c r="O216" s="63">
        <v>2.6525583421604583E-2</v>
      </c>
      <c r="P216" s="63">
        <v>5.4975696831202431E-2</v>
      </c>
    </row>
    <row r="217" spans="1:16" s="15" customFormat="1" thickBot="1" x14ac:dyDescent="0.25">
      <c r="A217" s="17">
        <v>1500402000</v>
      </c>
      <c r="B217" s="18" t="s">
        <v>449</v>
      </c>
      <c r="C217" s="18" t="s">
        <v>40</v>
      </c>
      <c r="D217" s="18"/>
      <c r="E217" s="18">
        <v>49993</v>
      </c>
      <c r="F217" s="69">
        <v>725.98873165325404</v>
      </c>
      <c r="G217" s="70">
        <v>239.39679935057094</v>
      </c>
      <c r="H217" s="19">
        <v>1</v>
      </c>
      <c r="I217" s="25" t="s">
        <v>26</v>
      </c>
      <c r="J217" s="21">
        <v>2</v>
      </c>
      <c r="K217" s="14" t="s">
        <v>831</v>
      </c>
      <c r="L217" s="49" t="s">
        <v>852</v>
      </c>
      <c r="M217" s="46">
        <v>0</v>
      </c>
      <c r="N217" s="51">
        <v>555.26446198837323</v>
      </c>
      <c r="O217" s="63">
        <v>2.6525583421604583E-2</v>
      </c>
      <c r="P217" s="63">
        <v>5.4975696831202431E-2</v>
      </c>
    </row>
    <row r="218" spans="1:16" s="15" customFormat="1" thickBot="1" x14ac:dyDescent="0.25">
      <c r="A218" s="17">
        <v>1500403000</v>
      </c>
      <c r="B218" s="18" t="s">
        <v>450</v>
      </c>
      <c r="C218" s="18" t="s">
        <v>451</v>
      </c>
      <c r="D218" s="18"/>
      <c r="E218" s="18">
        <v>2448</v>
      </c>
      <c r="F218" s="69">
        <v>725.98873165325404</v>
      </c>
      <c r="G218" s="70">
        <v>239.39679935057094</v>
      </c>
      <c r="H218" s="19">
        <v>1</v>
      </c>
      <c r="I218" s="25" t="s">
        <v>13</v>
      </c>
      <c r="J218" s="21">
        <v>2</v>
      </c>
      <c r="K218" s="14" t="s">
        <v>831</v>
      </c>
      <c r="L218" s="49" t="s">
        <v>852</v>
      </c>
      <c r="M218" s="46">
        <v>0</v>
      </c>
      <c r="N218" s="51">
        <v>555.26446198837323</v>
      </c>
      <c r="O218" s="63">
        <v>2.6525583421604583E-2</v>
      </c>
      <c r="P218" s="63">
        <v>5.4975696831202431E-2</v>
      </c>
    </row>
    <row r="219" spans="1:16" s="15" customFormat="1" thickBot="1" x14ac:dyDescent="0.25">
      <c r="A219" s="17">
        <v>1500404000</v>
      </c>
      <c r="B219" s="18" t="s">
        <v>452</v>
      </c>
      <c r="C219" s="18" t="s">
        <v>412</v>
      </c>
      <c r="D219" s="18"/>
      <c r="E219" s="18">
        <v>10250</v>
      </c>
      <c r="F219" s="69">
        <v>725.98873165325404</v>
      </c>
      <c r="G219" s="70">
        <v>239.39679935057094</v>
      </c>
      <c r="H219" s="19">
        <v>1</v>
      </c>
      <c r="I219" s="25" t="s">
        <v>13</v>
      </c>
      <c r="J219" s="21">
        <v>2</v>
      </c>
      <c r="K219" s="14" t="s">
        <v>831</v>
      </c>
      <c r="L219" s="49" t="s">
        <v>852</v>
      </c>
      <c r="M219" s="46">
        <v>0</v>
      </c>
      <c r="N219" s="51">
        <v>555.26446198837323</v>
      </c>
      <c r="O219" s="63">
        <v>2.6525583421604583E-2</v>
      </c>
      <c r="P219" s="63">
        <v>5.4975696831202431E-2</v>
      </c>
    </row>
    <row r="220" spans="1:16" s="15" customFormat="1" thickBot="1" x14ac:dyDescent="0.25">
      <c r="A220" s="17">
        <v>1500405000</v>
      </c>
      <c r="B220" s="18" t="s">
        <v>453</v>
      </c>
      <c r="C220" s="18" t="s">
        <v>431</v>
      </c>
      <c r="D220" s="18"/>
      <c r="E220" s="18">
        <v>185</v>
      </c>
      <c r="F220" s="69">
        <v>1942.509512731066</v>
      </c>
      <c r="G220" s="70">
        <v>577.26568383421227</v>
      </c>
      <c r="H220" s="19">
        <v>1</v>
      </c>
      <c r="I220" s="25" t="s">
        <v>26</v>
      </c>
      <c r="J220" s="21">
        <v>1</v>
      </c>
      <c r="K220" s="14" t="s">
        <v>831</v>
      </c>
      <c r="L220" s="13" t="s">
        <v>439</v>
      </c>
      <c r="M220" s="46">
        <v>0</v>
      </c>
      <c r="N220" s="51">
        <v>723.26161158865602</v>
      </c>
      <c r="O220" s="63">
        <v>8.0615173813079463E-2</v>
      </c>
      <c r="P220" s="63">
        <v>0.17018623055792448</v>
      </c>
    </row>
    <row r="221" spans="1:16" s="15" customFormat="1" thickBot="1" x14ac:dyDescent="0.25">
      <c r="A221" s="17">
        <v>1800002000</v>
      </c>
      <c r="B221" s="18" t="s">
        <v>454</v>
      </c>
      <c r="C221" s="18" t="s">
        <v>455</v>
      </c>
      <c r="D221" s="18" t="s">
        <v>456</v>
      </c>
      <c r="E221" s="18">
        <v>48</v>
      </c>
      <c r="F221" s="69">
        <v>60.877436106955322</v>
      </c>
      <c r="G221" s="70">
        <v>6.3070987662968188</v>
      </c>
      <c r="H221" s="20">
        <v>1</v>
      </c>
      <c r="I221" s="25" t="s">
        <v>26</v>
      </c>
      <c r="J221" s="21">
        <v>1</v>
      </c>
      <c r="K221" s="14" t="s">
        <v>832</v>
      </c>
      <c r="L221" s="13"/>
      <c r="M221" s="46" t="s">
        <v>795</v>
      </c>
      <c r="N221" s="51">
        <v>219.88490617100786</v>
      </c>
      <c r="O221" s="63">
        <v>1</v>
      </c>
      <c r="P221" s="63">
        <v>1</v>
      </c>
    </row>
    <row r="222" spans="1:16" s="15" customFormat="1" thickBot="1" x14ac:dyDescent="0.25">
      <c r="A222" s="17">
        <v>1901028000</v>
      </c>
      <c r="B222" s="18" t="s">
        <v>458</v>
      </c>
      <c r="C222" s="18" t="s">
        <v>117</v>
      </c>
      <c r="D222" s="18"/>
      <c r="E222" s="18">
        <v>94</v>
      </c>
      <c r="F222" s="69">
        <v>549.20272462465834</v>
      </c>
      <c r="G222" s="70">
        <v>29.657593790401734</v>
      </c>
      <c r="H222" s="20">
        <v>1</v>
      </c>
      <c r="I222" s="25" t="s">
        <v>26</v>
      </c>
      <c r="J222" s="21">
        <v>1</v>
      </c>
      <c r="K222" s="14" t="s">
        <v>831</v>
      </c>
      <c r="L222" s="13" t="s">
        <v>96</v>
      </c>
      <c r="M222" s="46">
        <v>0</v>
      </c>
      <c r="N222" s="51">
        <v>65.936812158423493</v>
      </c>
      <c r="O222" s="63">
        <v>5.5797837040785642E-2</v>
      </c>
      <c r="P222" s="63">
        <v>3.2907377262583429E-2</v>
      </c>
    </row>
    <row r="223" spans="1:16" s="15" customFormat="1" thickBot="1" x14ac:dyDescent="0.25">
      <c r="A223" s="17">
        <v>1901029000</v>
      </c>
      <c r="B223" s="18" t="s">
        <v>459</v>
      </c>
      <c r="C223" s="18" t="s">
        <v>460</v>
      </c>
      <c r="D223" s="18"/>
      <c r="E223" s="18">
        <v>16552</v>
      </c>
      <c r="F223" s="69">
        <v>6201.0106124182157</v>
      </c>
      <c r="G223" s="70">
        <v>334.86187447223125</v>
      </c>
      <c r="H223" s="25">
        <v>11.290931989924436</v>
      </c>
      <c r="I223" s="25" t="s">
        <v>19</v>
      </c>
      <c r="J223" s="21">
        <v>1</v>
      </c>
      <c r="K223" s="14" t="s">
        <v>831</v>
      </c>
      <c r="L223" s="13" t="s">
        <v>96</v>
      </c>
      <c r="M223" s="46">
        <v>0</v>
      </c>
      <c r="N223" s="51">
        <v>65.936812158423493</v>
      </c>
      <c r="O223" s="63">
        <v>5.5797837040785642E-2</v>
      </c>
      <c r="P223" s="63">
        <v>3.2907377262583429E-2</v>
      </c>
    </row>
    <row r="224" spans="1:16" s="15" customFormat="1" thickBot="1" x14ac:dyDescent="0.25">
      <c r="A224" s="17">
        <v>1901184000</v>
      </c>
      <c r="B224" s="18" t="s">
        <v>461</v>
      </c>
      <c r="C224" s="18" t="s">
        <v>117</v>
      </c>
      <c r="D224" s="18" t="s">
        <v>462</v>
      </c>
      <c r="E224" s="18">
        <v>27421</v>
      </c>
      <c r="F224" s="69">
        <v>549.20272462465834</v>
      </c>
      <c r="G224" s="70">
        <v>29.657593790401734</v>
      </c>
      <c r="H224" s="19">
        <v>1</v>
      </c>
      <c r="I224" s="25" t="s">
        <v>26</v>
      </c>
      <c r="J224" s="21">
        <v>1</v>
      </c>
      <c r="K224" s="14" t="s">
        <v>831</v>
      </c>
      <c r="L224" s="13" t="s">
        <v>96</v>
      </c>
      <c r="M224" s="46">
        <v>0</v>
      </c>
      <c r="N224" s="51">
        <v>65.936812158423493</v>
      </c>
      <c r="O224" s="63">
        <v>5.5797837040785642E-2</v>
      </c>
      <c r="P224" s="63">
        <v>3.2907377262583429E-2</v>
      </c>
    </row>
    <row r="225" spans="1:16" s="15" customFormat="1" thickBot="1" x14ac:dyDescent="0.25">
      <c r="A225" s="17">
        <v>1901220000</v>
      </c>
      <c r="B225" s="18" t="s">
        <v>463</v>
      </c>
      <c r="C225" s="18" t="s">
        <v>117</v>
      </c>
      <c r="D225" s="18" t="s">
        <v>464</v>
      </c>
      <c r="E225" s="18">
        <v>22047</v>
      </c>
      <c r="F225" s="69">
        <v>497.2283378903594</v>
      </c>
      <c r="G225" s="70">
        <v>25.86892267588938</v>
      </c>
      <c r="H225" s="19">
        <v>1</v>
      </c>
      <c r="I225" s="25" t="s">
        <v>26</v>
      </c>
      <c r="J225" s="21">
        <v>1</v>
      </c>
      <c r="K225" s="14" t="s">
        <v>831</v>
      </c>
      <c r="L225" s="13" t="s">
        <v>78</v>
      </c>
      <c r="M225" s="46">
        <v>0</v>
      </c>
      <c r="N225" s="51">
        <v>36.298573840726164</v>
      </c>
      <c r="O225" s="63">
        <v>0.10306311244941802</v>
      </c>
      <c r="P225" s="63">
        <v>5.8039614775406909E-2</v>
      </c>
    </row>
    <row r="226" spans="1:16" s="15" customFormat="1" thickBot="1" x14ac:dyDescent="0.25">
      <c r="A226" s="17">
        <v>1901249000</v>
      </c>
      <c r="B226" s="18" t="s">
        <v>465</v>
      </c>
      <c r="C226" s="18" t="s">
        <v>466</v>
      </c>
      <c r="D226" s="18"/>
      <c r="E226" s="18">
        <v>1460</v>
      </c>
      <c r="F226" s="69">
        <v>3807.498688271904</v>
      </c>
      <c r="G226" s="70">
        <v>198.08985459950759</v>
      </c>
      <c r="H226" s="25">
        <v>7.6574450772986129</v>
      </c>
      <c r="I226" s="25" t="s">
        <v>19</v>
      </c>
      <c r="J226" s="21">
        <v>1</v>
      </c>
      <c r="K226" s="14" t="s">
        <v>831</v>
      </c>
      <c r="L226" s="13" t="s">
        <v>78</v>
      </c>
      <c r="M226" s="46">
        <v>0</v>
      </c>
      <c r="N226" s="51">
        <v>36.298573840726164</v>
      </c>
      <c r="O226" s="63">
        <v>0.10306311244941802</v>
      </c>
      <c r="P226" s="63">
        <v>5.8039614775406909E-2</v>
      </c>
    </row>
    <row r="227" spans="1:16" s="15" customFormat="1" thickBot="1" x14ac:dyDescent="0.25">
      <c r="A227" s="17">
        <v>1901334000</v>
      </c>
      <c r="B227" s="18" t="s">
        <v>467</v>
      </c>
      <c r="C227" s="18" t="s">
        <v>468</v>
      </c>
      <c r="D227" s="18" t="s">
        <v>469</v>
      </c>
      <c r="E227" s="18">
        <v>15910</v>
      </c>
      <c r="F227" s="69">
        <v>497.2283378903594</v>
      </c>
      <c r="G227" s="70">
        <v>25.86892267588938</v>
      </c>
      <c r="H227" s="19">
        <v>1</v>
      </c>
      <c r="I227" s="25" t="s">
        <v>26</v>
      </c>
      <c r="J227" s="21">
        <v>1</v>
      </c>
      <c r="K227" s="14" t="s">
        <v>831</v>
      </c>
      <c r="L227" s="49" t="s">
        <v>78</v>
      </c>
      <c r="M227" s="46">
        <v>0</v>
      </c>
      <c r="N227" s="51">
        <v>36.298573840726164</v>
      </c>
      <c r="O227" s="63">
        <v>0.10306311244941802</v>
      </c>
      <c r="P227" s="63">
        <v>5.8039614775406909E-2</v>
      </c>
    </row>
    <row r="228" spans="1:16" s="15" customFormat="1" thickBot="1" x14ac:dyDescent="0.25">
      <c r="A228" s="17">
        <v>1902105000</v>
      </c>
      <c r="B228" s="18" t="s">
        <v>470</v>
      </c>
      <c r="C228" s="18" t="s">
        <v>471</v>
      </c>
      <c r="D228" s="18"/>
      <c r="E228" s="18">
        <v>12421</v>
      </c>
      <c r="F228" s="69">
        <v>23798.259953181063</v>
      </c>
      <c r="G228" s="70">
        <v>2198.4391414945744</v>
      </c>
      <c r="H228" s="19">
        <v>1</v>
      </c>
      <c r="I228" s="25" t="s">
        <v>26</v>
      </c>
      <c r="J228" s="21">
        <v>1</v>
      </c>
      <c r="K228" s="14" t="s">
        <v>832</v>
      </c>
      <c r="L228" s="13"/>
      <c r="M228" s="46" t="s">
        <v>752</v>
      </c>
      <c r="N228" s="51">
        <v>17261.120249864896</v>
      </c>
      <c r="O228" s="63">
        <v>1</v>
      </c>
      <c r="P228" s="63">
        <v>1</v>
      </c>
    </row>
    <row r="229" spans="1:16" s="15" customFormat="1" thickBot="1" x14ac:dyDescent="0.25">
      <c r="A229" s="17">
        <v>1902119000</v>
      </c>
      <c r="B229" s="18" t="s">
        <v>472</v>
      </c>
      <c r="C229" s="18" t="s">
        <v>473</v>
      </c>
      <c r="D229" s="18" t="s">
        <v>474</v>
      </c>
      <c r="E229" s="18">
        <v>19105</v>
      </c>
      <c r="F229" s="69">
        <v>14320.97265272792</v>
      </c>
      <c r="G229" s="70">
        <v>1770.0680597688036</v>
      </c>
      <c r="H229" s="19">
        <v>1</v>
      </c>
      <c r="I229" s="25" t="s">
        <v>26</v>
      </c>
      <c r="J229" s="21">
        <v>1</v>
      </c>
      <c r="K229" s="14" t="s">
        <v>831</v>
      </c>
      <c r="L229" s="13" t="s">
        <v>29</v>
      </c>
      <c r="M229" s="46">
        <v>0</v>
      </c>
      <c r="N229" s="51">
        <v>9786.9490533693606</v>
      </c>
      <c r="O229" s="63">
        <v>0.66666666666666663</v>
      </c>
      <c r="P229" s="63">
        <v>0.66666666666666663</v>
      </c>
    </row>
    <row r="230" spans="1:16" s="15" customFormat="1" thickBot="1" x14ac:dyDescent="0.25">
      <c r="A230" s="17">
        <v>1902143000</v>
      </c>
      <c r="B230" s="18" t="s">
        <v>475</v>
      </c>
      <c r="C230" s="18" t="s">
        <v>476</v>
      </c>
      <c r="D230" s="18"/>
      <c r="E230" s="18">
        <v>4949</v>
      </c>
      <c r="F230" s="69">
        <v>14320.97265272792</v>
      </c>
      <c r="G230" s="70">
        <v>1770.0680597688036</v>
      </c>
      <c r="H230" s="19">
        <v>1</v>
      </c>
      <c r="I230" s="25" t="s">
        <v>26</v>
      </c>
      <c r="J230" s="21">
        <v>1</v>
      </c>
      <c r="K230" s="14" t="s">
        <v>831</v>
      </c>
      <c r="L230" s="13" t="s">
        <v>29</v>
      </c>
      <c r="M230" s="46">
        <v>0</v>
      </c>
      <c r="N230" s="51">
        <v>9786.9490533693606</v>
      </c>
      <c r="O230" s="63">
        <v>0.66666666666666663</v>
      </c>
      <c r="P230" s="63">
        <v>0.66666666666666663</v>
      </c>
    </row>
    <row r="231" spans="1:16" s="15" customFormat="1" thickBot="1" x14ac:dyDescent="0.25">
      <c r="A231" s="17">
        <v>1902274000</v>
      </c>
      <c r="B231" s="18" t="s">
        <v>477</v>
      </c>
      <c r="C231" s="18" t="s">
        <v>478</v>
      </c>
      <c r="D231" s="18"/>
      <c r="E231" s="18">
        <v>24206</v>
      </c>
      <c r="F231" s="69">
        <v>7797.1747278033108</v>
      </c>
      <c r="G231" s="70">
        <v>1131.1312998405258</v>
      </c>
      <c r="H231" s="19">
        <v>1</v>
      </c>
      <c r="I231" s="25" t="s">
        <v>26</v>
      </c>
      <c r="J231" s="21">
        <v>1</v>
      </c>
      <c r="K231" s="14" t="s">
        <v>832</v>
      </c>
      <c r="L231" s="13"/>
      <c r="M231" s="46" t="s">
        <v>789</v>
      </c>
      <c r="N231" s="51">
        <v>2865.2108425756869</v>
      </c>
      <c r="O231" s="63">
        <v>1</v>
      </c>
      <c r="P231" s="63">
        <v>1</v>
      </c>
    </row>
    <row r="232" spans="1:16" s="15" customFormat="1" thickBot="1" x14ac:dyDescent="0.25">
      <c r="A232" s="17">
        <v>1902354000</v>
      </c>
      <c r="B232" s="18" t="s">
        <v>479</v>
      </c>
      <c r="C232" s="18" t="s">
        <v>435</v>
      </c>
      <c r="D232" s="18" t="s">
        <v>480</v>
      </c>
      <c r="E232" s="18">
        <v>37630</v>
      </c>
      <c r="F232" s="69">
        <v>11367.483277199386</v>
      </c>
      <c r="G232" s="70">
        <v>1980.6337379713104</v>
      </c>
      <c r="H232" s="19">
        <v>1</v>
      </c>
      <c r="I232" s="25" t="s">
        <v>26</v>
      </c>
      <c r="J232" s="21">
        <v>1</v>
      </c>
      <c r="K232" s="14" t="s">
        <v>832</v>
      </c>
      <c r="L232" s="13"/>
      <c r="M232" s="46" t="s">
        <v>829</v>
      </c>
      <c r="N232" s="51">
        <v>9234.5160676674986</v>
      </c>
      <c r="O232" s="63">
        <v>0</v>
      </c>
      <c r="P232" s="63">
        <v>0</v>
      </c>
    </row>
    <row r="233" spans="1:16" s="15" customFormat="1" thickBot="1" x14ac:dyDescent="0.25">
      <c r="A233" s="17">
        <v>2001162900</v>
      </c>
      <c r="B233" s="18" t="s">
        <v>481</v>
      </c>
      <c r="C233" s="18" t="s">
        <v>482</v>
      </c>
      <c r="D233" s="18" t="s">
        <v>483</v>
      </c>
      <c r="E233" s="18">
        <v>68</v>
      </c>
      <c r="F233" s="69">
        <v>1287.1697573422905</v>
      </c>
      <c r="G233" s="70">
        <v>232.33121908262342</v>
      </c>
      <c r="H233" s="19">
        <v>1</v>
      </c>
      <c r="I233" s="25" t="s">
        <v>26</v>
      </c>
      <c r="J233" s="21">
        <v>1</v>
      </c>
      <c r="K233" s="14" t="s">
        <v>832</v>
      </c>
      <c r="L233" s="13"/>
      <c r="M233" s="46" t="s">
        <v>774</v>
      </c>
      <c r="N233" s="51">
        <v>1492.4277557282285</v>
      </c>
      <c r="O233" s="63">
        <v>0.67329482109772665</v>
      </c>
      <c r="P233" s="63">
        <v>0.71675407229860677</v>
      </c>
    </row>
    <row r="234" spans="1:16" s="15" customFormat="1" thickBot="1" x14ac:dyDescent="0.25">
      <c r="A234" s="17">
        <v>2001163000</v>
      </c>
      <c r="B234" s="18" t="s">
        <v>484</v>
      </c>
      <c r="C234" s="18" t="s">
        <v>485</v>
      </c>
      <c r="D234" s="18" t="s">
        <v>486</v>
      </c>
      <c r="E234" s="18">
        <v>176</v>
      </c>
      <c r="F234" s="69">
        <v>1287.1697573422905</v>
      </c>
      <c r="G234" s="70">
        <v>232.33121908262342</v>
      </c>
      <c r="H234" s="25">
        <v>1</v>
      </c>
      <c r="I234" s="25" t="s">
        <v>57</v>
      </c>
      <c r="J234" s="21">
        <v>2</v>
      </c>
      <c r="K234" s="14" t="s">
        <v>831</v>
      </c>
      <c r="L234" s="49" t="s">
        <v>856</v>
      </c>
      <c r="M234" s="46">
        <v>0</v>
      </c>
      <c r="N234" s="51">
        <v>1492.4277557282285</v>
      </c>
      <c r="O234" s="63">
        <v>0.67329482109772665</v>
      </c>
      <c r="P234" s="63">
        <v>0.71675407229860677</v>
      </c>
    </row>
    <row r="235" spans="1:16" s="15" customFormat="1" thickBot="1" x14ac:dyDescent="0.25">
      <c r="A235" s="17">
        <v>2001319000</v>
      </c>
      <c r="B235" s="18" t="s">
        <v>488</v>
      </c>
      <c r="C235" s="18" t="s">
        <v>155</v>
      </c>
      <c r="D235" s="18" t="s">
        <v>489</v>
      </c>
      <c r="E235" s="18">
        <v>47225</v>
      </c>
      <c r="F235" s="69">
        <v>86.756897797778265</v>
      </c>
      <c r="G235" s="70">
        <v>15.493922677016069</v>
      </c>
      <c r="H235" s="19">
        <v>1</v>
      </c>
      <c r="I235" s="25" t="s">
        <v>13</v>
      </c>
      <c r="J235" s="21">
        <v>2</v>
      </c>
      <c r="K235" s="14" t="s">
        <v>832</v>
      </c>
      <c r="L235" s="49"/>
      <c r="M235" s="46" t="s">
        <v>798</v>
      </c>
      <c r="N235" s="51">
        <v>410.32826830354043</v>
      </c>
      <c r="O235" s="63">
        <v>0.41120494491108123</v>
      </c>
      <c r="P235" s="63">
        <v>0.52479327007607057</v>
      </c>
    </row>
    <row r="236" spans="1:16" s="15" customFormat="1" thickBot="1" x14ac:dyDescent="0.25">
      <c r="A236" s="17">
        <v>2001336000</v>
      </c>
      <c r="B236" s="18" t="s">
        <v>490</v>
      </c>
      <c r="C236" s="18" t="s">
        <v>476</v>
      </c>
      <c r="D236" s="18"/>
      <c r="E236" s="18">
        <v>2855</v>
      </c>
      <c r="F236" s="69">
        <v>3307.1893158336402</v>
      </c>
      <c r="G236" s="70">
        <v>597.99973744541046</v>
      </c>
      <c r="H236" s="19">
        <v>1</v>
      </c>
      <c r="I236" s="25" t="s">
        <v>26</v>
      </c>
      <c r="J236" s="21">
        <v>1</v>
      </c>
      <c r="K236" s="14" t="s">
        <v>832</v>
      </c>
      <c r="L236" s="49"/>
      <c r="M236" s="46" t="s">
        <v>803</v>
      </c>
      <c r="N236" s="51">
        <v>7237.2224831055282</v>
      </c>
      <c r="O236" s="63">
        <v>1</v>
      </c>
      <c r="P236" s="63">
        <v>1</v>
      </c>
    </row>
    <row r="237" spans="1:16" s="15" customFormat="1" thickBot="1" x14ac:dyDescent="0.25">
      <c r="A237" s="17">
        <v>2001337000</v>
      </c>
      <c r="B237" s="18" t="s">
        <v>491</v>
      </c>
      <c r="C237" s="18" t="s">
        <v>155</v>
      </c>
      <c r="D237" s="18"/>
      <c r="E237" s="18">
        <v>21745</v>
      </c>
      <c r="F237" s="69">
        <v>3307.1893158336402</v>
      </c>
      <c r="G237" s="70">
        <v>597.99973744541046</v>
      </c>
      <c r="H237" s="19">
        <v>1</v>
      </c>
      <c r="I237" s="25" t="s">
        <v>13</v>
      </c>
      <c r="J237" s="21">
        <v>2</v>
      </c>
      <c r="K237" s="14" t="s">
        <v>831</v>
      </c>
      <c r="L237" s="49" t="s">
        <v>848</v>
      </c>
      <c r="M237" s="46">
        <v>0</v>
      </c>
      <c r="N237" s="51">
        <v>7237.2224831055282</v>
      </c>
      <c r="O237" s="63">
        <v>1</v>
      </c>
      <c r="P237" s="63">
        <v>1</v>
      </c>
    </row>
    <row r="238" spans="1:16" s="15" customFormat="1" thickBot="1" x14ac:dyDescent="0.25">
      <c r="A238" s="17">
        <v>2002330000</v>
      </c>
      <c r="B238" s="18" t="s">
        <v>492</v>
      </c>
      <c r="C238" s="18" t="s">
        <v>155</v>
      </c>
      <c r="D238" s="18"/>
      <c r="E238" s="18">
        <v>45465</v>
      </c>
      <c r="F238" s="69">
        <v>5914.9316586762734</v>
      </c>
      <c r="G238" s="70">
        <v>601.69177994092183</v>
      </c>
      <c r="H238" s="19">
        <v>1</v>
      </c>
      <c r="I238" s="25" t="s">
        <v>13</v>
      </c>
      <c r="J238" s="21">
        <v>2</v>
      </c>
      <c r="K238" s="14" t="s">
        <v>832</v>
      </c>
      <c r="L238" s="49"/>
      <c r="M238" s="46" t="s">
        <v>802</v>
      </c>
      <c r="N238" s="51">
        <v>994.5515074737267</v>
      </c>
      <c r="O238" s="63">
        <v>0</v>
      </c>
      <c r="P238" s="63">
        <v>0</v>
      </c>
    </row>
    <row r="239" spans="1:16" s="15" customFormat="1" thickBot="1" x14ac:dyDescent="0.25">
      <c r="A239" s="17">
        <v>2002364000</v>
      </c>
      <c r="B239" s="18" t="s">
        <v>493</v>
      </c>
      <c r="C239" s="18" t="s">
        <v>494</v>
      </c>
      <c r="D239" s="18"/>
      <c r="E239" s="18">
        <v>997</v>
      </c>
      <c r="F239" s="69">
        <v>1263.4343255562214</v>
      </c>
      <c r="G239" s="70">
        <v>341.35073639920125</v>
      </c>
      <c r="H239" s="19">
        <v>1</v>
      </c>
      <c r="I239" s="25" t="s">
        <v>26</v>
      </c>
      <c r="J239" s="21">
        <v>1</v>
      </c>
      <c r="K239" s="14" t="s">
        <v>832</v>
      </c>
      <c r="L239" s="49"/>
      <c r="M239" s="46" t="s">
        <v>810</v>
      </c>
      <c r="N239" s="51">
        <v>1264.228458752116</v>
      </c>
      <c r="O239" s="63">
        <v>3.3302380282339769E-2</v>
      </c>
      <c r="P239" s="63">
        <v>5.4381273652648374E-2</v>
      </c>
    </row>
    <row r="240" spans="1:16" s="15" customFormat="1" thickBot="1" x14ac:dyDescent="0.25">
      <c r="A240" s="17">
        <v>2002365000</v>
      </c>
      <c r="B240" s="18" t="s">
        <v>495</v>
      </c>
      <c r="C240" s="18" t="s">
        <v>155</v>
      </c>
      <c r="D240" s="18"/>
      <c r="E240" s="18">
        <v>45494</v>
      </c>
      <c r="F240" s="69">
        <v>1263.4343255562214</v>
      </c>
      <c r="G240" s="70">
        <v>341.35073639920125</v>
      </c>
      <c r="H240" s="25">
        <v>1</v>
      </c>
      <c r="I240" s="25" t="s">
        <v>57</v>
      </c>
      <c r="J240" s="21">
        <v>2</v>
      </c>
      <c r="K240" s="14" t="s">
        <v>831</v>
      </c>
      <c r="L240" s="49" t="s">
        <v>858</v>
      </c>
      <c r="M240" s="46">
        <v>0</v>
      </c>
      <c r="N240" s="51">
        <v>1264.228458752116</v>
      </c>
      <c r="O240" s="63">
        <v>3.3302380282339769E-2</v>
      </c>
      <c r="P240" s="63">
        <v>5.4381273652648374E-2</v>
      </c>
    </row>
    <row r="241" spans="1:16" s="15" customFormat="1" thickBot="1" x14ac:dyDescent="0.25">
      <c r="A241" s="17">
        <v>2003128000</v>
      </c>
      <c r="B241" s="18" t="s">
        <v>496</v>
      </c>
      <c r="C241" s="18" t="s">
        <v>155</v>
      </c>
      <c r="D241" s="18"/>
      <c r="E241" s="18">
        <v>50194</v>
      </c>
      <c r="F241" s="69">
        <v>3000.8442782370257</v>
      </c>
      <c r="G241" s="70">
        <v>308.59285130896893</v>
      </c>
      <c r="H241" s="19">
        <v>1</v>
      </c>
      <c r="I241" s="25" t="s">
        <v>13</v>
      </c>
      <c r="J241" s="21">
        <v>2</v>
      </c>
      <c r="K241" s="14" t="s">
        <v>831</v>
      </c>
      <c r="L241" s="49" t="s">
        <v>487</v>
      </c>
      <c r="M241" s="46">
        <v>0</v>
      </c>
      <c r="N241" s="51">
        <v>702.43988788863362</v>
      </c>
      <c r="O241" s="63">
        <v>0.20560247245554061</v>
      </c>
      <c r="P241" s="63">
        <v>0.26239663503803529</v>
      </c>
    </row>
    <row r="242" spans="1:16" s="15" customFormat="1" thickBot="1" x14ac:dyDescent="0.25">
      <c r="A242" s="17">
        <v>2100228000</v>
      </c>
      <c r="B242" s="18" t="s">
        <v>497</v>
      </c>
      <c r="C242" s="18" t="s">
        <v>498</v>
      </c>
      <c r="D242" s="18" t="s">
        <v>499</v>
      </c>
      <c r="E242" s="18">
        <v>4128</v>
      </c>
      <c r="F242" s="69">
        <v>1612.1423351780322</v>
      </c>
      <c r="G242" s="70">
        <v>152.96800109142708</v>
      </c>
      <c r="H242" s="19">
        <v>1.03</v>
      </c>
      <c r="I242" s="19" t="s">
        <v>13</v>
      </c>
      <c r="J242" s="21">
        <v>1</v>
      </c>
      <c r="K242" s="14" t="s">
        <v>831</v>
      </c>
      <c r="L242" s="49" t="s">
        <v>161</v>
      </c>
      <c r="M242" s="46">
        <v>0</v>
      </c>
      <c r="N242" s="51">
        <v>159.7227732811541</v>
      </c>
      <c r="O242" s="63">
        <v>0.22508413191702045</v>
      </c>
      <c r="P242" s="63">
        <v>0.2485674328627844</v>
      </c>
    </row>
    <row r="243" spans="1:16" s="15" customFormat="1" thickBot="1" x14ac:dyDescent="0.25">
      <c r="A243" s="17">
        <v>2201019000</v>
      </c>
      <c r="B243" s="18" t="s">
        <v>500</v>
      </c>
      <c r="C243" s="18" t="s">
        <v>501</v>
      </c>
      <c r="D243" s="18"/>
      <c r="E243" s="18">
        <v>392</v>
      </c>
      <c r="F243" s="69">
        <v>22460.298959158015</v>
      </c>
      <c r="G243" s="70">
        <v>2126.3143961068777</v>
      </c>
      <c r="H243" s="19">
        <v>1.89</v>
      </c>
      <c r="I243" s="19" t="s">
        <v>13</v>
      </c>
      <c r="J243" s="21">
        <v>1</v>
      </c>
      <c r="K243" s="14" t="s">
        <v>832</v>
      </c>
      <c r="L243" s="49"/>
      <c r="M243" s="46" t="s">
        <v>500</v>
      </c>
      <c r="N243" s="51">
        <v>610.48972487577362</v>
      </c>
      <c r="O243" s="63">
        <v>0.99019040422155813</v>
      </c>
      <c r="P243" s="63">
        <v>0.99500025973958817</v>
      </c>
    </row>
    <row r="244" spans="1:16" s="15" customFormat="1" thickBot="1" x14ac:dyDescent="0.25">
      <c r="A244" s="17">
        <v>2201022000</v>
      </c>
      <c r="B244" s="18" t="s">
        <v>502</v>
      </c>
      <c r="C244" s="18" t="s">
        <v>503</v>
      </c>
      <c r="D244" s="18" t="s">
        <v>504</v>
      </c>
      <c r="E244" s="18">
        <v>569</v>
      </c>
      <c r="F244" s="69">
        <v>546.01732778096539</v>
      </c>
      <c r="G244" s="70">
        <v>78.49661023694361</v>
      </c>
      <c r="H244" s="20">
        <v>1</v>
      </c>
      <c r="I244" s="25" t="s">
        <v>26</v>
      </c>
      <c r="J244" s="21">
        <v>1</v>
      </c>
      <c r="K244" s="14" t="s">
        <v>831</v>
      </c>
      <c r="L244" s="49" t="s">
        <v>9</v>
      </c>
      <c r="M244" s="46">
        <v>0</v>
      </c>
      <c r="N244" s="51">
        <v>91.201036523819354</v>
      </c>
      <c r="O244" s="63">
        <v>0.35170205384271497</v>
      </c>
      <c r="P244" s="63">
        <v>0.35441987933612168</v>
      </c>
    </row>
    <row r="245" spans="1:16" s="15" customFormat="1" thickBot="1" x14ac:dyDescent="0.25">
      <c r="A245" s="17">
        <v>2201073000</v>
      </c>
      <c r="B245" s="18" t="s">
        <v>505</v>
      </c>
      <c r="C245" s="18" t="s">
        <v>506</v>
      </c>
      <c r="D245" s="18" t="s">
        <v>507</v>
      </c>
      <c r="E245" s="18">
        <v>195</v>
      </c>
      <c r="F245" s="69">
        <v>187.98594973525331</v>
      </c>
      <c r="G245" s="70">
        <v>36.44598646693327</v>
      </c>
      <c r="H245" s="19">
        <v>1.04</v>
      </c>
      <c r="I245" s="19" t="s">
        <v>13</v>
      </c>
      <c r="J245" s="21">
        <v>1</v>
      </c>
      <c r="K245" s="14" t="s">
        <v>831</v>
      </c>
      <c r="L245" s="49" t="s">
        <v>245</v>
      </c>
      <c r="M245" s="46">
        <v>0</v>
      </c>
      <c r="N245" s="51">
        <v>128.75898561221206</v>
      </c>
      <c r="O245" s="63">
        <v>0.17310848532097828</v>
      </c>
      <c r="P245" s="63">
        <v>0.36131149451708972</v>
      </c>
    </row>
    <row r="246" spans="1:16" s="15" customFormat="1" thickBot="1" x14ac:dyDescent="0.25">
      <c r="A246" s="17">
        <v>2201152000</v>
      </c>
      <c r="B246" s="18" t="s">
        <v>508</v>
      </c>
      <c r="C246" s="18" t="s">
        <v>76</v>
      </c>
      <c r="D246" s="18" t="s">
        <v>509</v>
      </c>
      <c r="E246" s="18">
        <v>2</v>
      </c>
      <c r="F246" s="69">
        <v>1753.0091411644623</v>
      </c>
      <c r="G246" s="70">
        <v>166.33413710912461</v>
      </c>
      <c r="H246" s="19">
        <v>1.1200000000000001</v>
      </c>
      <c r="I246" s="19" t="s">
        <v>13</v>
      </c>
      <c r="J246" s="24">
        <v>1</v>
      </c>
      <c r="K246" s="14" t="s">
        <v>831</v>
      </c>
      <c r="L246" s="49" t="s">
        <v>161</v>
      </c>
      <c r="M246" s="46">
        <v>0</v>
      </c>
      <c r="N246" s="51">
        <v>159.7227732811541</v>
      </c>
      <c r="O246" s="63">
        <v>0.22508413191702045</v>
      </c>
      <c r="P246" s="63">
        <v>0.2485674328627844</v>
      </c>
    </row>
    <row r="247" spans="1:16" s="15" customFormat="1" thickBot="1" x14ac:dyDescent="0.25">
      <c r="A247" s="17">
        <v>2201196000</v>
      </c>
      <c r="B247" s="18" t="s">
        <v>510</v>
      </c>
      <c r="C247" s="18" t="s">
        <v>117</v>
      </c>
      <c r="D247" s="18"/>
      <c r="E247" s="18">
        <v>3</v>
      </c>
      <c r="F247" s="69">
        <v>322.25181910972833</v>
      </c>
      <c r="G247" s="70">
        <v>106.81233808866799</v>
      </c>
      <c r="H247" s="19">
        <v>2.17</v>
      </c>
      <c r="I247" s="19" t="s">
        <v>13</v>
      </c>
      <c r="J247" s="21">
        <v>1</v>
      </c>
      <c r="K247" s="14" t="s">
        <v>832</v>
      </c>
      <c r="L247" s="49"/>
      <c r="M247" s="46" t="s">
        <v>743</v>
      </c>
      <c r="N247" s="51">
        <v>76.344185648332854</v>
      </c>
      <c r="O247" s="63">
        <v>1.0157003340242241E-3</v>
      </c>
      <c r="P247" s="63">
        <v>5.0096226074650607E-4</v>
      </c>
    </row>
    <row r="248" spans="1:16" s="15" customFormat="1" thickBot="1" x14ac:dyDescent="0.25">
      <c r="A248" s="17">
        <v>2201243000</v>
      </c>
      <c r="B248" s="18" t="s">
        <v>511</v>
      </c>
      <c r="C248" s="18" t="s">
        <v>512</v>
      </c>
      <c r="D248" s="18"/>
      <c r="E248" s="18">
        <v>3</v>
      </c>
      <c r="F248" s="69">
        <v>37.523148525503728</v>
      </c>
      <c r="G248" s="70">
        <v>8.1280759426562987</v>
      </c>
      <c r="H248" s="19">
        <v>1</v>
      </c>
      <c r="I248" s="25" t="s">
        <v>13</v>
      </c>
      <c r="J248" s="21">
        <v>1</v>
      </c>
      <c r="K248" s="14" t="s">
        <v>832</v>
      </c>
      <c r="L248" s="49"/>
      <c r="M248" s="46" t="s">
        <v>781</v>
      </c>
      <c r="N248" s="51">
        <v>666.96587128053864</v>
      </c>
      <c r="O248" s="63">
        <v>1</v>
      </c>
      <c r="P248" s="63">
        <v>1</v>
      </c>
    </row>
    <row r="249" spans="1:16" s="15" customFormat="1" thickBot="1" x14ac:dyDescent="0.25">
      <c r="A249" s="17">
        <v>2202085000</v>
      </c>
      <c r="B249" s="18" t="s">
        <v>514</v>
      </c>
      <c r="C249" s="18" t="s">
        <v>515</v>
      </c>
      <c r="D249" s="18"/>
      <c r="E249" s="18">
        <v>24602</v>
      </c>
      <c r="F249" s="69">
        <v>556.89573843720257</v>
      </c>
      <c r="G249" s="70">
        <v>28.973193396996109</v>
      </c>
      <c r="H249" s="19">
        <v>1.1200000000000001</v>
      </c>
      <c r="I249" s="19" t="s">
        <v>13</v>
      </c>
      <c r="J249" s="21">
        <v>1</v>
      </c>
      <c r="K249" s="14" t="s">
        <v>831</v>
      </c>
      <c r="L249" s="49" t="s">
        <v>78</v>
      </c>
      <c r="M249" s="46">
        <v>0</v>
      </c>
      <c r="N249" s="51">
        <v>36.298573840726164</v>
      </c>
      <c r="O249" s="63">
        <v>0.10306311244941802</v>
      </c>
      <c r="P249" s="63">
        <v>5.8039614775406909E-2</v>
      </c>
    </row>
    <row r="250" spans="1:16" s="15" customFormat="1" thickBot="1" x14ac:dyDescent="0.25">
      <c r="A250" s="17">
        <v>2202086000</v>
      </c>
      <c r="B250" s="18" t="s">
        <v>516</v>
      </c>
      <c r="C250" s="18" t="s">
        <v>517</v>
      </c>
      <c r="D250" s="18"/>
      <c r="E250" s="18">
        <v>416</v>
      </c>
      <c r="F250" s="69">
        <v>2486.141689451797</v>
      </c>
      <c r="G250" s="70">
        <v>129.34461337944691</v>
      </c>
      <c r="H250" s="19">
        <v>5</v>
      </c>
      <c r="I250" s="25" t="s">
        <v>13</v>
      </c>
      <c r="J250" s="21">
        <v>1</v>
      </c>
      <c r="K250" s="14" t="s">
        <v>831</v>
      </c>
      <c r="L250" s="49" t="s">
        <v>78</v>
      </c>
      <c r="M250" s="46">
        <v>0</v>
      </c>
      <c r="N250" s="51">
        <v>36.298573840726164</v>
      </c>
      <c r="O250" s="63">
        <v>0.10306311244941802</v>
      </c>
      <c r="P250" s="63">
        <v>5.8039614775406909E-2</v>
      </c>
    </row>
    <row r="251" spans="1:16" s="15" customFormat="1" thickBot="1" x14ac:dyDescent="0.25">
      <c r="A251" s="17">
        <v>2202322000</v>
      </c>
      <c r="B251" s="18" t="s">
        <v>518</v>
      </c>
      <c r="C251" s="18" t="s">
        <v>519</v>
      </c>
      <c r="D251" s="18"/>
      <c r="E251" s="18">
        <v>39</v>
      </c>
      <c r="F251" s="69">
        <v>2081.698355132799</v>
      </c>
      <c r="G251" s="70">
        <v>197.52178781708545</v>
      </c>
      <c r="H251" s="19">
        <v>1.33</v>
      </c>
      <c r="I251" s="25" t="s">
        <v>13</v>
      </c>
      <c r="J251" s="21">
        <v>1</v>
      </c>
      <c r="K251" s="14" t="s">
        <v>831</v>
      </c>
      <c r="L251" s="49" t="s">
        <v>161</v>
      </c>
      <c r="M251" s="46">
        <v>0</v>
      </c>
      <c r="N251" s="51">
        <v>159.7227732811541</v>
      </c>
      <c r="O251" s="63">
        <v>0.22508413191702045</v>
      </c>
      <c r="P251" s="63">
        <v>0.2485674328627844</v>
      </c>
    </row>
    <row r="252" spans="1:16" s="15" customFormat="1" thickBot="1" x14ac:dyDescent="0.25">
      <c r="A252" s="17">
        <v>2301235000</v>
      </c>
      <c r="B252" s="18" t="s">
        <v>520</v>
      </c>
      <c r="C252" s="18" t="s">
        <v>521</v>
      </c>
      <c r="D252" s="18"/>
      <c r="E252" s="18">
        <v>2722</v>
      </c>
      <c r="F252" s="69">
        <v>9385.3435096843732</v>
      </c>
      <c r="G252" s="70">
        <v>1269.670854616928</v>
      </c>
      <c r="H252" s="19">
        <v>1.163</v>
      </c>
      <c r="I252" s="25" t="s">
        <v>19</v>
      </c>
      <c r="J252" s="21">
        <v>1</v>
      </c>
      <c r="K252" s="14" t="s">
        <v>832</v>
      </c>
      <c r="L252" s="49"/>
      <c r="M252" s="46" t="s">
        <v>782</v>
      </c>
      <c r="N252" s="51">
        <v>338.20712719557417</v>
      </c>
      <c r="O252" s="63">
        <v>7.7344969165830765E-2</v>
      </c>
      <c r="P252" s="63">
        <v>0.1382924188354018</v>
      </c>
    </row>
    <row r="253" spans="1:16" s="15" customFormat="1" thickBot="1" x14ac:dyDescent="0.25">
      <c r="A253" s="17">
        <v>2301236000</v>
      </c>
      <c r="B253" s="18" t="s">
        <v>522</v>
      </c>
      <c r="C253" s="18" t="s">
        <v>155</v>
      </c>
      <c r="D253" s="18"/>
      <c r="E253" s="18">
        <v>22315</v>
      </c>
      <c r="F253" s="69">
        <v>8069.9428286194088</v>
      </c>
      <c r="G253" s="70">
        <v>1091.7204252940051</v>
      </c>
      <c r="H253" s="19">
        <v>1</v>
      </c>
      <c r="I253" s="25" t="s">
        <v>13</v>
      </c>
      <c r="J253" s="21">
        <v>2</v>
      </c>
      <c r="K253" s="47" t="s">
        <v>831</v>
      </c>
      <c r="L253" s="49" t="s">
        <v>857</v>
      </c>
      <c r="M253" s="46">
        <v>0</v>
      </c>
      <c r="N253" s="51">
        <v>338.20712719557417</v>
      </c>
      <c r="O253" s="63">
        <v>7.7344969165830765E-2</v>
      </c>
      <c r="P253" s="63">
        <v>0.1382924188354018</v>
      </c>
    </row>
    <row r="254" spans="1:16" s="15" customFormat="1" thickBot="1" x14ac:dyDescent="0.25">
      <c r="A254" s="17">
        <v>2302077000</v>
      </c>
      <c r="B254" s="18" t="s">
        <v>523</v>
      </c>
      <c r="C254" s="18" t="s">
        <v>524</v>
      </c>
      <c r="D254" s="18"/>
      <c r="E254" s="18">
        <v>12</v>
      </c>
      <c r="F254" s="69">
        <v>0</v>
      </c>
      <c r="G254" s="70">
        <v>0</v>
      </c>
      <c r="H254" s="19">
        <v>1</v>
      </c>
      <c r="I254" s="25" t="s">
        <v>13</v>
      </c>
      <c r="J254" s="21">
        <v>1</v>
      </c>
      <c r="K254" s="14" t="s">
        <v>832</v>
      </c>
      <c r="L254" s="13"/>
      <c r="M254" s="46" t="s">
        <v>744</v>
      </c>
      <c r="N254" s="51">
        <v>0</v>
      </c>
      <c r="O254" s="63" t="s">
        <v>868</v>
      </c>
      <c r="P254" s="63" t="s">
        <v>868</v>
      </c>
    </row>
    <row r="255" spans="1:16" s="15" customFormat="1" thickBot="1" x14ac:dyDescent="0.25">
      <c r="A255" s="17">
        <v>2302153000</v>
      </c>
      <c r="B255" s="18" t="s">
        <v>525</v>
      </c>
      <c r="C255" s="18" t="s">
        <v>247</v>
      </c>
      <c r="D255" s="18"/>
      <c r="E255" s="18">
        <v>13</v>
      </c>
      <c r="F255" s="69">
        <v>7743.6079107741862</v>
      </c>
      <c r="G255" s="70">
        <v>1078.5463909898683</v>
      </c>
      <c r="H255" s="19">
        <v>1.01</v>
      </c>
      <c r="I255" s="19" t="s">
        <v>13</v>
      </c>
      <c r="J255" s="21">
        <v>1</v>
      </c>
      <c r="K255" s="14" t="s">
        <v>832</v>
      </c>
      <c r="L255" s="13"/>
      <c r="M255" s="46" t="s">
        <v>761</v>
      </c>
      <c r="N255" s="51">
        <v>203.57819267158288</v>
      </c>
      <c r="O255" s="63">
        <v>2.2090180324747084E-2</v>
      </c>
      <c r="P255" s="63">
        <v>3.1241626490692707E-2</v>
      </c>
    </row>
    <row r="256" spans="1:16" s="15" customFormat="1" thickBot="1" x14ac:dyDescent="0.25">
      <c r="A256" s="17">
        <v>2302154000</v>
      </c>
      <c r="B256" s="18" t="s">
        <v>526</v>
      </c>
      <c r="C256" s="18" t="s">
        <v>527</v>
      </c>
      <c r="D256" s="18"/>
      <c r="E256" s="18">
        <v>280</v>
      </c>
      <c r="F256" s="69">
        <v>25914.252216254208</v>
      </c>
      <c r="G256" s="70">
        <v>3609.3928728175788</v>
      </c>
      <c r="H256" s="19">
        <v>3.38</v>
      </c>
      <c r="I256" s="19" t="s">
        <v>13</v>
      </c>
      <c r="J256" s="21">
        <v>1</v>
      </c>
      <c r="K256" s="14" t="s">
        <v>831</v>
      </c>
      <c r="L256" s="13" t="s">
        <v>525</v>
      </c>
      <c r="M256" s="46">
        <v>0</v>
      </c>
      <c r="N256" s="51">
        <v>203.57819267158288</v>
      </c>
      <c r="O256" s="63">
        <v>2.2090180324747084E-2</v>
      </c>
      <c r="P256" s="63">
        <v>3.1241626490692707E-2</v>
      </c>
    </row>
    <row r="257" spans="1:16" s="15" customFormat="1" thickBot="1" x14ac:dyDescent="0.25">
      <c r="A257" s="17">
        <v>2302183000</v>
      </c>
      <c r="B257" s="18" t="s">
        <v>528</v>
      </c>
      <c r="C257" s="18" t="s">
        <v>506</v>
      </c>
      <c r="D257" s="18"/>
      <c r="E257" s="18">
        <v>223</v>
      </c>
      <c r="F257" s="69">
        <v>4275.9716234230918</v>
      </c>
      <c r="G257" s="70">
        <v>460.55488798202833</v>
      </c>
      <c r="H257" s="19">
        <v>1.28</v>
      </c>
      <c r="I257" s="19" t="s">
        <v>13</v>
      </c>
      <c r="J257" s="21">
        <v>1</v>
      </c>
      <c r="K257" s="14" t="s">
        <v>832</v>
      </c>
      <c r="L257" s="13"/>
      <c r="M257" s="46" t="s">
        <v>776</v>
      </c>
      <c r="N257" s="51">
        <v>661.08133736337561</v>
      </c>
      <c r="O257" s="63">
        <v>0.99137291396644467</v>
      </c>
      <c r="P257" s="63">
        <v>0.99818517014102026</v>
      </c>
    </row>
    <row r="258" spans="1:16" s="15" customFormat="1" thickBot="1" x14ac:dyDescent="0.25">
      <c r="A258" s="17">
        <v>2302368000</v>
      </c>
      <c r="B258" s="18" t="s">
        <v>529</v>
      </c>
      <c r="C258" s="18" t="s">
        <v>530</v>
      </c>
      <c r="D258" s="18"/>
      <c r="E258" s="18">
        <v>3116</v>
      </c>
      <c r="F258" s="69">
        <v>8665.0969441703528</v>
      </c>
      <c r="G258" s="70">
        <v>1008.6620469990968</v>
      </c>
      <c r="H258" s="19">
        <v>2.94</v>
      </c>
      <c r="I258" s="25" t="s">
        <v>13</v>
      </c>
      <c r="J258" s="21">
        <v>1</v>
      </c>
      <c r="K258" s="14" t="s">
        <v>831</v>
      </c>
      <c r="L258" s="13" t="s">
        <v>513</v>
      </c>
      <c r="M258" s="46">
        <v>0</v>
      </c>
      <c r="N258" s="51">
        <v>375.66237885914768</v>
      </c>
      <c r="O258" s="63">
        <v>0.77536666113579933</v>
      </c>
      <c r="P258" s="63">
        <v>0.77515155300024752</v>
      </c>
    </row>
    <row r="259" spans="1:16" s="15" customFormat="1" thickBot="1" x14ac:dyDescent="0.25">
      <c r="A259" s="17">
        <v>2303141000</v>
      </c>
      <c r="B259" s="18" t="s">
        <v>531</v>
      </c>
      <c r="C259" s="18" t="s">
        <v>532</v>
      </c>
      <c r="D259" s="18"/>
      <c r="E259" s="18">
        <v>266</v>
      </c>
      <c r="F259" s="69">
        <v>25269.501141807705</v>
      </c>
      <c r="G259" s="70">
        <v>1688.4487383603646</v>
      </c>
      <c r="H259" s="19">
        <v>1.1100000000000001</v>
      </c>
      <c r="I259" s="19" t="s">
        <v>13</v>
      </c>
      <c r="J259" s="21">
        <v>1</v>
      </c>
      <c r="K259" s="14" t="s">
        <v>832</v>
      </c>
      <c r="L259" s="13"/>
      <c r="M259" s="46" t="s">
        <v>759</v>
      </c>
      <c r="N259" s="51">
        <v>165.19889081271859</v>
      </c>
      <c r="O259" s="63">
        <v>0.42996966220247174</v>
      </c>
      <c r="P259" s="63">
        <v>0.40246483179115661</v>
      </c>
    </row>
    <row r="260" spans="1:16" s="15" customFormat="1" thickBot="1" x14ac:dyDescent="0.25">
      <c r="A260" s="17">
        <v>2401211000</v>
      </c>
      <c r="B260" s="18" t="s">
        <v>533</v>
      </c>
      <c r="C260" s="18" t="s">
        <v>265</v>
      </c>
      <c r="D260" s="18"/>
      <c r="E260" s="18">
        <v>6</v>
      </c>
      <c r="F260" s="69">
        <v>4922.0108492396221</v>
      </c>
      <c r="G260" s="70">
        <v>572.9474892817999</v>
      </c>
      <c r="H260" s="19">
        <v>1.67</v>
      </c>
      <c r="I260" s="19" t="s">
        <v>13</v>
      </c>
      <c r="J260" s="21">
        <v>1</v>
      </c>
      <c r="K260" s="14" t="s">
        <v>831</v>
      </c>
      <c r="L260" s="13" t="s">
        <v>513</v>
      </c>
      <c r="M260" s="46">
        <v>0</v>
      </c>
      <c r="N260" s="51">
        <v>375.66237885914768</v>
      </c>
      <c r="O260" s="63">
        <v>0.77536666113579933</v>
      </c>
      <c r="P260" s="63">
        <v>0.77515155300024752</v>
      </c>
    </row>
    <row r="261" spans="1:16" s="15" customFormat="1" thickBot="1" x14ac:dyDescent="0.25">
      <c r="A261" s="17">
        <v>2402020000</v>
      </c>
      <c r="B261" s="18" t="s">
        <v>534</v>
      </c>
      <c r="C261" s="18" t="s">
        <v>535</v>
      </c>
      <c r="D261" s="18"/>
      <c r="E261" s="18">
        <v>1566</v>
      </c>
      <c r="F261" s="69">
        <v>7556.7315014673068</v>
      </c>
      <c r="G261" s="70">
        <v>625.93505583435717</v>
      </c>
      <c r="H261" s="19">
        <v>1.35</v>
      </c>
      <c r="I261" s="19" t="s">
        <v>13</v>
      </c>
      <c r="J261" s="21">
        <v>1</v>
      </c>
      <c r="K261" s="14" t="s">
        <v>832</v>
      </c>
      <c r="L261" s="13"/>
      <c r="M261" s="46" t="s">
        <v>737</v>
      </c>
      <c r="N261" s="51">
        <v>520.44922270292182</v>
      </c>
      <c r="O261" s="63">
        <v>0.46792838908575896</v>
      </c>
      <c r="P261" s="63">
        <v>0.48087749558943177</v>
      </c>
    </row>
    <row r="262" spans="1:16" s="15" customFormat="1" thickBot="1" x14ac:dyDescent="0.25">
      <c r="A262" s="17">
        <v>2402023000</v>
      </c>
      <c r="B262" s="18" t="s">
        <v>536</v>
      </c>
      <c r="C262" s="18" t="s">
        <v>506</v>
      </c>
      <c r="D262" s="18"/>
      <c r="E262" s="18">
        <v>20670</v>
      </c>
      <c r="F262" s="69">
        <v>313.10631473438372</v>
      </c>
      <c r="G262" s="70">
        <v>137.90693040253825</v>
      </c>
      <c r="H262" s="19">
        <v>1.56</v>
      </c>
      <c r="I262" s="19" t="s">
        <v>13</v>
      </c>
      <c r="J262" s="21">
        <v>1</v>
      </c>
      <c r="K262" s="14" t="s">
        <v>832</v>
      </c>
      <c r="L262" s="13"/>
      <c r="M262" s="46" t="s">
        <v>738</v>
      </c>
      <c r="N262" s="51">
        <v>253.97560229157884</v>
      </c>
      <c r="O262" s="63">
        <v>1</v>
      </c>
      <c r="P262" s="63">
        <v>1</v>
      </c>
    </row>
    <row r="263" spans="1:16" s="15" customFormat="1" thickBot="1" x14ac:dyDescent="0.25">
      <c r="A263" s="17">
        <v>2402024000</v>
      </c>
      <c r="B263" s="18" t="s">
        <v>537</v>
      </c>
      <c r="C263" s="18" t="s">
        <v>538</v>
      </c>
      <c r="D263" s="18"/>
      <c r="E263" s="18">
        <v>565</v>
      </c>
      <c r="F263" s="69">
        <v>1212.2834237151778</v>
      </c>
      <c r="G263" s="70">
        <v>533.9473459175199</v>
      </c>
      <c r="H263" s="19">
        <v>6.04</v>
      </c>
      <c r="I263" s="25" t="s">
        <v>13</v>
      </c>
      <c r="J263" s="21">
        <v>1</v>
      </c>
      <c r="K263" s="14" t="s">
        <v>831</v>
      </c>
      <c r="L263" s="13" t="s">
        <v>539</v>
      </c>
      <c r="M263" s="46">
        <v>0</v>
      </c>
      <c r="N263" s="51">
        <v>253.97560229157884</v>
      </c>
      <c r="O263" s="63">
        <v>1</v>
      </c>
      <c r="P263" s="63">
        <v>1</v>
      </c>
    </row>
    <row r="264" spans="1:16" s="15" customFormat="1" thickBot="1" x14ac:dyDescent="0.25">
      <c r="A264" s="17">
        <v>2402215000</v>
      </c>
      <c r="B264" s="18" t="s">
        <v>540</v>
      </c>
      <c r="C264" s="18" t="s">
        <v>265</v>
      </c>
      <c r="D264" s="18"/>
      <c r="E264" s="18">
        <v>448</v>
      </c>
      <c r="F264" s="69">
        <v>4843.8741046589712</v>
      </c>
      <c r="G264" s="70">
        <v>521.72233404214137</v>
      </c>
      <c r="H264" s="19">
        <v>1.45</v>
      </c>
      <c r="I264" s="19" t="s">
        <v>13</v>
      </c>
      <c r="J264" s="21">
        <v>1</v>
      </c>
      <c r="K264" s="14" t="s">
        <v>832</v>
      </c>
      <c r="L264" s="13"/>
      <c r="M264" s="46" t="s">
        <v>776</v>
      </c>
      <c r="N264" s="51">
        <v>661.08133736337561</v>
      </c>
      <c r="O264" s="63">
        <v>0.99137291396644467</v>
      </c>
      <c r="P264" s="63">
        <v>0.99818517014102026</v>
      </c>
    </row>
    <row r="265" spans="1:16" s="15" customFormat="1" thickBot="1" x14ac:dyDescent="0.25">
      <c r="A265" s="17">
        <v>2402216000</v>
      </c>
      <c r="B265" s="18" t="s">
        <v>541</v>
      </c>
      <c r="C265" s="18" t="s">
        <v>542</v>
      </c>
      <c r="D265" s="18"/>
      <c r="E265" s="18">
        <v>25</v>
      </c>
      <c r="F265" s="69">
        <v>16844.393959411169</v>
      </c>
      <c r="G265" s="70">
        <v>1814.2702188681392</v>
      </c>
      <c r="H265" s="58">
        <v>5.0423216444981849</v>
      </c>
      <c r="I265" s="25" t="s">
        <v>19</v>
      </c>
      <c r="J265" s="21">
        <v>1</v>
      </c>
      <c r="K265" s="14" t="s">
        <v>831</v>
      </c>
      <c r="L265" s="13" t="s">
        <v>540</v>
      </c>
      <c r="M265" s="46">
        <v>0</v>
      </c>
      <c r="N265" s="51">
        <v>661.08133736337561</v>
      </c>
      <c r="O265" s="63">
        <v>0.99137291396644467</v>
      </c>
      <c r="P265" s="63">
        <v>0.99818517014102026</v>
      </c>
    </row>
    <row r="266" spans="1:16" s="15" customFormat="1" thickBot="1" x14ac:dyDescent="0.25">
      <c r="A266" s="17">
        <v>2402217000</v>
      </c>
      <c r="B266" s="18" t="s">
        <v>543</v>
      </c>
      <c r="C266" s="18" t="s">
        <v>23</v>
      </c>
      <c r="D266" s="18"/>
      <c r="E266" s="18">
        <v>6269</v>
      </c>
      <c r="F266" s="69">
        <v>6280.3333219026663</v>
      </c>
      <c r="G266" s="70">
        <v>676.43999172360407</v>
      </c>
      <c r="H266" s="19">
        <v>1.88</v>
      </c>
      <c r="I266" s="25" t="s">
        <v>544</v>
      </c>
      <c r="J266" s="21">
        <v>1</v>
      </c>
      <c r="K266" s="14" t="s">
        <v>831</v>
      </c>
      <c r="L266" s="13" t="s">
        <v>540</v>
      </c>
      <c r="M266" s="46">
        <v>0</v>
      </c>
      <c r="N266" s="51">
        <v>661.08133736337561</v>
      </c>
      <c r="O266" s="63">
        <v>0.99137291396644467</v>
      </c>
      <c r="P266" s="63">
        <v>0.99818517014102026</v>
      </c>
    </row>
    <row r="267" spans="1:16" s="15" customFormat="1" thickBot="1" x14ac:dyDescent="0.25">
      <c r="A267" s="17">
        <v>2402245000</v>
      </c>
      <c r="B267" s="18" t="s">
        <v>545</v>
      </c>
      <c r="C267" s="18" t="s">
        <v>546</v>
      </c>
      <c r="D267" s="18"/>
      <c r="E267" s="18">
        <v>266</v>
      </c>
      <c r="F267" s="69">
        <v>627.58097005945001</v>
      </c>
      <c r="G267" s="70">
        <v>68.097292099034419</v>
      </c>
      <c r="H267" s="56">
        <v>1.49</v>
      </c>
      <c r="I267" s="19" t="s">
        <v>13</v>
      </c>
      <c r="J267" s="21">
        <v>1</v>
      </c>
      <c r="K267" s="14" t="s">
        <v>832</v>
      </c>
      <c r="L267" s="13"/>
      <c r="M267" s="46" t="s">
        <v>785</v>
      </c>
      <c r="N267" s="51">
        <v>204.37122563854837</v>
      </c>
      <c r="O267" s="63">
        <v>0.98092904921629287</v>
      </c>
      <c r="P267" s="63">
        <v>0.99579438904669693</v>
      </c>
    </row>
    <row r="268" spans="1:16" s="15" customFormat="1" thickBot="1" x14ac:dyDescent="0.25">
      <c r="A268" s="17">
        <v>2402246000</v>
      </c>
      <c r="B268" s="18" t="s">
        <v>547</v>
      </c>
      <c r="C268" s="18" t="s">
        <v>542</v>
      </c>
      <c r="D268" s="18"/>
      <c r="E268" s="18">
        <v>121</v>
      </c>
      <c r="F268" s="69">
        <v>4506.7895165343052</v>
      </c>
      <c r="G268" s="70">
        <v>489.02082245615321</v>
      </c>
      <c r="H268" s="19">
        <v>10.7</v>
      </c>
      <c r="I268" s="25" t="s">
        <v>13</v>
      </c>
      <c r="J268" s="21">
        <v>1</v>
      </c>
      <c r="K268" s="14" t="s">
        <v>831</v>
      </c>
      <c r="L268" s="13" t="s">
        <v>548</v>
      </c>
      <c r="M268" s="46">
        <v>0</v>
      </c>
      <c r="N268" s="51">
        <v>204.37122563854837</v>
      </c>
      <c r="O268" s="63">
        <v>0.98092904921629287</v>
      </c>
      <c r="P268" s="63">
        <v>0.99579438904669693</v>
      </c>
    </row>
    <row r="269" spans="1:16" s="15" customFormat="1" thickBot="1" x14ac:dyDescent="0.25">
      <c r="A269" s="17">
        <v>2402247000</v>
      </c>
      <c r="B269" s="18" t="s">
        <v>549</v>
      </c>
      <c r="C269" s="18" t="s">
        <v>23</v>
      </c>
      <c r="D269" s="18"/>
      <c r="E269" s="18">
        <v>38</v>
      </c>
      <c r="F269" s="69">
        <v>627.58097005945001</v>
      </c>
      <c r="G269" s="70">
        <v>68.097292099034419</v>
      </c>
      <c r="H269" s="19">
        <v>1.49</v>
      </c>
      <c r="I269" s="25" t="s">
        <v>13</v>
      </c>
      <c r="J269" s="21">
        <v>1</v>
      </c>
      <c r="K269" s="14" t="s">
        <v>831</v>
      </c>
      <c r="L269" s="13" t="s">
        <v>548</v>
      </c>
      <c r="M269" s="46">
        <v>0</v>
      </c>
      <c r="N269" s="51">
        <v>204.37122563854837</v>
      </c>
      <c r="O269" s="63">
        <v>0.98092904921629287</v>
      </c>
      <c r="P269" s="63">
        <v>0.99579438904669693</v>
      </c>
    </row>
    <row r="270" spans="1:16" s="15" customFormat="1" thickBot="1" x14ac:dyDescent="0.25">
      <c r="A270" s="17">
        <v>2402277000</v>
      </c>
      <c r="B270" s="18" t="s">
        <v>550</v>
      </c>
      <c r="C270" s="18" t="s">
        <v>551</v>
      </c>
      <c r="D270" s="18"/>
      <c r="E270" s="18">
        <v>48</v>
      </c>
      <c r="F270" s="69">
        <v>3960.2986070406828</v>
      </c>
      <c r="G270" s="70">
        <v>605.74327289780308</v>
      </c>
      <c r="H270" s="19">
        <v>1.19</v>
      </c>
      <c r="I270" s="19" t="s">
        <v>13</v>
      </c>
      <c r="J270" s="21">
        <v>1</v>
      </c>
      <c r="K270" s="14" t="s">
        <v>831</v>
      </c>
      <c r="L270" s="13" t="s">
        <v>314</v>
      </c>
      <c r="M270" s="46">
        <v>0</v>
      </c>
      <c r="N270" s="51">
        <v>155.87895220601931</v>
      </c>
      <c r="O270" s="63">
        <v>4.7907666648737558E-2</v>
      </c>
      <c r="P270" s="63">
        <v>0.12483896828758186</v>
      </c>
    </row>
    <row r="271" spans="1:16" s="15" customFormat="1" thickBot="1" x14ac:dyDescent="0.25">
      <c r="A271" s="17">
        <v>2402283000</v>
      </c>
      <c r="B271" s="18" t="s">
        <v>552</v>
      </c>
      <c r="C271" s="18" t="s">
        <v>553</v>
      </c>
      <c r="D271" s="18"/>
      <c r="E271" s="18">
        <v>334</v>
      </c>
      <c r="F271" s="69">
        <v>415.47692362121433</v>
      </c>
      <c r="G271" s="70">
        <v>329.47258573609048</v>
      </c>
      <c r="H271" s="19">
        <v>1.54</v>
      </c>
      <c r="I271" s="25" t="s">
        <v>13</v>
      </c>
      <c r="J271" s="21">
        <v>1</v>
      </c>
      <c r="K271" s="14" t="s">
        <v>832</v>
      </c>
      <c r="L271" s="13"/>
      <c r="M271" s="46" t="s">
        <v>793</v>
      </c>
      <c r="N271" s="51">
        <v>921.72719062335136</v>
      </c>
      <c r="O271" s="63">
        <v>1</v>
      </c>
      <c r="P271" s="63">
        <v>1</v>
      </c>
    </row>
    <row r="272" spans="1:16" s="15" customFormat="1" thickBot="1" x14ac:dyDescent="0.25">
      <c r="A272" s="17">
        <v>2402284000</v>
      </c>
      <c r="B272" s="18" t="s">
        <v>554</v>
      </c>
      <c r="C272" s="18" t="s">
        <v>555</v>
      </c>
      <c r="D272" s="18"/>
      <c r="E272" s="18">
        <v>12</v>
      </c>
      <c r="F272" s="69">
        <v>851.72769342348931</v>
      </c>
      <c r="G272" s="70">
        <v>675.41880075898553</v>
      </c>
      <c r="H272" s="19">
        <v>3.157</v>
      </c>
      <c r="I272" s="25" t="s">
        <v>13</v>
      </c>
      <c r="J272" s="21">
        <v>1</v>
      </c>
      <c r="K272" s="14" t="s">
        <v>831</v>
      </c>
      <c r="L272" s="13" t="s">
        <v>843</v>
      </c>
      <c r="M272" s="46">
        <v>0</v>
      </c>
      <c r="N272" s="51">
        <v>921.72719062335136</v>
      </c>
      <c r="O272" s="63">
        <v>1</v>
      </c>
      <c r="P272" s="63">
        <v>1</v>
      </c>
    </row>
    <row r="273" spans="1:16" s="15" customFormat="1" thickBot="1" x14ac:dyDescent="0.25">
      <c r="A273" s="17">
        <v>2402289000</v>
      </c>
      <c r="B273" s="18" t="s">
        <v>556</v>
      </c>
      <c r="C273" s="18" t="s">
        <v>546</v>
      </c>
      <c r="D273" s="18" t="s">
        <v>557</v>
      </c>
      <c r="E273" s="18">
        <v>39</v>
      </c>
      <c r="F273" s="69">
        <v>5957.0878206746411</v>
      </c>
      <c r="G273" s="70">
        <v>911.16004914879636</v>
      </c>
      <c r="H273" s="19">
        <v>1.79</v>
      </c>
      <c r="I273" s="25" t="s">
        <v>13</v>
      </c>
      <c r="J273" s="21">
        <v>1</v>
      </c>
      <c r="K273" s="14" t="s">
        <v>831</v>
      </c>
      <c r="L273" s="13" t="s">
        <v>314</v>
      </c>
      <c r="M273" s="46">
        <v>0</v>
      </c>
      <c r="N273" s="51">
        <v>155.87895220601931</v>
      </c>
      <c r="O273" s="63">
        <v>4.7907666648737558E-2</v>
      </c>
      <c r="P273" s="63">
        <v>0.12483896828758186</v>
      </c>
    </row>
    <row r="274" spans="1:16" s="15" customFormat="1" thickBot="1" x14ac:dyDescent="0.25">
      <c r="A274" s="17">
        <v>2402290000</v>
      </c>
      <c r="B274" s="18" t="s">
        <v>558</v>
      </c>
      <c r="C274" s="18" t="s">
        <v>482</v>
      </c>
      <c r="D274" s="18" t="s">
        <v>483</v>
      </c>
      <c r="E274" s="18">
        <v>41</v>
      </c>
      <c r="F274" s="69">
        <v>11914.175641349282</v>
      </c>
      <c r="G274" s="70">
        <v>1822.3200982975927</v>
      </c>
      <c r="H274" s="19">
        <v>3.58</v>
      </c>
      <c r="I274" s="25" t="s">
        <v>13</v>
      </c>
      <c r="J274" s="21">
        <v>1</v>
      </c>
      <c r="K274" s="14" t="s">
        <v>831</v>
      </c>
      <c r="L274" s="13" t="s">
        <v>314</v>
      </c>
      <c r="M274" s="46">
        <v>0</v>
      </c>
      <c r="N274" s="51">
        <v>155.87895220601931</v>
      </c>
      <c r="O274" s="63">
        <v>4.7907666648737558E-2</v>
      </c>
      <c r="P274" s="63">
        <v>0.12483896828758186</v>
      </c>
    </row>
    <row r="275" spans="1:16" s="15" customFormat="1" thickBot="1" x14ac:dyDescent="0.25">
      <c r="A275" s="17">
        <v>2403060000</v>
      </c>
      <c r="B275" s="18" t="s">
        <v>559</v>
      </c>
      <c r="C275" s="18" t="s">
        <v>265</v>
      </c>
      <c r="D275" s="18"/>
      <c r="E275" s="18">
        <v>1</v>
      </c>
      <c r="F275" s="69">
        <v>3772.5592137884528</v>
      </c>
      <c r="G275" s="70">
        <v>439.14538100640954</v>
      </c>
      <c r="H275" s="19">
        <v>1.28</v>
      </c>
      <c r="I275" s="19" t="s">
        <v>13</v>
      </c>
      <c r="J275" s="21">
        <v>1</v>
      </c>
      <c r="K275" s="14" t="s">
        <v>831</v>
      </c>
      <c r="L275" s="13" t="s">
        <v>513</v>
      </c>
      <c r="M275" s="46">
        <v>0</v>
      </c>
      <c r="N275" s="51">
        <v>375.66237885914768</v>
      </c>
      <c r="O275" s="63">
        <v>0.77536666113579933</v>
      </c>
      <c r="P275" s="63">
        <v>0.77515155300024752</v>
      </c>
    </row>
    <row r="276" spans="1:16" s="15" customFormat="1" thickBot="1" x14ac:dyDescent="0.25">
      <c r="A276" s="17">
        <v>2403279000</v>
      </c>
      <c r="B276" s="18" t="s">
        <v>560</v>
      </c>
      <c r="C276" s="18" t="s">
        <v>561</v>
      </c>
      <c r="D276" s="18"/>
      <c r="E276" s="18">
        <v>2681</v>
      </c>
      <c r="F276" s="69">
        <v>124.56910395147389</v>
      </c>
      <c r="G276" s="70">
        <v>32.009191346305435</v>
      </c>
      <c r="H276" s="19">
        <v>1.96</v>
      </c>
      <c r="I276" s="19" t="s">
        <v>13</v>
      </c>
      <c r="J276" s="21">
        <v>1</v>
      </c>
      <c r="K276" s="14" t="s">
        <v>832</v>
      </c>
      <c r="L276" s="13"/>
      <c r="M276" s="46" t="s">
        <v>791</v>
      </c>
      <c r="N276" s="51">
        <v>125.09973398265056</v>
      </c>
      <c r="O276" s="63">
        <v>0.97387318139090684</v>
      </c>
      <c r="P276" s="63">
        <v>0.92177701959287051</v>
      </c>
    </row>
    <row r="277" spans="1:16" s="15" customFormat="1" thickBot="1" x14ac:dyDescent="0.25">
      <c r="A277" s="17">
        <v>2403280000</v>
      </c>
      <c r="B277" s="18" t="s">
        <v>562</v>
      </c>
      <c r="C277" s="18" t="s">
        <v>555</v>
      </c>
      <c r="D277" s="18"/>
      <c r="E277" s="18">
        <v>125</v>
      </c>
      <c r="F277" s="69">
        <v>616.48995322923304</v>
      </c>
      <c r="G277" s="70">
        <v>158.41283472406261</v>
      </c>
      <c r="H277" s="19">
        <v>9.6999999999999993</v>
      </c>
      <c r="I277" s="25" t="s">
        <v>13</v>
      </c>
      <c r="J277" s="21">
        <v>1</v>
      </c>
      <c r="K277" s="14" t="s">
        <v>831</v>
      </c>
      <c r="L277" s="13" t="s">
        <v>544</v>
      </c>
      <c r="M277" s="46">
        <v>0</v>
      </c>
      <c r="N277" s="51">
        <v>125.09973398265056</v>
      </c>
      <c r="O277" s="63">
        <v>0.97387318139090684</v>
      </c>
      <c r="P277" s="63">
        <v>0.92177701959287051</v>
      </c>
    </row>
    <row r="278" spans="1:16" s="15" customFormat="1" thickBot="1" x14ac:dyDescent="0.25">
      <c r="A278" s="17">
        <v>2403281000</v>
      </c>
      <c r="B278" s="18" t="s">
        <v>563</v>
      </c>
      <c r="C278" s="18" t="s">
        <v>23</v>
      </c>
      <c r="D278" s="18"/>
      <c r="E278" s="18">
        <v>8553</v>
      </c>
      <c r="F278" s="69">
        <v>119.48465072896475</v>
      </c>
      <c r="G278" s="70">
        <v>30.702693740333785</v>
      </c>
      <c r="H278" s="19">
        <v>1.88</v>
      </c>
      <c r="I278" s="25" t="s">
        <v>13</v>
      </c>
      <c r="J278" s="21">
        <v>1</v>
      </c>
      <c r="K278" s="14" t="s">
        <v>831</v>
      </c>
      <c r="L278" s="13" t="s">
        <v>544</v>
      </c>
      <c r="M278" s="46">
        <v>0</v>
      </c>
      <c r="N278" s="51">
        <v>125.09973398265056</v>
      </c>
      <c r="O278" s="63">
        <v>0.97387318139090684</v>
      </c>
      <c r="P278" s="63">
        <v>0.92177701959287051</v>
      </c>
    </row>
    <row r="279" spans="1:16" s="15" customFormat="1" thickBot="1" x14ac:dyDescent="0.25">
      <c r="A279" s="17">
        <v>2403346000</v>
      </c>
      <c r="B279" s="18" t="s">
        <v>564</v>
      </c>
      <c r="C279" s="18" t="s">
        <v>265</v>
      </c>
      <c r="D279" s="18"/>
      <c r="E279" s="18">
        <v>4</v>
      </c>
      <c r="F279" s="69">
        <v>4391.4947098006205</v>
      </c>
      <c r="G279" s="70">
        <v>511.19267007777358</v>
      </c>
      <c r="H279" s="19">
        <v>1.49</v>
      </c>
      <c r="I279" s="19" t="s">
        <v>13</v>
      </c>
      <c r="J279" s="21">
        <v>1</v>
      </c>
      <c r="K279" s="14" t="s">
        <v>831</v>
      </c>
      <c r="L279" s="13" t="s">
        <v>513</v>
      </c>
      <c r="M279" s="46">
        <v>0</v>
      </c>
      <c r="N279" s="51">
        <v>375.66237885914768</v>
      </c>
      <c r="O279" s="63">
        <v>0.77536666113579933</v>
      </c>
      <c r="P279" s="63">
        <v>0.77515155300024752</v>
      </c>
    </row>
    <row r="280" spans="1:16" s="15" customFormat="1" thickBot="1" x14ac:dyDescent="0.25">
      <c r="A280" s="17">
        <v>2405252000</v>
      </c>
      <c r="B280" s="18" t="s">
        <v>565</v>
      </c>
      <c r="C280" s="18" t="s">
        <v>269</v>
      </c>
      <c r="D280" s="18"/>
      <c r="E280" s="18">
        <v>3</v>
      </c>
      <c r="F280" s="69">
        <v>3772.5592137884528</v>
      </c>
      <c r="G280" s="70">
        <v>439.14538100640954</v>
      </c>
      <c r="H280" s="19">
        <v>1.28</v>
      </c>
      <c r="I280" s="25" t="s">
        <v>13</v>
      </c>
      <c r="J280" s="21">
        <v>1</v>
      </c>
      <c r="K280" s="14" t="s">
        <v>831</v>
      </c>
      <c r="L280" s="13" t="s">
        <v>513</v>
      </c>
      <c r="M280" s="46">
        <v>0</v>
      </c>
      <c r="N280" s="51">
        <v>375.66237885914768</v>
      </c>
      <c r="O280" s="63">
        <v>0.77536666113579933</v>
      </c>
      <c r="P280" s="63">
        <v>0.77515155300024752</v>
      </c>
    </row>
    <row r="281" spans="1:16" s="15" customFormat="1" thickBot="1" x14ac:dyDescent="0.25">
      <c r="A281" s="17">
        <v>2405253000</v>
      </c>
      <c r="B281" s="18" t="s">
        <v>566</v>
      </c>
      <c r="C281" s="18" t="s">
        <v>23</v>
      </c>
      <c r="D281" s="18"/>
      <c r="E281" s="18">
        <v>6353</v>
      </c>
      <c r="F281" s="69">
        <v>5540.9463452517903</v>
      </c>
      <c r="G281" s="70">
        <v>644.99477835316395</v>
      </c>
      <c r="H281" s="19">
        <v>1.88</v>
      </c>
      <c r="I281" s="25" t="s">
        <v>13</v>
      </c>
      <c r="J281" s="21">
        <v>1</v>
      </c>
      <c r="K281" s="14" t="s">
        <v>831</v>
      </c>
      <c r="L281" s="13" t="s">
        <v>513</v>
      </c>
      <c r="M281" s="46">
        <v>0</v>
      </c>
      <c r="N281" s="51">
        <v>375.66237885914768</v>
      </c>
      <c r="O281" s="63">
        <v>0.77536666113579933</v>
      </c>
      <c r="P281" s="63">
        <v>0.77515155300024752</v>
      </c>
    </row>
    <row r="282" spans="1:16" s="15" customFormat="1" thickBot="1" x14ac:dyDescent="0.25">
      <c r="A282" s="17">
        <v>3100044000</v>
      </c>
      <c r="B282" s="18" t="s">
        <v>567</v>
      </c>
      <c r="C282" s="18" t="s">
        <v>568</v>
      </c>
      <c r="D282" s="18" t="s">
        <v>569</v>
      </c>
      <c r="E282" s="18">
        <v>29164</v>
      </c>
      <c r="F282" s="69">
        <v>9685.1581635641141</v>
      </c>
      <c r="G282" s="70">
        <v>1447.1234688746854</v>
      </c>
      <c r="H282" s="19">
        <v>1</v>
      </c>
      <c r="I282" s="25" t="s">
        <v>26</v>
      </c>
      <c r="J282" s="21">
        <v>1</v>
      </c>
      <c r="K282" s="14" t="s">
        <v>832</v>
      </c>
      <c r="L282" s="13"/>
      <c r="M282" s="46" t="s">
        <v>828</v>
      </c>
      <c r="N282" s="51">
        <v>5585.5833181296366</v>
      </c>
      <c r="O282" s="63">
        <v>0</v>
      </c>
      <c r="P282" s="63">
        <v>0</v>
      </c>
    </row>
    <row r="283" spans="1:16" s="15" customFormat="1" thickBot="1" x14ac:dyDescent="0.25">
      <c r="A283" s="17">
        <v>3100045000</v>
      </c>
      <c r="B283" s="18" t="s">
        <v>570</v>
      </c>
      <c r="C283" s="18" t="s">
        <v>571</v>
      </c>
      <c r="D283" s="18"/>
      <c r="E283" s="18">
        <v>414</v>
      </c>
      <c r="F283" s="69">
        <v>13365.518265718476</v>
      </c>
      <c r="G283" s="70">
        <v>1997.0303870470657</v>
      </c>
      <c r="H283" s="19">
        <v>1.38</v>
      </c>
      <c r="I283" s="25" t="s">
        <v>13</v>
      </c>
      <c r="J283" s="21">
        <v>1</v>
      </c>
      <c r="K283" s="14" t="s">
        <v>832</v>
      </c>
      <c r="L283" s="13"/>
      <c r="M283" s="46" t="s">
        <v>828</v>
      </c>
      <c r="N283" s="51">
        <v>5585.5833181296366</v>
      </c>
      <c r="O283" s="63">
        <v>0</v>
      </c>
      <c r="P283" s="63">
        <v>0</v>
      </c>
    </row>
    <row r="284" spans="1:16" s="15" customFormat="1" thickBot="1" x14ac:dyDescent="0.25">
      <c r="A284" s="17">
        <v>3100046000</v>
      </c>
      <c r="B284" s="18" t="s">
        <v>572</v>
      </c>
      <c r="C284" s="18" t="s">
        <v>573</v>
      </c>
      <c r="D284" s="18" t="s">
        <v>574</v>
      </c>
      <c r="E284" s="18">
        <v>26546</v>
      </c>
      <c r="F284" s="69">
        <v>9685.1581635641141</v>
      </c>
      <c r="G284" s="70">
        <v>1447.1234688746854</v>
      </c>
      <c r="H284" s="19">
        <v>1</v>
      </c>
      <c r="I284" s="25" t="s">
        <v>26</v>
      </c>
      <c r="J284" s="21">
        <v>1</v>
      </c>
      <c r="K284" s="14" t="s">
        <v>832</v>
      </c>
      <c r="L284" s="13"/>
      <c r="M284" s="46" t="s">
        <v>828</v>
      </c>
      <c r="N284" s="51">
        <v>5585.5833181296366</v>
      </c>
      <c r="O284" s="63">
        <v>0</v>
      </c>
      <c r="P284" s="63">
        <v>0</v>
      </c>
    </row>
    <row r="285" spans="1:16" s="15" customFormat="1" thickBot="1" x14ac:dyDescent="0.25">
      <c r="A285" s="17">
        <v>3100047000</v>
      </c>
      <c r="B285" s="18" t="s">
        <v>575</v>
      </c>
      <c r="C285" s="18" t="s">
        <v>576</v>
      </c>
      <c r="D285" s="18"/>
      <c r="E285" s="18">
        <v>32127</v>
      </c>
      <c r="F285" s="69">
        <v>9685.1581635641141</v>
      </c>
      <c r="G285" s="70">
        <v>1447.1234688746854</v>
      </c>
      <c r="H285" s="19">
        <v>1</v>
      </c>
      <c r="I285" s="25" t="s">
        <v>26</v>
      </c>
      <c r="J285" s="21">
        <v>1</v>
      </c>
      <c r="K285" s="14" t="s">
        <v>832</v>
      </c>
      <c r="L285" s="13"/>
      <c r="M285" s="46" t="s">
        <v>828</v>
      </c>
      <c r="N285" s="51">
        <v>5585.5833181296366</v>
      </c>
      <c r="O285" s="63">
        <v>0</v>
      </c>
      <c r="P285" s="63">
        <v>0</v>
      </c>
    </row>
    <row r="286" spans="1:16" s="15" customFormat="1" thickBot="1" x14ac:dyDescent="0.25">
      <c r="A286" s="17">
        <v>3100049000</v>
      </c>
      <c r="B286" s="18" t="s">
        <v>577</v>
      </c>
      <c r="C286" s="18" t="s">
        <v>578</v>
      </c>
      <c r="D286" s="18"/>
      <c r="E286" s="18">
        <v>84</v>
      </c>
      <c r="F286" s="69">
        <v>9685.1581635641141</v>
      </c>
      <c r="G286" s="70">
        <v>1447.1234688746854</v>
      </c>
      <c r="H286" s="19">
        <v>1</v>
      </c>
      <c r="I286" s="25" t="s">
        <v>26</v>
      </c>
      <c r="J286" s="21">
        <v>1</v>
      </c>
      <c r="K286" s="14" t="s">
        <v>832</v>
      </c>
      <c r="L286" s="13"/>
      <c r="M286" s="46" t="s">
        <v>828</v>
      </c>
      <c r="N286" s="51">
        <v>5585.5833181296366</v>
      </c>
      <c r="O286" s="63">
        <v>0</v>
      </c>
      <c r="P286" s="63">
        <v>0</v>
      </c>
    </row>
    <row r="287" spans="1:16" s="15" customFormat="1" thickBot="1" x14ac:dyDescent="0.25">
      <c r="A287" s="17">
        <v>3200169000</v>
      </c>
      <c r="B287" s="18" t="s">
        <v>579</v>
      </c>
      <c r="C287" s="18" t="s">
        <v>580</v>
      </c>
      <c r="D287" s="18"/>
      <c r="E287" s="18">
        <v>45</v>
      </c>
      <c r="F287" s="69">
        <v>9685.1581635641141</v>
      </c>
      <c r="G287" s="70">
        <v>1447.1234688746854</v>
      </c>
      <c r="H287" s="19">
        <v>1</v>
      </c>
      <c r="I287" s="25" t="s">
        <v>26</v>
      </c>
      <c r="J287" s="21">
        <v>1</v>
      </c>
      <c r="K287" s="47" t="s">
        <v>831</v>
      </c>
      <c r="L287" s="58" t="s">
        <v>730</v>
      </c>
      <c r="M287" s="46">
        <v>0</v>
      </c>
      <c r="N287" s="51">
        <v>5585.5833181296366</v>
      </c>
      <c r="O287" s="63">
        <v>0</v>
      </c>
      <c r="P287" s="63">
        <v>0</v>
      </c>
    </row>
    <row r="288" spans="1:16" s="15" customFormat="1" thickBot="1" x14ac:dyDescent="0.25">
      <c r="A288" s="17">
        <v>3200170000</v>
      </c>
      <c r="B288" s="18" t="s">
        <v>581</v>
      </c>
      <c r="C288" s="18" t="s">
        <v>582</v>
      </c>
      <c r="D288" s="18" t="s">
        <v>583</v>
      </c>
      <c r="E288" s="18">
        <v>1</v>
      </c>
      <c r="F288" s="69">
        <v>9685.1581635641141</v>
      </c>
      <c r="G288" s="70">
        <v>1447.1234688746854</v>
      </c>
      <c r="H288" s="19">
        <v>1</v>
      </c>
      <c r="I288" s="25" t="s">
        <v>26</v>
      </c>
      <c r="J288" s="21">
        <v>1</v>
      </c>
      <c r="K288" s="47" t="s">
        <v>831</v>
      </c>
      <c r="L288" s="49" t="s">
        <v>730</v>
      </c>
      <c r="M288" s="46">
        <v>0</v>
      </c>
      <c r="N288" s="51">
        <v>5585.5833181296366</v>
      </c>
      <c r="O288" s="63">
        <v>0</v>
      </c>
      <c r="P288" s="63">
        <v>0</v>
      </c>
    </row>
    <row r="289" spans="1:16" s="15" customFormat="1" thickBot="1" x14ac:dyDescent="0.25">
      <c r="A289" s="17">
        <v>3200171000</v>
      </c>
      <c r="B289" s="18" t="s">
        <v>584</v>
      </c>
      <c r="C289" s="18" t="s">
        <v>585</v>
      </c>
      <c r="D289" s="18"/>
      <c r="E289" s="18">
        <v>45</v>
      </c>
      <c r="F289" s="69">
        <v>9685.1581635641141</v>
      </c>
      <c r="G289" s="70">
        <v>1447.1234688746854</v>
      </c>
      <c r="H289" s="19">
        <v>1</v>
      </c>
      <c r="I289" s="25" t="s">
        <v>26</v>
      </c>
      <c r="J289" s="21">
        <v>1</v>
      </c>
      <c r="K289" s="47" t="s">
        <v>831</v>
      </c>
      <c r="L289" s="49" t="s">
        <v>730</v>
      </c>
      <c r="M289" s="46">
        <v>0</v>
      </c>
      <c r="N289" s="51">
        <v>5585.5833181296366</v>
      </c>
      <c r="O289" s="63">
        <v>0</v>
      </c>
      <c r="P289" s="63">
        <v>0</v>
      </c>
    </row>
    <row r="290" spans="1:16" s="15" customFormat="1" thickBot="1" x14ac:dyDescent="0.25">
      <c r="A290" s="17">
        <v>3400290000</v>
      </c>
      <c r="B290" s="18" t="s">
        <v>586</v>
      </c>
      <c r="C290" s="18" t="s">
        <v>580</v>
      </c>
      <c r="D290" s="18"/>
      <c r="E290" s="18">
        <v>24279</v>
      </c>
      <c r="F290" s="69">
        <v>1875.7176930201724</v>
      </c>
      <c r="G290" s="70">
        <v>801.80629364194897</v>
      </c>
      <c r="H290" s="19">
        <v>1</v>
      </c>
      <c r="I290" s="25" t="s">
        <v>26</v>
      </c>
      <c r="J290" s="21">
        <v>1</v>
      </c>
      <c r="K290" s="14" t="s">
        <v>832</v>
      </c>
      <c r="L290" s="13"/>
      <c r="M290" s="46" t="s">
        <v>826</v>
      </c>
      <c r="N290" s="51">
        <v>3299.8669986155137</v>
      </c>
      <c r="O290" s="63">
        <v>0</v>
      </c>
      <c r="P290" s="63">
        <v>0</v>
      </c>
    </row>
    <row r="291" spans="1:16" s="15" customFormat="1" thickBot="1" x14ac:dyDescent="0.25">
      <c r="A291" s="17">
        <v>3400291000</v>
      </c>
      <c r="B291" s="18" t="s">
        <v>587</v>
      </c>
      <c r="C291" s="18" t="s">
        <v>588</v>
      </c>
      <c r="D291" s="18" t="s">
        <v>589</v>
      </c>
      <c r="E291" s="18">
        <v>10329</v>
      </c>
      <c r="F291" s="69">
        <v>1875.7176930201724</v>
      </c>
      <c r="G291" s="70">
        <v>801.80629364194897</v>
      </c>
      <c r="H291" s="19">
        <v>1</v>
      </c>
      <c r="I291" s="25" t="s">
        <v>26</v>
      </c>
      <c r="J291" s="21">
        <v>1</v>
      </c>
      <c r="K291" s="14" t="s">
        <v>832</v>
      </c>
      <c r="L291" s="13"/>
      <c r="M291" s="46" t="s">
        <v>826</v>
      </c>
      <c r="N291" s="51">
        <v>3299.8669986155137</v>
      </c>
      <c r="O291" s="63">
        <v>0</v>
      </c>
      <c r="P291" s="63">
        <v>0</v>
      </c>
    </row>
    <row r="292" spans="1:16" s="15" customFormat="1" thickBot="1" x14ac:dyDescent="0.25">
      <c r="A292" s="17">
        <v>3400292000</v>
      </c>
      <c r="B292" s="18" t="s">
        <v>590</v>
      </c>
      <c r="C292" s="18" t="s">
        <v>591</v>
      </c>
      <c r="D292" s="18" t="s">
        <v>592</v>
      </c>
      <c r="E292" s="18">
        <v>19329</v>
      </c>
      <c r="F292" s="69">
        <v>1875.7176930201724</v>
      </c>
      <c r="G292" s="70">
        <v>801.80629364194897</v>
      </c>
      <c r="H292" s="19">
        <v>1</v>
      </c>
      <c r="I292" s="25" t="s">
        <v>26</v>
      </c>
      <c r="J292" s="21">
        <v>1</v>
      </c>
      <c r="K292" s="14" t="s">
        <v>832</v>
      </c>
      <c r="L292" s="13"/>
      <c r="M292" s="46" t="s">
        <v>826</v>
      </c>
      <c r="N292" s="51">
        <v>3299.8669986155137</v>
      </c>
      <c r="O292" s="63">
        <v>0</v>
      </c>
      <c r="P292" s="63">
        <v>0</v>
      </c>
    </row>
    <row r="293" spans="1:16" s="15" customFormat="1" thickBot="1" x14ac:dyDescent="0.25">
      <c r="A293" s="17">
        <v>3400293000</v>
      </c>
      <c r="B293" s="18" t="s">
        <v>593</v>
      </c>
      <c r="C293" s="18" t="s">
        <v>594</v>
      </c>
      <c r="D293" s="18"/>
      <c r="E293" s="18">
        <v>27119</v>
      </c>
      <c r="F293" s="69">
        <v>1875.7176930201724</v>
      </c>
      <c r="G293" s="70">
        <v>801.80629364194897</v>
      </c>
      <c r="H293" s="19">
        <v>1</v>
      </c>
      <c r="I293" s="25" t="s">
        <v>26</v>
      </c>
      <c r="J293" s="21">
        <v>1</v>
      </c>
      <c r="K293" s="14" t="s">
        <v>832</v>
      </c>
      <c r="L293" s="13"/>
      <c r="M293" s="46" t="s">
        <v>826</v>
      </c>
      <c r="N293" s="51">
        <v>3299.8669986155137</v>
      </c>
      <c r="O293" s="63">
        <v>0</v>
      </c>
      <c r="P293" s="63">
        <v>0</v>
      </c>
    </row>
    <row r="294" spans="1:16" s="15" customFormat="1" thickBot="1" x14ac:dyDescent="0.25">
      <c r="A294" s="17">
        <v>3400295000</v>
      </c>
      <c r="B294" s="18" t="s">
        <v>595</v>
      </c>
      <c r="C294" s="18" t="s">
        <v>578</v>
      </c>
      <c r="D294" s="18"/>
      <c r="E294" s="18">
        <v>89</v>
      </c>
      <c r="F294" s="69">
        <v>1875.7176930201724</v>
      </c>
      <c r="G294" s="70">
        <v>801.80629364194897</v>
      </c>
      <c r="H294" s="19">
        <v>1</v>
      </c>
      <c r="I294" s="25" t="s">
        <v>26</v>
      </c>
      <c r="J294" s="21">
        <v>1</v>
      </c>
      <c r="K294" s="14" t="s">
        <v>832</v>
      </c>
      <c r="L294" s="13"/>
      <c r="M294" s="46" t="s">
        <v>826</v>
      </c>
      <c r="N294" s="51">
        <v>3299.8669986155137</v>
      </c>
      <c r="O294" s="63">
        <v>0</v>
      </c>
      <c r="P294" s="63">
        <v>0</v>
      </c>
    </row>
    <row r="295" spans="1:16" s="15" customFormat="1" thickBot="1" x14ac:dyDescent="0.25">
      <c r="A295" s="17">
        <v>3500339000</v>
      </c>
      <c r="B295" s="18" t="s">
        <v>596</v>
      </c>
      <c r="C295" s="18" t="s">
        <v>597</v>
      </c>
      <c r="D295" s="18"/>
      <c r="E295" s="18">
        <v>2660</v>
      </c>
      <c r="F295" s="69">
        <v>9685.1581635641141</v>
      </c>
      <c r="G295" s="70">
        <v>1447.1234688746854</v>
      </c>
      <c r="H295" s="19">
        <v>1</v>
      </c>
      <c r="I295" s="25" t="s">
        <v>26</v>
      </c>
      <c r="J295" s="21">
        <v>1</v>
      </c>
      <c r="K295" s="14" t="s">
        <v>831</v>
      </c>
      <c r="L295" s="49" t="s">
        <v>730</v>
      </c>
      <c r="M295" s="46">
        <v>0</v>
      </c>
      <c r="N295" s="51">
        <v>5585.5833181296366</v>
      </c>
      <c r="O295" s="63">
        <v>0</v>
      </c>
      <c r="P295" s="63">
        <v>0</v>
      </c>
    </row>
    <row r="296" spans="1:16" s="15" customFormat="1" thickBot="1" x14ac:dyDescent="0.25">
      <c r="A296" s="17">
        <v>3500340000</v>
      </c>
      <c r="B296" s="18" t="s">
        <v>598</v>
      </c>
      <c r="C296" s="18" t="s">
        <v>599</v>
      </c>
      <c r="D296" s="18" t="s">
        <v>600</v>
      </c>
      <c r="E296" s="18">
        <v>2176</v>
      </c>
      <c r="F296" s="69">
        <v>9685.1581635641141</v>
      </c>
      <c r="G296" s="70">
        <v>1447.1234688746854</v>
      </c>
      <c r="H296" s="19">
        <v>1</v>
      </c>
      <c r="I296" s="25" t="s">
        <v>26</v>
      </c>
      <c r="J296" s="21">
        <v>1</v>
      </c>
      <c r="K296" s="14" t="s">
        <v>831</v>
      </c>
      <c r="L296" s="49" t="s">
        <v>730</v>
      </c>
      <c r="M296" s="46">
        <v>0</v>
      </c>
      <c r="N296" s="51">
        <v>5585.5833181296366</v>
      </c>
      <c r="O296" s="63">
        <v>0</v>
      </c>
      <c r="P296" s="63">
        <v>0</v>
      </c>
    </row>
    <row r="297" spans="1:16" s="15" customFormat="1" thickBot="1" x14ac:dyDescent="0.25">
      <c r="A297" s="17">
        <v>3500341000</v>
      </c>
      <c r="B297" s="18" t="s">
        <v>601</v>
      </c>
      <c r="C297" s="18" t="s">
        <v>602</v>
      </c>
      <c r="D297" s="18"/>
      <c r="E297" s="18">
        <v>3742</v>
      </c>
      <c r="F297" s="69">
        <v>9685.1581635641141</v>
      </c>
      <c r="G297" s="70">
        <v>1447.1234688746854</v>
      </c>
      <c r="H297" s="19">
        <v>1</v>
      </c>
      <c r="I297" s="25" t="s">
        <v>26</v>
      </c>
      <c r="J297" s="21">
        <v>1</v>
      </c>
      <c r="K297" s="14" t="s">
        <v>831</v>
      </c>
      <c r="L297" s="49" t="s">
        <v>730</v>
      </c>
      <c r="M297" s="46">
        <v>0</v>
      </c>
      <c r="N297" s="51">
        <v>5585.5833181296366</v>
      </c>
      <c r="O297" s="63">
        <v>0</v>
      </c>
      <c r="P297" s="63">
        <v>0</v>
      </c>
    </row>
    <row r="298" spans="1:16" s="15" customFormat="1" thickBot="1" x14ac:dyDescent="0.25">
      <c r="A298" s="17">
        <v>3500343000</v>
      </c>
      <c r="B298" s="18" t="s">
        <v>603</v>
      </c>
      <c r="C298" s="18" t="s">
        <v>604</v>
      </c>
      <c r="D298" s="18"/>
      <c r="E298" s="18">
        <v>16</v>
      </c>
      <c r="F298" s="69">
        <v>9685.1581635641141</v>
      </c>
      <c r="G298" s="70">
        <v>1447.1234688746854</v>
      </c>
      <c r="H298" s="19">
        <v>1</v>
      </c>
      <c r="I298" s="25" t="s">
        <v>26</v>
      </c>
      <c r="J298" s="21">
        <v>1</v>
      </c>
      <c r="K298" s="14" t="s">
        <v>831</v>
      </c>
      <c r="L298" s="49" t="s">
        <v>730</v>
      </c>
      <c r="M298" s="46">
        <v>0</v>
      </c>
      <c r="N298" s="51">
        <v>5585.5833181296366</v>
      </c>
      <c r="O298" s="63">
        <v>0</v>
      </c>
      <c r="P298" s="63">
        <v>0</v>
      </c>
    </row>
    <row r="299" spans="1:16" s="15" customFormat="1" thickBot="1" x14ac:dyDescent="0.25">
      <c r="A299" s="17">
        <v>3600222000</v>
      </c>
      <c r="B299" s="18" t="s">
        <v>605</v>
      </c>
      <c r="C299" s="18" t="s">
        <v>606</v>
      </c>
      <c r="D299" s="18"/>
      <c r="E299" s="18">
        <v>50583</v>
      </c>
      <c r="F299" s="69">
        <v>3084.6569565444906</v>
      </c>
      <c r="G299" s="70">
        <v>736.09319433457642</v>
      </c>
      <c r="H299" s="19">
        <v>8.3263946711074102</v>
      </c>
      <c r="I299" s="25" t="s">
        <v>26</v>
      </c>
      <c r="J299" s="21">
        <v>2</v>
      </c>
      <c r="K299" s="14" t="s">
        <v>832</v>
      </c>
      <c r="L299" s="13"/>
      <c r="M299" s="46" t="s">
        <v>825</v>
      </c>
      <c r="N299" s="51">
        <v>280.79732471297484</v>
      </c>
      <c r="O299" s="63">
        <v>0</v>
      </c>
      <c r="P299" s="63">
        <v>0</v>
      </c>
    </row>
    <row r="300" spans="1:16" s="15" customFormat="1" thickBot="1" x14ac:dyDescent="0.25">
      <c r="A300" s="17">
        <v>3600223000</v>
      </c>
      <c r="B300" s="18" t="s">
        <v>607</v>
      </c>
      <c r="C300" s="18" t="s">
        <v>608</v>
      </c>
      <c r="D300" s="18" t="s">
        <v>609</v>
      </c>
      <c r="E300" s="18">
        <v>50712</v>
      </c>
      <c r="F300" s="69">
        <v>3084.6569565444906</v>
      </c>
      <c r="G300" s="70">
        <v>736.09319433457642</v>
      </c>
      <c r="H300" s="19">
        <v>8.3263946711074102</v>
      </c>
      <c r="I300" s="25" t="s">
        <v>26</v>
      </c>
      <c r="J300" s="21">
        <v>2</v>
      </c>
      <c r="K300" s="14" t="s">
        <v>832</v>
      </c>
      <c r="L300" s="13"/>
      <c r="M300" s="46" t="s">
        <v>825</v>
      </c>
      <c r="N300" s="51">
        <v>280.79732471297484</v>
      </c>
      <c r="O300" s="63">
        <v>0</v>
      </c>
      <c r="P300" s="63">
        <v>0</v>
      </c>
    </row>
    <row r="301" spans="1:16" s="15" customFormat="1" thickBot="1" x14ac:dyDescent="0.25">
      <c r="A301" s="17">
        <v>3600224000</v>
      </c>
      <c r="B301" s="18" t="s">
        <v>610</v>
      </c>
      <c r="C301" s="18" t="s">
        <v>611</v>
      </c>
      <c r="D301" s="18"/>
      <c r="E301" s="18">
        <v>50581</v>
      </c>
      <c r="F301" s="69">
        <v>0</v>
      </c>
      <c r="G301" s="70">
        <v>0</v>
      </c>
      <c r="H301" s="19">
        <v>0</v>
      </c>
      <c r="I301" s="25" t="s">
        <v>26</v>
      </c>
      <c r="J301" s="21">
        <v>2</v>
      </c>
      <c r="K301" s="14" t="s">
        <v>832</v>
      </c>
      <c r="L301" s="13"/>
      <c r="M301" s="46" t="s">
        <v>825</v>
      </c>
      <c r="N301" s="51">
        <v>280.79732471297484</v>
      </c>
      <c r="O301" s="63">
        <v>0</v>
      </c>
      <c r="P301" s="63">
        <v>0</v>
      </c>
    </row>
    <row r="302" spans="1:16" s="15" customFormat="1" thickBot="1" x14ac:dyDescent="0.25">
      <c r="A302" s="17">
        <v>3800221000</v>
      </c>
      <c r="B302" s="18" t="s">
        <v>612</v>
      </c>
      <c r="C302" s="18" t="s">
        <v>613</v>
      </c>
      <c r="D302" s="18" t="s">
        <v>614</v>
      </c>
      <c r="E302" s="18">
        <v>161</v>
      </c>
      <c r="F302" s="69">
        <v>0</v>
      </c>
      <c r="G302" s="70">
        <v>0</v>
      </c>
      <c r="H302" s="19">
        <v>1</v>
      </c>
      <c r="I302" s="25" t="s">
        <v>26</v>
      </c>
      <c r="J302" s="21">
        <v>2</v>
      </c>
      <c r="K302" s="14" t="s">
        <v>832</v>
      </c>
      <c r="L302" s="13"/>
      <c r="M302" s="46" t="s">
        <v>827</v>
      </c>
      <c r="N302" s="51">
        <v>0</v>
      </c>
      <c r="O302" s="63" t="s">
        <v>868</v>
      </c>
      <c r="P302" s="63" t="s">
        <v>868</v>
      </c>
    </row>
    <row r="303" spans="1:16" s="15" customFormat="1" thickBot="1" x14ac:dyDescent="0.25">
      <c r="A303" s="17">
        <v>3900312000</v>
      </c>
      <c r="B303" s="18" t="s">
        <v>615</v>
      </c>
      <c r="C303" s="18" t="s">
        <v>613</v>
      </c>
      <c r="D303" s="18"/>
      <c r="E303" s="18">
        <v>9</v>
      </c>
      <c r="F303" s="69">
        <v>1872.8955338604928</v>
      </c>
      <c r="G303" s="70">
        <v>849.157033570561</v>
      </c>
      <c r="H303" s="19">
        <v>1</v>
      </c>
      <c r="I303" s="25" t="s">
        <v>26</v>
      </c>
      <c r="J303" s="21">
        <v>1</v>
      </c>
      <c r="K303" s="14" t="s">
        <v>831</v>
      </c>
      <c r="L303" s="13" t="s">
        <v>731</v>
      </c>
      <c r="M303" s="46">
        <v>0</v>
      </c>
      <c r="N303" s="51">
        <v>3542.0327293875039</v>
      </c>
      <c r="O303" s="63">
        <v>0</v>
      </c>
      <c r="P303" s="63">
        <v>0</v>
      </c>
    </row>
    <row r="304" spans="1:16" s="15" customFormat="1" thickBot="1" x14ac:dyDescent="0.25">
      <c r="A304" s="17">
        <v>4000093000</v>
      </c>
      <c r="B304" s="18" t="s">
        <v>616</v>
      </c>
      <c r="C304" s="18" t="s">
        <v>617</v>
      </c>
      <c r="D304" s="18"/>
      <c r="E304" s="18">
        <v>26566</v>
      </c>
      <c r="F304" s="69">
        <v>1880.9824723691675</v>
      </c>
      <c r="G304" s="70">
        <v>875.69893265301516</v>
      </c>
      <c r="H304" s="19">
        <v>1</v>
      </c>
      <c r="I304" s="25" t="s">
        <v>26</v>
      </c>
      <c r="J304" s="21">
        <v>1</v>
      </c>
      <c r="K304" s="14" t="s">
        <v>832</v>
      </c>
      <c r="L304" s="13"/>
      <c r="M304" s="46" t="s">
        <v>823</v>
      </c>
      <c r="N304" s="51">
        <v>3673.7504615924281</v>
      </c>
      <c r="O304" s="63">
        <v>0</v>
      </c>
      <c r="P304" s="63">
        <v>0</v>
      </c>
    </row>
    <row r="305" spans="1:16" s="15" customFormat="1" thickBot="1" x14ac:dyDescent="0.25">
      <c r="A305" s="17">
        <v>4000094000</v>
      </c>
      <c r="B305" s="18" t="s">
        <v>618</v>
      </c>
      <c r="C305" s="18" t="s">
        <v>619</v>
      </c>
      <c r="D305" s="18"/>
      <c r="E305" s="18">
        <v>267</v>
      </c>
      <c r="F305" s="69">
        <v>1880.9824723691675</v>
      </c>
      <c r="G305" s="70">
        <v>875.69893265301516</v>
      </c>
      <c r="H305" s="19">
        <v>1</v>
      </c>
      <c r="I305" s="25" t="s">
        <v>26</v>
      </c>
      <c r="J305" s="21">
        <v>1</v>
      </c>
      <c r="K305" s="14" t="s">
        <v>832</v>
      </c>
      <c r="L305" s="13"/>
      <c r="M305" s="46" t="s">
        <v>823</v>
      </c>
      <c r="N305" s="51">
        <v>3673.7504615924281</v>
      </c>
      <c r="O305" s="63">
        <v>0</v>
      </c>
      <c r="P305" s="63">
        <v>0</v>
      </c>
    </row>
    <row r="306" spans="1:16" s="15" customFormat="1" thickBot="1" x14ac:dyDescent="0.25">
      <c r="A306" s="17">
        <v>4000095000</v>
      </c>
      <c r="B306" s="18" t="s">
        <v>620</v>
      </c>
      <c r="C306" s="18" t="s">
        <v>582</v>
      </c>
      <c r="D306" s="18" t="s">
        <v>621</v>
      </c>
      <c r="E306" s="18">
        <v>13122</v>
      </c>
      <c r="F306" s="69">
        <v>1880.9824723691675</v>
      </c>
      <c r="G306" s="70">
        <v>875.69893265301516</v>
      </c>
      <c r="H306" s="19">
        <v>1</v>
      </c>
      <c r="I306" s="25" t="s">
        <v>26</v>
      </c>
      <c r="J306" s="21">
        <v>1</v>
      </c>
      <c r="K306" s="14" t="s">
        <v>832</v>
      </c>
      <c r="L306" s="13"/>
      <c r="M306" s="46" t="s">
        <v>823</v>
      </c>
      <c r="N306" s="51">
        <v>3673.7504615924281</v>
      </c>
      <c r="O306" s="63">
        <v>0</v>
      </c>
      <c r="P306" s="63">
        <v>0</v>
      </c>
    </row>
    <row r="307" spans="1:16" s="15" customFormat="1" thickBot="1" x14ac:dyDescent="0.25">
      <c r="A307" s="17">
        <v>4000096000</v>
      </c>
      <c r="B307" s="18" t="s">
        <v>622</v>
      </c>
      <c r="C307" s="18" t="s">
        <v>623</v>
      </c>
      <c r="D307" s="18"/>
      <c r="E307" s="18">
        <v>26710</v>
      </c>
      <c r="F307" s="69">
        <v>1880.9824723691675</v>
      </c>
      <c r="G307" s="70">
        <v>875.69893265301516</v>
      </c>
      <c r="H307" s="19">
        <v>1</v>
      </c>
      <c r="I307" s="25" t="s">
        <v>26</v>
      </c>
      <c r="J307" s="21">
        <v>1</v>
      </c>
      <c r="K307" s="14" t="s">
        <v>832</v>
      </c>
      <c r="L307" s="13"/>
      <c r="M307" s="46" t="s">
        <v>823</v>
      </c>
      <c r="N307" s="51">
        <v>3673.7504615924281</v>
      </c>
      <c r="O307" s="63">
        <v>0</v>
      </c>
      <c r="P307" s="63">
        <v>0</v>
      </c>
    </row>
    <row r="308" spans="1:16" s="15" customFormat="1" thickBot="1" x14ac:dyDescent="0.25">
      <c r="A308" s="17">
        <v>4000097000</v>
      </c>
      <c r="B308" s="18" t="s">
        <v>624</v>
      </c>
      <c r="C308" s="18" t="s">
        <v>625</v>
      </c>
      <c r="D308" s="18"/>
      <c r="E308" s="18">
        <v>12543</v>
      </c>
      <c r="F308" s="69">
        <v>1880.9824723691675</v>
      </c>
      <c r="G308" s="70">
        <v>875.69893265301516</v>
      </c>
      <c r="H308" s="19">
        <v>1</v>
      </c>
      <c r="I308" s="25" t="s">
        <v>26</v>
      </c>
      <c r="J308" s="21">
        <v>1</v>
      </c>
      <c r="K308" s="14" t="s">
        <v>832</v>
      </c>
      <c r="L308" s="13"/>
      <c r="M308" s="46" t="s">
        <v>823</v>
      </c>
      <c r="N308" s="51">
        <v>3673.7504615924281</v>
      </c>
      <c r="O308" s="63">
        <v>0</v>
      </c>
      <c r="P308" s="63">
        <v>0</v>
      </c>
    </row>
    <row r="309" spans="1:16" s="15" customFormat="1" thickBot="1" x14ac:dyDescent="0.25">
      <c r="A309" s="17">
        <v>5000382000</v>
      </c>
      <c r="B309" s="18" t="s">
        <v>626</v>
      </c>
      <c r="C309" s="18" t="s">
        <v>627</v>
      </c>
      <c r="D309" s="18"/>
      <c r="E309" s="18">
        <v>12047</v>
      </c>
      <c r="F309" s="69">
        <v>1861.9864361921386</v>
      </c>
      <c r="G309" s="70">
        <v>869.96587441671863</v>
      </c>
      <c r="H309" s="19">
        <v>1</v>
      </c>
      <c r="I309" s="25" t="s">
        <v>26</v>
      </c>
      <c r="J309" s="21">
        <v>1</v>
      </c>
      <c r="K309" s="14" t="s">
        <v>832</v>
      </c>
      <c r="L309" s="49"/>
      <c r="M309" s="46" t="s">
        <v>824</v>
      </c>
      <c r="N309" s="51">
        <v>3652.4807279545707</v>
      </c>
      <c r="O309" s="63">
        <v>0</v>
      </c>
      <c r="P309" s="63">
        <v>0</v>
      </c>
    </row>
    <row r="310" spans="1:16" s="15" customFormat="1" thickBot="1" x14ac:dyDescent="0.25">
      <c r="A310" s="17">
        <v>5000383000</v>
      </c>
      <c r="B310" s="18" t="s">
        <v>628</v>
      </c>
      <c r="C310" s="18" t="s">
        <v>604</v>
      </c>
      <c r="D310" s="18"/>
      <c r="E310" s="18">
        <v>122</v>
      </c>
      <c r="F310" s="69">
        <v>1861.9864361921386</v>
      </c>
      <c r="G310" s="70">
        <v>869.96587441671863</v>
      </c>
      <c r="H310" s="19">
        <v>1</v>
      </c>
      <c r="I310" s="25" t="s">
        <v>26</v>
      </c>
      <c r="J310" s="21">
        <v>1</v>
      </c>
      <c r="K310" s="14" t="s">
        <v>832</v>
      </c>
      <c r="L310" s="49"/>
      <c r="M310" s="46" t="s">
        <v>824</v>
      </c>
      <c r="N310" s="51">
        <v>3652.4807279545707</v>
      </c>
      <c r="O310" s="63">
        <v>0</v>
      </c>
      <c r="P310" s="63">
        <v>0</v>
      </c>
    </row>
    <row r="311" spans="1:16" s="15" customFormat="1" thickBot="1" x14ac:dyDescent="0.25">
      <c r="A311" s="17">
        <v>5000384000</v>
      </c>
      <c r="B311" s="18" t="s">
        <v>629</v>
      </c>
      <c r="C311" s="18" t="s">
        <v>630</v>
      </c>
      <c r="D311" s="18" t="s">
        <v>631</v>
      </c>
      <c r="E311" s="18">
        <v>10762</v>
      </c>
      <c r="F311" s="69">
        <v>1861.9864361921386</v>
      </c>
      <c r="G311" s="70">
        <v>869.96587441671863</v>
      </c>
      <c r="H311" s="19">
        <v>1</v>
      </c>
      <c r="I311" s="25" t="s">
        <v>26</v>
      </c>
      <c r="J311" s="21">
        <v>1</v>
      </c>
      <c r="K311" s="14" t="s">
        <v>832</v>
      </c>
      <c r="L311" s="49"/>
      <c r="M311" s="46" t="s">
        <v>824</v>
      </c>
      <c r="N311" s="51">
        <v>3652.4807279545707</v>
      </c>
      <c r="O311" s="63">
        <v>0</v>
      </c>
      <c r="P311" s="63">
        <v>0</v>
      </c>
    </row>
    <row r="312" spans="1:16" s="15" customFormat="1" thickBot="1" x14ac:dyDescent="0.25">
      <c r="A312" s="17">
        <v>5000385000</v>
      </c>
      <c r="B312" s="18" t="s">
        <v>632</v>
      </c>
      <c r="C312" s="18" t="s">
        <v>633</v>
      </c>
      <c r="D312" s="18"/>
      <c r="E312" s="18">
        <v>12144</v>
      </c>
      <c r="F312" s="69">
        <v>1861.9864361921386</v>
      </c>
      <c r="G312" s="70">
        <v>869.96587441671863</v>
      </c>
      <c r="H312" s="19">
        <v>1</v>
      </c>
      <c r="I312" s="25" t="s">
        <v>26</v>
      </c>
      <c r="J312" s="21">
        <v>1</v>
      </c>
      <c r="K312" s="14" t="s">
        <v>832</v>
      </c>
      <c r="L312" s="49"/>
      <c r="M312" s="46" t="s">
        <v>824</v>
      </c>
      <c r="N312" s="51">
        <v>3652.4807279545707</v>
      </c>
      <c r="O312" s="63">
        <v>0</v>
      </c>
      <c r="P312" s="63">
        <v>0</v>
      </c>
    </row>
    <row r="313" spans="1:16" s="15" customFormat="1" thickBot="1" x14ac:dyDescent="0.25">
      <c r="A313" s="17">
        <v>5000386000</v>
      </c>
      <c r="B313" s="18" t="s">
        <v>634</v>
      </c>
      <c r="C313" s="18" t="s">
        <v>625</v>
      </c>
      <c r="D313" s="18"/>
      <c r="E313" s="18">
        <v>7683</v>
      </c>
      <c r="F313" s="69">
        <v>1861.9864361921386</v>
      </c>
      <c r="G313" s="70">
        <v>869.96587441671863</v>
      </c>
      <c r="H313" s="19">
        <v>1</v>
      </c>
      <c r="I313" s="25" t="s">
        <v>26</v>
      </c>
      <c r="J313" s="21">
        <v>1</v>
      </c>
      <c r="K313" s="14" t="s">
        <v>832</v>
      </c>
      <c r="L313" s="49"/>
      <c r="M313" s="46" t="s">
        <v>824</v>
      </c>
      <c r="N313" s="51">
        <v>3652.4807279545707</v>
      </c>
      <c r="O313" s="63">
        <v>0</v>
      </c>
      <c r="P313" s="63">
        <v>0</v>
      </c>
    </row>
    <row r="314" spans="1:16" s="15" customFormat="1" thickBot="1" x14ac:dyDescent="0.25">
      <c r="A314" s="17">
        <v>6000301000</v>
      </c>
      <c r="B314" s="18" t="s">
        <v>635</v>
      </c>
      <c r="C314" s="18" t="s">
        <v>636</v>
      </c>
      <c r="D314" s="18" t="s">
        <v>637</v>
      </c>
      <c r="E314" s="18">
        <v>107</v>
      </c>
      <c r="F314" s="69">
        <v>1871.4844542806532</v>
      </c>
      <c r="G314" s="70">
        <v>872.8324035348669</v>
      </c>
      <c r="H314" s="19">
        <v>1</v>
      </c>
      <c r="I314" s="25" t="s">
        <v>26</v>
      </c>
      <c r="J314" s="21">
        <v>1</v>
      </c>
      <c r="K314" s="14" t="s">
        <v>831</v>
      </c>
      <c r="L314" s="13" t="s">
        <v>834</v>
      </c>
      <c r="M314" s="46">
        <v>0</v>
      </c>
      <c r="N314" s="51">
        <v>3663.1155947734997</v>
      </c>
      <c r="O314" s="63">
        <v>0</v>
      </c>
      <c r="P314" s="63">
        <v>0</v>
      </c>
    </row>
    <row r="315" spans="1:16" s="15" customFormat="1" thickBot="1" x14ac:dyDescent="0.25">
      <c r="A315" s="17">
        <v>6000302000</v>
      </c>
      <c r="B315" s="18" t="s">
        <v>638</v>
      </c>
      <c r="C315" s="18" t="s">
        <v>604</v>
      </c>
      <c r="D315" s="18" t="s">
        <v>637</v>
      </c>
      <c r="E315" s="18">
        <v>66</v>
      </c>
      <c r="F315" s="69">
        <v>1871.4844542806532</v>
      </c>
      <c r="G315" s="70">
        <v>872.8324035348669</v>
      </c>
      <c r="H315" s="19">
        <v>1</v>
      </c>
      <c r="I315" s="25" t="s">
        <v>26</v>
      </c>
      <c r="J315" s="21">
        <v>1</v>
      </c>
      <c r="K315" s="14" t="s">
        <v>831</v>
      </c>
      <c r="L315" s="13" t="s">
        <v>834</v>
      </c>
      <c r="M315" s="46">
        <v>0</v>
      </c>
      <c r="N315" s="51">
        <v>3663.1155947734997</v>
      </c>
      <c r="O315" s="63">
        <v>0</v>
      </c>
      <c r="P315" s="63">
        <v>0</v>
      </c>
    </row>
    <row r="316" spans="1:16" s="15" customFormat="1" thickBot="1" x14ac:dyDescent="0.25">
      <c r="A316" s="17">
        <v>6000303000</v>
      </c>
      <c r="B316" s="18" t="s">
        <v>639</v>
      </c>
      <c r="C316" s="18" t="s">
        <v>640</v>
      </c>
      <c r="D316" s="18" t="s">
        <v>641</v>
      </c>
      <c r="E316" s="18">
        <v>27</v>
      </c>
      <c r="F316" s="69">
        <v>1871.4844542806532</v>
      </c>
      <c r="G316" s="70">
        <v>872.8324035348669</v>
      </c>
      <c r="H316" s="19">
        <v>1</v>
      </c>
      <c r="I316" s="25" t="s">
        <v>26</v>
      </c>
      <c r="J316" s="21">
        <v>1</v>
      </c>
      <c r="K316" s="14" t="s">
        <v>831</v>
      </c>
      <c r="L316" s="13" t="s">
        <v>834</v>
      </c>
      <c r="M316" s="46">
        <v>0</v>
      </c>
      <c r="N316" s="51">
        <v>3663.1155947734997</v>
      </c>
      <c r="O316" s="63">
        <v>0</v>
      </c>
      <c r="P316" s="63">
        <v>0</v>
      </c>
    </row>
    <row r="317" spans="1:16" s="15" customFormat="1" thickBot="1" x14ac:dyDescent="0.25">
      <c r="A317" s="17">
        <v>6000304000</v>
      </c>
      <c r="B317" s="18" t="s">
        <v>642</v>
      </c>
      <c r="C317" s="18" t="s">
        <v>643</v>
      </c>
      <c r="D317" s="18" t="s">
        <v>637</v>
      </c>
      <c r="E317" s="18">
        <v>107</v>
      </c>
      <c r="F317" s="69">
        <v>1871.4844542806532</v>
      </c>
      <c r="G317" s="70">
        <v>872.8324035348669</v>
      </c>
      <c r="H317" s="19">
        <v>1</v>
      </c>
      <c r="I317" s="25" t="s">
        <v>26</v>
      </c>
      <c r="J317" s="21">
        <v>1</v>
      </c>
      <c r="K317" s="14" t="s">
        <v>831</v>
      </c>
      <c r="L317" s="13" t="s">
        <v>834</v>
      </c>
      <c r="M317" s="46">
        <v>0</v>
      </c>
      <c r="N317" s="51">
        <v>3663.1155947734997</v>
      </c>
      <c r="O317" s="63">
        <v>0</v>
      </c>
      <c r="P317" s="63">
        <v>0</v>
      </c>
    </row>
    <row r="318" spans="1:16" s="15" customFormat="1" thickBot="1" x14ac:dyDescent="0.25">
      <c r="A318" s="17">
        <v>6000305000</v>
      </c>
      <c r="B318" s="18" t="s">
        <v>644</v>
      </c>
      <c r="C318" s="18" t="s">
        <v>643</v>
      </c>
      <c r="D318" s="18" t="s">
        <v>637</v>
      </c>
      <c r="E318" s="18">
        <v>16</v>
      </c>
      <c r="F318" s="69">
        <v>1871.4844542806532</v>
      </c>
      <c r="G318" s="70">
        <v>872.8324035348669</v>
      </c>
      <c r="H318" s="19">
        <v>1</v>
      </c>
      <c r="I318" s="25" t="s">
        <v>26</v>
      </c>
      <c r="J318" s="21">
        <v>1</v>
      </c>
      <c r="K318" s="14" t="s">
        <v>831</v>
      </c>
      <c r="L318" s="13" t="s">
        <v>834</v>
      </c>
      <c r="M318" s="46">
        <v>0</v>
      </c>
      <c r="N318" s="51">
        <v>3663.1155947734997</v>
      </c>
      <c r="O318" s="63">
        <v>0</v>
      </c>
      <c r="P318" s="63">
        <v>0</v>
      </c>
    </row>
    <row r="319" spans="1:16" s="15" customFormat="1" thickBot="1" x14ac:dyDescent="0.25">
      <c r="A319" s="17">
        <v>7000145000</v>
      </c>
      <c r="B319" s="18" t="s">
        <v>645</v>
      </c>
      <c r="C319" s="18" t="s">
        <v>646</v>
      </c>
      <c r="D319" s="18"/>
      <c r="E319" s="18">
        <v>33670</v>
      </c>
      <c r="F319" s="69">
        <v>1032.5282513569978</v>
      </c>
      <c r="G319" s="70">
        <v>449.95854048811503</v>
      </c>
      <c r="H319" s="19">
        <v>1.1399999999999999</v>
      </c>
      <c r="I319" s="19" t="s">
        <v>13</v>
      </c>
      <c r="J319" s="21">
        <v>1</v>
      </c>
      <c r="K319" s="14" t="s">
        <v>832</v>
      </c>
      <c r="L319" s="13"/>
      <c r="M319" s="46" t="s">
        <v>822</v>
      </c>
      <c r="N319" s="51">
        <v>1631.7426607534076</v>
      </c>
      <c r="O319" s="63">
        <v>0</v>
      </c>
      <c r="P319" s="63">
        <v>0</v>
      </c>
    </row>
    <row r="320" spans="1:16" s="15" customFormat="1" thickBot="1" x14ac:dyDescent="0.25">
      <c r="A320" s="17">
        <v>7000146000</v>
      </c>
      <c r="B320" s="18" t="s">
        <v>647</v>
      </c>
      <c r="C320" s="18" t="s">
        <v>648</v>
      </c>
      <c r="D320" s="18"/>
      <c r="E320" s="18">
        <v>19255</v>
      </c>
      <c r="F320" s="69">
        <v>1032.5282513569978</v>
      </c>
      <c r="G320" s="70">
        <v>449.95854048811503</v>
      </c>
      <c r="H320" s="19">
        <v>1.1399999999999999</v>
      </c>
      <c r="I320" s="25" t="s">
        <v>13</v>
      </c>
      <c r="J320" s="21">
        <v>1</v>
      </c>
      <c r="K320" s="14" t="s">
        <v>832</v>
      </c>
      <c r="L320" s="13"/>
      <c r="M320" s="46" t="s">
        <v>822</v>
      </c>
      <c r="N320" s="51">
        <v>1631.7426607534076</v>
      </c>
      <c r="O320" s="63">
        <v>0</v>
      </c>
      <c r="P320" s="63">
        <v>0</v>
      </c>
    </row>
    <row r="321" spans="1:16" s="15" customFormat="1" thickBot="1" x14ac:dyDescent="0.25">
      <c r="A321" s="17">
        <v>7000147000</v>
      </c>
      <c r="B321" s="18" t="s">
        <v>649</v>
      </c>
      <c r="C321" s="18" t="s">
        <v>650</v>
      </c>
      <c r="D321" s="18"/>
      <c r="E321" s="18">
        <v>17943</v>
      </c>
      <c r="F321" s="69">
        <v>1032.5282513569978</v>
      </c>
      <c r="G321" s="70">
        <v>449.95854048811503</v>
      </c>
      <c r="H321" s="19">
        <v>1.1399999999999999</v>
      </c>
      <c r="I321" s="25" t="s">
        <v>13</v>
      </c>
      <c r="J321" s="21">
        <v>1</v>
      </c>
      <c r="K321" s="14" t="s">
        <v>832</v>
      </c>
      <c r="L321" s="13"/>
      <c r="M321" s="46" t="s">
        <v>822</v>
      </c>
      <c r="N321" s="51">
        <v>1631.7426607534076</v>
      </c>
      <c r="O321" s="63">
        <v>0</v>
      </c>
      <c r="P321" s="63">
        <v>0</v>
      </c>
    </row>
    <row r="322" spans="1:16" s="15" customFormat="1" thickBot="1" x14ac:dyDescent="0.25">
      <c r="A322" s="17">
        <v>8000157000</v>
      </c>
      <c r="B322" s="18" t="s">
        <v>651</v>
      </c>
      <c r="C322" s="18" t="s">
        <v>652</v>
      </c>
      <c r="D322" s="18" t="s">
        <v>653</v>
      </c>
      <c r="E322" s="18">
        <v>1138</v>
      </c>
      <c r="F322" s="69">
        <v>0</v>
      </c>
      <c r="G322" s="70">
        <v>0</v>
      </c>
      <c r="H322" s="19">
        <v>1</v>
      </c>
      <c r="I322" s="25" t="s">
        <v>26</v>
      </c>
      <c r="J322" s="21">
        <v>1</v>
      </c>
      <c r="K322" s="53" t="s">
        <v>832</v>
      </c>
      <c r="L322" s="13"/>
      <c r="M322" s="46" t="s">
        <v>827</v>
      </c>
      <c r="N322" s="51">
        <v>0</v>
      </c>
      <c r="O322" s="63" t="s">
        <v>868</v>
      </c>
      <c r="P322" s="63" t="s">
        <v>868</v>
      </c>
    </row>
    <row r="323" spans="1:16" s="15" customFormat="1" thickBot="1" x14ac:dyDescent="0.25">
      <c r="A323" s="17">
        <v>8000158000</v>
      </c>
      <c r="B323" s="18" t="s">
        <v>655</v>
      </c>
      <c r="C323" s="18" t="s">
        <v>652</v>
      </c>
      <c r="D323" s="18" t="s">
        <v>656</v>
      </c>
      <c r="E323" s="18">
        <v>338</v>
      </c>
      <c r="F323" s="69">
        <v>1143.4075515233089</v>
      </c>
      <c r="G323" s="70">
        <v>144</v>
      </c>
      <c r="H323" s="19">
        <v>1</v>
      </c>
      <c r="I323" s="25" t="s">
        <v>26</v>
      </c>
      <c r="J323" s="21">
        <v>1</v>
      </c>
      <c r="K323" s="53" t="s">
        <v>832</v>
      </c>
      <c r="L323" s="13"/>
      <c r="M323" s="46">
        <v>0</v>
      </c>
      <c r="N323" s="51">
        <v>1722</v>
      </c>
      <c r="O323" s="63">
        <v>0.82639775338269073</v>
      </c>
      <c r="P323" s="63">
        <v>0.80862754963059102</v>
      </c>
    </row>
    <row r="324" spans="1:16" s="15" customFormat="1" thickBot="1" x14ac:dyDescent="0.25">
      <c r="A324" s="17">
        <v>8000159000</v>
      </c>
      <c r="B324" s="18" t="s">
        <v>657</v>
      </c>
      <c r="C324" s="18" t="s">
        <v>652</v>
      </c>
      <c r="D324" s="18" t="s">
        <v>656</v>
      </c>
      <c r="E324" s="18">
        <v>1416</v>
      </c>
      <c r="F324" s="69">
        <v>0</v>
      </c>
      <c r="G324" s="70">
        <v>0</v>
      </c>
      <c r="H324" s="19">
        <v>1</v>
      </c>
      <c r="I324" s="25" t="s">
        <v>26</v>
      </c>
      <c r="J324" s="21">
        <v>1</v>
      </c>
      <c r="K324" s="53" t="s">
        <v>832</v>
      </c>
      <c r="L324" s="13"/>
      <c r="M324" s="46" t="s">
        <v>827</v>
      </c>
      <c r="N324" s="51">
        <v>0</v>
      </c>
      <c r="O324" s="63" t="s">
        <v>868</v>
      </c>
      <c r="P324" s="63" t="s">
        <v>868</v>
      </c>
    </row>
    <row r="325" spans="1:16" s="15" customFormat="1" thickBot="1" x14ac:dyDescent="0.25">
      <c r="A325" s="17">
        <v>8000160000</v>
      </c>
      <c r="B325" s="18" t="s">
        <v>659</v>
      </c>
      <c r="C325" s="18" t="s">
        <v>652</v>
      </c>
      <c r="D325" s="18" t="s">
        <v>656</v>
      </c>
      <c r="E325" s="18">
        <v>3266</v>
      </c>
      <c r="F325" s="69">
        <v>0</v>
      </c>
      <c r="G325" s="70">
        <v>0</v>
      </c>
      <c r="H325" s="19">
        <v>1</v>
      </c>
      <c r="I325" s="25" t="s">
        <v>26</v>
      </c>
      <c r="J325" s="21">
        <v>1</v>
      </c>
      <c r="K325" s="53" t="s">
        <v>832</v>
      </c>
      <c r="L325" s="13"/>
      <c r="M325" s="46" t="s">
        <v>827</v>
      </c>
      <c r="N325" s="51">
        <v>0</v>
      </c>
      <c r="O325" s="63" t="s">
        <v>868</v>
      </c>
      <c r="P325" s="63" t="s">
        <v>868</v>
      </c>
    </row>
    <row r="326" spans="1:16" s="15" customFormat="1" thickBot="1" x14ac:dyDescent="0.25">
      <c r="A326" s="17">
        <v>8000161000</v>
      </c>
      <c r="B326" s="18" t="s">
        <v>660</v>
      </c>
      <c r="C326" s="18" t="s">
        <v>661</v>
      </c>
      <c r="D326" s="18" t="s">
        <v>656</v>
      </c>
      <c r="E326" s="18">
        <v>2372</v>
      </c>
      <c r="F326" s="69">
        <v>1399.0471203132538</v>
      </c>
      <c r="G326" s="70">
        <v>206</v>
      </c>
      <c r="H326" s="19">
        <v>1</v>
      </c>
      <c r="I326" s="25" t="s">
        <v>26</v>
      </c>
      <c r="J326" s="21">
        <v>1</v>
      </c>
      <c r="K326" s="53" t="s">
        <v>832</v>
      </c>
      <c r="L326" s="13"/>
      <c r="M326" s="46">
        <v>0</v>
      </c>
      <c r="N326" s="51">
        <v>1377</v>
      </c>
      <c r="O326" s="63">
        <v>1</v>
      </c>
      <c r="P326" s="63">
        <v>1</v>
      </c>
    </row>
    <row r="327" spans="1:16" s="15" customFormat="1" thickBot="1" x14ac:dyDescent="0.25">
      <c r="A327" s="17">
        <v>8000162000</v>
      </c>
      <c r="B327" s="18" t="s">
        <v>662</v>
      </c>
      <c r="C327" s="18" t="s">
        <v>663</v>
      </c>
      <c r="D327" s="18" t="s">
        <v>656</v>
      </c>
      <c r="E327" s="18">
        <v>834</v>
      </c>
      <c r="F327" s="69">
        <v>0</v>
      </c>
      <c r="G327" s="70">
        <v>0</v>
      </c>
      <c r="H327" s="19">
        <v>1</v>
      </c>
      <c r="I327" s="25" t="s">
        <v>26</v>
      </c>
      <c r="J327" s="21">
        <v>1</v>
      </c>
      <c r="K327" s="53" t="s">
        <v>832</v>
      </c>
      <c r="L327" s="13"/>
      <c r="M327" s="46" t="s">
        <v>827</v>
      </c>
      <c r="N327" s="51">
        <v>0</v>
      </c>
      <c r="O327" s="63" t="s">
        <v>868</v>
      </c>
      <c r="P327" s="63" t="s">
        <v>868</v>
      </c>
    </row>
    <row r="328" spans="1:16" s="15" customFormat="1" thickBot="1" x14ac:dyDescent="0.25">
      <c r="A328" s="17">
        <v>8601100000</v>
      </c>
      <c r="B328" s="18" t="s">
        <v>664</v>
      </c>
      <c r="C328" s="18">
        <v>0</v>
      </c>
      <c r="D328" s="18"/>
      <c r="E328" s="18">
        <v>23667</v>
      </c>
      <c r="F328" s="69">
        <v>0</v>
      </c>
      <c r="G328" s="70">
        <v>0</v>
      </c>
      <c r="H328" s="19">
        <v>1</v>
      </c>
      <c r="I328" s="25" t="s">
        <v>26</v>
      </c>
      <c r="J328" s="21">
        <v>2</v>
      </c>
      <c r="K328" s="14" t="s">
        <v>832</v>
      </c>
      <c r="L328" s="49"/>
      <c r="M328" s="46" t="s">
        <v>855</v>
      </c>
      <c r="N328" s="51">
        <v>0</v>
      </c>
      <c r="O328" s="63">
        <v>0</v>
      </c>
      <c r="P328" s="63">
        <v>0</v>
      </c>
    </row>
    <row r="329" spans="1:16" s="15" customFormat="1" thickBot="1" x14ac:dyDescent="0.25">
      <c r="A329" s="17">
        <v>8601200000</v>
      </c>
      <c r="B329" s="18" t="s">
        <v>665</v>
      </c>
      <c r="C329" s="18">
        <v>0</v>
      </c>
      <c r="D329" s="18"/>
      <c r="E329" s="18">
        <v>18473</v>
      </c>
      <c r="F329" s="69">
        <v>0</v>
      </c>
      <c r="G329" s="70">
        <v>0</v>
      </c>
      <c r="H329" s="19">
        <v>1</v>
      </c>
      <c r="I329" s="25" t="s">
        <v>26</v>
      </c>
      <c r="J329" s="21">
        <v>2</v>
      </c>
      <c r="K329" s="14" t="s">
        <v>832</v>
      </c>
      <c r="L329" s="49"/>
      <c r="M329" s="46" t="s">
        <v>855</v>
      </c>
      <c r="N329" s="51">
        <v>0</v>
      </c>
      <c r="O329" s="63">
        <v>0</v>
      </c>
      <c r="P329" s="63">
        <v>0</v>
      </c>
    </row>
    <row r="330" spans="1:16" s="15" customFormat="1" thickBot="1" x14ac:dyDescent="0.25">
      <c r="A330" s="17">
        <v>8602000000</v>
      </c>
      <c r="B330" s="18" t="s">
        <v>666</v>
      </c>
      <c r="C330" s="18">
        <v>0</v>
      </c>
      <c r="D330" s="18"/>
      <c r="E330" s="18">
        <v>44148</v>
      </c>
      <c r="F330" s="69">
        <v>0</v>
      </c>
      <c r="G330" s="70">
        <v>0</v>
      </c>
      <c r="H330" s="19">
        <v>1</v>
      </c>
      <c r="I330" s="25" t="s">
        <v>26</v>
      </c>
      <c r="J330" s="21">
        <v>1</v>
      </c>
      <c r="K330" s="14" t="s">
        <v>832</v>
      </c>
      <c r="L330" s="49"/>
      <c r="M330" s="46" t="s">
        <v>855</v>
      </c>
      <c r="N330" s="51">
        <v>0</v>
      </c>
      <c r="O330" s="63">
        <v>0</v>
      </c>
      <c r="P330" s="63">
        <v>0</v>
      </c>
    </row>
    <row r="331" spans="1:16" s="15" customFormat="1" thickBot="1" x14ac:dyDescent="0.25">
      <c r="A331" s="17">
        <v>9500006000</v>
      </c>
      <c r="B331" s="18" t="s">
        <v>667</v>
      </c>
      <c r="C331" s="18" t="s">
        <v>668</v>
      </c>
      <c r="D331" s="18"/>
      <c r="E331" s="18">
        <v>17</v>
      </c>
      <c r="F331" s="69">
        <v>1569.8180101921243</v>
      </c>
      <c r="G331" s="70">
        <v>390.31414982087028</v>
      </c>
      <c r="H331" s="20">
        <v>1</v>
      </c>
      <c r="I331" s="25" t="s">
        <v>26</v>
      </c>
      <c r="J331" s="21">
        <v>1</v>
      </c>
      <c r="K331" s="14" t="s">
        <v>831</v>
      </c>
      <c r="L331" s="13" t="s">
        <v>407</v>
      </c>
      <c r="M331" s="46">
        <v>0</v>
      </c>
      <c r="N331" s="51">
        <v>1805.6269440239741</v>
      </c>
      <c r="O331" s="63">
        <v>0.26584393959146679</v>
      </c>
      <c r="P331" s="63">
        <v>0.28644422503245387</v>
      </c>
    </row>
    <row r="332" spans="1:16" s="15" customFormat="1" thickBot="1" x14ac:dyDescent="0.25">
      <c r="A332" s="17">
        <v>9500016000</v>
      </c>
      <c r="B332" s="18" t="s">
        <v>669</v>
      </c>
      <c r="C332" s="18" t="s">
        <v>670</v>
      </c>
      <c r="D332" s="18"/>
      <c r="E332" s="18">
        <v>75</v>
      </c>
      <c r="F332" s="69">
        <v>16827.482311312466</v>
      </c>
      <c r="G332" s="70">
        <v>1268.7473663119431</v>
      </c>
      <c r="H332" s="19">
        <v>2.5</v>
      </c>
      <c r="I332" s="25" t="s">
        <v>132</v>
      </c>
      <c r="J332" s="21">
        <v>1</v>
      </c>
      <c r="K332" s="14" t="s">
        <v>832</v>
      </c>
      <c r="L332" s="13"/>
      <c r="M332" s="46" t="s">
        <v>736</v>
      </c>
      <c r="N332" s="51">
        <v>197.57326468361435</v>
      </c>
      <c r="O332" s="63">
        <v>1.4133697175412647E-2</v>
      </c>
      <c r="P332" s="63">
        <v>1.1824027524304108E-2</v>
      </c>
    </row>
    <row r="333" spans="1:16" s="15" customFormat="1" thickBot="1" x14ac:dyDescent="0.25">
      <c r="A333" s="17">
        <v>9500054000</v>
      </c>
      <c r="B333" s="18" t="s">
        <v>671</v>
      </c>
      <c r="C333" s="18" t="s">
        <v>76</v>
      </c>
      <c r="D333" s="18" t="s">
        <v>672</v>
      </c>
      <c r="E333" s="18">
        <v>1557</v>
      </c>
      <c r="F333" s="69">
        <v>549.96945948984967</v>
      </c>
      <c r="G333" s="70">
        <v>28.198513020825509</v>
      </c>
      <c r="H333" s="19">
        <v>1.1459999999999999</v>
      </c>
      <c r="I333" s="25" t="s">
        <v>13</v>
      </c>
      <c r="J333" s="21">
        <v>1</v>
      </c>
      <c r="K333" s="14" t="s">
        <v>831</v>
      </c>
      <c r="L333" s="13" t="s">
        <v>110</v>
      </c>
      <c r="M333" s="46">
        <v>0</v>
      </c>
      <c r="N333" s="51">
        <v>26.419161068160388</v>
      </c>
      <c r="O333" s="63">
        <v>0.11881820425229547</v>
      </c>
      <c r="P333" s="63">
        <v>6.6417027279681407E-2</v>
      </c>
    </row>
    <row r="334" spans="1:16" s="15" customFormat="1" thickBot="1" x14ac:dyDescent="0.25">
      <c r="A334" s="17">
        <v>9500109000</v>
      </c>
      <c r="B334" s="18" t="s">
        <v>673</v>
      </c>
      <c r="C334" s="18" t="s">
        <v>674</v>
      </c>
      <c r="D334" s="18"/>
      <c r="E334" s="18">
        <v>11588</v>
      </c>
      <c r="F334" s="69">
        <v>7325.1891609533877</v>
      </c>
      <c r="G334" s="70">
        <v>1624.6534574804509</v>
      </c>
      <c r="H334" s="19">
        <v>1</v>
      </c>
      <c r="I334" s="25" t="s">
        <v>26</v>
      </c>
      <c r="J334" s="21">
        <v>1</v>
      </c>
      <c r="K334" s="14" t="s">
        <v>832</v>
      </c>
      <c r="L334" s="13"/>
      <c r="M334" s="46" t="s">
        <v>753</v>
      </c>
      <c r="N334" s="51">
        <v>10415.842302162067</v>
      </c>
      <c r="O334" s="63">
        <v>1</v>
      </c>
      <c r="P334" s="63">
        <v>1</v>
      </c>
    </row>
    <row r="335" spans="1:16" s="15" customFormat="1" thickBot="1" x14ac:dyDescent="0.25">
      <c r="A335" s="17">
        <v>9500110000</v>
      </c>
      <c r="B335" s="18" t="s">
        <v>676</v>
      </c>
      <c r="C335" s="18" t="s">
        <v>677</v>
      </c>
      <c r="D335" s="18"/>
      <c r="E335" s="18">
        <v>16565</v>
      </c>
      <c r="F335" s="69">
        <v>7325.1891609533877</v>
      </c>
      <c r="G335" s="70">
        <v>1624.6534574804509</v>
      </c>
      <c r="H335" s="19">
        <v>1</v>
      </c>
      <c r="I335" s="25" t="s">
        <v>26</v>
      </c>
      <c r="J335" s="21">
        <v>2</v>
      </c>
      <c r="K335" s="14" t="s">
        <v>832</v>
      </c>
      <c r="L335" s="13"/>
      <c r="M335" s="46" t="s">
        <v>753</v>
      </c>
      <c r="N335" s="51">
        <v>10415.842302162067</v>
      </c>
      <c r="O335" s="63">
        <v>1</v>
      </c>
      <c r="P335" s="63">
        <v>1</v>
      </c>
    </row>
    <row r="336" spans="1:16" s="15" customFormat="1" thickBot="1" x14ac:dyDescent="0.25">
      <c r="A336" s="17">
        <v>9500115000</v>
      </c>
      <c r="B336" s="18" t="s">
        <v>678</v>
      </c>
      <c r="C336" s="18" t="s">
        <v>178</v>
      </c>
      <c r="D336" s="18"/>
      <c r="E336" s="18">
        <v>15557</v>
      </c>
      <c r="F336" s="69">
        <v>7114.8758588121418</v>
      </c>
      <c r="G336" s="70">
        <v>1291.4535811449484</v>
      </c>
      <c r="H336" s="25">
        <v>0.81300813008130079</v>
      </c>
      <c r="I336" s="25" t="s">
        <v>57</v>
      </c>
      <c r="J336" s="21">
        <v>2</v>
      </c>
      <c r="K336" s="14" t="s">
        <v>832</v>
      </c>
      <c r="L336" s="13"/>
      <c r="M336" s="46" t="s">
        <v>830</v>
      </c>
      <c r="N336" s="51">
        <v>8980.0987111131126</v>
      </c>
      <c r="O336" s="63">
        <v>1</v>
      </c>
      <c r="P336" s="63">
        <v>1</v>
      </c>
    </row>
    <row r="337" spans="1:16" s="15" customFormat="1" thickBot="1" x14ac:dyDescent="0.25">
      <c r="A337" s="17">
        <v>9500116000</v>
      </c>
      <c r="B337" s="18" t="s">
        <v>679</v>
      </c>
      <c r="C337" s="18" t="s">
        <v>680</v>
      </c>
      <c r="D337" s="18"/>
      <c r="E337" s="18">
        <v>9445</v>
      </c>
      <c r="F337" s="69">
        <v>7114.8758588121418</v>
      </c>
      <c r="G337" s="70">
        <v>1291.4535811449484</v>
      </c>
      <c r="H337" s="25">
        <v>0.81300813008130079</v>
      </c>
      <c r="I337" s="25" t="s">
        <v>57</v>
      </c>
      <c r="J337" s="21">
        <v>2</v>
      </c>
      <c r="K337" s="14" t="s">
        <v>831</v>
      </c>
      <c r="L337" s="13" t="s">
        <v>835</v>
      </c>
      <c r="M337" s="46">
        <v>0</v>
      </c>
      <c r="N337" s="51">
        <v>8980.0987111131126</v>
      </c>
      <c r="O337" s="63">
        <v>1</v>
      </c>
      <c r="P337" s="63">
        <v>1</v>
      </c>
    </row>
    <row r="338" spans="1:16" s="15" customFormat="1" thickBot="1" x14ac:dyDescent="0.25">
      <c r="A338" s="17">
        <v>9500177000</v>
      </c>
      <c r="B338" s="18" t="s">
        <v>681</v>
      </c>
      <c r="C338" s="18" t="s">
        <v>76</v>
      </c>
      <c r="D338" s="18"/>
      <c r="E338" s="18">
        <v>5</v>
      </c>
      <c r="F338" s="69">
        <v>3331.5806656599457</v>
      </c>
      <c r="G338" s="70">
        <v>370.57800316529716</v>
      </c>
      <c r="H338" s="19">
        <v>1</v>
      </c>
      <c r="I338" s="25" t="s">
        <v>26</v>
      </c>
      <c r="J338" s="21">
        <v>1</v>
      </c>
      <c r="K338" s="14" t="s">
        <v>831</v>
      </c>
      <c r="L338" s="13" t="s">
        <v>359</v>
      </c>
      <c r="M338" s="46">
        <v>0</v>
      </c>
      <c r="N338" s="51">
        <v>60.148428868566519</v>
      </c>
      <c r="O338" s="63">
        <v>5.7767622563298669E-2</v>
      </c>
      <c r="P338" s="63">
        <v>8.8322179330618658E-2</v>
      </c>
    </row>
    <row r="339" spans="1:16" s="15" customFormat="1" thickBot="1" x14ac:dyDescent="0.25">
      <c r="A339" s="17">
        <v>9500186000</v>
      </c>
      <c r="B339" s="18" t="s">
        <v>682</v>
      </c>
      <c r="C339" s="18" t="s">
        <v>683</v>
      </c>
      <c r="D339" s="18"/>
      <c r="E339" s="18">
        <v>22697</v>
      </c>
      <c r="F339" s="69">
        <v>0</v>
      </c>
      <c r="G339" s="70">
        <v>0</v>
      </c>
      <c r="H339" s="19">
        <v>1</v>
      </c>
      <c r="I339" s="25" t="s">
        <v>13</v>
      </c>
      <c r="J339" s="21">
        <v>2</v>
      </c>
      <c r="K339" s="14" t="s">
        <v>832</v>
      </c>
      <c r="L339" s="13"/>
      <c r="M339" s="46" t="s">
        <v>827</v>
      </c>
      <c r="N339" s="51">
        <v>0</v>
      </c>
      <c r="O339" s="63" t="s">
        <v>868</v>
      </c>
      <c r="P339" s="63" t="s">
        <v>868</v>
      </c>
    </row>
    <row r="340" spans="1:16" s="15" customFormat="1" thickBot="1" x14ac:dyDescent="0.25">
      <c r="A340" s="17">
        <v>9500186100</v>
      </c>
      <c r="B340" s="18" t="s">
        <v>684</v>
      </c>
      <c r="C340" s="18" t="s">
        <v>482</v>
      </c>
      <c r="D340" s="18" t="s">
        <v>483</v>
      </c>
      <c r="E340" s="18">
        <v>1</v>
      </c>
      <c r="F340" s="69">
        <v>0</v>
      </c>
      <c r="G340" s="70">
        <v>0</v>
      </c>
      <c r="H340" s="19">
        <v>1</v>
      </c>
      <c r="I340" s="25" t="s">
        <v>26</v>
      </c>
      <c r="J340" s="21">
        <v>2</v>
      </c>
      <c r="K340" s="14" t="s">
        <v>832</v>
      </c>
      <c r="L340" s="13"/>
      <c r="M340" s="46" t="s">
        <v>827</v>
      </c>
      <c r="N340" s="51">
        <v>0</v>
      </c>
      <c r="O340" s="63" t="s">
        <v>868</v>
      </c>
      <c r="P340" s="63" t="s">
        <v>868</v>
      </c>
    </row>
    <row r="341" spans="1:16" s="15" customFormat="1" thickBot="1" x14ac:dyDescent="0.25">
      <c r="A341" s="17">
        <v>9500188000</v>
      </c>
      <c r="B341" s="18" t="s">
        <v>685</v>
      </c>
      <c r="C341" s="18" t="s">
        <v>686</v>
      </c>
      <c r="D341" s="18"/>
      <c r="E341" s="18">
        <v>3551</v>
      </c>
      <c r="F341" s="69">
        <v>2416.449817976948</v>
      </c>
      <c r="G341" s="70">
        <v>2046.0526183020795</v>
      </c>
      <c r="H341" s="19">
        <v>1</v>
      </c>
      <c r="I341" s="25" t="s">
        <v>26</v>
      </c>
      <c r="J341" s="21">
        <v>1</v>
      </c>
      <c r="K341" s="14" t="s">
        <v>832</v>
      </c>
      <c r="L341" s="13"/>
      <c r="M341" s="46" t="s">
        <v>685</v>
      </c>
      <c r="N341" s="51">
        <v>354.20721913830891</v>
      </c>
      <c r="O341" s="63">
        <v>8.1903173390963698E-3</v>
      </c>
      <c r="P341" s="63">
        <v>1.183477664044737E-2</v>
      </c>
    </row>
    <row r="342" spans="1:16" s="15" customFormat="1" thickBot="1" x14ac:dyDescent="0.25">
      <c r="A342" s="17">
        <v>9500218000</v>
      </c>
      <c r="B342" s="18" t="s">
        <v>687</v>
      </c>
      <c r="C342" s="18" t="s">
        <v>688</v>
      </c>
      <c r="D342" s="18"/>
      <c r="E342" s="18">
        <v>1794</v>
      </c>
      <c r="F342" s="69">
        <v>0</v>
      </c>
      <c r="G342" s="70">
        <v>0</v>
      </c>
      <c r="H342" s="19">
        <v>1.36</v>
      </c>
      <c r="I342" s="25" t="s">
        <v>19</v>
      </c>
      <c r="J342" s="21">
        <v>2</v>
      </c>
      <c r="K342" s="14" t="s">
        <v>832</v>
      </c>
      <c r="L342" s="13"/>
      <c r="M342" s="46" t="s">
        <v>827</v>
      </c>
      <c r="N342" s="51">
        <v>0</v>
      </c>
      <c r="O342" s="63" t="s">
        <v>868</v>
      </c>
      <c r="P342" s="63" t="s">
        <v>868</v>
      </c>
    </row>
    <row r="343" spans="1:16" s="15" customFormat="1" thickBot="1" x14ac:dyDescent="0.25">
      <c r="A343" s="17">
        <v>9500219000</v>
      </c>
      <c r="B343" s="18" t="s">
        <v>689</v>
      </c>
      <c r="C343" s="18" t="s">
        <v>425</v>
      </c>
      <c r="D343" s="18"/>
      <c r="E343" s="18">
        <v>2293</v>
      </c>
      <c r="F343" s="69">
        <v>0</v>
      </c>
      <c r="G343" s="70">
        <v>0</v>
      </c>
      <c r="H343" s="19">
        <v>1</v>
      </c>
      <c r="I343" s="25" t="s">
        <v>13</v>
      </c>
      <c r="J343" s="21">
        <v>2</v>
      </c>
      <c r="K343" s="14" t="s">
        <v>832</v>
      </c>
      <c r="L343" s="13"/>
      <c r="M343" s="46" t="s">
        <v>827</v>
      </c>
      <c r="N343" s="51">
        <v>0</v>
      </c>
      <c r="O343" s="63" t="s">
        <v>868</v>
      </c>
      <c r="P343" s="63" t="s">
        <v>868</v>
      </c>
    </row>
    <row r="344" spans="1:16" s="15" customFormat="1" thickBot="1" x14ac:dyDescent="0.25">
      <c r="A344" s="17">
        <v>9500244000</v>
      </c>
      <c r="B344" s="18" t="s">
        <v>690</v>
      </c>
      <c r="C344" s="18" t="s">
        <v>155</v>
      </c>
      <c r="D344" s="18"/>
      <c r="E344" s="18">
        <v>3570</v>
      </c>
      <c r="F344" s="69">
        <v>37.523148525503728</v>
      </c>
      <c r="G344" s="70">
        <v>8.1280759426562987</v>
      </c>
      <c r="H344" s="19">
        <v>1</v>
      </c>
      <c r="I344" s="25" t="s">
        <v>26</v>
      </c>
      <c r="J344" s="21">
        <v>2</v>
      </c>
      <c r="K344" s="14" t="s">
        <v>832</v>
      </c>
      <c r="L344" s="13"/>
      <c r="M344" s="46" t="s">
        <v>781</v>
      </c>
      <c r="N344" s="51">
        <v>666.96587128053864</v>
      </c>
      <c r="O344" s="63">
        <v>1</v>
      </c>
      <c r="P344" s="63">
        <v>1</v>
      </c>
    </row>
    <row r="345" spans="1:16" s="15" customFormat="1" thickBot="1" x14ac:dyDescent="0.25">
      <c r="A345" s="17">
        <v>9500263000</v>
      </c>
      <c r="B345" s="18" t="s">
        <v>691</v>
      </c>
      <c r="C345" s="18" t="s">
        <v>692</v>
      </c>
      <c r="D345" s="18"/>
      <c r="E345" s="18">
        <v>5671</v>
      </c>
      <c r="F345" s="69">
        <v>517.76645884897346</v>
      </c>
      <c r="G345" s="70">
        <v>296.43220317123519</v>
      </c>
      <c r="H345" s="19">
        <v>1</v>
      </c>
      <c r="I345" s="25"/>
      <c r="J345" s="21">
        <v>1</v>
      </c>
      <c r="K345" s="14" t="s">
        <v>832</v>
      </c>
      <c r="L345" s="13"/>
      <c r="M345" s="46" t="s">
        <v>845</v>
      </c>
      <c r="N345" s="51">
        <v>903.23326933659996</v>
      </c>
      <c r="O345" s="63">
        <v>8.6510270674535327E-3</v>
      </c>
      <c r="P345" s="63">
        <v>5.0837186887744364E-2</v>
      </c>
    </row>
    <row r="346" spans="1:16" s="15" customFormat="1" thickBot="1" x14ac:dyDescent="0.25">
      <c r="A346" s="17">
        <v>9500264000</v>
      </c>
      <c r="B346" s="18" t="s">
        <v>693</v>
      </c>
      <c r="C346" s="18" t="s">
        <v>694</v>
      </c>
      <c r="D346" s="18"/>
      <c r="E346" s="18">
        <v>6125</v>
      </c>
      <c r="F346" s="69">
        <v>517.76645884897346</v>
      </c>
      <c r="G346" s="70">
        <v>296.43220317123519</v>
      </c>
      <c r="H346" s="19">
        <v>1</v>
      </c>
      <c r="I346" s="25" t="s">
        <v>57</v>
      </c>
      <c r="J346" s="21">
        <v>2</v>
      </c>
      <c r="K346" s="47" t="s">
        <v>831</v>
      </c>
      <c r="L346" s="13" t="s">
        <v>842</v>
      </c>
      <c r="M346" s="46">
        <v>0</v>
      </c>
      <c r="N346" s="51">
        <v>903.23326933659996</v>
      </c>
      <c r="O346" s="63">
        <v>8.6510270674535327E-3</v>
      </c>
      <c r="P346" s="63">
        <v>5.0837186887744364E-2</v>
      </c>
    </row>
    <row r="347" spans="1:16" s="15" customFormat="1" thickBot="1" x14ac:dyDescent="0.25">
      <c r="A347" s="17">
        <v>9500265000</v>
      </c>
      <c r="B347" s="18" t="s">
        <v>695</v>
      </c>
      <c r="C347" s="18" t="s">
        <v>155</v>
      </c>
      <c r="D347" s="18"/>
      <c r="E347" s="18">
        <v>23737</v>
      </c>
      <c r="F347" s="69">
        <v>517.76645884897346</v>
      </c>
      <c r="G347" s="70">
        <v>296.43220317123519</v>
      </c>
      <c r="H347" s="25">
        <v>1</v>
      </c>
      <c r="I347" s="25" t="s">
        <v>57</v>
      </c>
      <c r="J347" s="21">
        <v>2</v>
      </c>
      <c r="K347" s="47" t="s">
        <v>831</v>
      </c>
      <c r="L347" s="49" t="s">
        <v>842</v>
      </c>
      <c r="M347" s="46">
        <v>0</v>
      </c>
      <c r="N347" s="51">
        <v>903.23326933659996</v>
      </c>
      <c r="O347" s="63">
        <v>8.6510270674535327E-3</v>
      </c>
      <c r="P347" s="63">
        <v>5.0837186887744364E-2</v>
      </c>
    </row>
    <row r="348" spans="1:16" s="15" customFormat="1" thickBot="1" x14ac:dyDescent="0.25">
      <c r="A348" s="17">
        <v>9500275000</v>
      </c>
      <c r="B348" s="18" t="s">
        <v>696</v>
      </c>
      <c r="C348" s="18" t="s">
        <v>117</v>
      </c>
      <c r="D348" s="18" t="s">
        <v>697</v>
      </c>
      <c r="E348" s="18">
        <v>3490</v>
      </c>
      <c r="F348" s="69">
        <v>497.2283378903594</v>
      </c>
      <c r="G348" s="70">
        <v>25.86892267588938</v>
      </c>
      <c r="H348" s="19">
        <v>1</v>
      </c>
      <c r="I348" s="25" t="s">
        <v>26</v>
      </c>
      <c r="J348" s="21">
        <v>1</v>
      </c>
      <c r="K348" s="14" t="s">
        <v>831</v>
      </c>
      <c r="L348" s="49" t="s">
        <v>78</v>
      </c>
      <c r="M348" s="46">
        <v>0</v>
      </c>
      <c r="N348" s="51">
        <v>36.298573840726164</v>
      </c>
      <c r="O348" s="63">
        <v>0.10306311244941802</v>
      </c>
      <c r="P348" s="63">
        <v>5.8039614775406909E-2</v>
      </c>
    </row>
    <row r="349" spans="1:16" s="15" customFormat="1" thickBot="1" x14ac:dyDescent="0.25">
      <c r="A349" s="17">
        <v>9500276000</v>
      </c>
      <c r="B349" s="18" t="s">
        <v>698</v>
      </c>
      <c r="C349" s="18" t="s">
        <v>155</v>
      </c>
      <c r="D349" s="18"/>
      <c r="E349" s="18">
        <v>4</v>
      </c>
      <c r="F349" s="69">
        <v>497.2283378903594</v>
      </c>
      <c r="G349" s="70">
        <v>25.86892267588938</v>
      </c>
      <c r="H349" s="19">
        <v>1</v>
      </c>
      <c r="I349" s="25" t="s">
        <v>26</v>
      </c>
      <c r="J349" s="21">
        <v>2</v>
      </c>
      <c r="K349" s="14" t="s">
        <v>831</v>
      </c>
      <c r="L349" s="49" t="s">
        <v>78</v>
      </c>
      <c r="M349" s="46">
        <v>0</v>
      </c>
      <c r="N349" s="51">
        <v>36.298573840726164</v>
      </c>
      <c r="O349" s="63">
        <v>0.10306311244941802</v>
      </c>
      <c r="P349" s="63">
        <v>5.8039614775406909E-2</v>
      </c>
    </row>
    <row r="350" spans="1:16" s="15" customFormat="1" thickBot="1" x14ac:dyDescent="0.25">
      <c r="A350" s="17">
        <v>9500306000</v>
      </c>
      <c r="B350" s="18" t="s">
        <v>699</v>
      </c>
      <c r="C350" s="18" t="s">
        <v>700</v>
      </c>
      <c r="D350" s="18"/>
      <c r="E350" s="18">
        <v>2</v>
      </c>
      <c r="F350" s="69">
        <v>1569.8180101921243</v>
      </c>
      <c r="G350" s="70">
        <v>390.31414982087028</v>
      </c>
      <c r="H350" s="19">
        <v>1</v>
      </c>
      <c r="I350" s="25" t="s">
        <v>26</v>
      </c>
      <c r="J350" s="21">
        <v>1</v>
      </c>
      <c r="K350" s="14" t="s">
        <v>831</v>
      </c>
      <c r="L350" s="13" t="s">
        <v>407</v>
      </c>
      <c r="M350" s="46">
        <v>0</v>
      </c>
      <c r="N350" s="51">
        <v>1805.6269440239741</v>
      </c>
      <c r="O350" s="63">
        <v>0.26584393959146679</v>
      </c>
      <c r="P350" s="63">
        <v>0.28644422503245387</v>
      </c>
    </row>
    <row r="351" spans="1:16" s="15" customFormat="1" thickBot="1" x14ac:dyDescent="0.25">
      <c r="A351" s="17">
        <v>9500335000</v>
      </c>
      <c r="B351" s="18" t="s">
        <v>701</v>
      </c>
      <c r="C351" s="18" t="s">
        <v>702</v>
      </c>
      <c r="D351" s="18" t="s">
        <v>703</v>
      </c>
      <c r="E351" s="18">
        <v>19067</v>
      </c>
      <c r="F351" s="69">
        <v>0</v>
      </c>
      <c r="G351" s="70">
        <v>0</v>
      </c>
      <c r="H351" s="19">
        <v>1</v>
      </c>
      <c r="I351" s="25" t="s">
        <v>13</v>
      </c>
      <c r="J351" s="21">
        <v>1</v>
      </c>
      <c r="K351" s="14" t="s">
        <v>832</v>
      </c>
      <c r="L351" s="49"/>
      <c r="M351" s="46" t="s">
        <v>827</v>
      </c>
      <c r="N351" s="51">
        <v>0</v>
      </c>
      <c r="O351" s="63" t="s">
        <v>868</v>
      </c>
      <c r="P351" s="63" t="s">
        <v>868</v>
      </c>
    </row>
    <row r="352" spans="1:16" s="15" customFormat="1" thickBot="1" x14ac:dyDescent="0.25">
      <c r="A352" s="17">
        <v>9500362000</v>
      </c>
      <c r="B352" s="18" t="s">
        <v>704</v>
      </c>
      <c r="C352" s="18" t="s">
        <v>705</v>
      </c>
      <c r="D352" s="18" t="s">
        <v>12</v>
      </c>
      <c r="E352" s="18">
        <v>49995</v>
      </c>
      <c r="F352" s="69">
        <v>1023.1919110761582</v>
      </c>
      <c r="G352" s="70">
        <v>230.01732269113847</v>
      </c>
      <c r="H352" s="19">
        <v>5.5</v>
      </c>
      <c r="I352" s="25" t="s">
        <v>26</v>
      </c>
      <c r="J352" s="21">
        <v>2</v>
      </c>
      <c r="K352" s="53" t="s">
        <v>832</v>
      </c>
      <c r="L352" s="49"/>
      <c r="M352" s="46" t="s">
        <v>809</v>
      </c>
      <c r="N352" s="51">
        <v>108.49259902721954</v>
      </c>
      <c r="O352" s="63">
        <v>0</v>
      </c>
      <c r="P352" s="63">
        <v>0</v>
      </c>
    </row>
    <row r="353" spans="1:16" s="15" customFormat="1" thickBot="1" x14ac:dyDescent="0.25">
      <c r="A353" s="17">
        <v>9500363000</v>
      </c>
      <c r="B353" s="18" t="s">
        <v>706</v>
      </c>
      <c r="C353" s="18" t="s">
        <v>16</v>
      </c>
      <c r="D353" s="18" t="s">
        <v>707</v>
      </c>
      <c r="E353" s="18">
        <v>7615</v>
      </c>
      <c r="F353" s="69">
        <v>1023.1919110761582</v>
      </c>
      <c r="G353" s="70">
        <v>230.01732269113847</v>
      </c>
      <c r="H353" s="19">
        <v>5.5</v>
      </c>
      <c r="I353" s="25" t="s">
        <v>26</v>
      </c>
      <c r="J353" s="21">
        <v>2</v>
      </c>
      <c r="K353" s="53" t="s">
        <v>832</v>
      </c>
      <c r="L353" s="49"/>
      <c r="M353" s="46" t="s">
        <v>809</v>
      </c>
      <c r="N353" s="51">
        <v>108.49259902721954</v>
      </c>
      <c r="O353" s="63">
        <v>0</v>
      </c>
      <c r="P353" s="63">
        <v>0</v>
      </c>
    </row>
    <row r="354" spans="1:16" s="15" customFormat="1" thickBot="1" x14ac:dyDescent="0.25">
      <c r="A354" s="17">
        <v>9500372000</v>
      </c>
      <c r="B354" s="18" t="s">
        <v>708</v>
      </c>
      <c r="C354" s="18" t="s">
        <v>709</v>
      </c>
      <c r="D354" s="18"/>
      <c r="E354" s="18">
        <v>7481</v>
      </c>
      <c r="F354" s="69">
        <v>11313.156492251559</v>
      </c>
      <c r="G354" s="70">
        <v>1686.0364316945784</v>
      </c>
      <c r="H354" s="19">
        <v>1</v>
      </c>
      <c r="I354" s="25" t="s">
        <v>26</v>
      </c>
      <c r="J354" s="21">
        <v>2</v>
      </c>
      <c r="K354" s="14" t="s">
        <v>832</v>
      </c>
      <c r="L354" s="13"/>
      <c r="M354" s="46" t="s">
        <v>814</v>
      </c>
      <c r="N354" s="51">
        <v>4354.278102404649</v>
      </c>
      <c r="O354" s="63">
        <v>1</v>
      </c>
      <c r="P354" s="63">
        <v>1</v>
      </c>
    </row>
    <row r="355" spans="1:16" s="15" customFormat="1" thickBot="1" x14ac:dyDescent="0.25">
      <c r="A355" s="17">
        <v>9500373000</v>
      </c>
      <c r="B355" s="18" t="s">
        <v>710</v>
      </c>
      <c r="C355" s="18" t="s">
        <v>711</v>
      </c>
      <c r="D355" s="18"/>
      <c r="E355" s="18">
        <v>4160</v>
      </c>
      <c r="F355" s="69">
        <v>32808.153827529517</v>
      </c>
      <c r="G355" s="70">
        <v>4889.5056519142772</v>
      </c>
      <c r="H355" s="25">
        <v>2.9</v>
      </c>
      <c r="I355" s="25" t="s">
        <v>712</v>
      </c>
      <c r="J355" s="21">
        <v>2</v>
      </c>
      <c r="K355" s="14" t="s">
        <v>831</v>
      </c>
      <c r="L355" s="13" t="s">
        <v>713</v>
      </c>
      <c r="M355" s="46">
        <v>0</v>
      </c>
      <c r="N355" s="51">
        <v>4354.278102404649</v>
      </c>
      <c r="O355" s="63">
        <v>1</v>
      </c>
      <c r="P355" s="63">
        <v>1</v>
      </c>
    </row>
    <row r="356" spans="1:16" s="15" customFormat="1" thickBot="1" x14ac:dyDescent="0.25">
      <c r="A356" s="17">
        <v>9500390000</v>
      </c>
      <c r="B356" s="18" t="s">
        <v>714</v>
      </c>
      <c r="C356" s="18" t="s">
        <v>715</v>
      </c>
      <c r="D356" s="18"/>
      <c r="E356" s="18">
        <v>30618</v>
      </c>
      <c r="F356" s="69">
        <v>0</v>
      </c>
      <c r="G356" s="70">
        <v>0</v>
      </c>
      <c r="H356" s="19">
        <v>1.5</v>
      </c>
      <c r="I356" s="25" t="s">
        <v>26</v>
      </c>
      <c r="J356" s="21">
        <v>1</v>
      </c>
      <c r="K356" s="45" t="s">
        <v>832</v>
      </c>
      <c r="L356" s="49"/>
      <c r="M356" s="46" t="s">
        <v>855</v>
      </c>
      <c r="N356" s="51">
        <v>0</v>
      </c>
      <c r="O356" s="63">
        <v>0</v>
      </c>
      <c r="P356" s="63">
        <v>0</v>
      </c>
    </row>
    <row r="357" spans="1:16" s="15" customFormat="1" thickBot="1" x14ac:dyDescent="0.25">
      <c r="A357" s="31">
        <v>9500397000</v>
      </c>
      <c r="B357" s="32" t="s">
        <v>716</v>
      </c>
      <c r="C357" s="32" t="s">
        <v>717</v>
      </c>
      <c r="D357" s="32"/>
      <c r="E357" s="32">
        <v>961</v>
      </c>
      <c r="F357" s="69">
        <v>709.82252611525507</v>
      </c>
      <c r="G357" s="70">
        <v>102.0455933080267</v>
      </c>
      <c r="H357" s="33">
        <v>1.3</v>
      </c>
      <c r="I357" s="62" t="s">
        <v>13</v>
      </c>
      <c r="J357" s="34">
        <v>1</v>
      </c>
      <c r="K357" s="14" t="s">
        <v>831</v>
      </c>
      <c r="L357" s="35" t="s">
        <v>9</v>
      </c>
      <c r="M357" s="46">
        <v>0</v>
      </c>
      <c r="N357" s="51">
        <v>91.201036523819354</v>
      </c>
      <c r="O357" s="63">
        <v>0.35170205384271497</v>
      </c>
      <c r="P357" s="63">
        <v>0.35441987933612168</v>
      </c>
    </row>
    <row r="358" spans="1:16" x14ac:dyDescent="0.2">
      <c r="A358" s="36"/>
      <c r="B358" s="36"/>
      <c r="C358" s="36"/>
      <c r="D358" s="36"/>
      <c r="E358" s="36"/>
      <c r="L358" s="36"/>
    </row>
    <row r="359" spans="1:16" x14ac:dyDescent="0.2">
      <c r="A359" s="36"/>
      <c r="B359" s="36"/>
      <c r="C359" s="36"/>
      <c r="D359" s="36"/>
      <c r="E359" s="36"/>
      <c r="K359" s="39"/>
      <c r="L359" s="36"/>
      <c r="M359" s="39"/>
    </row>
    <row r="360" spans="1:16" x14ac:dyDescent="0.2">
      <c r="A360" s="36"/>
      <c r="B360" s="36"/>
      <c r="C360" s="36"/>
      <c r="D360" s="36"/>
      <c r="E360" s="36"/>
      <c r="L360" s="36"/>
    </row>
    <row r="361" spans="1:16" x14ac:dyDescent="0.2">
      <c r="A361" s="36"/>
      <c r="B361" s="36"/>
      <c r="C361" s="36"/>
      <c r="D361" s="36"/>
      <c r="E361" s="36"/>
      <c r="L361" s="36"/>
    </row>
    <row r="362" spans="1:16" x14ac:dyDescent="0.2">
      <c r="A362" s="36"/>
      <c r="B362" s="36"/>
      <c r="C362" s="36"/>
      <c r="D362" s="36"/>
      <c r="E362" s="36"/>
      <c r="L362" s="36"/>
    </row>
    <row r="363" spans="1:16" x14ac:dyDescent="0.2">
      <c r="A363" s="36"/>
      <c r="B363" s="36"/>
      <c r="C363" s="36"/>
      <c r="D363" s="36"/>
      <c r="E363" s="36"/>
      <c r="L363" s="36"/>
    </row>
    <row r="364" spans="1:16" x14ac:dyDescent="0.2">
      <c r="A364" s="36"/>
      <c r="B364" s="36"/>
      <c r="C364" s="36"/>
      <c r="D364" s="36"/>
      <c r="E364" s="36"/>
      <c r="L364" s="36"/>
    </row>
    <row r="365" spans="1:16" x14ac:dyDescent="0.2">
      <c r="A365" s="36"/>
      <c r="B365" s="36"/>
      <c r="C365" s="36"/>
      <c r="D365" s="36"/>
      <c r="E365" s="36"/>
      <c r="L365" s="36"/>
    </row>
    <row r="366" spans="1:16" x14ac:dyDescent="0.2">
      <c r="A366" s="36"/>
      <c r="B366" s="36"/>
      <c r="C366" s="36"/>
      <c r="D366" s="36"/>
      <c r="E366" s="36"/>
      <c r="L366" s="36"/>
    </row>
    <row r="367" spans="1:16" x14ac:dyDescent="0.2">
      <c r="A367" s="36"/>
      <c r="B367" s="36"/>
      <c r="C367" s="36"/>
      <c r="D367" s="36"/>
      <c r="E367" s="36"/>
      <c r="L367" s="36"/>
    </row>
    <row r="368" spans="1:16" x14ac:dyDescent="0.2">
      <c r="A368" s="36"/>
      <c r="B368" s="36"/>
      <c r="C368" s="36"/>
      <c r="D368" s="36"/>
      <c r="E368" s="36"/>
      <c r="L368" s="36"/>
    </row>
    <row r="369" spans="1:13" x14ac:dyDescent="0.2">
      <c r="A369" s="36"/>
      <c r="B369" s="36"/>
      <c r="C369" s="36"/>
      <c r="D369" s="36"/>
      <c r="E369" s="36"/>
      <c r="L369" s="36"/>
    </row>
    <row r="370" spans="1:13" x14ac:dyDescent="0.2">
      <c r="A370" s="36"/>
      <c r="B370" s="36"/>
      <c r="C370" s="36"/>
      <c r="D370" s="36"/>
      <c r="E370" s="36"/>
      <c r="L370" s="36"/>
    </row>
    <row r="371" spans="1:13" x14ac:dyDescent="0.2">
      <c r="A371" s="36"/>
      <c r="B371" s="36"/>
      <c r="C371" s="36"/>
      <c r="D371" s="36"/>
      <c r="E371" s="36"/>
      <c r="K371" s="40"/>
      <c r="L371" s="36"/>
      <c r="M371" s="40"/>
    </row>
    <row r="372" spans="1:13" x14ac:dyDescent="0.2">
      <c r="A372" s="36"/>
      <c r="B372" s="36"/>
      <c r="C372" s="36"/>
      <c r="D372" s="36"/>
      <c r="E372" s="36"/>
      <c r="K372" s="40"/>
      <c r="L372" s="36"/>
      <c r="M372" s="40"/>
    </row>
    <row r="373" spans="1:13" x14ac:dyDescent="0.2">
      <c r="A373" s="36"/>
      <c r="B373" s="36"/>
      <c r="C373" s="36"/>
      <c r="D373" s="36"/>
      <c r="E373" s="36"/>
      <c r="K373" s="40"/>
      <c r="L373" s="36"/>
      <c r="M373" s="40"/>
    </row>
    <row r="374" spans="1:13" x14ac:dyDescent="0.2">
      <c r="A374" s="36"/>
      <c r="B374" s="36"/>
      <c r="C374" s="36"/>
      <c r="D374" s="36"/>
      <c r="E374" s="36"/>
      <c r="L374" s="36"/>
    </row>
    <row r="375" spans="1:13" x14ac:dyDescent="0.2">
      <c r="A375" s="36"/>
      <c r="B375" s="36"/>
      <c r="C375" s="36"/>
      <c r="D375" s="36"/>
      <c r="E375" s="36"/>
      <c r="L375" s="36"/>
    </row>
    <row r="376" spans="1:13" x14ac:dyDescent="0.2">
      <c r="A376" s="36"/>
      <c r="B376" s="36"/>
      <c r="C376" s="36"/>
      <c r="D376" s="36"/>
      <c r="E376" s="36"/>
      <c r="L376" s="36"/>
    </row>
    <row r="377" spans="1:13" x14ac:dyDescent="0.2">
      <c r="A377" s="36"/>
      <c r="B377" s="36"/>
      <c r="C377" s="36"/>
      <c r="D377" s="36"/>
      <c r="E377" s="36"/>
      <c r="L377" s="36"/>
    </row>
    <row r="378" spans="1:13" x14ac:dyDescent="0.2">
      <c r="A378" s="36"/>
      <c r="B378" s="36"/>
      <c r="C378" s="36"/>
      <c r="D378" s="36"/>
      <c r="E378" s="36"/>
      <c r="L378" s="36"/>
    </row>
    <row r="379" spans="1:13" x14ac:dyDescent="0.2">
      <c r="A379" s="36"/>
      <c r="B379" s="36"/>
      <c r="C379" s="36"/>
      <c r="D379" s="36"/>
      <c r="E379" s="36"/>
      <c r="L379" s="36"/>
    </row>
    <row r="380" spans="1:13" x14ac:dyDescent="0.2">
      <c r="A380" s="36"/>
      <c r="B380" s="36"/>
      <c r="C380" s="36"/>
      <c r="D380" s="36"/>
      <c r="E380" s="36"/>
      <c r="L380" s="36"/>
    </row>
    <row r="381" spans="1:13" x14ac:dyDescent="0.2">
      <c r="A381" s="36"/>
      <c r="B381" s="36"/>
      <c r="C381" s="36"/>
      <c r="D381" s="36"/>
      <c r="E381" s="36"/>
      <c r="L381" s="36"/>
    </row>
    <row r="382" spans="1:13" x14ac:dyDescent="0.2">
      <c r="A382" s="36"/>
      <c r="B382" s="36"/>
      <c r="C382" s="36"/>
      <c r="D382" s="36"/>
      <c r="E382" s="36"/>
      <c r="L382" s="36"/>
    </row>
    <row r="383" spans="1:13" x14ac:dyDescent="0.2">
      <c r="A383" s="36"/>
      <c r="B383" s="36"/>
      <c r="C383" s="36"/>
      <c r="D383" s="36"/>
      <c r="E383" s="36"/>
      <c r="L383" s="36"/>
    </row>
    <row r="384" spans="1:13" x14ac:dyDescent="0.2">
      <c r="A384" s="36"/>
      <c r="B384" s="36"/>
      <c r="C384" s="36"/>
      <c r="D384" s="36"/>
      <c r="E384" s="36"/>
      <c r="L384" s="36"/>
    </row>
    <row r="385" spans="1:12" x14ac:dyDescent="0.2">
      <c r="A385" s="36"/>
      <c r="B385" s="36"/>
      <c r="C385" s="36"/>
      <c r="D385" s="36"/>
      <c r="E385" s="36"/>
      <c r="L385" s="36"/>
    </row>
    <row r="386" spans="1:12" x14ac:dyDescent="0.2">
      <c r="A386" s="36"/>
      <c r="B386" s="36"/>
      <c r="C386" s="36"/>
      <c r="D386" s="36"/>
      <c r="E386" s="36"/>
      <c r="L386" s="36"/>
    </row>
    <row r="387" spans="1:12" x14ac:dyDescent="0.2">
      <c r="A387" s="36"/>
      <c r="B387" s="36"/>
      <c r="C387" s="36"/>
      <c r="D387" s="36"/>
      <c r="E387" s="36"/>
      <c r="L387" s="36"/>
    </row>
    <row r="388" spans="1:12" x14ac:dyDescent="0.2">
      <c r="A388" s="36"/>
      <c r="B388" s="36"/>
      <c r="C388" s="36"/>
      <c r="D388" s="36"/>
      <c r="E388" s="36"/>
      <c r="L388" s="36"/>
    </row>
    <row r="389" spans="1:12" x14ac:dyDescent="0.2">
      <c r="A389" s="36"/>
      <c r="B389" s="36"/>
      <c r="C389" s="36"/>
      <c r="D389" s="36"/>
      <c r="E389" s="36"/>
      <c r="L389" s="36"/>
    </row>
    <row r="390" spans="1:12" x14ac:dyDescent="0.2">
      <c r="A390" s="36"/>
      <c r="C390" s="36"/>
      <c r="D390" s="36"/>
      <c r="E390" s="36"/>
      <c r="H390" s="36"/>
      <c r="L390" s="36"/>
    </row>
    <row r="391" spans="1:12" x14ac:dyDescent="0.2">
      <c r="A391" s="36"/>
      <c r="C391" s="36"/>
      <c r="D391" s="36"/>
      <c r="E391" s="36"/>
      <c r="H391" s="36"/>
      <c r="I391" s="41"/>
      <c r="L391" s="36"/>
    </row>
    <row r="392" spans="1:12" x14ac:dyDescent="0.2">
      <c r="A392" s="36"/>
      <c r="B392" s="36"/>
      <c r="C392" s="36"/>
      <c r="D392" s="36"/>
      <c r="E392" s="36"/>
      <c r="L392" s="36"/>
    </row>
    <row r="393" spans="1:12" x14ac:dyDescent="0.2">
      <c r="A393" s="36"/>
      <c r="B393" s="36"/>
      <c r="C393" s="36"/>
      <c r="D393" s="36"/>
      <c r="E393" s="36"/>
      <c r="L393" s="36"/>
    </row>
    <row r="394" spans="1:12" x14ac:dyDescent="0.2">
      <c r="A394" s="36"/>
      <c r="B394" s="36"/>
      <c r="C394" s="36"/>
      <c r="D394" s="36"/>
      <c r="E394" s="36"/>
      <c r="L394" s="36"/>
    </row>
    <row r="395" spans="1:12" x14ac:dyDescent="0.2">
      <c r="A395" s="36"/>
      <c r="B395" s="36"/>
      <c r="C395" s="36"/>
      <c r="D395" s="36"/>
      <c r="E395" s="36"/>
      <c r="L395" s="36"/>
    </row>
    <row r="396" spans="1:12" x14ac:dyDescent="0.2">
      <c r="A396" s="36"/>
      <c r="B396" s="36"/>
      <c r="C396" s="36"/>
      <c r="D396" s="36"/>
      <c r="E396" s="36"/>
      <c r="L396" s="36"/>
    </row>
    <row r="397" spans="1:12" x14ac:dyDescent="0.2">
      <c r="A397" s="36"/>
      <c r="B397" s="36"/>
      <c r="C397" s="36"/>
      <c r="D397" s="36"/>
      <c r="E397" s="36"/>
      <c r="L397" s="36"/>
    </row>
    <row r="398" spans="1:12" x14ac:dyDescent="0.2">
      <c r="A398" s="36"/>
      <c r="B398" s="36"/>
      <c r="C398" s="36"/>
      <c r="D398" s="36"/>
      <c r="E398" s="36"/>
      <c r="L398" s="36"/>
    </row>
    <row r="399" spans="1:12" x14ac:dyDescent="0.2">
      <c r="A399" s="36"/>
      <c r="B399" s="36"/>
      <c r="C399" s="36"/>
      <c r="D399" s="36"/>
      <c r="E399" s="36"/>
      <c r="L399" s="36"/>
    </row>
    <row r="400" spans="1:12" x14ac:dyDescent="0.2">
      <c r="A400" s="36"/>
      <c r="B400" s="36"/>
      <c r="C400" s="36"/>
      <c r="D400" s="36"/>
      <c r="E400" s="36"/>
      <c r="L400" s="36"/>
    </row>
    <row r="401" spans="1:12" x14ac:dyDescent="0.2">
      <c r="A401" s="36"/>
      <c r="B401" s="36"/>
      <c r="C401" s="36"/>
      <c r="D401" s="36"/>
      <c r="E401" s="36"/>
      <c r="L401" s="36"/>
    </row>
    <row r="402" spans="1:12" x14ac:dyDescent="0.2">
      <c r="A402" s="36"/>
      <c r="B402" s="36"/>
      <c r="C402" s="36"/>
      <c r="D402" s="36"/>
      <c r="E402" s="36"/>
      <c r="L402" s="36"/>
    </row>
    <row r="403" spans="1:12" x14ac:dyDescent="0.2">
      <c r="A403" s="36"/>
      <c r="B403" s="36"/>
      <c r="C403" s="36"/>
      <c r="D403" s="36"/>
      <c r="E403" s="36"/>
      <c r="L403" s="36"/>
    </row>
    <row r="404" spans="1:12" x14ac:dyDescent="0.2">
      <c r="A404" s="36"/>
      <c r="B404" s="36"/>
      <c r="C404" s="36"/>
      <c r="D404" s="36"/>
      <c r="E404" s="36"/>
      <c r="L404" s="36"/>
    </row>
    <row r="405" spans="1:12" x14ac:dyDescent="0.2">
      <c r="A405" s="36"/>
      <c r="B405" s="36"/>
      <c r="C405" s="36"/>
      <c r="D405" s="36"/>
      <c r="E405" s="36"/>
      <c r="L405" s="36"/>
    </row>
    <row r="406" spans="1:12" x14ac:dyDescent="0.2">
      <c r="A406" s="36"/>
      <c r="B406" s="36"/>
      <c r="C406" s="36"/>
      <c r="D406" s="36"/>
      <c r="E406" s="36"/>
      <c r="L406" s="36"/>
    </row>
    <row r="407" spans="1:12" x14ac:dyDescent="0.2">
      <c r="A407" s="36"/>
      <c r="B407" s="36"/>
      <c r="C407" s="36"/>
      <c r="D407" s="36"/>
      <c r="E407" s="36"/>
      <c r="L407" s="36"/>
    </row>
    <row r="408" spans="1:12" x14ac:dyDescent="0.2">
      <c r="A408" s="36"/>
      <c r="B408" s="36"/>
      <c r="C408" s="36"/>
      <c r="D408" s="36"/>
      <c r="E408" s="36"/>
      <c r="L408" s="36"/>
    </row>
    <row r="409" spans="1:12" x14ac:dyDescent="0.2">
      <c r="A409" s="36"/>
      <c r="B409" s="36"/>
      <c r="C409" s="36"/>
      <c r="D409" s="36"/>
      <c r="E409" s="36"/>
      <c r="L409" s="36"/>
    </row>
    <row r="410" spans="1:12" x14ac:dyDescent="0.2">
      <c r="A410" s="36"/>
      <c r="B410" s="36"/>
      <c r="C410" s="36"/>
      <c r="D410" s="36"/>
      <c r="E410" s="36"/>
      <c r="L410" s="36"/>
    </row>
    <row r="411" spans="1:12" x14ac:dyDescent="0.2">
      <c r="A411" s="36"/>
      <c r="B411" s="36"/>
      <c r="C411" s="36"/>
      <c r="D411" s="36"/>
      <c r="E411" s="36"/>
      <c r="L411" s="36"/>
    </row>
    <row r="412" spans="1:12" x14ac:dyDescent="0.2">
      <c r="A412" s="36"/>
      <c r="B412" s="36"/>
      <c r="C412" s="36"/>
      <c r="D412" s="36"/>
      <c r="E412" s="36"/>
      <c r="L412" s="36"/>
    </row>
    <row r="413" spans="1:12" x14ac:dyDescent="0.2">
      <c r="A413" s="36"/>
      <c r="B413" s="36"/>
      <c r="C413" s="36"/>
      <c r="D413" s="36"/>
      <c r="E413" s="36"/>
      <c r="L413" s="36"/>
    </row>
    <row r="414" spans="1:12" x14ac:dyDescent="0.2">
      <c r="A414" s="36"/>
      <c r="B414" s="36"/>
      <c r="C414" s="36"/>
      <c r="D414" s="36"/>
      <c r="E414" s="36"/>
      <c r="L414" s="36"/>
    </row>
    <row r="415" spans="1:12" x14ac:dyDescent="0.2">
      <c r="A415" s="36"/>
      <c r="B415" s="36"/>
      <c r="C415" s="36"/>
      <c r="D415" s="36"/>
      <c r="E415" s="36"/>
      <c r="L415" s="36"/>
    </row>
    <row r="416" spans="1:12" x14ac:dyDescent="0.2">
      <c r="A416" s="36"/>
      <c r="B416" s="36"/>
      <c r="C416" s="36"/>
      <c r="D416" s="36"/>
      <c r="E416" s="36"/>
      <c r="L416" s="36"/>
    </row>
    <row r="417" spans="1:12" x14ac:dyDescent="0.2">
      <c r="A417" s="36"/>
      <c r="B417" s="36"/>
      <c r="C417" s="36"/>
      <c r="D417" s="36"/>
      <c r="E417" s="36"/>
      <c r="L417" s="36"/>
    </row>
    <row r="418" spans="1:12" x14ac:dyDescent="0.2">
      <c r="A418" s="36"/>
      <c r="B418" s="36"/>
      <c r="C418" s="36"/>
      <c r="D418" s="36"/>
      <c r="E418" s="36"/>
      <c r="L418" s="36"/>
    </row>
    <row r="419" spans="1:12" x14ac:dyDescent="0.2">
      <c r="A419" s="36"/>
      <c r="B419" s="36"/>
      <c r="C419" s="36"/>
      <c r="D419" s="36"/>
      <c r="E419" s="36"/>
      <c r="L419" s="36"/>
    </row>
    <row r="420" spans="1:12" x14ac:dyDescent="0.2">
      <c r="A420" s="36"/>
      <c r="B420" s="36"/>
      <c r="C420" s="36"/>
      <c r="D420" s="36"/>
      <c r="E420" s="36"/>
      <c r="L420" s="36"/>
    </row>
    <row r="421" spans="1:12" x14ac:dyDescent="0.2">
      <c r="A421" s="36"/>
      <c r="B421" s="36"/>
      <c r="C421" s="36"/>
      <c r="D421" s="36"/>
      <c r="E421" s="36"/>
      <c r="L421" s="36"/>
    </row>
    <row r="422" spans="1:12" x14ac:dyDescent="0.2">
      <c r="A422" s="36"/>
      <c r="B422" s="36"/>
      <c r="C422" s="36"/>
      <c r="D422" s="36"/>
      <c r="E422" s="36"/>
      <c r="L422" s="36"/>
    </row>
    <row r="423" spans="1:12" x14ac:dyDescent="0.2">
      <c r="A423" s="36"/>
      <c r="B423" s="36"/>
      <c r="C423" s="36"/>
      <c r="D423" s="36"/>
      <c r="E423" s="36"/>
      <c r="L423" s="36"/>
    </row>
    <row r="424" spans="1:12" x14ac:dyDescent="0.2">
      <c r="A424" s="36"/>
      <c r="B424" s="36"/>
      <c r="C424" s="36"/>
      <c r="D424" s="36"/>
      <c r="E424" s="36"/>
      <c r="L424" s="36"/>
    </row>
    <row r="425" spans="1:12" x14ac:dyDescent="0.2">
      <c r="A425" s="36"/>
      <c r="B425" s="36"/>
      <c r="C425" s="36"/>
      <c r="D425" s="36"/>
      <c r="E425" s="36"/>
      <c r="L425" s="36"/>
    </row>
    <row r="426" spans="1:12" x14ac:dyDescent="0.2">
      <c r="A426" s="36"/>
      <c r="B426" s="36"/>
      <c r="C426" s="36"/>
      <c r="D426" s="36"/>
      <c r="E426" s="36"/>
      <c r="L426" s="36"/>
    </row>
    <row r="427" spans="1:12" x14ac:dyDescent="0.2">
      <c r="A427" s="36"/>
      <c r="B427" s="36"/>
      <c r="C427" s="36"/>
      <c r="D427" s="36"/>
      <c r="E427" s="36"/>
      <c r="L427" s="36"/>
    </row>
    <row r="428" spans="1:12" x14ac:dyDescent="0.2">
      <c r="A428" s="36"/>
      <c r="B428" s="36"/>
      <c r="C428" s="36"/>
      <c r="D428" s="36"/>
      <c r="E428" s="36"/>
      <c r="L428" s="36"/>
    </row>
    <row r="429" spans="1:12" x14ac:dyDescent="0.2">
      <c r="A429" s="36"/>
      <c r="B429" s="36"/>
      <c r="C429" s="36"/>
      <c r="D429" s="36"/>
      <c r="E429" s="36"/>
      <c r="L429" s="36"/>
    </row>
    <row r="430" spans="1:12" x14ac:dyDescent="0.2">
      <c r="A430" s="36"/>
      <c r="B430" s="36"/>
      <c r="C430" s="36"/>
      <c r="D430" s="36"/>
      <c r="E430" s="36"/>
      <c r="L430" s="36"/>
    </row>
    <row r="431" spans="1:12" x14ac:dyDescent="0.2">
      <c r="A431" s="36"/>
      <c r="B431" s="36"/>
      <c r="C431" s="36"/>
      <c r="D431" s="36"/>
      <c r="E431" s="36"/>
      <c r="L431" s="36"/>
    </row>
    <row r="432" spans="1:12" x14ac:dyDescent="0.2">
      <c r="A432" s="36"/>
      <c r="B432" s="36"/>
      <c r="C432" s="36"/>
      <c r="D432" s="36"/>
      <c r="E432" s="36"/>
      <c r="L432" s="36"/>
    </row>
    <row r="433" spans="1:12" x14ac:dyDescent="0.2">
      <c r="A433" s="36"/>
      <c r="B433" s="36"/>
      <c r="C433" s="36"/>
      <c r="D433" s="36"/>
      <c r="E433" s="36"/>
      <c r="L433" s="36"/>
    </row>
    <row r="434" spans="1:12" x14ac:dyDescent="0.2">
      <c r="A434" s="36"/>
      <c r="B434" s="36"/>
      <c r="C434" s="36"/>
      <c r="D434" s="36"/>
      <c r="E434" s="36"/>
      <c r="L434" s="36"/>
    </row>
    <row r="435" spans="1:12" x14ac:dyDescent="0.2">
      <c r="A435" s="36"/>
      <c r="B435" s="36"/>
      <c r="C435" s="36"/>
      <c r="D435" s="36"/>
      <c r="E435" s="36"/>
      <c r="L435" s="36"/>
    </row>
    <row r="436" spans="1:12" x14ac:dyDescent="0.2">
      <c r="A436" s="36"/>
      <c r="B436" s="36"/>
      <c r="C436" s="36"/>
      <c r="D436" s="36"/>
      <c r="E436" s="36"/>
      <c r="L436" s="36"/>
    </row>
    <row r="437" spans="1:12" x14ac:dyDescent="0.2">
      <c r="A437" s="36"/>
      <c r="B437" s="36"/>
      <c r="C437" s="36"/>
      <c r="D437" s="36"/>
      <c r="E437" s="36"/>
      <c r="L437" s="36"/>
    </row>
    <row r="438" spans="1:12" x14ac:dyDescent="0.2">
      <c r="A438" s="36"/>
      <c r="B438" s="36"/>
      <c r="C438" s="36"/>
      <c r="D438" s="36"/>
      <c r="E438" s="36"/>
      <c r="L438" s="36"/>
    </row>
    <row r="439" spans="1:12" x14ac:dyDescent="0.2">
      <c r="A439" s="36"/>
      <c r="B439" s="36"/>
      <c r="C439" s="36"/>
      <c r="D439" s="36"/>
      <c r="E439" s="36"/>
      <c r="L439" s="36"/>
    </row>
    <row r="440" spans="1:12" x14ac:dyDescent="0.2">
      <c r="A440" s="36"/>
      <c r="B440" s="36"/>
      <c r="C440" s="36"/>
      <c r="D440" s="36"/>
      <c r="E440" s="36"/>
      <c r="L440" s="36"/>
    </row>
    <row r="441" spans="1:12" x14ac:dyDescent="0.2">
      <c r="A441" s="36"/>
      <c r="B441" s="36"/>
      <c r="C441" s="36"/>
      <c r="D441" s="36"/>
      <c r="E441" s="36"/>
      <c r="L441" s="36"/>
    </row>
    <row r="442" spans="1:12" x14ac:dyDescent="0.2">
      <c r="A442" s="36"/>
      <c r="B442" s="36"/>
      <c r="C442" s="36"/>
      <c r="D442" s="36"/>
      <c r="E442" s="36"/>
      <c r="L442" s="36"/>
    </row>
    <row r="443" spans="1:12" x14ac:dyDescent="0.2">
      <c r="A443" s="36"/>
      <c r="B443" s="36"/>
      <c r="C443" s="36"/>
      <c r="D443" s="36"/>
      <c r="E443" s="36"/>
      <c r="L443" s="36"/>
    </row>
    <row r="444" spans="1:12" x14ac:dyDescent="0.2">
      <c r="A444" s="36"/>
      <c r="B444" s="36"/>
      <c r="C444" s="36"/>
      <c r="D444" s="36"/>
      <c r="E444" s="36"/>
      <c r="L444" s="36"/>
    </row>
    <row r="445" spans="1:12" x14ac:dyDescent="0.2">
      <c r="A445" s="36"/>
      <c r="B445" s="36"/>
      <c r="C445" s="36"/>
      <c r="D445" s="36"/>
      <c r="E445" s="36"/>
      <c r="L445" s="36"/>
    </row>
    <row r="446" spans="1:12" x14ac:dyDescent="0.2">
      <c r="A446" s="36"/>
      <c r="B446" s="36"/>
      <c r="C446" s="36"/>
      <c r="D446" s="36"/>
      <c r="E446" s="36"/>
      <c r="L446" s="36"/>
    </row>
    <row r="447" spans="1:12" x14ac:dyDescent="0.2">
      <c r="A447" s="36"/>
      <c r="B447" s="36"/>
      <c r="C447" s="36"/>
      <c r="D447" s="36"/>
      <c r="E447" s="36"/>
      <c r="L447" s="36"/>
    </row>
    <row r="448" spans="1:12" x14ac:dyDescent="0.2">
      <c r="A448" s="36"/>
      <c r="B448" s="36"/>
      <c r="C448" s="36"/>
      <c r="D448" s="36"/>
      <c r="E448" s="36"/>
      <c r="L448" s="36"/>
    </row>
    <row r="449" spans="1:12" x14ac:dyDescent="0.2">
      <c r="A449" s="36"/>
      <c r="B449" s="36"/>
      <c r="C449" s="36"/>
      <c r="D449" s="36"/>
      <c r="E449" s="36"/>
      <c r="L449" s="36"/>
    </row>
    <row r="450" spans="1:12" x14ac:dyDescent="0.2">
      <c r="A450" s="36"/>
      <c r="B450" s="36"/>
      <c r="C450" s="36"/>
      <c r="D450" s="36"/>
      <c r="E450" s="36"/>
      <c r="L450" s="36"/>
    </row>
    <row r="451" spans="1:12" x14ac:dyDescent="0.2">
      <c r="A451" s="36"/>
      <c r="B451" s="36"/>
      <c r="C451" s="36"/>
      <c r="D451" s="36"/>
      <c r="E451" s="36"/>
      <c r="L451" s="36"/>
    </row>
    <row r="452" spans="1:12" x14ac:dyDescent="0.2">
      <c r="A452" s="36"/>
      <c r="B452" s="36"/>
      <c r="C452" s="36"/>
      <c r="D452" s="36"/>
      <c r="E452" s="36"/>
      <c r="L452" s="36"/>
    </row>
    <row r="453" spans="1:12" x14ac:dyDescent="0.2">
      <c r="A453" s="36"/>
      <c r="B453" s="36"/>
      <c r="C453" s="36"/>
      <c r="D453" s="36"/>
      <c r="E453" s="36"/>
      <c r="L453" s="36"/>
    </row>
    <row r="454" spans="1:12" x14ac:dyDescent="0.2">
      <c r="A454" s="36"/>
      <c r="B454" s="36"/>
      <c r="C454" s="36"/>
      <c r="D454" s="36"/>
      <c r="E454" s="36"/>
      <c r="L454" s="36"/>
    </row>
    <row r="455" spans="1:12" x14ac:dyDescent="0.2">
      <c r="A455" s="36"/>
      <c r="B455" s="36"/>
      <c r="C455" s="36"/>
      <c r="D455" s="36"/>
      <c r="E455" s="36"/>
      <c r="L455" s="36"/>
    </row>
    <row r="456" spans="1:12" x14ac:dyDescent="0.2">
      <c r="A456" s="36"/>
      <c r="B456" s="36"/>
      <c r="C456" s="36"/>
      <c r="D456" s="36"/>
      <c r="E456" s="36"/>
      <c r="L456" s="36"/>
    </row>
    <row r="457" spans="1:12" x14ac:dyDescent="0.2">
      <c r="A457" s="36"/>
      <c r="B457" s="36"/>
      <c r="C457" s="36"/>
      <c r="D457" s="36"/>
      <c r="E457" s="36"/>
      <c r="L457" s="36"/>
    </row>
    <row r="458" spans="1:12" x14ac:dyDescent="0.2">
      <c r="A458" s="36"/>
      <c r="B458" s="36"/>
      <c r="C458" s="36"/>
      <c r="D458" s="36"/>
      <c r="E458" s="36"/>
      <c r="L458" s="36"/>
    </row>
    <row r="459" spans="1:12" x14ac:dyDescent="0.2">
      <c r="A459" s="36"/>
      <c r="B459" s="36"/>
      <c r="C459" s="36"/>
      <c r="D459" s="36"/>
      <c r="E459" s="36"/>
      <c r="L459" s="36"/>
    </row>
    <row r="460" spans="1:12" x14ac:dyDescent="0.2">
      <c r="A460" s="36"/>
      <c r="B460" s="36"/>
      <c r="C460" s="36"/>
      <c r="D460" s="36"/>
      <c r="E460" s="36"/>
      <c r="L460" s="36"/>
    </row>
    <row r="461" spans="1:12" x14ac:dyDescent="0.2">
      <c r="A461" s="36"/>
      <c r="B461" s="36"/>
      <c r="C461" s="36"/>
      <c r="D461" s="36"/>
      <c r="E461" s="36"/>
      <c r="L461" s="36"/>
    </row>
    <row r="462" spans="1:12" x14ac:dyDescent="0.2">
      <c r="A462" s="36"/>
      <c r="B462" s="36"/>
      <c r="C462" s="36"/>
      <c r="D462" s="36"/>
      <c r="E462" s="36"/>
      <c r="L462" s="36"/>
    </row>
    <row r="463" spans="1:12" x14ac:dyDescent="0.2">
      <c r="A463" s="36"/>
      <c r="B463" s="36"/>
      <c r="C463" s="36"/>
      <c r="D463" s="36"/>
      <c r="E463" s="36"/>
      <c r="L463" s="36"/>
    </row>
    <row r="464" spans="1:12" x14ac:dyDescent="0.2">
      <c r="A464" s="36"/>
      <c r="B464" s="36"/>
      <c r="C464" s="36"/>
      <c r="D464" s="36"/>
      <c r="E464" s="36"/>
      <c r="L464" s="36"/>
    </row>
    <row r="465" spans="1:12" x14ac:dyDescent="0.2">
      <c r="A465" s="36"/>
      <c r="B465" s="36"/>
      <c r="C465" s="36"/>
      <c r="D465" s="36"/>
      <c r="E465" s="36"/>
      <c r="L465" s="36"/>
    </row>
    <row r="466" spans="1:12" x14ac:dyDescent="0.2">
      <c r="A466" s="36"/>
      <c r="B466" s="36"/>
      <c r="C466" s="36"/>
      <c r="D466" s="36"/>
      <c r="E466" s="36"/>
      <c r="L466" s="36"/>
    </row>
    <row r="467" spans="1:12" x14ac:dyDescent="0.2">
      <c r="A467" s="36"/>
      <c r="B467" s="36"/>
      <c r="C467" s="36"/>
      <c r="D467" s="36"/>
      <c r="E467" s="36"/>
      <c r="L467" s="36"/>
    </row>
    <row r="468" spans="1:12" x14ac:dyDescent="0.2">
      <c r="A468" s="36"/>
      <c r="B468" s="36"/>
      <c r="C468" s="36"/>
      <c r="D468" s="36"/>
      <c r="E468" s="36"/>
      <c r="L468" s="36"/>
    </row>
    <row r="469" spans="1:12" x14ac:dyDescent="0.2">
      <c r="A469" s="36"/>
      <c r="B469" s="36"/>
      <c r="C469" s="36"/>
      <c r="D469" s="36"/>
      <c r="E469" s="36"/>
      <c r="L469" s="36"/>
    </row>
    <row r="470" spans="1:12" x14ac:dyDescent="0.2">
      <c r="A470" s="36"/>
      <c r="B470" s="36"/>
      <c r="C470" s="36"/>
      <c r="D470" s="36"/>
      <c r="E470" s="36"/>
      <c r="L470" s="36"/>
    </row>
    <row r="471" spans="1:12" x14ac:dyDescent="0.2">
      <c r="A471" s="36"/>
      <c r="B471" s="36"/>
      <c r="C471" s="36"/>
      <c r="D471" s="36"/>
      <c r="E471" s="36"/>
      <c r="L471" s="36"/>
    </row>
    <row r="472" spans="1:12" x14ac:dyDescent="0.2">
      <c r="A472" s="36"/>
      <c r="B472" s="36"/>
      <c r="C472" s="36"/>
      <c r="D472" s="36"/>
      <c r="E472" s="36"/>
      <c r="L472" s="36"/>
    </row>
    <row r="473" spans="1:12" x14ac:dyDescent="0.2">
      <c r="A473" s="36"/>
      <c r="B473" s="36"/>
      <c r="C473" s="36"/>
      <c r="D473" s="36"/>
      <c r="E473" s="36"/>
      <c r="L473" s="36"/>
    </row>
    <row r="474" spans="1:12" x14ac:dyDescent="0.2">
      <c r="A474" s="36"/>
      <c r="B474" s="36"/>
      <c r="C474" s="36"/>
      <c r="D474" s="36"/>
      <c r="E474" s="36"/>
      <c r="L474" s="36"/>
    </row>
    <row r="475" spans="1:12" x14ac:dyDescent="0.2">
      <c r="A475" s="36"/>
      <c r="B475" s="36"/>
      <c r="C475" s="36"/>
      <c r="D475" s="36"/>
      <c r="E475" s="36"/>
      <c r="L475" s="36"/>
    </row>
    <row r="476" spans="1:12" x14ac:dyDescent="0.2">
      <c r="A476" s="36"/>
      <c r="B476" s="36"/>
      <c r="C476" s="36"/>
      <c r="D476" s="36"/>
      <c r="E476" s="36"/>
      <c r="L476" s="36"/>
    </row>
    <row r="477" spans="1:12" x14ac:dyDescent="0.2">
      <c r="A477" s="36"/>
      <c r="B477" s="36"/>
      <c r="C477" s="36"/>
      <c r="D477" s="36"/>
      <c r="E477" s="36"/>
      <c r="L477" s="36"/>
    </row>
    <row r="478" spans="1:12" x14ac:dyDescent="0.2">
      <c r="A478" s="36"/>
      <c r="B478" s="36"/>
      <c r="C478" s="36"/>
      <c r="D478" s="36"/>
      <c r="E478" s="36"/>
      <c r="L478" s="36"/>
    </row>
    <row r="479" spans="1:12" x14ac:dyDescent="0.2">
      <c r="A479" s="36"/>
      <c r="B479" s="36"/>
      <c r="C479" s="36"/>
      <c r="D479" s="36"/>
      <c r="E479" s="36"/>
      <c r="L479" s="36"/>
    </row>
    <row r="480" spans="1:12" x14ac:dyDescent="0.2">
      <c r="A480" s="36"/>
      <c r="B480" s="36"/>
      <c r="C480" s="36"/>
      <c r="D480" s="36"/>
      <c r="E480" s="36"/>
      <c r="L480" s="36"/>
    </row>
    <row r="481" spans="1:12" x14ac:dyDescent="0.2">
      <c r="A481" s="36"/>
      <c r="B481" s="36"/>
      <c r="C481" s="36"/>
      <c r="D481" s="36"/>
      <c r="E481" s="36"/>
      <c r="L481" s="36"/>
    </row>
    <row r="482" spans="1:12" x14ac:dyDescent="0.2">
      <c r="A482" s="36"/>
      <c r="B482" s="36"/>
      <c r="C482" s="36"/>
      <c r="D482" s="36"/>
      <c r="E482" s="36"/>
      <c r="L482" s="36"/>
    </row>
    <row r="483" spans="1:12" x14ac:dyDescent="0.2">
      <c r="A483" s="36"/>
      <c r="B483" s="36"/>
      <c r="C483" s="36"/>
      <c r="D483" s="36"/>
      <c r="E483" s="36"/>
      <c r="L483" s="36"/>
    </row>
    <row r="484" spans="1:12" x14ac:dyDescent="0.2">
      <c r="A484" s="36"/>
      <c r="B484" s="36"/>
      <c r="C484" s="36"/>
      <c r="D484" s="36"/>
      <c r="E484" s="36"/>
      <c r="L484" s="36"/>
    </row>
    <row r="485" spans="1:12" x14ac:dyDescent="0.2">
      <c r="A485" s="36"/>
      <c r="B485" s="36"/>
      <c r="C485" s="36"/>
      <c r="D485" s="36"/>
      <c r="E485" s="36"/>
      <c r="L485" s="36"/>
    </row>
    <row r="486" spans="1:12" x14ac:dyDescent="0.2">
      <c r="A486" s="36"/>
      <c r="B486" s="36"/>
      <c r="C486" s="36"/>
      <c r="D486" s="36"/>
      <c r="E486" s="36"/>
      <c r="L486" s="36"/>
    </row>
    <row r="487" spans="1:12" x14ac:dyDescent="0.2">
      <c r="A487" s="36"/>
      <c r="B487" s="36"/>
      <c r="C487" s="36"/>
      <c r="D487" s="36"/>
      <c r="E487" s="36"/>
      <c r="L487" s="36"/>
    </row>
    <row r="488" spans="1:12" x14ac:dyDescent="0.2">
      <c r="A488" s="36"/>
      <c r="B488" s="36"/>
      <c r="C488" s="36"/>
      <c r="D488" s="36"/>
      <c r="E488" s="36"/>
      <c r="L488" s="36"/>
    </row>
    <row r="489" spans="1:12" x14ac:dyDescent="0.2">
      <c r="A489" s="36"/>
      <c r="B489" s="36"/>
      <c r="C489" s="36"/>
      <c r="D489" s="36"/>
      <c r="E489" s="36"/>
      <c r="L489" s="36"/>
    </row>
    <row r="490" spans="1:12" x14ac:dyDescent="0.2">
      <c r="A490" s="36"/>
      <c r="B490" s="36"/>
      <c r="C490" s="36"/>
      <c r="D490" s="36"/>
      <c r="E490" s="36"/>
      <c r="L490" s="36"/>
    </row>
    <row r="491" spans="1:12" x14ac:dyDescent="0.2">
      <c r="A491" s="36"/>
      <c r="B491" s="36"/>
      <c r="C491" s="36"/>
      <c r="D491" s="36"/>
      <c r="E491" s="36"/>
      <c r="L491" s="36"/>
    </row>
    <row r="492" spans="1:12" x14ac:dyDescent="0.2">
      <c r="A492" s="36"/>
      <c r="B492" s="36"/>
      <c r="C492" s="36"/>
      <c r="D492" s="36"/>
      <c r="E492" s="36"/>
      <c r="L492" s="36"/>
    </row>
    <row r="493" spans="1:12" x14ac:dyDescent="0.2">
      <c r="A493" s="36"/>
      <c r="B493" s="36"/>
      <c r="C493" s="36"/>
      <c r="D493" s="36"/>
      <c r="E493" s="36"/>
      <c r="L493" s="36"/>
    </row>
    <row r="494" spans="1:12" x14ac:dyDescent="0.2">
      <c r="A494" s="36"/>
      <c r="B494" s="36"/>
      <c r="C494" s="36"/>
      <c r="D494" s="36"/>
      <c r="E494" s="36"/>
      <c r="L494" s="36"/>
    </row>
    <row r="495" spans="1:12" x14ac:dyDescent="0.2">
      <c r="A495" s="36"/>
      <c r="B495" s="36"/>
      <c r="C495" s="36"/>
      <c r="D495" s="36"/>
      <c r="E495" s="36"/>
      <c r="L495" s="36"/>
    </row>
    <row r="496" spans="1:12" x14ac:dyDescent="0.2">
      <c r="A496" s="36"/>
      <c r="B496" s="36"/>
      <c r="C496" s="36"/>
      <c r="D496" s="36"/>
      <c r="E496" s="36"/>
      <c r="L496" s="36"/>
    </row>
    <row r="497" spans="1:12" x14ac:dyDescent="0.2">
      <c r="A497" s="36"/>
      <c r="B497" s="36"/>
      <c r="C497" s="36"/>
      <c r="D497" s="36"/>
      <c r="E497" s="36"/>
      <c r="L497" s="36"/>
    </row>
    <row r="498" spans="1:12" x14ac:dyDescent="0.2">
      <c r="A498" s="36"/>
      <c r="B498" s="36"/>
      <c r="C498" s="36"/>
      <c r="D498" s="36"/>
      <c r="E498" s="36"/>
      <c r="L498" s="36"/>
    </row>
    <row r="499" spans="1:12" x14ac:dyDescent="0.2">
      <c r="A499" s="36"/>
      <c r="B499" s="36"/>
      <c r="C499" s="36"/>
      <c r="D499" s="36"/>
      <c r="E499" s="36"/>
      <c r="L499" s="36"/>
    </row>
    <row r="500" spans="1:12" x14ac:dyDescent="0.2">
      <c r="A500" s="36"/>
      <c r="B500" s="36"/>
      <c r="C500" s="36"/>
      <c r="D500" s="36"/>
      <c r="E500" s="36"/>
      <c r="L500" s="36"/>
    </row>
    <row r="501" spans="1:12" x14ac:dyDescent="0.2">
      <c r="A501" s="36"/>
      <c r="B501" s="36"/>
      <c r="C501" s="36"/>
      <c r="D501" s="36"/>
      <c r="E501" s="36"/>
      <c r="L501" s="36"/>
    </row>
    <row r="502" spans="1:12" x14ac:dyDescent="0.2">
      <c r="A502" s="36"/>
      <c r="B502" s="36"/>
      <c r="C502" s="36"/>
      <c r="D502" s="36"/>
      <c r="E502" s="36"/>
      <c r="L502" s="36"/>
    </row>
    <row r="503" spans="1:12" x14ac:dyDescent="0.2">
      <c r="A503" s="36"/>
      <c r="B503" s="36"/>
      <c r="C503" s="36"/>
      <c r="D503" s="36"/>
      <c r="E503" s="36"/>
      <c r="L503" s="36"/>
    </row>
    <row r="504" spans="1:12" x14ac:dyDescent="0.2">
      <c r="A504" s="36"/>
      <c r="B504" s="36"/>
      <c r="C504" s="36"/>
      <c r="D504" s="36"/>
      <c r="E504" s="36"/>
      <c r="L504" s="36"/>
    </row>
    <row r="505" spans="1:12" x14ac:dyDescent="0.2">
      <c r="A505" s="36"/>
      <c r="B505" s="36"/>
      <c r="C505" s="36"/>
      <c r="D505" s="36"/>
      <c r="E505" s="36"/>
      <c r="L505" s="36"/>
    </row>
    <row r="506" spans="1:12" x14ac:dyDescent="0.2">
      <c r="A506" s="36"/>
      <c r="B506" s="36"/>
      <c r="C506" s="36"/>
      <c r="D506" s="36"/>
      <c r="E506" s="36"/>
      <c r="L506" s="36"/>
    </row>
    <row r="507" spans="1:12" x14ac:dyDescent="0.2">
      <c r="A507" s="36"/>
      <c r="B507" s="36"/>
      <c r="C507" s="36"/>
      <c r="D507" s="36"/>
      <c r="E507" s="36"/>
      <c r="L507" s="36"/>
    </row>
    <row r="508" spans="1:12" x14ac:dyDescent="0.2">
      <c r="A508" s="36"/>
      <c r="B508" s="36"/>
      <c r="C508" s="36"/>
      <c r="D508" s="36"/>
      <c r="E508" s="36"/>
      <c r="L508" s="36"/>
    </row>
    <row r="509" spans="1:12" x14ac:dyDescent="0.2">
      <c r="A509" s="36"/>
      <c r="B509" s="36"/>
      <c r="C509" s="36"/>
      <c r="D509" s="36"/>
      <c r="E509" s="36"/>
      <c r="L509" s="36"/>
    </row>
    <row r="510" spans="1:12" x14ac:dyDescent="0.2">
      <c r="A510" s="36"/>
      <c r="B510" s="36"/>
      <c r="C510" s="36"/>
      <c r="D510" s="36"/>
      <c r="E510" s="36"/>
      <c r="L510" s="36"/>
    </row>
    <row r="511" spans="1:12" x14ac:dyDescent="0.2">
      <c r="A511" s="36"/>
      <c r="B511" s="36"/>
      <c r="C511" s="36"/>
      <c r="D511" s="36"/>
      <c r="E511" s="36"/>
      <c r="L511" s="36"/>
    </row>
    <row r="512" spans="1:12" x14ac:dyDescent="0.2">
      <c r="A512" s="36"/>
      <c r="B512" s="36"/>
      <c r="C512" s="36"/>
      <c r="D512" s="36"/>
      <c r="E512" s="36"/>
      <c r="L512" s="36"/>
    </row>
    <row r="513" spans="1:12" x14ac:dyDescent="0.2">
      <c r="A513" s="36"/>
      <c r="B513" s="36"/>
      <c r="C513" s="36"/>
      <c r="D513" s="36"/>
      <c r="E513" s="36"/>
      <c r="L513" s="36"/>
    </row>
    <row r="514" spans="1:12" x14ac:dyDescent="0.2">
      <c r="A514" s="36"/>
      <c r="B514" s="36"/>
      <c r="C514" s="36"/>
      <c r="D514" s="36"/>
      <c r="E514" s="36"/>
      <c r="L514" s="36"/>
    </row>
    <row r="515" spans="1:12" x14ac:dyDescent="0.2">
      <c r="A515" s="36"/>
      <c r="B515" s="36"/>
      <c r="C515" s="36"/>
      <c r="D515" s="36"/>
      <c r="E515" s="36"/>
      <c r="L515" s="36"/>
    </row>
    <row r="516" spans="1:12" x14ac:dyDescent="0.2">
      <c r="A516" s="36"/>
      <c r="B516" s="36"/>
      <c r="C516" s="36"/>
      <c r="D516" s="36"/>
      <c r="E516" s="36"/>
      <c r="L516" s="36"/>
    </row>
    <row r="517" spans="1:12" x14ac:dyDescent="0.2">
      <c r="A517" s="36"/>
      <c r="B517" s="36"/>
      <c r="C517" s="36"/>
      <c r="D517" s="36"/>
      <c r="E517" s="36"/>
      <c r="L517" s="36"/>
    </row>
    <row r="518" spans="1:12" x14ac:dyDescent="0.2">
      <c r="A518" s="36"/>
      <c r="B518" s="36"/>
      <c r="C518" s="36"/>
      <c r="D518" s="36"/>
      <c r="E518" s="36"/>
      <c r="L518" s="36"/>
    </row>
    <row r="519" spans="1:12" x14ac:dyDescent="0.2">
      <c r="A519" s="36"/>
      <c r="B519" s="36"/>
      <c r="C519" s="36"/>
      <c r="D519" s="36"/>
      <c r="E519" s="36"/>
      <c r="L519" s="36"/>
    </row>
    <row r="520" spans="1:12" x14ac:dyDescent="0.2">
      <c r="A520" s="36"/>
      <c r="B520" s="36"/>
      <c r="C520" s="36"/>
      <c r="D520" s="36"/>
      <c r="E520" s="36"/>
      <c r="L520" s="36"/>
    </row>
    <row r="521" spans="1:12" x14ac:dyDescent="0.2">
      <c r="A521" s="36"/>
      <c r="B521" s="36"/>
      <c r="C521" s="36"/>
      <c r="D521" s="36"/>
      <c r="E521" s="36"/>
      <c r="L521" s="36"/>
    </row>
    <row r="522" spans="1:12" x14ac:dyDescent="0.2">
      <c r="A522" s="36"/>
      <c r="B522" s="36"/>
      <c r="C522" s="36"/>
      <c r="D522" s="36"/>
      <c r="E522" s="36"/>
      <c r="L522" s="36"/>
    </row>
    <row r="523" spans="1:12" x14ac:dyDescent="0.2">
      <c r="A523" s="36"/>
      <c r="B523" s="36"/>
      <c r="C523" s="36"/>
      <c r="D523" s="36"/>
      <c r="E523" s="36"/>
      <c r="L523" s="36"/>
    </row>
    <row r="524" spans="1:12" x14ac:dyDescent="0.2">
      <c r="A524" s="36"/>
      <c r="B524" s="36"/>
      <c r="C524" s="36"/>
      <c r="D524" s="36"/>
      <c r="E524" s="36"/>
      <c r="L524" s="36"/>
    </row>
    <row r="525" spans="1:12" x14ac:dyDescent="0.2">
      <c r="A525" s="36"/>
      <c r="B525" s="36"/>
      <c r="C525" s="36"/>
      <c r="D525" s="36"/>
      <c r="E525" s="36"/>
      <c r="L525" s="36"/>
    </row>
    <row r="526" spans="1:12" x14ac:dyDescent="0.2">
      <c r="A526" s="36"/>
      <c r="B526" s="36"/>
      <c r="C526" s="36"/>
      <c r="D526" s="36"/>
      <c r="E526" s="36"/>
      <c r="L526" s="36"/>
    </row>
    <row r="527" spans="1:12" x14ac:dyDescent="0.2">
      <c r="A527" s="36"/>
      <c r="B527" s="36"/>
      <c r="C527" s="36"/>
      <c r="D527" s="36"/>
      <c r="E527" s="36"/>
      <c r="L527" s="36"/>
    </row>
    <row r="528" spans="1:12" x14ac:dyDescent="0.2">
      <c r="A528" s="36"/>
      <c r="B528" s="36"/>
      <c r="C528" s="36"/>
      <c r="D528" s="36"/>
      <c r="E528" s="36"/>
      <c r="L528" s="36"/>
    </row>
    <row r="529" spans="1:12" x14ac:dyDescent="0.2">
      <c r="A529" s="36"/>
      <c r="B529" s="36"/>
      <c r="C529" s="36"/>
      <c r="D529" s="36"/>
      <c r="E529" s="36"/>
      <c r="L529" s="36"/>
    </row>
    <row r="530" spans="1:12" x14ac:dyDescent="0.2">
      <c r="A530" s="36"/>
      <c r="B530" s="36"/>
      <c r="C530" s="36"/>
      <c r="D530" s="36"/>
      <c r="E530" s="36"/>
      <c r="L530" s="36"/>
    </row>
    <row r="531" spans="1:12" x14ac:dyDescent="0.2">
      <c r="A531" s="36"/>
      <c r="B531" s="36"/>
      <c r="C531" s="36"/>
      <c r="D531" s="36"/>
      <c r="E531" s="36"/>
      <c r="L531" s="36"/>
    </row>
    <row r="532" spans="1:12" x14ac:dyDescent="0.2">
      <c r="A532" s="36"/>
      <c r="B532" s="36"/>
      <c r="C532" s="36"/>
      <c r="D532" s="36"/>
      <c r="E532" s="36"/>
      <c r="L532" s="36"/>
    </row>
    <row r="533" spans="1:12" x14ac:dyDescent="0.2">
      <c r="A533" s="36"/>
      <c r="B533" s="36"/>
      <c r="C533" s="36"/>
      <c r="D533" s="36"/>
      <c r="E533" s="36"/>
      <c r="L533" s="36"/>
    </row>
    <row r="534" spans="1:12" x14ac:dyDescent="0.2">
      <c r="A534" s="36"/>
      <c r="B534" s="36"/>
      <c r="C534" s="36"/>
      <c r="D534" s="36"/>
      <c r="E534" s="36"/>
      <c r="L534" s="36"/>
    </row>
    <row r="535" spans="1:12" x14ac:dyDescent="0.2">
      <c r="A535" s="36"/>
      <c r="B535" s="36"/>
      <c r="C535" s="36"/>
      <c r="D535" s="36"/>
      <c r="E535" s="36"/>
      <c r="L535" s="36"/>
    </row>
    <row r="536" spans="1:12" x14ac:dyDescent="0.2">
      <c r="A536" s="36"/>
      <c r="B536" s="36"/>
      <c r="C536" s="36"/>
      <c r="D536" s="36"/>
      <c r="E536" s="36"/>
      <c r="L536" s="36"/>
    </row>
    <row r="537" spans="1:12" x14ac:dyDescent="0.2">
      <c r="A537" s="36"/>
      <c r="B537" s="36"/>
      <c r="C537" s="36"/>
      <c r="D537" s="36"/>
      <c r="E537" s="36"/>
      <c r="L537" s="36"/>
    </row>
    <row r="538" spans="1:12" x14ac:dyDescent="0.2">
      <c r="A538" s="36"/>
      <c r="B538" s="36"/>
      <c r="C538" s="36"/>
      <c r="D538" s="36"/>
      <c r="E538" s="36"/>
      <c r="L538" s="36"/>
    </row>
    <row r="539" spans="1:12" x14ac:dyDescent="0.2">
      <c r="A539" s="36"/>
      <c r="B539" s="36"/>
      <c r="C539" s="36"/>
      <c r="D539" s="36"/>
      <c r="E539" s="36"/>
      <c r="L539" s="36"/>
    </row>
    <row r="540" spans="1:12" x14ac:dyDescent="0.2">
      <c r="A540" s="36"/>
      <c r="B540" s="36"/>
      <c r="C540" s="36"/>
      <c r="D540" s="36"/>
      <c r="E540" s="36"/>
      <c r="L540" s="36"/>
    </row>
    <row r="541" spans="1:12" x14ac:dyDescent="0.2">
      <c r="A541" s="36"/>
      <c r="B541" s="36"/>
      <c r="C541" s="36"/>
      <c r="D541" s="36"/>
      <c r="E541" s="36"/>
      <c r="L541" s="36"/>
    </row>
    <row r="542" spans="1:12" x14ac:dyDescent="0.2">
      <c r="A542" s="36"/>
      <c r="B542" s="36"/>
      <c r="C542" s="36"/>
      <c r="D542" s="36"/>
      <c r="E542" s="36"/>
      <c r="L542" s="36"/>
    </row>
    <row r="543" spans="1:12" x14ac:dyDescent="0.2">
      <c r="A543" s="36"/>
      <c r="B543" s="36"/>
      <c r="C543" s="36"/>
      <c r="D543" s="36"/>
      <c r="E543" s="36"/>
      <c r="L543" s="36"/>
    </row>
    <row r="544" spans="1:12" x14ac:dyDescent="0.2">
      <c r="A544" s="36"/>
      <c r="B544" s="36"/>
      <c r="C544" s="36"/>
      <c r="D544" s="36"/>
      <c r="E544" s="36"/>
      <c r="L544" s="36"/>
    </row>
    <row r="545" spans="1:12" x14ac:dyDescent="0.2">
      <c r="A545" s="36"/>
      <c r="B545" s="36"/>
      <c r="C545" s="36"/>
      <c r="D545" s="36"/>
      <c r="E545" s="36"/>
      <c r="L545" s="36"/>
    </row>
    <row r="546" spans="1:12" x14ac:dyDescent="0.2">
      <c r="A546" s="36"/>
      <c r="B546" s="36"/>
      <c r="C546" s="36"/>
      <c r="D546" s="36"/>
      <c r="E546" s="36"/>
      <c r="L546" s="36"/>
    </row>
    <row r="547" spans="1:12" x14ac:dyDescent="0.2">
      <c r="A547" s="36"/>
      <c r="B547" s="36"/>
      <c r="C547" s="36"/>
      <c r="D547" s="36"/>
      <c r="E547" s="36"/>
      <c r="L547" s="36"/>
    </row>
    <row r="548" spans="1:12" x14ac:dyDescent="0.2">
      <c r="A548" s="36"/>
      <c r="B548" s="36"/>
      <c r="C548" s="36"/>
      <c r="D548" s="36"/>
      <c r="E548" s="36"/>
      <c r="L548" s="36"/>
    </row>
    <row r="549" spans="1:12" x14ac:dyDescent="0.2">
      <c r="A549" s="36"/>
      <c r="B549" s="36"/>
      <c r="C549" s="36"/>
      <c r="D549" s="36"/>
      <c r="E549" s="36"/>
      <c r="L549" s="36"/>
    </row>
    <row r="550" spans="1:12" x14ac:dyDescent="0.2">
      <c r="A550" s="36"/>
      <c r="B550" s="36"/>
      <c r="C550" s="36"/>
      <c r="D550" s="36"/>
      <c r="E550" s="36"/>
      <c r="L550" s="36"/>
    </row>
    <row r="551" spans="1:12" x14ac:dyDescent="0.2">
      <c r="A551" s="36"/>
      <c r="B551" s="36"/>
      <c r="C551" s="36"/>
      <c r="D551" s="36"/>
      <c r="E551" s="36"/>
      <c r="L551" s="36"/>
    </row>
    <row r="552" spans="1:12" x14ac:dyDescent="0.2">
      <c r="A552" s="36"/>
      <c r="B552" s="36"/>
      <c r="C552" s="36"/>
      <c r="D552" s="36"/>
      <c r="E552" s="36"/>
      <c r="L552" s="36"/>
    </row>
    <row r="553" spans="1:12" x14ac:dyDescent="0.2">
      <c r="A553" s="36"/>
      <c r="B553" s="36"/>
      <c r="C553" s="36"/>
      <c r="D553" s="36"/>
      <c r="E553" s="36"/>
      <c r="L553" s="36"/>
    </row>
    <row r="554" spans="1:12" x14ac:dyDescent="0.2">
      <c r="A554" s="36"/>
      <c r="B554" s="36"/>
      <c r="C554" s="36"/>
      <c r="D554" s="36"/>
      <c r="E554" s="36"/>
      <c r="L554" s="36"/>
    </row>
    <row r="555" spans="1:12" x14ac:dyDescent="0.2">
      <c r="A555" s="36"/>
      <c r="B555" s="36"/>
      <c r="C555" s="36"/>
      <c r="D555" s="36"/>
      <c r="E555" s="36"/>
      <c r="L555" s="36"/>
    </row>
    <row r="556" spans="1:12" x14ac:dyDescent="0.2">
      <c r="A556" s="36"/>
      <c r="B556" s="36"/>
      <c r="C556" s="36"/>
      <c r="D556" s="36"/>
      <c r="E556" s="36"/>
      <c r="L556" s="36"/>
    </row>
    <row r="557" spans="1:12" x14ac:dyDescent="0.2">
      <c r="A557" s="36"/>
      <c r="B557" s="36"/>
      <c r="C557" s="36"/>
      <c r="D557" s="36"/>
      <c r="E557" s="36"/>
      <c r="L557" s="36"/>
    </row>
    <row r="558" spans="1:12" x14ac:dyDescent="0.2">
      <c r="A558" s="36"/>
      <c r="B558" s="36"/>
      <c r="C558" s="36"/>
      <c r="D558" s="36"/>
      <c r="E558" s="36"/>
      <c r="L558" s="36"/>
    </row>
    <row r="559" spans="1:12" x14ac:dyDescent="0.2">
      <c r="A559" s="36"/>
      <c r="B559" s="36"/>
      <c r="C559" s="36"/>
      <c r="D559" s="36"/>
      <c r="E559" s="36"/>
      <c r="L559" s="36"/>
    </row>
    <row r="560" spans="1:12" x14ac:dyDescent="0.2">
      <c r="A560" s="36"/>
      <c r="B560" s="36"/>
      <c r="C560" s="36"/>
      <c r="D560" s="36"/>
      <c r="E560" s="36"/>
      <c r="L560" s="36"/>
    </row>
    <row r="561" spans="1:12" x14ac:dyDescent="0.2">
      <c r="A561" s="36"/>
      <c r="B561" s="36"/>
      <c r="C561" s="36"/>
      <c r="D561" s="36"/>
      <c r="E561" s="36"/>
      <c r="L561" s="36"/>
    </row>
    <row r="562" spans="1:12" x14ac:dyDescent="0.2">
      <c r="A562" s="36"/>
      <c r="B562" s="36"/>
      <c r="C562" s="36"/>
      <c r="D562" s="36"/>
      <c r="E562" s="36"/>
      <c r="L562" s="36"/>
    </row>
    <row r="563" spans="1:12" x14ac:dyDescent="0.2">
      <c r="A563" s="36"/>
      <c r="B563" s="36"/>
      <c r="C563" s="36"/>
      <c r="D563" s="36"/>
      <c r="E563" s="36"/>
      <c r="L563" s="36"/>
    </row>
    <row r="564" spans="1:12" x14ac:dyDescent="0.2">
      <c r="A564" s="36"/>
      <c r="B564" s="36"/>
      <c r="C564" s="36"/>
      <c r="D564" s="36"/>
      <c r="E564" s="36"/>
      <c r="L564" s="36"/>
    </row>
    <row r="565" spans="1:12" x14ac:dyDescent="0.2">
      <c r="A565" s="36"/>
      <c r="B565" s="36"/>
      <c r="C565" s="36"/>
      <c r="D565" s="36"/>
      <c r="E565" s="36"/>
      <c r="L565" s="36"/>
    </row>
    <row r="566" spans="1:12" x14ac:dyDescent="0.2">
      <c r="A566" s="36"/>
      <c r="B566" s="36"/>
      <c r="C566" s="36"/>
      <c r="D566" s="36"/>
      <c r="E566" s="36"/>
      <c r="L566" s="36"/>
    </row>
    <row r="567" spans="1:12" x14ac:dyDescent="0.2">
      <c r="A567" s="36"/>
      <c r="B567" s="36"/>
      <c r="C567" s="36"/>
      <c r="D567" s="36"/>
      <c r="E567" s="36"/>
      <c r="L567" s="36"/>
    </row>
    <row r="568" spans="1:12" x14ac:dyDescent="0.2">
      <c r="A568" s="36"/>
      <c r="B568" s="36"/>
      <c r="C568" s="36"/>
      <c r="D568" s="36"/>
      <c r="E568" s="36"/>
      <c r="L568" s="36"/>
    </row>
    <row r="569" spans="1:12" x14ac:dyDescent="0.2">
      <c r="A569" s="36"/>
      <c r="B569" s="36"/>
      <c r="C569" s="36"/>
      <c r="D569" s="36"/>
      <c r="E569" s="36"/>
      <c r="L569" s="36"/>
    </row>
    <row r="570" spans="1:12" x14ac:dyDescent="0.2">
      <c r="A570" s="36"/>
      <c r="B570" s="36"/>
      <c r="C570" s="36"/>
      <c r="D570" s="36"/>
      <c r="E570" s="36"/>
      <c r="L570" s="36"/>
    </row>
    <row r="571" spans="1:12" x14ac:dyDescent="0.2">
      <c r="A571" s="36"/>
      <c r="B571" s="36"/>
      <c r="C571" s="36"/>
      <c r="D571" s="36"/>
      <c r="E571" s="36"/>
      <c r="L571" s="36"/>
    </row>
    <row r="572" spans="1:12" x14ac:dyDescent="0.2">
      <c r="A572" s="36"/>
      <c r="B572" s="36"/>
      <c r="C572" s="36"/>
      <c r="D572" s="36"/>
      <c r="E572" s="36"/>
      <c r="L572" s="36"/>
    </row>
    <row r="573" spans="1:12" x14ac:dyDescent="0.2">
      <c r="A573" s="36"/>
      <c r="B573" s="36"/>
      <c r="C573" s="36"/>
      <c r="D573" s="36"/>
      <c r="E573" s="36"/>
      <c r="L573" s="36"/>
    </row>
    <row r="574" spans="1:12" x14ac:dyDescent="0.2">
      <c r="A574" s="36"/>
      <c r="B574" s="36"/>
      <c r="C574" s="36"/>
      <c r="D574" s="36"/>
      <c r="E574" s="36"/>
      <c r="L574" s="36"/>
    </row>
    <row r="575" spans="1:12" x14ac:dyDescent="0.2">
      <c r="A575" s="36"/>
      <c r="B575" s="36"/>
      <c r="C575" s="36"/>
      <c r="D575" s="36"/>
      <c r="E575" s="36"/>
      <c r="L575" s="36"/>
    </row>
    <row r="576" spans="1:12" x14ac:dyDescent="0.2">
      <c r="A576" s="36"/>
      <c r="B576" s="36"/>
      <c r="C576" s="36"/>
      <c r="D576" s="36"/>
      <c r="E576" s="36"/>
      <c r="L576" s="36"/>
    </row>
    <row r="577" spans="1:12" x14ac:dyDescent="0.2">
      <c r="A577" s="36"/>
      <c r="B577" s="36"/>
      <c r="C577" s="36"/>
      <c r="D577" s="36"/>
      <c r="E577" s="36"/>
      <c r="L577" s="36"/>
    </row>
    <row r="578" spans="1:12" x14ac:dyDescent="0.2">
      <c r="A578" s="36"/>
      <c r="B578" s="36"/>
      <c r="C578" s="36"/>
      <c r="D578" s="36"/>
      <c r="E578" s="36"/>
      <c r="L578" s="36"/>
    </row>
    <row r="579" spans="1:12" x14ac:dyDescent="0.2">
      <c r="A579" s="36"/>
      <c r="B579" s="36"/>
      <c r="C579" s="36"/>
      <c r="D579" s="36"/>
      <c r="E579" s="36"/>
      <c r="L579" s="36"/>
    </row>
    <row r="580" spans="1:12" x14ac:dyDescent="0.2">
      <c r="A580" s="36"/>
      <c r="B580" s="36"/>
      <c r="C580" s="36"/>
      <c r="D580" s="36"/>
      <c r="E580" s="36"/>
      <c r="L580" s="36"/>
    </row>
    <row r="581" spans="1:12" x14ac:dyDescent="0.2">
      <c r="A581" s="36"/>
      <c r="B581" s="36"/>
      <c r="C581" s="36"/>
      <c r="D581" s="36"/>
      <c r="E581" s="36"/>
      <c r="L581" s="36"/>
    </row>
    <row r="582" spans="1:12" x14ac:dyDescent="0.2">
      <c r="A582" s="36"/>
      <c r="B582" s="36"/>
      <c r="C582" s="36"/>
      <c r="D582" s="36"/>
      <c r="E582" s="36"/>
      <c r="L582" s="36"/>
    </row>
    <row r="583" spans="1:12" x14ac:dyDescent="0.2">
      <c r="A583" s="36"/>
      <c r="B583" s="36"/>
      <c r="C583" s="36"/>
      <c r="D583" s="36"/>
      <c r="E583" s="36"/>
      <c r="L583" s="36"/>
    </row>
    <row r="584" spans="1:12" x14ac:dyDescent="0.2">
      <c r="A584" s="36"/>
      <c r="B584" s="36"/>
      <c r="C584" s="36"/>
      <c r="D584" s="36"/>
      <c r="E584" s="36"/>
      <c r="L584" s="36"/>
    </row>
    <row r="585" spans="1:12" x14ac:dyDescent="0.2">
      <c r="A585" s="36"/>
      <c r="B585" s="36"/>
      <c r="C585" s="36"/>
      <c r="D585" s="36"/>
      <c r="E585" s="36"/>
      <c r="L585" s="36"/>
    </row>
    <row r="586" spans="1:12" x14ac:dyDescent="0.2">
      <c r="A586" s="36"/>
      <c r="B586" s="36"/>
      <c r="C586" s="36"/>
      <c r="D586" s="36"/>
      <c r="E586" s="36"/>
      <c r="L586" s="36"/>
    </row>
    <row r="587" spans="1:12" x14ac:dyDescent="0.2">
      <c r="A587" s="36"/>
      <c r="B587" s="36"/>
      <c r="C587" s="36"/>
      <c r="D587" s="36"/>
      <c r="E587" s="36"/>
      <c r="L587" s="36"/>
    </row>
    <row r="588" spans="1:12" x14ac:dyDescent="0.2">
      <c r="A588" s="36"/>
      <c r="B588" s="36"/>
      <c r="C588" s="36"/>
      <c r="D588" s="36"/>
      <c r="E588" s="36"/>
      <c r="L588" s="36"/>
    </row>
    <row r="589" spans="1:12" x14ac:dyDescent="0.2">
      <c r="A589" s="36"/>
      <c r="B589" s="36"/>
      <c r="C589" s="36"/>
      <c r="D589" s="36"/>
      <c r="E589" s="36"/>
      <c r="L589" s="36"/>
    </row>
    <row r="590" spans="1:12" x14ac:dyDescent="0.2">
      <c r="A590" s="36"/>
      <c r="B590" s="36"/>
      <c r="C590" s="36"/>
      <c r="D590" s="36"/>
      <c r="E590" s="36"/>
      <c r="L590" s="36"/>
    </row>
    <row r="591" spans="1:12" x14ac:dyDescent="0.2">
      <c r="A591" s="36"/>
      <c r="B591" s="36"/>
      <c r="C591" s="36"/>
      <c r="D591" s="36"/>
      <c r="E591" s="36"/>
      <c r="L591" s="36"/>
    </row>
    <row r="592" spans="1:12" x14ac:dyDescent="0.2">
      <c r="A592" s="36"/>
      <c r="B592" s="36"/>
      <c r="C592" s="36"/>
      <c r="D592" s="36"/>
      <c r="E592" s="36"/>
      <c r="L592" s="36"/>
    </row>
    <row r="593" spans="1:12" x14ac:dyDescent="0.2">
      <c r="A593" s="36"/>
      <c r="B593" s="36"/>
      <c r="C593" s="36"/>
      <c r="D593" s="36"/>
      <c r="E593" s="36"/>
      <c r="L593" s="36"/>
    </row>
    <row r="594" spans="1:12" x14ac:dyDescent="0.2">
      <c r="A594" s="36"/>
      <c r="B594" s="36"/>
      <c r="C594" s="36"/>
      <c r="D594" s="36"/>
      <c r="E594" s="36"/>
      <c r="L594" s="36"/>
    </row>
    <row r="595" spans="1:12" x14ac:dyDescent="0.2">
      <c r="A595" s="36"/>
      <c r="B595" s="36"/>
      <c r="C595" s="36"/>
      <c r="D595" s="36"/>
      <c r="E595" s="36"/>
      <c r="L595" s="36"/>
    </row>
    <row r="596" spans="1:12" x14ac:dyDescent="0.2">
      <c r="A596" s="36"/>
      <c r="B596" s="36"/>
      <c r="C596" s="36"/>
      <c r="D596" s="36"/>
      <c r="E596" s="36"/>
      <c r="L596" s="36"/>
    </row>
    <row r="597" spans="1:12" x14ac:dyDescent="0.2">
      <c r="A597" s="36"/>
      <c r="B597" s="36"/>
      <c r="C597" s="36"/>
      <c r="D597" s="36"/>
      <c r="E597" s="36"/>
      <c r="L597" s="36"/>
    </row>
    <row r="598" spans="1:12" x14ac:dyDescent="0.2">
      <c r="A598" s="36"/>
      <c r="B598" s="36"/>
      <c r="C598" s="36"/>
      <c r="D598" s="36"/>
      <c r="E598" s="36"/>
      <c r="L598" s="36"/>
    </row>
    <row r="599" spans="1:12" x14ac:dyDescent="0.2">
      <c r="A599" s="36"/>
      <c r="B599" s="36"/>
      <c r="C599" s="36"/>
      <c r="D599" s="36"/>
      <c r="E599" s="36"/>
      <c r="L599" s="36"/>
    </row>
    <row r="600" spans="1:12" x14ac:dyDescent="0.2">
      <c r="A600" s="36"/>
      <c r="B600" s="36"/>
      <c r="C600" s="36"/>
      <c r="D600" s="36"/>
      <c r="E600" s="36"/>
      <c r="L600" s="36"/>
    </row>
    <row r="601" spans="1:12" x14ac:dyDescent="0.2">
      <c r="A601" s="36"/>
      <c r="B601" s="36"/>
      <c r="C601" s="36"/>
      <c r="D601" s="36"/>
      <c r="E601" s="36"/>
      <c r="L601" s="36"/>
    </row>
    <row r="602" spans="1:12" x14ac:dyDescent="0.2">
      <c r="A602" s="36"/>
      <c r="B602" s="36"/>
      <c r="C602" s="36"/>
      <c r="D602" s="36"/>
      <c r="E602" s="36"/>
      <c r="L602" s="36"/>
    </row>
    <row r="603" spans="1:12" x14ac:dyDescent="0.2">
      <c r="A603" s="36"/>
      <c r="B603" s="36"/>
      <c r="C603" s="36"/>
      <c r="D603" s="36"/>
      <c r="E603" s="36"/>
      <c r="L603" s="36"/>
    </row>
    <row r="604" spans="1:12" x14ac:dyDescent="0.2">
      <c r="A604" s="36"/>
      <c r="B604" s="36"/>
      <c r="C604" s="36"/>
      <c r="D604" s="36"/>
      <c r="E604" s="36"/>
      <c r="L604" s="36"/>
    </row>
    <row r="605" spans="1:12" x14ac:dyDescent="0.2">
      <c r="A605" s="36"/>
      <c r="B605" s="36"/>
      <c r="C605" s="36"/>
      <c r="D605" s="36"/>
      <c r="E605" s="36"/>
      <c r="L605" s="36"/>
    </row>
    <row r="606" spans="1:12" x14ac:dyDescent="0.2">
      <c r="A606" s="36"/>
      <c r="B606" s="36"/>
      <c r="C606" s="36"/>
      <c r="D606" s="36"/>
      <c r="E606" s="36"/>
      <c r="L606" s="36"/>
    </row>
    <row r="607" spans="1:12" x14ac:dyDescent="0.2">
      <c r="A607" s="36"/>
      <c r="B607" s="36"/>
      <c r="C607" s="36"/>
      <c r="D607" s="36"/>
      <c r="E607" s="36"/>
      <c r="L607" s="36"/>
    </row>
    <row r="608" spans="1:12" x14ac:dyDescent="0.2">
      <c r="A608" s="36"/>
      <c r="B608" s="36"/>
      <c r="C608" s="36"/>
      <c r="D608" s="36"/>
      <c r="E608" s="36"/>
      <c r="L608" s="36"/>
    </row>
    <row r="609" spans="1:12" x14ac:dyDescent="0.2">
      <c r="A609" s="36"/>
      <c r="B609" s="36"/>
      <c r="C609" s="36"/>
      <c r="D609" s="36"/>
      <c r="E609" s="36"/>
      <c r="L609" s="36"/>
    </row>
    <row r="610" spans="1:12" x14ac:dyDescent="0.2">
      <c r="A610" s="36"/>
      <c r="B610" s="36"/>
      <c r="C610" s="36"/>
      <c r="D610" s="36"/>
      <c r="E610" s="36"/>
      <c r="L610" s="36"/>
    </row>
    <row r="611" spans="1:12" x14ac:dyDescent="0.2">
      <c r="A611" s="36"/>
      <c r="B611" s="36"/>
      <c r="C611" s="36"/>
      <c r="D611" s="36"/>
      <c r="E611" s="36"/>
      <c r="L611" s="36"/>
    </row>
    <row r="612" spans="1:12" x14ac:dyDescent="0.2">
      <c r="A612" s="36"/>
      <c r="B612" s="36"/>
      <c r="C612" s="36"/>
      <c r="D612" s="36"/>
      <c r="E612" s="36"/>
      <c r="L612" s="36"/>
    </row>
    <row r="613" spans="1:12" x14ac:dyDescent="0.2">
      <c r="A613" s="36"/>
      <c r="B613" s="36"/>
      <c r="C613" s="36"/>
      <c r="D613" s="36"/>
      <c r="E613" s="36"/>
      <c r="L613" s="36"/>
    </row>
    <row r="614" spans="1:12" x14ac:dyDescent="0.2">
      <c r="A614" s="36"/>
      <c r="B614" s="36"/>
      <c r="C614" s="36"/>
      <c r="D614" s="36"/>
      <c r="E614" s="36"/>
      <c r="L614" s="36"/>
    </row>
    <row r="615" spans="1:12" x14ac:dyDescent="0.2">
      <c r="A615" s="36"/>
      <c r="B615" s="36"/>
      <c r="C615" s="36"/>
      <c r="D615" s="36"/>
      <c r="E615" s="36"/>
      <c r="L615" s="36"/>
    </row>
    <row r="616" spans="1:12" x14ac:dyDescent="0.2">
      <c r="A616" s="36"/>
      <c r="B616" s="36"/>
      <c r="C616" s="36"/>
      <c r="D616" s="36"/>
      <c r="E616" s="36"/>
      <c r="L616" s="36"/>
    </row>
    <row r="617" spans="1:12" x14ac:dyDescent="0.2">
      <c r="A617" s="36"/>
      <c r="B617" s="36"/>
      <c r="C617" s="36"/>
      <c r="D617" s="36"/>
      <c r="E617" s="36"/>
      <c r="L617" s="36"/>
    </row>
    <row r="618" spans="1:12" x14ac:dyDescent="0.2">
      <c r="A618" s="36"/>
      <c r="B618" s="36"/>
      <c r="C618" s="36"/>
      <c r="D618" s="36"/>
      <c r="E618" s="36"/>
      <c r="L618" s="36"/>
    </row>
    <row r="619" spans="1:12" x14ac:dyDescent="0.2">
      <c r="A619" s="36"/>
      <c r="B619" s="36"/>
      <c r="C619" s="36"/>
      <c r="D619" s="36"/>
      <c r="E619" s="36"/>
      <c r="L619" s="36"/>
    </row>
    <row r="620" spans="1:12" x14ac:dyDescent="0.2">
      <c r="A620" s="36"/>
      <c r="B620" s="36"/>
      <c r="C620" s="36"/>
      <c r="D620" s="36"/>
      <c r="E620" s="36"/>
      <c r="L620" s="36"/>
    </row>
    <row r="621" spans="1:12" x14ac:dyDescent="0.2">
      <c r="A621" s="36"/>
      <c r="B621" s="36"/>
      <c r="C621" s="36"/>
      <c r="D621" s="36"/>
      <c r="E621" s="36"/>
      <c r="L621" s="36"/>
    </row>
    <row r="622" spans="1:12" x14ac:dyDescent="0.2">
      <c r="A622" s="36"/>
      <c r="B622" s="36"/>
      <c r="C622" s="36"/>
      <c r="D622" s="36"/>
      <c r="E622" s="36"/>
      <c r="L622" s="36"/>
    </row>
    <row r="623" spans="1:12" x14ac:dyDescent="0.2">
      <c r="A623" s="36"/>
      <c r="B623" s="36"/>
      <c r="C623" s="36"/>
      <c r="D623" s="36"/>
      <c r="E623" s="36"/>
      <c r="L623" s="36"/>
    </row>
    <row r="624" spans="1:12" x14ac:dyDescent="0.2">
      <c r="A624" s="36"/>
      <c r="B624" s="36"/>
      <c r="C624" s="36"/>
      <c r="D624" s="36"/>
      <c r="E624" s="36"/>
      <c r="L624" s="36"/>
    </row>
    <row r="625" spans="1:12" x14ac:dyDescent="0.2">
      <c r="A625" s="36"/>
      <c r="B625" s="36"/>
      <c r="C625" s="36"/>
      <c r="D625" s="36"/>
      <c r="E625" s="36"/>
      <c r="L625" s="36"/>
    </row>
    <row r="626" spans="1:12" x14ac:dyDescent="0.2">
      <c r="A626" s="36"/>
      <c r="B626" s="36"/>
      <c r="C626" s="36"/>
      <c r="D626" s="36"/>
      <c r="E626" s="36"/>
      <c r="L626" s="36"/>
    </row>
    <row r="627" spans="1:12" x14ac:dyDescent="0.2">
      <c r="A627" s="36"/>
      <c r="B627" s="36"/>
      <c r="C627" s="36"/>
      <c r="D627" s="36"/>
      <c r="E627" s="36"/>
      <c r="L627" s="36"/>
    </row>
    <row r="628" spans="1:12" x14ac:dyDescent="0.2">
      <c r="A628" s="36"/>
      <c r="B628" s="36"/>
      <c r="C628" s="36"/>
      <c r="D628" s="36"/>
      <c r="E628" s="36"/>
      <c r="L628" s="36"/>
    </row>
    <row r="629" spans="1:12" x14ac:dyDescent="0.2">
      <c r="A629" s="36"/>
      <c r="B629" s="36"/>
      <c r="C629" s="36"/>
      <c r="D629" s="36"/>
      <c r="E629" s="36"/>
      <c r="L629" s="36"/>
    </row>
    <row r="630" spans="1:12" x14ac:dyDescent="0.2">
      <c r="A630" s="36"/>
      <c r="B630" s="36"/>
      <c r="C630" s="36"/>
      <c r="D630" s="36"/>
      <c r="E630" s="36"/>
      <c r="L630" s="36"/>
    </row>
    <row r="631" spans="1:12" x14ac:dyDescent="0.2">
      <c r="A631" s="36"/>
      <c r="B631" s="36"/>
      <c r="C631" s="36"/>
      <c r="D631" s="36"/>
      <c r="E631" s="36"/>
      <c r="L631" s="36"/>
    </row>
    <row r="632" spans="1:12" x14ac:dyDescent="0.2">
      <c r="A632" s="36"/>
      <c r="B632" s="36"/>
      <c r="C632" s="36"/>
      <c r="D632" s="36"/>
      <c r="E632" s="36"/>
      <c r="L632" s="36"/>
    </row>
    <row r="633" spans="1:12" x14ac:dyDescent="0.2">
      <c r="A633" s="36"/>
      <c r="B633" s="36"/>
      <c r="C633" s="36"/>
      <c r="D633" s="36"/>
      <c r="E633" s="36"/>
      <c r="L633" s="36"/>
    </row>
    <row r="634" spans="1:12" x14ac:dyDescent="0.2">
      <c r="A634" s="36"/>
      <c r="B634" s="36"/>
      <c r="C634" s="36"/>
      <c r="D634" s="36"/>
      <c r="E634" s="36"/>
      <c r="L634" s="36"/>
    </row>
    <row r="635" spans="1:12" x14ac:dyDescent="0.2">
      <c r="A635" s="36"/>
      <c r="B635" s="36"/>
      <c r="C635" s="36"/>
      <c r="D635" s="36"/>
      <c r="E635" s="36"/>
      <c r="L635" s="36"/>
    </row>
    <row r="636" spans="1:12" x14ac:dyDescent="0.2">
      <c r="A636" s="36"/>
      <c r="B636" s="36"/>
      <c r="C636" s="36"/>
      <c r="D636" s="36"/>
      <c r="E636" s="36"/>
      <c r="L636" s="36"/>
    </row>
    <row r="637" spans="1:12" x14ac:dyDescent="0.2">
      <c r="A637" s="36"/>
      <c r="B637" s="36"/>
      <c r="C637" s="36"/>
      <c r="D637" s="36"/>
      <c r="E637" s="36"/>
      <c r="L637" s="36"/>
    </row>
    <row r="638" spans="1:12" x14ac:dyDescent="0.2">
      <c r="A638" s="36"/>
      <c r="B638" s="36"/>
      <c r="C638" s="36"/>
      <c r="D638" s="36"/>
      <c r="E638" s="36"/>
      <c r="L638" s="36"/>
    </row>
    <row r="639" spans="1:12" x14ac:dyDescent="0.2">
      <c r="A639" s="36"/>
      <c r="B639" s="36"/>
      <c r="C639" s="36"/>
      <c r="D639" s="36"/>
      <c r="E639" s="36"/>
      <c r="L639" s="36"/>
    </row>
    <row r="640" spans="1:12" x14ac:dyDescent="0.2">
      <c r="A640" s="36"/>
      <c r="B640" s="36"/>
      <c r="C640" s="36"/>
      <c r="D640" s="36"/>
      <c r="E640" s="36"/>
      <c r="L640" s="36"/>
    </row>
    <row r="641" spans="1:12" x14ac:dyDescent="0.2">
      <c r="A641" s="36"/>
      <c r="B641" s="36"/>
      <c r="C641" s="36"/>
      <c r="D641" s="36"/>
      <c r="E641" s="36"/>
      <c r="L641" s="36"/>
    </row>
    <row r="642" spans="1:12" x14ac:dyDescent="0.2">
      <c r="A642" s="36"/>
      <c r="B642" s="36"/>
      <c r="C642" s="36"/>
      <c r="D642" s="36"/>
      <c r="E642" s="36"/>
      <c r="L642" s="36"/>
    </row>
    <row r="643" spans="1:12" x14ac:dyDescent="0.2">
      <c r="A643" s="36"/>
      <c r="B643" s="36"/>
      <c r="C643" s="36"/>
      <c r="D643" s="36"/>
      <c r="E643" s="36"/>
      <c r="L643" s="36"/>
    </row>
    <row r="644" spans="1:12" x14ac:dyDescent="0.2">
      <c r="A644" s="36"/>
      <c r="B644" s="36"/>
      <c r="C644" s="36"/>
      <c r="D644" s="36"/>
      <c r="E644" s="36"/>
      <c r="L644" s="36"/>
    </row>
    <row r="645" spans="1:12" x14ac:dyDescent="0.2">
      <c r="A645" s="36"/>
      <c r="B645" s="36"/>
      <c r="C645" s="36"/>
      <c r="D645" s="36"/>
      <c r="E645" s="36"/>
      <c r="L645" s="36"/>
    </row>
    <row r="646" spans="1:12" x14ac:dyDescent="0.2">
      <c r="A646" s="36"/>
      <c r="B646" s="36"/>
      <c r="C646" s="36"/>
      <c r="D646" s="36"/>
      <c r="E646" s="36"/>
      <c r="L646" s="36"/>
    </row>
    <row r="647" spans="1:12" x14ac:dyDescent="0.2">
      <c r="A647" s="36"/>
      <c r="B647" s="36"/>
      <c r="C647" s="36"/>
      <c r="D647" s="36"/>
      <c r="E647" s="36"/>
      <c r="L647" s="36"/>
    </row>
    <row r="648" spans="1:12" x14ac:dyDescent="0.2">
      <c r="A648" s="36"/>
      <c r="B648" s="36"/>
      <c r="C648" s="36"/>
      <c r="D648" s="36"/>
      <c r="E648" s="36"/>
      <c r="L648" s="36"/>
    </row>
    <row r="649" spans="1:12" x14ac:dyDescent="0.2">
      <c r="A649" s="36"/>
      <c r="B649" s="36"/>
      <c r="C649" s="36"/>
      <c r="D649" s="36"/>
      <c r="E649" s="36"/>
      <c r="L649" s="36"/>
    </row>
    <row r="650" spans="1:12" x14ac:dyDescent="0.2">
      <c r="A650" s="36"/>
      <c r="B650" s="36"/>
      <c r="C650" s="36"/>
      <c r="D650" s="36"/>
      <c r="E650" s="36"/>
      <c r="L650" s="36"/>
    </row>
    <row r="651" spans="1:12" x14ac:dyDescent="0.2">
      <c r="A651" s="36"/>
      <c r="B651" s="36"/>
      <c r="C651" s="36"/>
      <c r="D651" s="36"/>
      <c r="E651" s="36"/>
      <c r="L651" s="36"/>
    </row>
    <row r="652" spans="1:12" x14ac:dyDescent="0.2">
      <c r="A652" s="36"/>
      <c r="B652" s="36"/>
      <c r="C652" s="36"/>
      <c r="D652" s="36"/>
      <c r="E652" s="36"/>
      <c r="L652" s="36"/>
    </row>
    <row r="653" spans="1:12" x14ac:dyDescent="0.2">
      <c r="A653" s="36"/>
      <c r="B653" s="36"/>
      <c r="C653" s="36"/>
      <c r="D653" s="36"/>
      <c r="E653" s="36"/>
      <c r="L653" s="36"/>
    </row>
    <row r="654" spans="1:12" x14ac:dyDescent="0.2">
      <c r="A654" s="36"/>
      <c r="B654" s="36"/>
      <c r="C654" s="36"/>
      <c r="D654" s="36"/>
      <c r="E654" s="36"/>
      <c r="L654" s="36"/>
    </row>
    <row r="655" spans="1:12" x14ac:dyDescent="0.2">
      <c r="A655" s="36"/>
      <c r="B655" s="36"/>
      <c r="C655" s="36"/>
      <c r="D655" s="36"/>
      <c r="E655" s="36"/>
      <c r="L655" s="36"/>
    </row>
    <row r="656" spans="1:12" x14ac:dyDescent="0.2">
      <c r="A656" s="36"/>
      <c r="B656" s="36"/>
      <c r="C656" s="36"/>
      <c r="D656" s="36"/>
      <c r="E656" s="36"/>
      <c r="L656" s="36"/>
    </row>
    <row r="657" spans="1:12" x14ac:dyDescent="0.2">
      <c r="A657" s="36"/>
      <c r="B657" s="36"/>
      <c r="C657" s="36"/>
      <c r="D657" s="36"/>
      <c r="E657" s="36"/>
      <c r="L657" s="36"/>
    </row>
    <row r="658" spans="1:12" x14ac:dyDescent="0.2">
      <c r="A658" s="36"/>
      <c r="B658" s="36"/>
      <c r="C658" s="36"/>
      <c r="D658" s="36"/>
      <c r="E658" s="36"/>
      <c r="L658" s="36"/>
    </row>
    <row r="659" spans="1:12" x14ac:dyDescent="0.2">
      <c r="A659" s="36"/>
      <c r="B659" s="36"/>
      <c r="C659" s="36"/>
      <c r="D659" s="36"/>
      <c r="E659" s="36"/>
      <c r="L659" s="36"/>
    </row>
    <row r="660" spans="1:12" x14ac:dyDescent="0.2">
      <c r="A660" s="36"/>
      <c r="B660" s="36"/>
      <c r="C660" s="36"/>
      <c r="D660" s="36"/>
      <c r="E660" s="36"/>
      <c r="L660" s="36"/>
    </row>
    <row r="661" spans="1:12" x14ac:dyDescent="0.2">
      <c r="A661" s="36"/>
      <c r="B661" s="36"/>
      <c r="C661" s="36"/>
      <c r="D661" s="36"/>
      <c r="E661" s="36"/>
      <c r="L661" s="36"/>
    </row>
    <row r="662" spans="1:12" x14ac:dyDescent="0.2">
      <c r="A662" s="36"/>
      <c r="B662" s="36"/>
      <c r="C662" s="36"/>
      <c r="D662" s="36"/>
      <c r="E662" s="36"/>
      <c r="L662" s="36"/>
    </row>
    <row r="663" spans="1:12" x14ac:dyDescent="0.2">
      <c r="A663" s="36"/>
      <c r="B663" s="36"/>
      <c r="C663" s="36"/>
      <c r="D663" s="36"/>
      <c r="E663" s="36"/>
      <c r="L663" s="36"/>
    </row>
    <row r="664" spans="1:12" x14ac:dyDescent="0.2">
      <c r="A664" s="36"/>
      <c r="B664" s="36"/>
      <c r="C664" s="36"/>
      <c r="D664" s="36"/>
      <c r="E664" s="36"/>
      <c r="L664" s="36"/>
    </row>
    <row r="665" spans="1:12" x14ac:dyDescent="0.2">
      <c r="A665" s="36"/>
      <c r="B665" s="36"/>
      <c r="C665" s="36"/>
      <c r="D665" s="36"/>
      <c r="E665" s="36"/>
      <c r="L665" s="36"/>
    </row>
    <row r="666" spans="1:12" x14ac:dyDescent="0.2">
      <c r="A666" s="36"/>
      <c r="B666" s="36"/>
      <c r="C666" s="36"/>
      <c r="D666" s="36"/>
      <c r="E666" s="36"/>
      <c r="L666" s="36"/>
    </row>
    <row r="667" spans="1:12" x14ac:dyDescent="0.2">
      <c r="A667" s="36"/>
      <c r="B667" s="36"/>
      <c r="C667" s="36"/>
      <c r="D667" s="36"/>
      <c r="E667" s="36"/>
      <c r="L667" s="36"/>
    </row>
    <row r="668" spans="1:12" x14ac:dyDescent="0.2">
      <c r="A668" s="36"/>
      <c r="B668" s="36"/>
      <c r="C668" s="36"/>
      <c r="D668" s="36"/>
      <c r="E668" s="36"/>
      <c r="L668" s="36"/>
    </row>
    <row r="669" spans="1:12" x14ac:dyDescent="0.2">
      <c r="A669" s="36"/>
      <c r="B669" s="36"/>
      <c r="C669" s="36"/>
      <c r="D669" s="36"/>
      <c r="E669" s="36"/>
      <c r="L669" s="36"/>
    </row>
    <row r="670" spans="1:12" x14ac:dyDescent="0.2">
      <c r="A670" s="36"/>
      <c r="B670" s="36"/>
      <c r="C670" s="36"/>
      <c r="D670" s="36"/>
      <c r="E670" s="36"/>
      <c r="L670" s="36"/>
    </row>
    <row r="671" spans="1:12" x14ac:dyDescent="0.2">
      <c r="A671" s="36"/>
      <c r="B671" s="36"/>
      <c r="C671" s="36"/>
      <c r="D671" s="36"/>
      <c r="E671" s="36"/>
      <c r="L671" s="36"/>
    </row>
    <row r="672" spans="1:12" x14ac:dyDescent="0.2">
      <c r="A672" s="36"/>
      <c r="B672" s="36"/>
      <c r="C672" s="36"/>
      <c r="D672" s="36"/>
      <c r="E672" s="36"/>
      <c r="L672" s="36"/>
    </row>
    <row r="673" spans="1:12" x14ac:dyDescent="0.2">
      <c r="A673" s="36"/>
      <c r="B673" s="36"/>
      <c r="C673" s="36"/>
      <c r="D673" s="36"/>
      <c r="E673" s="36"/>
      <c r="L673" s="36"/>
    </row>
    <row r="674" spans="1:12" x14ac:dyDescent="0.2">
      <c r="A674" s="36"/>
      <c r="B674" s="36"/>
      <c r="C674" s="36"/>
      <c r="D674" s="36"/>
      <c r="E674" s="36"/>
      <c r="L674" s="36"/>
    </row>
    <row r="675" spans="1:12" x14ac:dyDescent="0.2">
      <c r="A675" s="36"/>
      <c r="B675" s="36"/>
      <c r="C675" s="36"/>
      <c r="D675" s="36"/>
      <c r="E675" s="36"/>
      <c r="L675" s="36"/>
    </row>
    <row r="676" spans="1:12" x14ac:dyDescent="0.2">
      <c r="A676" s="36"/>
      <c r="B676" s="36"/>
      <c r="C676" s="36"/>
      <c r="D676" s="36"/>
      <c r="E676" s="36"/>
      <c r="L676" s="36"/>
    </row>
    <row r="677" spans="1:12" x14ac:dyDescent="0.2">
      <c r="A677" s="36"/>
      <c r="B677" s="36"/>
      <c r="C677" s="36"/>
      <c r="D677" s="36"/>
      <c r="E677" s="36"/>
      <c r="L677" s="36"/>
    </row>
    <row r="678" spans="1:12" x14ac:dyDescent="0.2">
      <c r="A678" s="36"/>
      <c r="B678" s="36"/>
      <c r="C678" s="36"/>
      <c r="D678" s="36"/>
      <c r="E678" s="36"/>
      <c r="L678" s="36"/>
    </row>
    <row r="679" spans="1:12" x14ac:dyDescent="0.2">
      <c r="A679" s="36"/>
      <c r="B679" s="36"/>
      <c r="C679" s="36"/>
      <c r="D679" s="36"/>
      <c r="E679" s="36"/>
      <c r="L679" s="36"/>
    </row>
    <row r="680" spans="1:12" x14ac:dyDescent="0.2">
      <c r="A680" s="36"/>
      <c r="B680" s="36"/>
      <c r="C680" s="36"/>
      <c r="D680" s="36"/>
      <c r="E680" s="36"/>
      <c r="L680" s="36"/>
    </row>
    <row r="681" spans="1:12" x14ac:dyDescent="0.2">
      <c r="A681" s="36"/>
      <c r="B681" s="36"/>
      <c r="C681" s="36"/>
      <c r="D681" s="36"/>
      <c r="E681" s="36"/>
      <c r="L681" s="36"/>
    </row>
    <row r="682" spans="1:12" x14ac:dyDescent="0.2">
      <c r="A682" s="36"/>
      <c r="B682" s="36"/>
      <c r="C682" s="36"/>
      <c r="D682" s="36"/>
      <c r="E682" s="36"/>
      <c r="L682" s="36"/>
    </row>
    <row r="683" spans="1:12" x14ac:dyDescent="0.2">
      <c r="A683" s="36"/>
      <c r="B683" s="36"/>
      <c r="C683" s="36"/>
      <c r="D683" s="36"/>
      <c r="E683" s="36"/>
      <c r="L683" s="36"/>
    </row>
    <row r="684" spans="1:12" x14ac:dyDescent="0.2">
      <c r="A684" s="36"/>
      <c r="B684" s="36"/>
      <c r="C684" s="36"/>
      <c r="D684" s="36"/>
      <c r="E684" s="36"/>
      <c r="L684" s="36"/>
    </row>
    <row r="685" spans="1:12" x14ac:dyDescent="0.2">
      <c r="A685" s="36"/>
      <c r="B685" s="36"/>
      <c r="C685" s="36"/>
      <c r="D685" s="36"/>
      <c r="E685" s="36"/>
      <c r="L685" s="36"/>
    </row>
    <row r="686" spans="1:12" x14ac:dyDescent="0.2">
      <c r="A686" s="36"/>
      <c r="B686" s="36"/>
      <c r="C686" s="36"/>
      <c r="D686" s="36"/>
      <c r="E686" s="36"/>
      <c r="L686" s="36"/>
    </row>
    <row r="687" spans="1:12" x14ac:dyDescent="0.2">
      <c r="A687" s="36"/>
      <c r="B687" s="36"/>
      <c r="C687" s="36"/>
      <c r="D687" s="36"/>
      <c r="E687" s="36"/>
      <c r="L687" s="36"/>
    </row>
    <row r="688" spans="1:12" x14ac:dyDescent="0.2">
      <c r="A688" s="36"/>
      <c r="B688" s="36"/>
      <c r="C688" s="36"/>
      <c r="D688" s="36"/>
      <c r="E688" s="36"/>
      <c r="L688" s="36"/>
    </row>
    <row r="689" spans="1:12" x14ac:dyDescent="0.2">
      <c r="A689" s="36"/>
      <c r="B689" s="36"/>
      <c r="C689" s="36"/>
      <c r="D689" s="36"/>
      <c r="E689" s="36"/>
      <c r="L689" s="36"/>
    </row>
    <row r="690" spans="1:12" x14ac:dyDescent="0.2">
      <c r="A690" s="36"/>
      <c r="B690" s="36"/>
      <c r="C690" s="36"/>
      <c r="D690" s="36"/>
      <c r="E690" s="36"/>
      <c r="L690" s="36"/>
    </row>
    <row r="691" spans="1:12" x14ac:dyDescent="0.2">
      <c r="A691" s="36"/>
      <c r="B691" s="36"/>
      <c r="C691" s="36"/>
      <c r="D691" s="36"/>
      <c r="E691" s="36"/>
      <c r="L691" s="36"/>
    </row>
    <row r="692" spans="1:12" x14ac:dyDescent="0.2">
      <c r="A692" s="36"/>
      <c r="B692" s="36"/>
      <c r="C692" s="36"/>
      <c r="D692" s="36"/>
      <c r="E692" s="36"/>
      <c r="L692" s="36"/>
    </row>
    <row r="693" spans="1:12" x14ac:dyDescent="0.2">
      <c r="A693" s="36"/>
      <c r="B693" s="36"/>
      <c r="C693" s="36"/>
      <c r="D693" s="36"/>
      <c r="E693" s="36"/>
      <c r="L693" s="36"/>
    </row>
    <row r="694" spans="1:12" x14ac:dyDescent="0.2">
      <c r="A694" s="36"/>
      <c r="B694" s="36"/>
      <c r="C694" s="36"/>
      <c r="D694" s="36"/>
      <c r="E694" s="36"/>
      <c r="L694" s="36"/>
    </row>
    <row r="695" spans="1:12" x14ac:dyDescent="0.2">
      <c r="A695" s="36"/>
      <c r="B695" s="36"/>
      <c r="C695" s="36"/>
      <c r="D695" s="36"/>
      <c r="E695" s="36"/>
      <c r="L695" s="36"/>
    </row>
    <row r="696" spans="1:12" x14ac:dyDescent="0.2">
      <c r="A696" s="36"/>
      <c r="B696" s="36"/>
      <c r="C696" s="36"/>
      <c r="D696" s="36"/>
      <c r="E696" s="36"/>
      <c r="L696" s="36"/>
    </row>
    <row r="697" spans="1:12" x14ac:dyDescent="0.2">
      <c r="A697" s="36"/>
      <c r="B697" s="36"/>
      <c r="C697" s="36"/>
      <c r="D697" s="36"/>
      <c r="E697" s="36"/>
      <c r="L697" s="36"/>
    </row>
    <row r="698" spans="1:12" x14ac:dyDescent="0.2">
      <c r="A698" s="36"/>
      <c r="B698" s="36"/>
      <c r="C698" s="36"/>
      <c r="D698" s="36"/>
      <c r="E698" s="36"/>
      <c r="L698" s="36"/>
    </row>
    <row r="699" spans="1:12" x14ac:dyDescent="0.2">
      <c r="A699" s="36"/>
      <c r="B699" s="36"/>
      <c r="C699" s="36"/>
      <c r="D699" s="36"/>
      <c r="E699" s="36"/>
      <c r="L699" s="36"/>
    </row>
    <row r="700" spans="1:12" x14ac:dyDescent="0.2">
      <c r="A700" s="36"/>
      <c r="B700" s="36"/>
      <c r="C700" s="36"/>
      <c r="D700" s="36"/>
      <c r="E700" s="36"/>
      <c r="L700" s="36"/>
    </row>
    <row r="701" spans="1:12" x14ac:dyDescent="0.2">
      <c r="A701" s="36"/>
      <c r="B701" s="36"/>
      <c r="C701" s="36"/>
      <c r="D701" s="36"/>
      <c r="E701" s="36"/>
      <c r="L701" s="36"/>
    </row>
    <row r="702" spans="1:12" x14ac:dyDescent="0.2">
      <c r="A702" s="36"/>
      <c r="B702" s="36"/>
      <c r="C702" s="36"/>
      <c r="D702" s="36"/>
      <c r="E702" s="36"/>
      <c r="L702" s="36"/>
    </row>
    <row r="703" spans="1:12" x14ac:dyDescent="0.2">
      <c r="A703" s="36"/>
      <c r="B703" s="36"/>
      <c r="C703" s="36"/>
      <c r="D703" s="36"/>
      <c r="E703" s="36"/>
      <c r="L703" s="36"/>
    </row>
    <row r="704" spans="1:12" x14ac:dyDescent="0.2">
      <c r="A704" s="36"/>
      <c r="B704" s="36"/>
      <c r="C704" s="36"/>
      <c r="D704" s="36"/>
      <c r="E704" s="36"/>
      <c r="L704" s="36"/>
    </row>
    <row r="705" spans="1:12" x14ac:dyDescent="0.2">
      <c r="A705" s="36"/>
      <c r="B705" s="36"/>
      <c r="C705" s="36"/>
      <c r="D705" s="36"/>
      <c r="E705" s="36"/>
      <c r="L705" s="36"/>
    </row>
    <row r="706" spans="1:12" x14ac:dyDescent="0.2">
      <c r="A706" s="36"/>
      <c r="B706" s="36"/>
      <c r="C706" s="36"/>
      <c r="D706" s="36"/>
      <c r="E706" s="36"/>
      <c r="L706" s="36"/>
    </row>
    <row r="707" spans="1:12" x14ac:dyDescent="0.2">
      <c r="A707" s="36"/>
      <c r="B707" s="36"/>
      <c r="C707" s="36"/>
      <c r="D707" s="36"/>
      <c r="E707" s="36"/>
      <c r="L707" s="36"/>
    </row>
    <row r="708" spans="1:12" x14ac:dyDescent="0.2">
      <c r="A708" s="36"/>
      <c r="B708" s="36"/>
      <c r="C708" s="36"/>
      <c r="D708" s="36"/>
      <c r="E708" s="36"/>
      <c r="L708" s="36"/>
    </row>
    <row r="709" spans="1:12" x14ac:dyDescent="0.2">
      <c r="A709" s="36"/>
      <c r="B709" s="36"/>
      <c r="C709" s="36"/>
      <c r="D709" s="36"/>
      <c r="E709" s="36"/>
      <c r="L709" s="36"/>
    </row>
    <row r="710" spans="1:12" x14ac:dyDescent="0.2">
      <c r="A710" s="36"/>
      <c r="B710" s="36"/>
      <c r="C710" s="36"/>
      <c r="D710" s="36"/>
      <c r="E710" s="36"/>
      <c r="L710" s="36"/>
    </row>
    <row r="711" spans="1:12" x14ac:dyDescent="0.2">
      <c r="A711" s="36"/>
      <c r="B711" s="36"/>
      <c r="C711" s="36"/>
      <c r="D711" s="36"/>
      <c r="E711" s="36"/>
      <c r="L711" s="36"/>
    </row>
    <row r="712" spans="1:12" x14ac:dyDescent="0.2">
      <c r="A712" s="36"/>
      <c r="B712" s="36"/>
      <c r="C712" s="36"/>
      <c r="D712" s="36"/>
      <c r="E712" s="36"/>
      <c r="L712" s="36"/>
    </row>
    <row r="713" spans="1:12" x14ac:dyDescent="0.2">
      <c r="A713" s="36"/>
      <c r="B713" s="36"/>
      <c r="C713" s="36"/>
      <c r="D713" s="36"/>
      <c r="E713" s="36"/>
      <c r="L713" s="36"/>
    </row>
    <row r="714" spans="1:12" x14ac:dyDescent="0.2">
      <c r="A714" s="36"/>
      <c r="B714" s="36"/>
      <c r="C714" s="36"/>
      <c r="D714" s="36"/>
      <c r="E714" s="36"/>
      <c r="L714" s="36"/>
    </row>
    <row r="715" spans="1:12" x14ac:dyDescent="0.2">
      <c r="A715" s="36"/>
      <c r="B715" s="36"/>
      <c r="C715" s="36"/>
      <c r="D715" s="36"/>
      <c r="E715" s="36"/>
      <c r="L715" s="36"/>
    </row>
    <row r="716" spans="1:12" x14ac:dyDescent="0.2">
      <c r="A716" s="36"/>
      <c r="B716" s="36"/>
      <c r="C716" s="36"/>
      <c r="D716" s="36"/>
      <c r="E716" s="36"/>
      <c r="L716" s="36"/>
    </row>
    <row r="717" spans="1:12" x14ac:dyDescent="0.2">
      <c r="A717" s="36"/>
      <c r="B717" s="36"/>
      <c r="C717" s="36"/>
      <c r="D717" s="36"/>
      <c r="E717" s="36"/>
      <c r="L717" s="36"/>
    </row>
    <row r="718" spans="1:12" x14ac:dyDescent="0.2">
      <c r="A718" s="36"/>
      <c r="B718" s="36"/>
      <c r="C718" s="36"/>
      <c r="D718" s="36"/>
      <c r="E718" s="36"/>
      <c r="L718" s="36"/>
    </row>
    <row r="719" spans="1:12" x14ac:dyDescent="0.2">
      <c r="A719" s="36"/>
      <c r="B719" s="36"/>
      <c r="C719" s="36"/>
      <c r="D719" s="36"/>
      <c r="E719" s="36"/>
      <c r="L719" s="36"/>
    </row>
    <row r="720" spans="1:12" x14ac:dyDescent="0.2">
      <c r="A720" s="36"/>
      <c r="B720" s="36"/>
      <c r="C720" s="36"/>
      <c r="D720" s="36"/>
      <c r="E720" s="36"/>
      <c r="L720" s="36"/>
    </row>
    <row r="721" spans="1:12" x14ac:dyDescent="0.2">
      <c r="A721" s="36"/>
      <c r="B721" s="36"/>
      <c r="C721" s="36"/>
      <c r="D721" s="36"/>
      <c r="E721" s="36"/>
      <c r="L721" s="36"/>
    </row>
    <row r="722" spans="1:12" x14ac:dyDescent="0.2">
      <c r="A722" s="36"/>
      <c r="B722" s="36"/>
      <c r="C722" s="36"/>
      <c r="D722" s="36"/>
      <c r="E722" s="36"/>
      <c r="L722" s="36"/>
    </row>
    <row r="723" spans="1:12" x14ac:dyDescent="0.2">
      <c r="A723" s="36"/>
      <c r="B723" s="36"/>
      <c r="C723" s="36"/>
      <c r="D723" s="36"/>
      <c r="E723" s="36"/>
      <c r="L723" s="36"/>
    </row>
    <row r="724" spans="1:12" x14ac:dyDescent="0.2">
      <c r="A724" s="36"/>
      <c r="B724" s="36"/>
      <c r="C724" s="36"/>
      <c r="D724" s="36"/>
      <c r="E724" s="36"/>
      <c r="L724" s="36"/>
    </row>
    <row r="725" spans="1:12" x14ac:dyDescent="0.2">
      <c r="A725" s="36"/>
      <c r="B725" s="36"/>
      <c r="C725" s="36"/>
      <c r="D725" s="36"/>
      <c r="E725" s="36"/>
      <c r="L725" s="36"/>
    </row>
    <row r="726" spans="1:12" x14ac:dyDescent="0.2">
      <c r="A726" s="36"/>
      <c r="B726" s="36"/>
      <c r="C726" s="36"/>
      <c r="D726" s="36"/>
      <c r="E726" s="36"/>
      <c r="L726" s="36"/>
    </row>
    <row r="727" spans="1:12" x14ac:dyDescent="0.2">
      <c r="A727" s="36"/>
      <c r="B727" s="36"/>
      <c r="C727" s="36"/>
      <c r="D727" s="36"/>
      <c r="E727" s="36"/>
      <c r="L727" s="36"/>
    </row>
    <row r="728" spans="1:12" x14ac:dyDescent="0.2">
      <c r="A728" s="36"/>
      <c r="B728" s="36"/>
      <c r="C728" s="36"/>
      <c r="D728" s="36"/>
      <c r="E728" s="36"/>
      <c r="L728" s="36"/>
    </row>
    <row r="729" spans="1:12" x14ac:dyDescent="0.2">
      <c r="A729" s="36"/>
      <c r="B729" s="36"/>
      <c r="C729" s="36"/>
      <c r="D729" s="36"/>
      <c r="E729" s="36"/>
      <c r="L729" s="36"/>
    </row>
    <row r="730" spans="1:12" x14ac:dyDescent="0.2">
      <c r="A730" s="36"/>
      <c r="B730" s="36"/>
      <c r="C730" s="36"/>
      <c r="D730" s="36"/>
      <c r="E730" s="36"/>
      <c r="L730" s="36"/>
    </row>
    <row r="731" spans="1:12" x14ac:dyDescent="0.2">
      <c r="A731" s="36"/>
      <c r="B731" s="36"/>
      <c r="C731" s="36"/>
      <c r="D731" s="36"/>
      <c r="E731" s="36"/>
      <c r="L731" s="36"/>
    </row>
    <row r="732" spans="1:12" x14ac:dyDescent="0.2">
      <c r="A732" s="36"/>
      <c r="B732" s="36"/>
      <c r="C732" s="36"/>
      <c r="D732" s="36"/>
      <c r="E732" s="36"/>
      <c r="L732" s="36"/>
    </row>
    <row r="733" spans="1:12" x14ac:dyDescent="0.2">
      <c r="A733" s="36"/>
      <c r="B733" s="36"/>
      <c r="C733" s="36"/>
      <c r="D733" s="36"/>
      <c r="E733" s="36"/>
      <c r="L733" s="36"/>
    </row>
    <row r="734" spans="1:12" x14ac:dyDescent="0.2">
      <c r="A734" s="36"/>
      <c r="B734" s="36"/>
      <c r="C734" s="36"/>
      <c r="D734" s="36"/>
      <c r="E734" s="36"/>
      <c r="L734" s="36"/>
    </row>
    <row r="735" spans="1:12" x14ac:dyDescent="0.2">
      <c r="A735" s="36"/>
      <c r="B735" s="36"/>
      <c r="C735" s="36"/>
      <c r="D735" s="36"/>
      <c r="E735" s="36"/>
      <c r="L735" s="36"/>
    </row>
    <row r="736" spans="1:12" x14ac:dyDescent="0.2">
      <c r="A736" s="36"/>
      <c r="B736" s="36"/>
      <c r="C736" s="36"/>
      <c r="D736" s="36"/>
      <c r="E736" s="36"/>
      <c r="L736" s="36"/>
    </row>
    <row r="737" spans="1:12" x14ac:dyDescent="0.2">
      <c r="A737" s="36"/>
      <c r="B737" s="36"/>
      <c r="C737" s="36"/>
      <c r="D737" s="36"/>
      <c r="E737" s="36"/>
      <c r="L737" s="36"/>
    </row>
    <row r="738" spans="1:12" x14ac:dyDescent="0.2">
      <c r="A738" s="36"/>
      <c r="B738" s="36"/>
      <c r="C738" s="36"/>
      <c r="D738" s="36"/>
      <c r="E738" s="36"/>
      <c r="L738" s="36"/>
    </row>
    <row r="739" spans="1:12" x14ac:dyDescent="0.2">
      <c r="A739" s="36"/>
      <c r="B739" s="36"/>
      <c r="C739" s="36"/>
      <c r="D739" s="36"/>
      <c r="E739" s="36"/>
      <c r="L739" s="36"/>
    </row>
    <row r="740" spans="1:12" x14ac:dyDescent="0.2">
      <c r="A740" s="36"/>
      <c r="B740" s="36"/>
      <c r="C740" s="36"/>
      <c r="D740" s="36"/>
      <c r="E740" s="36"/>
      <c r="L740" s="36"/>
    </row>
    <row r="741" spans="1:12" x14ac:dyDescent="0.2">
      <c r="A741" s="36"/>
      <c r="B741" s="36"/>
      <c r="C741" s="36"/>
      <c r="D741" s="36"/>
      <c r="E741" s="36"/>
      <c r="L741" s="36"/>
    </row>
    <row r="742" spans="1:12" x14ac:dyDescent="0.2">
      <c r="A742" s="36"/>
      <c r="B742" s="36"/>
      <c r="C742" s="36"/>
      <c r="D742" s="36"/>
      <c r="E742" s="36"/>
      <c r="L742" s="36"/>
    </row>
    <row r="743" spans="1:12" x14ac:dyDescent="0.2">
      <c r="A743" s="36"/>
      <c r="B743" s="36"/>
      <c r="C743" s="36"/>
      <c r="D743" s="36"/>
      <c r="E743" s="36"/>
      <c r="L743" s="36"/>
    </row>
    <row r="744" spans="1:12" x14ac:dyDescent="0.2">
      <c r="A744" s="36"/>
      <c r="B744" s="36"/>
      <c r="C744" s="36"/>
      <c r="D744" s="36"/>
      <c r="E744" s="36"/>
      <c r="L744" s="36"/>
    </row>
    <row r="745" spans="1:12" x14ac:dyDescent="0.2">
      <c r="A745" s="36"/>
      <c r="B745" s="36"/>
      <c r="C745" s="36"/>
      <c r="D745" s="36"/>
      <c r="E745" s="36"/>
      <c r="L745" s="36"/>
    </row>
    <row r="746" spans="1:12" x14ac:dyDescent="0.2">
      <c r="A746" s="36"/>
      <c r="B746" s="36"/>
      <c r="C746" s="36"/>
      <c r="D746" s="36"/>
      <c r="E746" s="36"/>
      <c r="L746" s="36"/>
    </row>
    <row r="747" spans="1:12" x14ac:dyDescent="0.2">
      <c r="A747" s="36"/>
      <c r="B747" s="36"/>
      <c r="C747" s="36"/>
      <c r="D747" s="36"/>
      <c r="E747" s="36"/>
      <c r="L747" s="36"/>
    </row>
    <row r="748" spans="1:12" x14ac:dyDescent="0.2">
      <c r="A748" s="36"/>
      <c r="B748" s="36"/>
      <c r="C748" s="36"/>
      <c r="D748" s="36"/>
      <c r="E748" s="36"/>
      <c r="L748" s="36"/>
    </row>
    <row r="749" spans="1:12" x14ac:dyDescent="0.2">
      <c r="A749" s="36"/>
      <c r="B749" s="36"/>
      <c r="C749" s="36"/>
      <c r="D749" s="36"/>
      <c r="E749" s="36"/>
      <c r="L749" s="36"/>
    </row>
    <row r="750" spans="1:12" x14ac:dyDescent="0.2">
      <c r="A750" s="36"/>
      <c r="B750" s="36"/>
      <c r="C750" s="36"/>
      <c r="D750" s="36"/>
      <c r="E750" s="36"/>
      <c r="L750" s="36"/>
    </row>
    <row r="751" spans="1:12" x14ac:dyDescent="0.2">
      <c r="A751" s="36"/>
      <c r="B751" s="36"/>
      <c r="C751" s="36"/>
      <c r="D751" s="36"/>
      <c r="E751" s="36"/>
      <c r="L751" s="36"/>
    </row>
    <row r="752" spans="1:12" x14ac:dyDescent="0.2">
      <c r="A752" s="36"/>
      <c r="B752" s="36"/>
      <c r="C752" s="36"/>
      <c r="D752" s="36"/>
      <c r="E752" s="36"/>
      <c r="L752" s="36"/>
    </row>
    <row r="753" spans="1:12" x14ac:dyDescent="0.2">
      <c r="A753" s="36"/>
      <c r="B753" s="36"/>
      <c r="C753" s="36"/>
      <c r="D753" s="36"/>
      <c r="E753" s="36"/>
      <c r="L753" s="36"/>
    </row>
    <row r="754" spans="1:12" x14ac:dyDescent="0.2">
      <c r="A754" s="36"/>
      <c r="B754" s="36"/>
      <c r="C754" s="36"/>
      <c r="D754" s="36"/>
      <c r="E754" s="36"/>
      <c r="L754" s="36"/>
    </row>
    <row r="755" spans="1:12" x14ac:dyDescent="0.2">
      <c r="A755" s="36"/>
      <c r="B755" s="36"/>
      <c r="C755" s="36"/>
      <c r="D755" s="36"/>
      <c r="E755" s="36"/>
      <c r="L755" s="36"/>
    </row>
    <row r="756" spans="1:12" x14ac:dyDescent="0.2">
      <c r="A756" s="36"/>
      <c r="B756" s="36"/>
      <c r="C756" s="36"/>
      <c r="D756" s="36"/>
      <c r="E756" s="36"/>
      <c r="L756" s="36"/>
    </row>
    <row r="757" spans="1:12" x14ac:dyDescent="0.2">
      <c r="A757" s="36"/>
      <c r="B757" s="36"/>
      <c r="C757" s="36"/>
      <c r="D757" s="36"/>
      <c r="E757" s="36"/>
      <c r="L757" s="36"/>
    </row>
    <row r="758" spans="1:12" x14ac:dyDescent="0.2">
      <c r="A758" s="36"/>
      <c r="B758" s="36"/>
      <c r="C758" s="36"/>
      <c r="D758" s="36"/>
      <c r="E758" s="36"/>
      <c r="L758" s="36"/>
    </row>
    <row r="759" spans="1:12" x14ac:dyDescent="0.2">
      <c r="A759" s="36"/>
      <c r="B759" s="36"/>
      <c r="C759" s="36"/>
      <c r="D759" s="36"/>
      <c r="E759" s="36"/>
      <c r="L759" s="36"/>
    </row>
    <row r="760" spans="1:12" x14ac:dyDescent="0.2">
      <c r="A760" s="36"/>
      <c r="B760" s="36"/>
      <c r="C760" s="36"/>
      <c r="D760" s="36"/>
      <c r="E760" s="36"/>
      <c r="L760" s="36"/>
    </row>
    <row r="761" spans="1:12" x14ac:dyDescent="0.2">
      <c r="A761" s="36"/>
      <c r="B761" s="36"/>
      <c r="C761" s="36"/>
      <c r="D761" s="36"/>
      <c r="E761" s="36"/>
      <c r="L761" s="36"/>
    </row>
    <row r="762" spans="1:12" x14ac:dyDescent="0.2">
      <c r="A762" s="36"/>
      <c r="B762" s="36"/>
      <c r="C762" s="36"/>
      <c r="D762" s="36"/>
      <c r="E762" s="36"/>
      <c r="L762" s="36"/>
    </row>
    <row r="763" spans="1:12" x14ac:dyDescent="0.2">
      <c r="A763" s="36"/>
      <c r="B763" s="36"/>
      <c r="C763" s="36"/>
      <c r="D763" s="36"/>
      <c r="E763" s="36"/>
      <c r="L763" s="36"/>
    </row>
    <row r="764" spans="1:12" x14ac:dyDescent="0.2">
      <c r="A764" s="36"/>
      <c r="B764" s="36"/>
      <c r="C764" s="36"/>
      <c r="D764" s="36"/>
      <c r="E764" s="36"/>
      <c r="L764" s="36"/>
    </row>
    <row r="765" spans="1:12" x14ac:dyDescent="0.2">
      <c r="A765" s="36"/>
      <c r="B765" s="36"/>
      <c r="C765" s="36"/>
      <c r="D765" s="36"/>
      <c r="E765" s="36"/>
      <c r="L765" s="36"/>
    </row>
    <row r="766" spans="1:12" x14ac:dyDescent="0.2">
      <c r="A766" s="36"/>
      <c r="B766" s="36"/>
      <c r="C766" s="36"/>
      <c r="D766" s="36"/>
      <c r="E766" s="36"/>
      <c r="L766" s="36"/>
    </row>
    <row r="767" spans="1:12" x14ac:dyDescent="0.2">
      <c r="A767" s="36"/>
      <c r="B767" s="36"/>
      <c r="C767" s="36"/>
      <c r="D767" s="36"/>
      <c r="E767" s="36"/>
      <c r="L767" s="36"/>
    </row>
    <row r="768" spans="1:12" x14ac:dyDescent="0.2">
      <c r="A768" s="36"/>
      <c r="B768" s="36"/>
      <c r="C768" s="36"/>
      <c r="D768" s="36"/>
      <c r="E768" s="36"/>
      <c r="L768" s="36"/>
    </row>
    <row r="769" spans="1:12" x14ac:dyDescent="0.2">
      <c r="A769" s="36"/>
      <c r="B769" s="36"/>
      <c r="C769" s="36"/>
      <c r="D769" s="36"/>
      <c r="E769" s="36"/>
      <c r="L769" s="36"/>
    </row>
    <row r="770" spans="1:12" x14ac:dyDescent="0.2">
      <c r="A770" s="36"/>
      <c r="B770" s="36"/>
      <c r="C770" s="36"/>
      <c r="D770" s="36"/>
      <c r="E770" s="36"/>
      <c r="L770" s="36"/>
    </row>
    <row r="771" spans="1:12" x14ac:dyDescent="0.2">
      <c r="A771" s="36"/>
      <c r="B771" s="36"/>
      <c r="C771" s="36"/>
      <c r="D771" s="36"/>
      <c r="E771" s="36"/>
      <c r="L771" s="36"/>
    </row>
    <row r="772" spans="1:12" x14ac:dyDescent="0.2">
      <c r="A772" s="36"/>
      <c r="B772" s="36"/>
      <c r="C772" s="36"/>
      <c r="D772" s="36"/>
      <c r="E772" s="36"/>
      <c r="L772" s="36"/>
    </row>
    <row r="773" spans="1:12" x14ac:dyDescent="0.2">
      <c r="A773" s="36"/>
      <c r="B773" s="36"/>
      <c r="C773" s="36"/>
      <c r="D773" s="36"/>
      <c r="E773" s="36"/>
      <c r="L773" s="36"/>
    </row>
    <row r="774" spans="1:12" x14ac:dyDescent="0.2">
      <c r="A774" s="36"/>
      <c r="B774" s="36"/>
      <c r="C774" s="36"/>
      <c r="D774" s="36"/>
      <c r="E774" s="36"/>
      <c r="L774" s="36"/>
    </row>
    <row r="775" spans="1:12" x14ac:dyDescent="0.2">
      <c r="A775" s="36"/>
      <c r="B775" s="36"/>
      <c r="C775" s="36"/>
      <c r="D775" s="36"/>
      <c r="E775" s="36"/>
      <c r="L775" s="36"/>
    </row>
    <row r="776" spans="1:12" x14ac:dyDescent="0.2">
      <c r="A776" s="36"/>
      <c r="B776" s="36"/>
      <c r="C776" s="36"/>
      <c r="D776" s="36"/>
      <c r="E776" s="36"/>
      <c r="L776" s="36"/>
    </row>
    <row r="777" spans="1:12" x14ac:dyDescent="0.2">
      <c r="A777" s="36"/>
      <c r="B777" s="36"/>
      <c r="C777" s="36"/>
      <c r="D777" s="36"/>
      <c r="E777" s="36"/>
      <c r="L777" s="36"/>
    </row>
    <row r="778" spans="1:12" x14ac:dyDescent="0.2">
      <c r="A778" s="36"/>
      <c r="B778" s="36"/>
      <c r="C778" s="36"/>
      <c r="D778" s="36"/>
      <c r="E778" s="36"/>
      <c r="L778" s="36"/>
    </row>
    <row r="779" spans="1:12" x14ac:dyDescent="0.2">
      <c r="A779" s="36"/>
      <c r="B779" s="36"/>
      <c r="C779" s="36"/>
      <c r="D779" s="36"/>
      <c r="E779" s="36"/>
      <c r="L779" s="36"/>
    </row>
    <row r="780" spans="1:12" x14ac:dyDescent="0.2">
      <c r="A780" s="36"/>
      <c r="B780" s="36"/>
      <c r="C780" s="36"/>
      <c r="D780" s="36"/>
      <c r="E780" s="36"/>
      <c r="L780" s="36"/>
    </row>
    <row r="781" spans="1:12" x14ac:dyDescent="0.2">
      <c r="A781" s="36"/>
      <c r="B781" s="36"/>
      <c r="C781" s="36"/>
      <c r="D781" s="36"/>
      <c r="E781" s="36"/>
      <c r="L781" s="36"/>
    </row>
    <row r="782" spans="1:12" x14ac:dyDescent="0.2">
      <c r="A782" s="36"/>
      <c r="B782" s="36"/>
      <c r="C782" s="36"/>
      <c r="D782" s="36"/>
      <c r="E782" s="36"/>
      <c r="L782" s="36"/>
    </row>
    <row r="783" spans="1:12" x14ac:dyDescent="0.2">
      <c r="A783" s="36"/>
      <c r="B783" s="36"/>
      <c r="C783" s="36"/>
      <c r="D783" s="36"/>
      <c r="E783" s="36"/>
      <c r="L783" s="36"/>
    </row>
    <row r="784" spans="1:12" x14ac:dyDescent="0.2">
      <c r="A784" s="36"/>
      <c r="B784" s="36"/>
      <c r="C784" s="36"/>
      <c r="D784" s="36"/>
      <c r="E784" s="36"/>
      <c r="L784" s="36"/>
    </row>
    <row r="785" spans="1:12" x14ac:dyDescent="0.2">
      <c r="A785" s="36"/>
      <c r="B785" s="36"/>
      <c r="C785" s="36"/>
      <c r="D785" s="36"/>
      <c r="E785" s="36"/>
      <c r="L785" s="36"/>
    </row>
    <row r="786" spans="1:12" x14ac:dyDescent="0.2">
      <c r="A786" s="36"/>
      <c r="B786" s="36"/>
      <c r="C786" s="36"/>
      <c r="D786" s="36"/>
      <c r="E786" s="36"/>
      <c r="L786" s="36"/>
    </row>
    <row r="787" spans="1:12" x14ac:dyDescent="0.2">
      <c r="A787" s="36"/>
      <c r="B787" s="36"/>
      <c r="C787" s="36"/>
      <c r="D787" s="36"/>
      <c r="E787" s="36"/>
      <c r="L787" s="36"/>
    </row>
    <row r="788" spans="1:12" x14ac:dyDescent="0.2">
      <c r="A788" s="36"/>
      <c r="B788" s="36"/>
      <c r="C788" s="36"/>
      <c r="D788" s="36"/>
      <c r="E788" s="36"/>
      <c r="L788" s="36"/>
    </row>
    <row r="789" spans="1:12" x14ac:dyDescent="0.2">
      <c r="A789" s="36"/>
      <c r="B789" s="36"/>
      <c r="C789" s="36"/>
      <c r="D789" s="36"/>
      <c r="E789" s="36"/>
      <c r="L789" s="36"/>
    </row>
    <row r="790" spans="1:12" x14ac:dyDescent="0.2">
      <c r="A790" s="36"/>
      <c r="B790" s="36"/>
      <c r="C790" s="36"/>
      <c r="D790" s="36"/>
      <c r="E790" s="36"/>
      <c r="L790" s="36"/>
    </row>
    <row r="791" spans="1:12" x14ac:dyDescent="0.2">
      <c r="A791" s="36"/>
      <c r="B791" s="36"/>
      <c r="C791" s="36"/>
      <c r="D791" s="36"/>
      <c r="E791" s="36"/>
      <c r="L791" s="36"/>
    </row>
    <row r="792" spans="1:12" x14ac:dyDescent="0.2">
      <c r="A792" s="36"/>
      <c r="B792" s="36"/>
      <c r="C792" s="36"/>
      <c r="D792" s="36"/>
      <c r="E792" s="36"/>
      <c r="L792" s="36"/>
    </row>
    <row r="793" spans="1:12" x14ac:dyDescent="0.2">
      <c r="A793" s="36"/>
      <c r="B793" s="36"/>
      <c r="C793" s="36"/>
      <c r="D793" s="36"/>
      <c r="E793" s="36"/>
      <c r="L793" s="36"/>
    </row>
    <row r="794" spans="1:12" x14ac:dyDescent="0.2">
      <c r="A794" s="36"/>
      <c r="B794" s="36"/>
      <c r="C794" s="36"/>
      <c r="D794" s="36"/>
      <c r="E794" s="36"/>
      <c r="L794" s="36"/>
    </row>
    <row r="795" spans="1:12" x14ac:dyDescent="0.2">
      <c r="A795" s="36"/>
      <c r="B795" s="36"/>
      <c r="C795" s="36"/>
      <c r="D795" s="36"/>
      <c r="E795" s="36"/>
      <c r="L795" s="36"/>
    </row>
    <row r="796" spans="1:12" x14ac:dyDescent="0.2">
      <c r="A796" s="36"/>
      <c r="B796" s="36"/>
      <c r="C796" s="36"/>
      <c r="D796" s="36"/>
      <c r="E796" s="36"/>
      <c r="L796" s="36"/>
    </row>
    <row r="797" spans="1:12" x14ac:dyDescent="0.2">
      <c r="A797" s="36"/>
      <c r="B797" s="36"/>
      <c r="C797" s="36"/>
      <c r="D797" s="36"/>
      <c r="E797" s="36"/>
      <c r="L797" s="36"/>
    </row>
    <row r="798" spans="1:12" x14ac:dyDescent="0.2">
      <c r="A798" s="36"/>
      <c r="B798" s="36"/>
      <c r="C798" s="36"/>
      <c r="D798" s="36"/>
      <c r="E798" s="36"/>
      <c r="L798" s="36"/>
    </row>
    <row r="799" spans="1:12" x14ac:dyDescent="0.2">
      <c r="A799" s="36"/>
      <c r="B799" s="36"/>
      <c r="C799" s="36"/>
      <c r="D799" s="36"/>
      <c r="E799" s="36"/>
      <c r="L799" s="36"/>
    </row>
    <row r="800" spans="1:12" x14ac:dyDescent="0.2">
      <c r="A800" s="36"/>
      <c r="B800" s="36"/>
      <c r="C800" s="36"/>
      <c r="D800" s="36"/>
      <c r="E800" s="36"/>
      <c r="L800" s="36"/>
    </row>
    <row r="801" spans="1:12" x14ac:dyDescent="0.2">
      <c r="A801" s="36"/>
      <c r="B801" s="36"/>
      <c r="C801" s="36"/>
      <c r="D801" s="36"/>
      <c r="E801" s="36"/>
      <c r="L801" s="36"/>
    </row>
    <row r="802" spans="1:12" x14ac:dyDescent="0.2">
      <c r="A802" s="36"/>
      <c r="B802" s="36"/>
      <c r="C802" s="36"/>
      <c r="D802" s="36"/>
      <c r="E802" s="36"/>
      <c r="L802" s="36"/>
    </row>
    <row r="803" spans="1:12" x14ac:dyDescent="0.2">
      <c r="A803" s="36"/>
      <c r="B803" s="36"/>
      <c r="C803" s="36"/>
      <c r="D803" s="36"/>
      <c r="E803" s="36"/>
      <c r="L803" s="36"/>
    </row>
    <row r="804" spans="1:12" x14ac:dyDescent="0.2">
      <c r="A804" s="36"/>
      <c r="B804" s="36"/>
      <c r="C804" s="36"/>
      <c r="D804" s="36"/>
      <c r="E804" s="36"/>
      <c r="L804" s="36"/>
    </row>
    <row r="805" spans="1:12" x14ac:dyDescent="0.2">
      <c r="A805" s="36"/>
      <c r="B805" s="36"/>
      <c r="C805" s="36"/>
      <c r="D805" s="36"/>
      <c r="E805" s="36"/>
      <c r="L805" s="36"/>
    </row>
    <row r="806" spans="1:12" x14ac:dyDescent="0.2">
      <c r="A806" s="36"/>
      <c r="B806" s="36"/>
      <c r="C806" s="36"/>
      <c r="D806" s="36"/>
      <c r="E806" s="36"/>
      <c r="L806" s="36"/>
    </row>
    <row r="807" spans="1:12" x14ac:dyDescent="0.2">
      <c r="A807" s="36"/>
      <c r="B807" s="36"/>
      <c r="C807" s="36"/>
      <c r="D807" s="36"/>
      <c r="E807" s="36"/>
      <c r="L807" s="36"/>
    </row>
    <row r="808" spans="1:12" x14ac:dyDescent="0.2">
      <c r="A808" s="36"/>
      <c r="B808" s="36"/>
      <c r="C808" s="36"/>
      <c r="D808" s="36"/>
      <c r="E808" s="36"/>
      <c r="L808" s="36"/>
    </row>
    <row r="809" spans="1:12" x14ac:dyDescent="0.2">
      <c r="A809" s="36"/>
      <c r="B809" s="36"/>
      <c r="C809" s="36"/>
      <c r="D809" s="36"/>
      <c r="E809" s="36"/>
      <c r="L809" s="36"/>
    </row>
    <row r="810" spans="1:12" x14ac:dyDescent="0.2">
      <c r="A810" s="36"/>
      <c r="B810" s="36"/>
      <c r="C810" s="36"/>
      <c r="D810" s="36"/>
      <c r="E810" s="36"/>
      <c r="L810" s="36"/>
    </row>
    <row r="811" spans="1:12" x14ac:dyDescent="0.2">
      <c r="A811" s="36"/>
      <c r="B811" s="36"/>
      <c r="C811" s="36"/>
      <c r="D811" s="36"/>
      <c r="E811" s="36"/>
      <c r="L811" s="36"/>
    </row>
    <row r="812" spans="1:12" x14ac:dyDescent="0.2">
      <c r="A812" s="36"/>
      <c r="B812" s="36"/>
      <c r="C812" s="36"/>
      <c r="D812" s="36"/>
      <c r="E812" s="36"/>
      <c r="L812" s="36"/>
    </row>
    <row r="813" spans="1:12" x14ac:dyDescent="0.2">
      <c r="A813" s="36"/>
      <c r="B813" s="36"/>
      <c r="C813" s="36"/>
      <c r="D813" s="36"/>
      <c r="E813" s="36"/>
      <c r="L813" s="36"/>
    </row>
    <row r="814" spans="1:12" x14ac:dyDescent="0.2">
      <c r="A814" s="36"/>
      <c r="B814" s="36"/>
      <c r="C814" s="36"/>
      <c r="D814" s="36"/>
      <c r="E814" s="36"/>
      <c r="L814" s="36"/>
    </row>
    <row r="815" spans="1:12" x14ac:dyDescent="0.2">
      <c r="A815" s="36"/>
      <c r="B815" s="36"/>
      <c r="C815" s="36"/>
      <c r="D815" s="36"/>
      <c r="E815" s="36"/>
      <c r="L815" s="36"/>
    </row>
    <row r="816" spans="1:12" x14ac:dyDescent="0.2">
      <c r="A816" s="36"/>
      <c r="B816" s="36"/>
      <c r="C816" s="36"/>
      <c r="D816" s="36"/>
      <c r="E816" s="36"/>
      <c r="L816" s="36"/>
    </row>
    <row r="817" spans="1:12" x14ac:dyDescent="0.2">
      <c r="A817" s="36"/>
      <c r="B817" s="36"/>
      <c r="C817" s="36"/>
      <c r="D817" s="36"/>
      <c r="E817" s="36"/>
      <c r="L817" s="36"/>
    </row>
    <row r="818" spans="1:12" x14ac:dyDescent="0.2">
      <c r="A818" s="36"/>
      <c r="B818" s="36"/>
      <c r="C818" s="36"/>
      <c r="D818" s="36"/>
      <c r="E818" s="36"/>
      <c r="L818" s="36"/>
    </row>
    <row r="819" spans="1:12" x14ac:dyDescent="0.2">
      <c r="A819" s="36"/>
      <c r="B819" s="36"/>
      <c r="C819" s="36"/>
      <c r="D819" s="36"/>
      <c r="E819" s="36"/>
      <c r="L819" s="36"/>
    </row>
    <row r="820" spans="1:12" x14ac:dyDescent="0.2">
      <c r="A820" s="36"/>
      <c r="B820" s="36"/>
      <c r="C820" s="36"/>
      <c r="D820" s="36"/>
      <c r="E820" s="36"/>
      <c r="L820" s="36"/>
    </row>
    <row r="821" spans="1:12" x14ac:dyDescent="0.2">
      <c r="A821" s="36"/>
      <c r="B821" s="36"/>
      <c r="C821" s="36"/>
      <c r="D821" s="36"/>
      <c r="E821" s="36"/>
      <c r="L821" s="36"/>
    </row>
    <row r="822" spans="1:12" x14ac:dyDescent="0.2">
      <c r="A822" s="36"/>
      <c r="B822" s="36"/>
      <c r="C822" s="36"/>
      <c r="D822" s="36"/>
      <c r="E822" s="36"/>
      <c r="L822" s="36"/>
    </row>
    <row r="823" spans="1:12" x14ac:dyDescent="0.2">
      <c r="A823" s="36"/>
      <c r="B823" s="36"/>
      <c r="C823" s="36"/>
      <c r="D823" s="36"/>
      <c r="E823" s="36"/>
      <c r="L823" s="36"/>
    </row>
    <row r="824" spans="1:12" x14ac:dyDescent="0.2">
      <c r="A824" s="36"/>
      <c r="B824" s="36"/>
      <c r="C824" s="36"/>
      <c r="D824" s="36"/>
      <c r="E824" s="36"/>
      <c r="L824" s="36"/>
    </row>
    <row r="825" spans="1:12" x14ac:dyDescent="0.2">
      <c r="A825" s="36"/>
      <c r="B825" s="36"/>
      <c r="C825" s="36"/>
      <c r="D825" s="36"/>
      <c r="E825" s="36"/>
      <c r="L825" s="36"/>
    </row>
    <row r="826" spans="1:12" x14ac:dyDescent="0.2">
      <c r="A826" s="36"/>
      <c r="B826" s="36"/>
      <c r="C826" s="36"/>
      <c r="D826" s="36"/>
      <c r="E826" s="36"/>
      <c r="L826" s="36"/>
    </row>
    <row r="827" spans="1:12" x14ac:dyDescent="0.2">
      <c r="A827" s="36"/>
      <c r="B827" s="36"/>
      <c r="C827" s="36"/>
      <c r="D827" s="36"/>
      <c r="E827" s="36"/>
      <c r="L827" s="36"/>
    </row>
    <row r="828" spans="1:12" x14ac:dyDescent="0.2">
      <c r="A828" s="36"/>
      <c r="B828" s="36"/>
      <c r="C828" s="36"/>
      <c r="D828" s="36"/>
      <c r="E828" s="36"/>
      <c r="L828" s="36"/>
    </row>
    <row r="829" spans="1:12" x14ac:dyDescent="0.2">
      <c r="A829" s="36"/>
      <c r="B829" s="36"/>
      <c r="C829" s="36"/>
      <c r="D829" s="36"/>
      <c r="E829" s="36"/>
      <c r="L829" s="36"/>
    </row>
    <row r="830" spans="1:12" x14ac:dyDescent="0.2">
      <c r="A830" s="36"/>
      <c r="B830" s="36"/>
      <c r="C830" s="36"/>
      <c r="D830" s="36"/>
      <c r="E830" s="36"/>
      <c r="L830" s="36"/>
    </row>
    <row r="831" spans="1:12" x14ac:dyDescent="0.2">
      <c r="A831" s="36"/>
      <c r="B831" s="36"/>
      <c r="C831" s="36"/>
      <c r="D831" s="36"/>
      <c r="E831" s="36"/>
      <c r="L831" s="36"/>
    </row>
    <row r="832" spans="1:12" x14ac:dyDescent="0.2">
      <c r="A832" s="36"/>
      <c r="B832" s="36"/>
      <c r="C832" s="36"/>
      <c r="D832" s="36"/>
      <c r="E832" s="36"/>
      <c r="L832" s="36"/>
    </row>
    <row r="833" spans="1:12" x14ac:dyDescent="0.2">
      <c r="A833" s="36"/>
      <c r="B833" s="36"/>
      <c r="C833" s="36"/>
      <c r="D833" s="36"/>
      <c r="E833" s="36"/>
      <c r="L833" s="36"/>
    </row>
    <row r="834" spans="1:12" x14ac:dyDescent="0.2">
      <c r="A834" s="36"/>
      <c r="B834" s="36"/>
      <c r="C834" s="36"/>
      <c r="D834" s="36"/>
      <c r="E834" s="36"/>
      <c r="L834" s="36"/>
    </row>
    <row r="835" spans="1:12" x14ac:dyDescent="0.2">
      <c r="A835" s="36"/>
      <c r="B835" s="36"/>
      <c r="C835" s="36"/>
      <c r="D835" s="36"/>
      <c r="E835" s="36"/>
      <c r="L835" s="36"/>
    </row>
    <row r="836" spans="1:12" x14ac:dyDescent="0.2">
      <c r="A836" s="36"/>
      <c r="B836" s="36"/>
      <c r="C836" s="36"/>
      <c r="D836" s="36"/>
      <c r="E836" s="36"/>
      <c r="L836" s="36"/>
    </row>
    <row r="837" spans="1:12" x14ac:dyDescent="0.2">
      <c r="A837" s="36"/>
      <c r="B837" s="36"/>
      <c r="C837" s="36"/>
      <c r="D837" s="36"/>
      <c r="E837" s="36"/>
      <c r="L837" s="36"/>
    </row>
    <row r="838" spans="1:12" x14ac:dyDescent="0.2">
      <c r="A838" s="36"/>
      <c r="B838" s="36"/>
      <c r="C838" s="36"/>
      <c r="D838" s="36"/>
      <c r="E838" s="36"/>
      <c r="L838" s="36"/>
    </row>
    <row r="839" spans="1:12" x14ac:dyDescent="0.2">
      <c r="A839" s="36"/>
      <c r="B839" s="36"/>
      <c r="C839" s="36"/>
      <c r="D839" s="36"/>
      <c r="E839" s="36"/>
      <c r="L839" s="36"/>
    </row>
    <row r="840" spans="1:12" x14ac:dyDescent="0.2">
      <c r="A840" s="36"/>
      <c r="B840" s="36"/>
      <c r="C840" s="36"/>
      <c r="D840" s="36"/>
      <c r="E840" s="36"/>
      <c r="L840" s="36"/>
    </row>
    <row r="841" spans="1:12" x14ac:dyDescent="0.2">
      <c r="A841" s="36"/>
      <c r="B841" s="36"/>
      <c r="C841" s="36"/>
      <c r="D841" s="36"/>
      <c r="E841" s="36"/>
      <c r="L841" s="36"/>
    </row>
    <row r="842" spans="1:12" x14ac:dyDescent="0.2">
      <c r="A842" s="36"/>
      <c r="B842" s="36"/>
      <c r="C842" s="36"/>
      <c r="D842" s="36"/>
      <c r="E842" s="36"/>
      <c r="L842" s="36"/>
    </row>
    <row r="843" spans="1:12" x14ac:dyDescent="0.2">
      <c r="A843" s="36"/>
      <c r="B843" s="36"/>
      <c r="C843" s="36"/>
      <c r="D843" s="36"/>
      <c r="E843" s="36"/>
      <c r="L843" s="36"/>
    </row>
    <row r="844" spans="1:12" x14ac:dyDescent="0.2">
      <c r="A844" s="36"/>
      <c r="B844" s="36"/>
      <c r="C844" s="36"/>
      <c r="D844" s="36"/>
      <c r="E844" s="36"/>
      <c r="L844" s="36"/>
    </row>
    <row r="845" spans="1:12" x14ac:dyDescent="0.2">
      <c r="A845" s="36"/>
      <c r="B845" s="36"/>
      <c r="C845" s="36"/>
      <c r="D845" s="36"/>
      <c r="E845" s="36"/>
      <c r="L845" s="36"/>
    </row>
    <row r="846" spans="1:12" x14ac:dyDescent="0.2">
      <c r="A846" s="36"/>
      <c r="B846" s="36"/>
      <c r="C846" s="36"/>
      <c r="D846" s="36"/>
      <c r="E846" s="36"/>
      <c r="L846" s="36"/>
    </row>
    <row r="847" spans="1:12" x14ac:dyDescent="0.2">
      <c r="A847" s="36"/>
      <c r="B847" s="36"/>
      <c r="C847" s="36"/>
      <c r="D847" s="36"/>
      <c r="E847" s="36"/>
      <c r="L847" s="36"/>
    </row>
    <row r="848" spans="1:12" x14ac:dyDescent="0.2">
      <c r="A848" s="36"/>
      <c r="B848" s="36"/>
      <c r="C848" s="36"/>
      <c r="D848" s="36"/>
      <c r="E848" s="36"/>
      <c r="L848" s="36"/>
    </row>
    <row r="849" spans="1:12" x14ac:dyDescent="0.2">
      <c r="A849" s="36"/>
      <c r="B849" s="36"/>
      <c r="C849" s="36"/>
      <c r="D849" s="36"/>
      <c r="E849" s="36"/>
      <c r="L849" s="36"/>
    </row>
    <row r="850" spans="1:12" x14ac:dyDescent="0.2">
      <c r="A850" s="36"/>
      <c r="B850" s="36"/>
      <c r="C850" s="36"/>
      <c r="D850" s="36"/>
      <c r="E850" s="36"/>
      <c r="L850" s="36"/>
    </row>
    <row r="851" spans="1:12" x14ac:dyDescent="0.2">
      <c r="A851" s="36"/>
      <c r="B851" s="36"/>
      <c r="C851" s="36"/>
      <c r="D851" s="36"/>
      <c r="E851" s="36"/>
      <c r="L851" s="36"/>
    </row>
    <row r="852" spans="1:12" x14ac:dyDescent="0.2">
      <c r="A852" s="36"/>
      <c r="B852" s="36"/>
      <c r="C852" s="36"/>
      <c r="D852" s="36"/>
      <c r="E852" s="36"/>
      <c r="L852" s="36"/>
    </row>
    <row r="853" spans="1:12" x14ac:dyDescent="0.2">
      <c r="A853" s="36"/>
      <c r="B853" s="36"/>
      <c r="C853" s="36"/>
      <c r="D853" s="36"/>
      <c r="E853" s="36"/>
      <c r="L853" s="36"/>
    </row>
    <row r="854" spans="1:12" x14ac:dyDescent="0.2">
      <c r="A854" s="36"/>
      <c r="B854" s="36"/>
      <c r="C854" s="36"/>
      <c r="D854" s="36"/>
      <c r="E854" s="36"/>
      <c r="L854" s="36"/>
    </row>
    <row r="855" spans="1:12" x14ac:dyDescent="0.2">
      <c r="A855" s="36"/>
      <c r="B855" s="36"/>
      <c r="C855" s="36"/>
      <c r="D855" s="36"/>
      <c r="E855" s="36"/>
      <c r="L855" s="36"/>
    </row>
    <row r="856" spans="1:12" x14ac:dyDescent="0.2">
      <c r="A856" s="36"/>
      <c r="B856" s="36"/>
      <c r="C856" s="36"/>
      <c r="D856" s="36"/>
      <c r="E856" s="36"/>
      <c r="L856" s="36"/>
    </row>
    <row r="857" spans="1:12" x14ac:dyDescent="0.2">
      <c r="A857" s="36"/>
      <c r="B857" s="36"/>
      <c r="C857" s="36"/>
      <c r="D857" s="36"/>
      <c r="E857" s="36"/>
      <c r="L857" s="36"/>
    </row>
    <row r="858" spans="1:12" x14ac:dyDescent="0.2">
      <c r="A858" s="36"/>
      <c r="B858" s="36"/>
      <c r="C858" s="36"/>
      <c r="D858" s="36"/>
      <c r="E858" s="36"/>
      <c r="L858" s="36"/>
    </row>
    <row r="859" spans="1:12" x14ac:dyDescent="0.2">
      <c r="A859" s="36"/>
      <c r="B859" s="36"/>
      <c r="C859" s="36"/>
      <c r="D859" s="36"/>
      <c r="E859" s="36"/>
      <c r="L859" s="36"/>
    </row>
    <row r="860" spans="1:12" x14ac:dyDescent="0.2">
      <c r="A860" s="36"/>
      <c r="B860" s="36"/>
      <c r="C860" s="36"/>
      <c r="D860" s="36"/>
      <c r="E860" s="36"/>
      <c r="L860" s="36"/>
    </row>
    <row r="861" spans="1:12" x14ac:dyDescent="0.2">
      <c r="A861" s="36"/>
      <c r="B861" s="36"/>
      <c r="C861" s="36"/>
      <c r="D861" s="36"/>
      <c r="E861" s="36"/>
      <c r="L861" s="36"/>
    </row>
    <row r="862" spans="1:12" x14ac:dyDescent="0.2">
      <c r="A862" s="36"/>
      <c r="B862" s="36"/>
      <c r="C862" s="36"/>
      <c r="D862" s="36"/>
      <c r="E862" s="36"/>
      <c r="L862" s="36"/>
    </row>
    <row r="863" spans="1:12" x14ac:dyDescent="0.2">
      <c r="A863" s="36"/>
      <c r="B863" s="36"/>
      <c r="C863" s="36"/>
      <c r="D863" s="36"/>
      <c r="E863" s="36"/>
      <c r="L863" s="36"/>
    </row>
    <row r="864" spans="1:12" x14ac:dyDescent="0.2">
      <c r="A864" s="36"/>
      <c r="B864" s="36"/>
      <c r="C864" s="36"/>
      <c r="D864" s="36"/>
      <c r="E864" s="36"/>
      <c r="L864" s="36"/>
    </row>
    <row r="865" spans="1:12" x14ac:dyDescent="0.2">
      <c r="A865" s="36"/>
      <c r="B865" s="36"/>
      <c r="C865" s="36"/>
      <c r="D865" s="36"/>
      <c r="E865" s="36"/>
      <c r="L865" s="36"/>
    </row>
    <row r="866" spans="1:12" x14ac:dyDescent="0.2">
      <c r="A866" s="36"/>
      <c r="B866" s="36"/>
      <c r="C866" s="36"/>
      <c r="D866" s="36"/>
      <c r="E866" s="36"/>
      <c r="L866" s="36"/>
    </row>
    <row r="867" spans="1:12" x14ac:dyDescent="0.2">
      <c r="A867" s="36"/>
      <c r="B867" s="36"/>
      <c r="C867" s="36"/>
      <c r="D867" s="36"/>
      <c r="E867" s="36"/>
      <c r="L867" s="36"/>
    </row>
    <row r="868" spans="1:12" x14ac:dyDescent="0.2">
      <c r="A868" s="36"/>
      <c r="B868" s="36"/>
      <c r="C868" s="36"/>
      <c r="D868" s="36"/>
      <c r="E868" s="36"/>
      <c r="L868" s="36"/>
    </row>
    <row r="869" spans="1:12" x14ac:dyDescent="0.2">
      <c r="A869" s="36"/>
      <c r="B869" s="36"/>
      <c r="C869" s="36"/>
      <c r="D869" s="36"/>
      <c r="E869" s="36"/>
      <c r="L869" s="36"/>
    </row>
    <row r="870" spans="1:12" x14ac:dyDescent="0.2">
      <c r="A870" s="36"/>
      <c r="B870" s="36"/>
      <c r="C870" s="36"/>
      <c r="D870" s="36"/>
      <c r="E870" s="36"/>
      <c r="L870" s="36"/>
    </row>
    <row r="871" spans="1:12" x14ac:dyDescent="0.2">
      <c r="A871" s="36"/>
      <c r="B871" s="36"/>
      <c r="C871" s="36"/>
      <c r="D871" s="36"/>
      <c r="E871" s="36"/>
      <c r="L871" s="36"/>
    </row>
    <row r="872" spans="1:12" x14ac:dyDescent="0.2">
      <c r="A872" s="36"/>
      <c r="B872" s="36"/>
      <c r="C872" s="36"/>
      <c r="D872" s="36"/>
      <c r="E872" s="36"/>
      <c r="L872" s="36"/>
    </row>
    <row r="873" spans="1:12" x14ac:dyDescent="0.2">
      <c r="A873" s="36"/>
      <c r="B873" s="36"/>
      <c r="C873" s="36"/>
      <c r="D873" s="36"/>
      <c r="E873" s="36"/>
      <c r="L873" s="36"/>
    </row>
    <row r="874" spans="1:12" x14ac:dyDescent="0.2">
      <c r="A874" s="36"/>
      <c r="B874" s="36"/>
      <c r="C874" s="36"/>
      <c r="D874" s="36"/>
      <c r="E874" s="36"/>
      <c r="L874" s="36"/>
    </row>
    <row r="875" spans="1:12" x14ac:dyDescent="0.2">
      <c r="A875" s="36"/>
      <c r="B875" s="36"/>
      <c r="C875" s="36"/>
      <c r="D875" s="36"/>
      <c r="E875" s="36"/>
      <c r="L875" s="36"/>
    </row>
    <row r="876" spans="1:12" x14ac:dyDescent="0.2">
      <c r="A876" s="36"/>
      <c r="B876" s="36"/>
      <c r="C876" s="36"/>
      <c r="D876" s="36"/>
      <c r="E876" s="36"/>
      <c r="L876" s="36"/>
    </row>
    <row r="877" spans="1:12" x14ac:dyDescent="0.2">
      <c r="A877" s="36"/>
      <c r="B877" s="36"/>
      <c r="C877" s="36"/>
      <c r="D877" s="36"/>
      <c r="E877" s="36"/>
      <c r="L877" s="36"/>
    </row>
    <row r="878" spans="1:12" x14ac:dyDescent="0.2">
      <c r="A878" s="36"/>
      <c r="B878" s="36"/>
      <c r="C878" s="36"/>
      <c r="D878" s="36"/>
      <c r="E878" s="36"/>
      <c r="L878" s="36"/>
    </row>
    <row r="879" spans="1:12" x14ac:dyDescent="0.2">
      <c r="A879" s="36"/>
      <c r="B879" s="36"/>
      <c r="C879" s="36"/>
      <c r="D879" s="36"/>
      <c r="E879" s="36"/>
      <c r="L879" s="36"/>
    </row>
    <row r="880" spans="1:12" x14ac:dyDescent="0.2">
      <c r="A880" s="36"/>
      <c r="B880" s="36"/>
      <c r="C880" s="36"/>
      <c r="D880" s="36"/>
      <c r="E880" s="36"/>
      <c r="L880" s="36"/>
    </row>
    <row r="881" spans="1:12" x14ac:dyDescent="0.2">
      <c r="A881" s="36"/>
      <c r="B881" s="36"/>
      <c r="C881" s="36"/>
      <c r="D881" s="36"/>
      <c r="E881" s="36"/>
      <c r="L881" s="36"/>
    </row>
    <row r="882" spans="1:12" x14ac:dyDescent="0.2">
      <c r="A882" s="36"/>
      <c r="B882" s="36"/>
      <c r="C882" s="36"/>
      <c r="D882" s="36"/>
      <c r="E882" s="36"/>
      <c r="L882" s="36"/>
    </row>
    <row r="883" spans="1:12" x14ac:dyDescent="0.2">
      <c r="A883" s="36"/>
      <c r="B883" s="36"/>
      <c r="C883" s="36"/>
      <c r="D883" s="36"/>
      <c r="E883" s="36"/>
      <c r="L883" s="36"/>
    </row>
    <row r="884" spans="1:12" x14ac:dyDescent="0.2">
      <c r="A884" s="36"/>
      <c r="B884" s="36"/>
      <c r="C884" s="36"/>
      <c r="D884" s="36"/>
      <c r="E884" s="36"/>
      <c r="L884" s="36"/>
    </row>
    <row r="885" spans="1:12" x14ac:dyDescent="0.2">
      <c r="A885" s="36"/>
      <c r="B885" s="36"/>
      <c r="C885" s="36"/>
      <c r="D885" s="36"/>
      <c r="E885" s="36"/>
      <c r="L885" s="36"/>
    </row>
    <row r="886" spans="1:12" x14ac:dyDescent="0.2">
      <c r="A886" s="36"/>
      <c r="B886" s="36"/>
      <c r="C886" s="36"/>
      <c r="D886" s="36"/>
      <c r="E886" s="36"/>
      <c r="L886" s="36"/>
    </row>
    <row r="887" spans="1:12" x14ac:dyDescent="0.2">
      <c r="A887" s="36"/>
      <c r="B887" s="36"/>
      <c r="C887" s="36"/>
      <c r="D887" s="36"/>
      <c r="E887" s="36"/>
      <c r="L887" s="36"/>
    </row>
    <row r="888" spans="1:12" x14ac:dyDescent="0.2">
      <c r="A888" s="36"/>
      <c r="B888" s="36"/>
      <c r="C888" s="36"/>
      <c r="D888" s="36"/>
      <c r="E888" s="36"/>
      <c r="L888" s="36"/>
    </row>
    <row r="889" spans="1:12" x14ac:dyDescent="0.2">
      <c r="A889" s="36"/>
      <c r="B889" s="36"/>
      <c r="C889" s="36"/>
      <c r="D889" s="36"/>
      <c r="E889" s="36"/>
      <c r="L889" s="36"/>
    </row>
    <row r="890" spans="1:12" x14ac:dyDescent="0.2">
      <c r="A890" s="36"/>
      <c r="B890" s="36"/>
      <c r="C890" s="36"/>
      <c r="D890" s="36"/>
      <c r="E890" s="36"/>
      <c r="L890" s="36"/>
    </row>
    <row r="891" spans="1:12" x14ac:dyDescent="0.2">
      <c r="A891" s="36"/>
      <c r="B891" s="36"/>
      <c r="C891" s="36"/>
      <c r="D891" s="36"/>
      <c r="E891" s="36"/>
      <c r="L891" s="36"/>
    </row>
    <row r="892" spans="1:12" x14ac:dyDescent="0.2">
      <c r="A892" s="36"/>
      <c r="B892" s="36"/>
      <c r="C892" s="36"/>
      <c r="D892" s="36"/>
      <c r="E892" s="36"/>
      <c r="L892" s="36"/>
    </row>
    <row r="893" spans="1:12" x14ac:dyDescent="0.2">
      <c r="A893" s="36"/>
      <c r="B893" s="36"/>
      <c r="C893" s="36"/>
      <c r="D893" s="36"/>
      <c r="E893" s="36"/>
      <c r="L893" s="36"/>
    </row>
    <row r="894" spans="1:12" x14ac:dyDescent="0.2">
      <c r="A894" s="36"/>
      <c r="B894" s="36"/>
      <c r="C894" s="36"/>
      <c r="D894" s="36"/>
      <c r="E894" s="36"/>
      <c r="L894" s="36"/>
    </row>
    <row r="895" spans="1:12" x14ac:dyDescent="0.2">
      <c r="A895" s="36"/>
      <c r="B895" s="36"/>
      <c r="C895" s="36"/>
      <c r="D895" s="36"/>
      <c r="E895" s="36"/>
      <c r="L895" s="36"/>
    </row>
    <row r="896" spans="1:12" x14ac:dyDescent="0.2">
      <c r="A896" s="36"/>
      <c r="B896" s="36"/>
      <c r="C896" s="36"/>
      <c r="D896" s="36"/>
      <c r="E896" s="36"/>
      <c r="L896" s="36"/>
    </row>
    <row r="897" spans="1:12" x14ac:dyDescent="0.2">
      <c r="A897" s="36"/>
      <c r="B897" s="36"/>
      <c r="C897" s="36"/>
      <c r="D897" s="36"/>
      <c r="E897" s="36"/>
      <c r="L897" s="36"/>
    </row>
    <row r="898" spans="1:12" x14ac:dyDescent="0.2">
      <c r="A898" s="36"/>
      <c r="B898" s="36"/>
      <c r="C898" s="36"/>
      <c r="D898" s="36"/>
      <c r="E898" s="36"/>
      <c r="L898" s="36"/>
    </row>
    <row r="899" spans="1:12" x14ac:dyDescent="0.2">
      <c r="A899" s="36"/>
      <c r="B899" s="36"/>
      <c r="C899" s="36"/>
      <c r="D899" s="36"/>
      <c r="E899" s="36"/>
      <c r="L899" s="36"/>
    </row>
    <row r="900" spans="1:12" x14ac:dyDescent="0.2">
      <c r="A900" s="36"/>
      <c r="B900" s="36"/>
      <c r="C900" s="36"/>
      <c r="D900" s="36"/>
      <c r="E900" s="36"/>
      <c r="L900" s="36"/>
    </row>
    <row r="901" spans="1:12" x14ac:dyDescent="0.2">
      <c r="A901" s="36"/>
      <c r="B901" s="36"/>
      <c r="C901" s="36"/>
      <c r="D901" s="36"/>
      <c r="E901" s="36"/>
      <c r="L901" s="36"/>
    </row>
    <row r="902" spans="1:12" x14ac:dyDescent="0.2">
      <c r="A902" s="36"/>
      <c r="B902" s="36"/>
      <c r="C902" s="36"/>
      <c r="D902" s="36"/>
      <c r="E902" s="36"/>
      <c r="L902" s="36"/>
    </row>
    <row r="903" spans="1:12" x14ac:dyDescent="0.2">
      <c r="A903" s="36"/>
      <c r="B903" s="36"/>
      <c r="C903" s="36"/>
      <c r="D903" s="36"/>
      <c r="E903" s="36"/>
      <c r="L903" s="36"/>
    </row>
    <row r="904" spans="1:12" x14ac:dyDescent="0.2">
      <c r="A904" s="36"/>
      <c r="B904" s="36"/>
      <c r="C904" s="36"/>
      <c r="D904" s="36"/>
      <c r="E904" s="36"/>
      <c r="L904" s="36"/>
    </row>
    <row r="905" spans="1:12" x14ac:dyDescent="0.2">
      <c r="A905" s="36"/>
      <c r="B905" s="36"/>
      <c r="C905" s="36"/>
      <c r="D905" s="36"/>
      <c r="E905" s="36"/>
      <c r="L905" s="36"/>
    </row>
    <row r="906" spans="1:12" x14ac:dyDescent="0.2">
      <c r="A906" s="36"/>
      <c r="B906" s="36"/>
      <c r="C906" s="36"/>
      <c r="D906" s="36"/>
      <c r="E906" s="36"/>
      <c r="L906" s="36"/>
    </row>
    <row r="907" spans="1:12" x14ac:dyDescent="0.2">
      <c r="A907" s="36"/>
      <c r="B907" s="36"/>
      <c r="C907" s="36"/>
      <c r="D907" s="36"/>
      <c r="E907" s="36"/>
      <c r="L907" s="36"/>
    </row>
    <row r="908" spans="1:12" x14ac:dyDescent="0.2">
      <c r="A908" s="36"/>
      <c r="B908" s="36"/>
      <c r="C908" s="36"/>
      <c r="D908" s="36"/>
      <c r="E908" s="36"/>
      <c r="L908" s="36"/>
    </row>
    <row r="909" spans="1:12" x14ac:dyDescent="0.2">
      <c r="A909" s="36"/>
      <c r="B909" s="36"/>
      <c r="C909" s="36"/>
      <c r="D909" s="36"/>
      <c r="E909" s="36"/>
      <c r="L909" s="36"/>
    </row>
    <row r="910" spans="1:12" x14ac:dyDescent="0.2">
      <c r="A910" s="36"/>
      <c r="B910" s="36"/>
      <c r="C910" s="36"/>
      <c r="D910" s="36"/>
      <c r="E910" s="36"/>
      <c r="L910" s="36"/>
    </row>
    <row r="911" spans="1:12" x14ac:dyDescent="0.2">
      <c r="A911" s="36"/>
      <c r="B911" s="36"/>
      <c r="C911" s="36"/>
      <c r="D911" s="36"/>
      <c r="E911" s="36"/>
      <c r="L911" s="36"/>
    </row>
    <row r="912" spans="1:12" x14ac:dyDescent="0.2">
      <c r="A912" s="36"/>
      <c r="B912" s="36"/>
      <c r="C912" s="36"/>
      <c r="D912" s="36"/>
      <c r="E912" s="36"/>
      <c r="L912" s="36"/>
    </row>
    <row r="913" spans="1:12" x14ac:dyDescent="0.2">
      <c r="A913" s="36"/>
      <c r="B913" s="36"/>
      <c r="C913" s="36"/>
      <c r="D913" s="36"/>
      <c r="E913" s="36"/>
      <c r="L913" s="36"/>
    </row>
    <row r="914" spans="1:12" x14ac:dyDescent="0.2">
      <c r="A914" s="36"/>
      <c r="B914" s="36"/>
      <c r="C914" s="36"/>
      <c r="D914" s="36"/>
      <c r="E914" s="36"/>
      <c r="L914" s="36"/>
    </row>
    <row r="915" spans="1:12" x14ac:dyDescent="0.2">
      <c r="A915" s="36"/>
      <c r="B915" s="36"/>
      <c r="C915" s="36"/>
      <c r="D915" s="36"/>
      <c r="E915" s="36"/>
      <c r="L915" s="36"/>
    </row>
    <row r="916" spans="1:12" x14ac:dyDescent="0.2">
      <c r="A916" s="36"/>
      <c r="B916" s="36"/>
      <c r="C916" s="36"/>
      <c r="D916" s="36"/>
      <c r="E916" s="36"/>
      <c r="L916" s="36"/>
    </row>
    <row r="917" spans="1:12" x14ac:dyDescent="0.2">
      <c r="A917" s="36"/>
      <c r="B917" s="36"/>
      <c r="C917" s="36"/>
      <c r="D917" s="36"/>
      <c r="E917" s="36"/>
      <c r="L917" s="36"/>
    </row>
    <row r="918" spans="1:12" x14ac:dyDescent="0.2">
      <c r="A918" s="36"/>
      <c r="B918" s="36"/>
      <c r="C918" s="36"/>
      <c r="D918" s="36"/>
      <c r="E918" s="36"/>
      <c r="L918" s="36"/>
    </row>
    <row r="919" spans="1:12" x14ac:dyDescent="0.2">
      <c r="A919" s="36"/>
      <c r="B919" s="36"/>
      <c r="C919" s="36"/>
      <c r="D919" s="36"/>
      <c r="E919" s="36"/>
      <c r="L919" s="36"/>
    </row>
    <row r="920" spans="1:12" x14ac:dyDescent="0.2">
      <c r="A920" s="36"/>
      <c r="B920" s="36"/>
      <c r="C920" s="36"/>
      <c r="D920" s="36"/>
      <c r="E920" s="36"/>
      <c r="L920" s="36"/>
    </row>
    <row r="921" spans="1:12" x14ac:dyDescent="0.2">
      <c r="A921" s="36"/>
      <c r="B921" s="36"/>
      <c r="C921" s="36"/>
      <c r="D921" s="36"/>
      <c r="E921" s="36"/>
      <c r="L921" s="36"/>
    </row>
    <row r="922" spans="1:12" x14ac:dyDescent="0.2">
      <c r="A922" s="36"/>
      <c r="B922" s="36"/>
      <c r="C922" s="36"/>
      <c r="D922" s="36"/>
      <c r="E922" s="36"/>
      <c r="L922" s="36"/>
    </row>
    <row r="923" spans="1:12" x14ac:dyDescent="0.2">
      <c r="A923" s="36"/>
      <c r="B923" s="36"/>
      <c r="C923" s="36"/>
      <c r="D923" s="36"/>
      <c r="E923" s="36"/>
      <c r="L923" s="36"/>
    </row>
    <row r="924" spans="1:12" x14ac:dyDescent="0.2">
      <c r="A924" s="36"/>
      <c r="B924" s="36"/>
      <c r="C924" s="36"/>
      <c r="D924" s="36"/>
      <c r="E924" s="36"/>
      <c r="L924" s="36"/>
    </row>
    <row r="925" spans="1:12" x14ac:dyDescent="0.2">
      <c r="A925" s="36"/>
      <c r="B925" s="36"/>
      <c r="C925" s="36"/>
      <c r="D925" s="36"/>
      <c r="E925" s="36"/>
      <c r="L925" s="36"/>
    </row>
    <row r="926" spans="1:12" x14ac:dyDescent="0.2">
      <c r="A926" s="36"/>
      <c r="B926" s="36"/>
      <c r="C926" s="36"/>
      <c r="D926" s="36"/>
      <c r="E926" s="36"/>
      <c r="L926" s="36"/>
    </row>
    <row r="927" spans="1:12" x14ac:dyDescent="0.2">
      <c r="A927" s="36"/>
      <c r="B927" s="36"/>
      <c r="C927" s="36"/>
      <c r="D927" s="36"/>
      <c r="E927" s="36"/>
      <c r="L927" s="36"/>
    </row>
    <row r="928" spans="1:12" x14ac:dyDescent="0.2">
      <c r="A928" s="36"/>
      <c r="B928" s="36"/>
      <c r="C928" s="36"/>
      <c r="D928" s="36"/>
      <c r="E928" s="36"/>
      <c r="L928" s="36"/>
    </row>
    <row r="929" spans="1:12" x14ac:dyDescent="0.2">
      <c r="A929" s="36"/>
      <c r="B929" s="36"/>
      <c r="C929" s="36"/>
      <c r="D929" s="36"/>
      <c r="E929" s="36"/>
      <c r="L929" s="36"/>
    </row>
    <row r="930" spans="1:12" x14ac:dyDescent="0.2">
      <c r="A930" s="36"/>
      <c r="B930" s="36"/>
      <c r="C930" s="36"/>
      <c r="D930" s="36"/>
      <c r="E930" s="36"/>
      <c r="L930" s="36"/>
    </row>
    <row r="931" spans="1:12" x14ac:dyDescent="0.2">
      <c r="A931" s="36"/>
      <c r="B931" s="36"/>
      <c r="C931" s="36"/>
      <c r="D931" s="36"/>
      <c r="E931" s="36"/>
      <c r="L931" s="36"/>
    </row>
    <row r="932" spans="1:12" x14ac:dyDescent="0.2">
      <c r="A932" s="36"/>
      <c r="B932" s="36"/>
      <c r="C932" s="36"/>
      <c r="D932" s="36"/>
      <c r="E932" s="36"/>
      <c r="L932" s="36"/>
    </row>
    <row r="933" spans="1:12" x14ac:dyDescent="0.2">
      <c r="A933" s="36"/>
      <c r="B933" s="36"/>
      <c r="C933" s="36"/>
      <c r="D933" s="36"/>
      <c r="E933" s="36"/>
      <c r="L933" s="36"/>
    </row>
    <row r="934" spans="1:12" x14ac:dyDescent="0.2">
      <c r="A934" s="36"/>
      <c r="B934" s="36"/>
      <c r="C934" s="36"/>
      <c r="D934" s="36"/>
      <c r="E934" s="36"/>
      <c r="L934" s="36"/>
    </row>
    <row r="935" spans="1:12" x14ac:dyDescent="0.2">
      <c r="A935" s="36"/>
      <c r="B935" s="36"/>
      <c r="C935" s="36"/>
      <c r="D935" s="36"/>
      <c r="E935" s="36"/>
      <c r="L935" s="36"/>
    </row>
    <row r="936" spans="1:12" x14ac:dyDescent="0.2">
      <c r="A936" s="36"/>
      <c r="B936" s="36"/>
      <c r="C936" s="36"/>
      <c r="D936" s="36"/>
      <c r="E936" s="36"/>
      <c r="L936" s="36"/>
    </row>
    <row r="937" spans="1:12" x14ac:dyDescent="0.2">
      <c r="A937" s="36"/>
      <c r="B937" s="36"/>
      <c r="C937" s="36"/>
      <c r="D937" s="36"/>
      <c r="E937" s="36"/>
      <c r="L937" s="36"/>
    </row>
    <row r="938" spans="1:12" x14ac:dyDescent="0.2">
      <c r="A938" s="36"/>
      <c r="B938" s="36"/>
      <c r="C938" s="36"/>
      <c r="D938" s="36"/>
      <c r="E938" s="36"/>
      <c r="L938" s="36"/>
    </row>
    <row r="939" spans="1:12" x14ac:dyDescent="0.2">
      <c r="A939" s="36"/>
      <c r="B939" s="36"/>
      <c r="C939" s="36"/>
      <c r="D939" s="36"/>
      <c r="E939" s="36"/>
      <c r="L939" s="36"/>
    </row>
    <row r="940" spans="1:12" x14ac:dyDescent="0.2">
      <c r="A940" s="36"/>
      <c r="B940" s="36"/>
      <c r="C940" s="36"/>
      <c r="D940" s="36"/>
      <c r="E940" s="36"/>
      <c r="L940" s="36"/>
    </row>
    <row r="941" spans="1:12" x14ac:dyDescent="0.2">
      <c r="A941" s="36"/>
      <c r="B941" s="36"/>
      <c r="C941" s="36"/>
      <c r="D941" s="36"/>
      <c r="E941" s="36"/>
      <c r="L941" s="36"/>
    </row>
    <row r="942" spans="1:12" x14ac:dyDescent="0.2">
      <c r="A942" s="36"/>
      <c r="B942" s="36"/>
      <c r="C942" s="36"/>
      <c r="D942" s="36"/>
      <c r="E942" s="36"/>
      <c r="L942" s="36"/>
    </row>
    <row r="943" spans="1:12" x14ac:dyDescent="0.2">
      <c r="A943" s="36"/>
      <c r="B943" s="36"/>
      <c r="C943" s="36"/>
      <c r="D943" s="36"/>
      <c r="E943" s="36"/>
      <c r="L943" s="36"/>
    </row>
    <row r="944" spans="1:12" x14ac:dyDescent="0.2">
      <c r="A944" s="36"/>
      <c r="B944" s="36"/>
      <c r="C944" s="36"/>
      <c r="D944" s="36"/>
      <c r="E944" s="36"/>
      <c r="L944" s="36"/>
    </row>
    <row r="945" spans="1:12" x14ac:dyDescent="0.2">
      <c r="A945" s="36"/>
      <c r="B945" s="36"/>
      <c r="C945" s="36"/>
      <c r="D945" s="36"/>
      <c r="E945" s="36"/>
      <c r="L945" s="36"/>
    </row>
    <row r="946" spans="1:12" x14ac:dyDescent="0.2">
      <c r="A946" s="36"/>
      <c r="B946" s="36"/>
      <c r="C946" s="36"/>
      <c r="D946" s="36"/>
      <c r="E946" s="36"/>
      <c r="L946" s="36"/>
    </row>
    <row r="947" spans="1:12" x14ac:dyDescent="0.2">
      <c r="A947" s="36"/>
      <c r="B947" s="36"/>
      <c r="C947" s="36"/>
      <c r="D947" s="36"/>
      <c r="E947" s="36"/>
      <c r="L947" s="36"/>
    </row>
    <row r="948" spans="1:12" x14ac:dyDescent="0.2">
      <c r="A948" s="36"/>
      <c r="B948" s="36"/>
      <c r="C948" s="36"/>
      <c r="D948" s="36"/>
      <c r="E948" s="36"/>
      <c r="L948" s="36"/>
    </row>
    <row r="949" spans="1:12" x14ac:dyDescent="0.2">
      <c r="A949" s="36"/>
      <c r="B949" s="36"/>
      <c r="C949" s="36"/>
      <c r="D949" s="36"/>
      <c r="E949" s="36"/>
      <c r="L949" s="36"/>
    </row>
    <row r="950" spans="1:12" x14ac:dyDescent="0.2">
      <c r="A950" s="36"/>
      <c r="B950" s="36"/>
      <c r="C950" s="36"/>
      <c r="D950" s="36"/>
      <c r="E950" s="36"/>
      <c r="L950" s="36"/>
    </row>
    <row r="951" spans="1:12" x14ac:dyDescent="0.2">
      <c r="A951" s="36"/>
      <c r="B951" s="36"/>
      <c r="C951" s="36"/>
      <c r="D951" s="36"/>
      <c r="E951" s="36"/>
      <c r="L951" s="36"/>
    </row>
    <row r="952" spans="1:12" x14ac:dyDescent="0.2">
      <c r="A952" s="36"/>
      <c r="B952" s="36"/>
      <c r="C952" s="36"/>
      <c r="D952" s="36"/>
      <c r="E952" s="36"/>
      <c r="L952" s="36"/>
    </row>
    <row r="953" spans="1:12" x14ac:dyDescent="0.2">
      <c r="A953" s="36"/>
      <c r="B953" s="36"/>
      <c r="C953" s="36"/>
      <c r="D953" s="36"/>
      <c r="E953" s="36"/>
      <c r="L953" s="36"/>
    </row>
    <row r="954" spans="1:12" x14ac:dyDescent="0.2">
      <c r="A954" s="36"/>
      <c r="B954" s="36"/>
      <c r="C954" s="36"/>
      <c r="D954" s="36"/>
      <c r="E954" s="36"/>
      <c r="L954" s="36"/>
    </row>
    <row r="955" spans="1:12" x14ac:dyDescent="0.2">
      <c r="A955" s="36"/>
      <c r="B955" s="36"/>
      <c r="C955" s="36"/>
      <c r="D955" s="36"/>
      <c r="E955" s="36"/>
      <c r="L955" s="36"/>
    </row>
    <row r="956" spans="1:12" x14ac:dyDescent="0.2">
      <c r="A956" s="36"/>
      <c r="B956" s="36"/>
      <c r="C956" s="36"/>
      <c r="D956" s="36"/>
      <c r="E956" s="36"/>
      <c r="L956" s="36"/>
    </row>
    <row r="957" spans="1:12" x14ac:dyDescent="0.2">
      <c r="A957" s="36"/>
      <c r="B957" s="36"/>
      <c r="C957" s="36"/>
      <c r="D957" s="36"/>
      <c r="E957" s="36"/>
      <c r="L957" s="36"/>
    </row>
    <row r="958" spans="1:12" x14ac:dyDescent="0.2">
      <c r="A958" s="36"/>
      <c r="B958" s="36"/>
      <c r="C958" s="36"/>
      <c r="D958" s="36"/>
      <c r="E958" s="36"/>
      <c r="L958" s="36"/>
    </row>
    <row r="959" spans="1:12" x14ac:dyDescent="0.2">
      <c r="A959" s="36"/>
      <c r="B959" s="36"/>
      <c r="C959" s="36"/>
      <c r="D959" s="36"/>
      <c r="E959" s="36"/>
      <c r="L959" s="36"/>
    </row>
    <row r="960" spans="1:12" x14ac:dyDescent="0.2">
      <c r="A960" s="36"/>
      <c r="B960" s="36"/>
      <c r="C960" s="36"/>
      <c r="D960" s="36"/>
      <c r="E960" s="36"/>
      <c r="L960" s="36"/>
    </row>
    <row r="961" spans="1:12" x14ac:dyDescent="0.2">
      <c r="A961" s="36"/>
      <c r="B961" s="36"/>
      <c r="C961" s="36"/>
      <c r="D961" s="36"/>
      <c r="E961" s="36"/>
      <c r="L961" s="36"/>
    </row>
    <row r="962" spans="1:12" x14ac:dyDescent="0.2">
      <c r="A962" s="36"/>
      <c r="B962" s="36"/>
      <c r="C962" s="36"/>
      <c r="D962" s="36"/>
      <c r="E962" s="36"/>
      <c r="L962" s="36"/>
    </row>
    <row r="963" spans="1:12" x14ac:dyDescent="0.2">
      <c r="A963" s="36"/>
      <c r="B963" s="36"/>
      <c r="C963" s="36"/>
      <c r="D963" s="36"/>
      <c r="E963" s="36"/>
      <c r="L963" s="36"/>
    </row>
    <row r="964" spans="1:12" x14ac:dyDescent="0.2">
      <c r="A964" s="36"/>
      <c r="B964" s="36"/>
      <c r="C964" s="36"/>
      <c r="D964" s="36"/>
      <c r="E964" s="36"/>
      <c r="L964" s="36"/>
    </row>
    <row r="965" spans="1:12" x14ac:dyDescent="0.2">
      <c r="A965" s="36"/>
      <c r="B965" s="36"/>
      <c r="C965" s="36"/>
      <c r="D965" s="36"/>
      <c r="E965" s="36"/>
      <c r="L965" s="36"/>
    </row>
    <row r="966" spans="1:12" x14ac:dyDescent="0.2">
      <c r="A966" s="36"/>
      <c r="B966" s="36"/>
      <c r="C966" s="36"/>
      <c r="D966" s="36"/>
      <c r="E966" s="36"/>
      <c r="L966" s="36"/>
    </row>
    <row r="967" spans="1:12" x14ac:dyDescent="0.2">
      <c r="A967" s="36"/>
      <c r="B967" s="36"/>
      <c r="C967" s="36"/>
      <c r="D967" s="36"/>
      <c r="E967" s="36"/>
      <c r="L967" s="36"/>
    </row>
    <row r="968" spans="1:12" x14ac:dyDescent="0.2">
      <c r="A968" s="36"/>
      <c r="B968" s="36"/>
      <c r="C968" s="36"/>
      <c r="D968" s="36"/>
      <c r="E968" s="36"/>
      <c r="L968" s="36"/>
    </row>
    <row r="969" spans="1:12" x14ac:dyDescent="0.2">
      <c r="A969" s="36"/>
      <c r="B969" s="36"/>
      <c r="C969" s="36"/>
      <c r="D969" s="36"/>
      <c r="E969" s="36"/>
      <c r="L969" s="36"/>
    </row>
    <row r="970" spans="1:12" x14ac:dyDescent="0.2">
      <c r="A970" s="36"/>
      <c r="B970" s="36"/>
      <c r="C970" s="36"/>
      <c r="D970" s="36"/>
      <c r="E970" s="36"/>
      <c r="L970" s="36"/>
    </row>
    <row r="971" spans="1:12" x14ac:dyDescent="0.2">
      <c r="A971" s="36"/>
      <c r="B971" s="36"/>
      <c r="C971" s="36"/>
      <c r="D971" s="36"/>
      <c r="E971" s="36"/>
      <c r="L971" s="36"/>
    </row>
    <row r="972" spans="1:12" x14ac:dyDescent="0.2">
      <c r="A972" s="36"/>
      <c r="B972" s="36"/>
      <c r="C972" s="36"/>
      <c r="D972" s="36"/>
      <c r="E972" s="36"/>
      <c r="L972" s="36"/>
    </row>
    <row r="973" spans="1:12" x14ac:dyDescent="0.2">
      <c r="A973" s="36"/>
      <c r="B973" s="36"/>
      <c r="C973" s="36"/>
      <c r="D973" s="36"/>
      <c r="E973" s="36"/>
      <c r="L973" s="36"/>
    </row>
    <row r="974" spans="1:12" x14ac:dyDescent="0.2">
      <c r="A974" s="36"/>
      <c r="B974" s="36"/>
      <c r="C974" s="36"/>
      <c r="D974" s="36"/>
      <c r="E974" s="36"/>
      <c r="L974" s="36"/>
    </row>
    <row r="975" spans="1:12" x14ac:dyDescent="0.2">
      <c r="A975" s="36"/>
      <c r="B975" s="36"/>
      <c r="C975" s="36"/>
      <c r="D975" s="36"/>
      <c r="E975" s="36"/>
      <c r="L975" s="36"/>
    </row>
    <row r="976" spans="1:12" x14ac:dyDescent="0.2">
      <c r="A976" s="36"/>
      <c r="B976" s="36"/>
      <c r="C976" s="36"/>
      <c r="D976" s="36"/>
      <c r="E976" s="36"/>
      <c r="L976" s="36"/>
    </row>
    <row r="977" spans="1:12" x14ac:dyDescent="0.2">
      <c r="A977" s="36"/>
      <c r="B977" s="36"/>
      <c r="C977" s="36"/>
      <c r="D977" s="36"/>
      <c r="E977" s="36"/>
      <c r="L977" s="36"/>
    </row>
    <row r="978" spans="1:12" x14ac:dyDescent="0.2">
      <c r="A978" s="36"/>
      <c r="B978" s="36"/>
      <c r="C978" s="36"/>
      <c r="D978" s="36"/>
      <c r="E978" s="36"/>
      <c r="L978" s="36"/>
    </row>
    <row r="979" spans="1:12" x14ac:dyDescent="0.2">
      <c r="A979" s="36"/>
      <c r="B979" s="36"/>
      <c r="C979" s="36"/>
      <c r="D979" s="36"/>
      <c r="E979" s="36"/>
      <c r="L979" s="36"/>
    </row>
    <row r="980" spans="1:12" x14ac:dyDescent="0.2">
      <c r="A980" s="36"/>
      <c r="B980" s="36"/>
      <c r="C980" s="36"/>
      <c r="D980" s="36"/>
      <c r="E980" s="36"/>
      <c r="L980" s="36"/>
    </row>
    <row r="981" spans="1:12" x14ac:dyDescent="0.2">
      <c r="A981" s="36"/>
      <c r="B981" s="36"/>
      <c r="C981" s="36"/>
      <c r="D981" s="36"/>
      <c r="E981" s="36"/>
      <c r="L981" s="36"/>
    </row>
    <row r="982" spans="1:12" x14ac:dyDescent="0.2">
      <c r="A982" s="36"/>
      <c r="B982" s="36"/>
      <c r="C982" s="36"/>
      <c r="D982" s="36"/>
      <c r="E982" s="36"/>
      <c r="L982" s="36"/>
    </row>
    <row r="983" spans="1:12" x14ac:dyDescent="0.2">
      <c r="A983" s="36"/>
      <c r="B983" s="36"/>
      <c r="C983" s="36"/>
      <c r="D983" s="36"/>
      <c r="E983" s="36"/>
      <c r="L983" s="36"/>
    </row>
    <row r="984" spans="1:12" x14ac:dyDescent="0.2">
      <c r="A984" s="36"/>
      <c r="B984" s="36"/>
      <c r="C984" s="36"/>
      <c r="D984" s="36"/>
      <c r="E984" s="36"/>
      <c r="L984" s="36"/>
    </row>
    <row r="985" spans="1:12" x14ac:dyDescent="0.2">
      <c r="A985" s="36"/>
      <c r="B985" s="36"/>
      <c r="C985" s="36"/>
      <c r="D985" s="36"/>
      <c r="E985" s="36"/>
      <c r="L985" s="36"/>
    </row>
    <row r="986" spans="1:12" x14ac:dyDescent="0.2">
      <c r="A986" s="36"/>
      <c r="B986" s="36"/>
      <c r="C986" s="36"/>
      <c r="D986" s="36"/>
      <c r="E986" s="36"/>
      <c r="L986" s="36"/>
    </row>
    <row r="987" spans="1:12" x14ac:dyDescent="0.2">
      <c r="A987" s="36"/>
      <c r="B987" s="36"/>
      <c r="C987" s="36"/>
      <c r="D987" s="36"/>
      <c r="E987" s="36"/>
      <c r="L987" s="36"/>
    </row>
    <row r="988" spans="1:12" x14ac:dyDescent="0.2">
      <c r="A988" s="36"/>
      <c r="B988" s="36"/>
      <c r="C988" s="36"/>
      <c r="D988" s="36"/>
      <c r="E988" s="36"/>
      <c r="L988" s="36"/>
    </row>
    <row r="989" spans="1:12" x14ac:dyDescent="0.2">
      <c r="A989" s="36"/>
      <c r="B989" s="36"/>
      <c r="C989" s="36"/>
      <c r="D989" s="36"/>
      <c r="E989" s="36"/>
      <c r="L989" s="36"/>
    </row>
    <row r="990" spans="1:12" x14ac:dyDescent="0.2">
      <c r="A990" s="36"/>
      <c r="B990" s="36"/>
      <c r="C990" s="36"/>
      <c r="D990" s="36"/>
      <c r="E990" s="36"/>
      <c r="L990" s="36"/>
    </row>
    <row r="991" spans="1:12" x14ac:dyDescent="0.2">
      <c r="A991" s="36"/>
      <c r="B991" s="36"/>
      <c r="C991" s="36"/>
      <c r="D991" s="36"/>
      <c r="E991" s="36"/>
      <c r="L991" s="36"/>
    </row>
    <row r="992" spans="1:12" x14ac:dyDescent="0.2">
      <c r="A992" s="36"/>
      <c r="B992" s="36"/>
      <c r="C992" s="36"/>
      <c r="D992" s="36"/>
      <c r="E992" s="36"/>
      <c r="L992" s="36"/>
    </row>
    <row r="993" spans="1:12" x14ac:dyDescent="0.2">
      <c r="A993" s="36"/>
      <c r="B993" s="36"/>
      <c r="C993" s="36"/>
      <c r="D993" s="36"/>
      <c r="E993" s="36"/>
      <c r="L993" s="36"/>
    </row>
    <row r="994" spans="1:12" x14ac:dyDescent="0.2">
      <c r="A994" s="36"/>
      <c r="B994" s="36"/>
      <c r="C994" s="36"/>
      <c r="D994" s="36"/>
      <c r="E994" s="36"/>
      <c r="L994" s="36"/>
    </row>
    <row r="995" spans="1:12" x14ac:dyDescent="0.2">
      <c r="A995" s="36"/>
      <c r="B995" s="36"/>
      <c r="C995" s="36"/>
      <c r="D995" s="36"/>
      <c r="E995" s="36"/>
      <c r="L995" s="36"/>
    </row>
    <row r="996" spans="1:12" x14ac:dyDescent="0.2">
      <c r="A996" s="36"/>
      <c r="B996" s="36"/>
      <c r="C996" s="36"/>
      <c r="D996" s="36"/>
      <c r="E996" s="36"/>
      <c r="L996" s="36"/>
    </row>
    <row r="997" spans="1:12" x14ac:dyDescent="0.2">
      <c r="A997" s="36"/>
      <c r="B997" s="36"/>
      <c r="C997" s="36"/>
      <c r="D997" s="36"/>
      <c r="E997" s="36"/>
      <c r="L997" s="36"/>
    </row>
    <row r="998" spans="1:12" x14ac:dyDescent="0.2">
      <c r="A998" s="36"/>
      <c r="B998" s="36"/>
      <c r="C998" s="36"/>
      <c r="D998" s="36"/>
      <c r="E998" s="36"/>
      <c r="L998" s="36"/>
    </row>
    <row r="999" spans="1:12" x14ac:dyDescent="0.2">
      <c r="A999" s="36"/>
      <c r="B999" s="36"/>
      <c r="C999" s="36"/>
      <c r="D999" s="36"/>
      <c r="E999" s="36"/>
      <c r="L999" s="36"/>
    </row>
    <row r="1000" spans="1:12" x14ac:dyDescent="0.2">
      <c r="A1000" s="36"/>
      <c r="B1000" s="36"/>
      <c r="C1000" s="36"/>
      <c r="D1000" s="36"/>
      <c r="E1000" s="36"/>
      <c r="L1000" s="36"/>
    </row>
    <row r="1001" spans="1:12" x14ac:dyDescent="0.2">
      <c r="A1001" s="36"/>
      <c r="B1001" s="36"/>
      <c r="C1001" s="36"/>
      <c r="D1001" s="36"/>
      <c r="E1001" s="36"/>
      <c r="L1001" s="36"/>
    </row>
    <row r="1002" spans="1:12" x14ac:dyDescent="0.2">
      <c r="A1002" s="36"/>
      <c r="B1002" s="36"/>
      <c r="C1002" s="36"/>
      <c r="D1002" s="36"/>
      <c r="E1002" s="36"/>
      <c r="L1002" s="36"/>
    </row>
  </sheetData>
  <autoFilter ref="A3:M357" xr:uid="{00000000-0009-0000-0000-000001000000}">
    <sortState xmlns:xlrd2="http://schemas.microsoft.com/office/spreadsheetml/2017/richdata2" ref="A4:R357">
      <sortCondition ref="A3:A357"/>
    </sortState>
  </autoFilter>
  <mergeCells count="4">
    <mergeCell ref="A1:C2"/>
    <mergeCell ref="F1:G1"/>
    <mergeCell ref="J1:J2"/>
    <mergeCell ref="L1:L2"/>
  </mergeCells>
  <conditionalFormatting sqref="E4:E357">
    <cfRule type="colorScale" priority="9">
      <colorScale>
        <cfvo type="min"/>
        <cfvo type="percentile" val="50"/>
        <cfvo type="max"/>
        <color rgb="FFF8696B"/>
        <color rgb="FFFFEB84"/>
        <color rgb="FF63BE7B"/>
      </colorScale>
    </cfRule>
  </conditionalFormatting>
  <conditionalFormatting sqref="E34:E357">
    <cfRule type="colorScale" priority="10">
      <colorScale>
        <cfvo type="min"/>
        <cfvo type="percentile" val="50"/>
        <cfvo type="max"/>
        <color rgb="FFF8696B"/>
        <color rgb="FFFFEB84"/>
        <color rgb="FF63BE7B"/>
      </colorScale>
    </cfRule>
  </conditionalFormatting>
  <conditionalFormatting sqref="F4:G357">
    <cfRule type="cellIs" dxfId="4" priority="7" operator="equal">
      <formula>0</formula>
    </cfRule>
  </conditionalFormatting>
  <conditionalFormatting sqref="K1 M1:M1048576 K3:K85 K87:K147 K150:K253 K344:K348 K350:K1048576">
    <cfRule type="containsText" dxfId="3" priority="6" operator="containsText" text="PROXY">
      <formula>NOT(ISERROR(SEARCH("PROXY",K1)))</formula>
    </cfRule>
  </conditionalFormatting>
  <conditionalFormatting sqref="K4:K85 M4:M357 K87:K147 K150:K253 K344:K348 K350:K357">
    <cfRule type="expression" dxfId="2" priority="8">
      <formula>"if(1,?;?,?)"</formula>
    </cfRule>
  </conditionalFormatting>
  <conditionalFormatting sqref="K255:K341">
    <cfRule type="expression" dxfId="1" priority="2">
      <formula>"if(1,?;?,?)"</formula>
    </cfRule>
    <cfRule type="containsText" dxfId="0" priority="1" operator="containsText" text="PROXY">
      <formula>NOT(ISERROR(SEARCH("PROXY",K255)))</formula>
    </cfRule>
  </conditionalFormatting>
  <pageMargins left="0.7" right="0.7" top="0.75" bottom="0.75" header="0.3" footer="0.3"/>
  <pageSetup orientation="portrait"/>
  <colBreaks count="1" manualBreakCount="1">
    <brk id="6" max="1048575" man="1"/>
  </colBreaks>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7"/>
  <sheetViews>
    <sheetView topLeftCell="A149" workbookViewId="0">
      <selection activeCell="H76" sqref="H76"/>
    </sheetView>
  </sheetViews>
  <sheetFormatPr baseColWidth="10" defaultColWidth="11" defaultRowHeight="16" x14ac:dyDescent="0.2"/>
  <cols>
    <col min="2" max="2" width="15.5" bestFit="1" customWidth="1"/>
  </cols>
  <sheetData>
    <row r="1" spans="1:11" ht="19" x14ac:dyDescent="0.25">
      <c r="A1" s="42" t="s">
        <v>718</v>
      </c>
    </row>
    <row r="3" spans="1:11" ht="20" x14ac:dyDescent="0.2">
      <c r="A3" t="s">
        <v>343</v>
      </c>
      <c r="B3" s="43" t="s">
        <v>719</v>
      </c>
    </row>
    <row r="4" spans="1:11" ht="20" x14ac:dyDescent="0.2">
      <c r="B4" t="str">
        <f>"=Blueberry"</f>
        <v>=Blueberry</v>
      </c>
      <c r="F4" s="43" t="s">
        <v>719</v>
      </c>
      <c r="H4" s="13" t="s">
        <v>127</v>
      </c>
      <c r="I4" s="43" t="s">
        <v>719</v>
      </c>
      <c r="K4" s="43" t="s">
        <v>719</v>
      </c>
    </row>
    <row r="5" spans="1:11" x14ac:dyDescent="0.2">
      <c r="B5" t="str">
        <f>"=Raspberry"</f>
        <v>=Raspberry</v>
      </c>
      <c r="F5" s="13" t="str">
        <f>"=carrot"</f>
        <v>=carrot</v>
      </c>
      <c r="I5" s="18" t="str">
        <f>"=Broccoli"</f>
        <v>=Broccoli</v>
      </c>
      <c r="K5" t="str">
        <f>"=Soybean, seed"</f>
        <v>=Soybean, seed</v>
      </c>
    </row>
    <row r="6" spans="1:11" ht="20" x14ac:dyDescent="0.2">
      <c r="A6" s="18"/>
      <c r="B6" s="18" t="str">
        <f>"=Gooseberry"</f>
        <v>=Gooseberry</v>
      </c>
      <c r="F6" s="43" t="s">
        <v>719</v>
      </c>
      <c r="I6" s="18" t="str">
        <f>"=Brussels sprouts"</f>
        <v>=Brussels sprouts</v>
      </c>
      <c r="K6" s="43" t="s">
        <v>719</v>
      </c>
    </row>
    <row r="7" spans="1:11" x14ac:dyDescent="0.2">
      <c r="A7" s="18"/>
      <c r="B7" s="18" t="str">
        <f>"=Huckleberry"</f>
        <v>=Huckleberry</v>
      </c>
      <c r="F7" s="13" t="str">
        <f>"=cassava"</f>
        <v>=cassava</v>
      </c>
      <c r="I7" s="18" t="str">
        <f>"=Cabbage"</f>
        <v>=Cabbage</v>
      </c>
      <c r="K7" s="18" t="str">
        <f>"=Tangerine"</f>
        <v>=Tangerine</v>
      </c>
    </row>
    <row r="8" spans="1:11" ht="20" x14ac:dyDescent="0.2">
      <c r="A8" s="18"/>
      <c r="B8" s="18" t="str">
        <f>"=strawberry"</f>
        <v>=strawberry</v>
      </c>
      <c r="F8" s="43" t="s">
        <v>719</v>
      </c>
      <c r="I8" s="18" t="str">
        <f>"=Cauliflower"</f>
        <v>=Cauliflower</v>
      </c>
      <c r="K8" s="43" t="s">
        <v>719</v>
      </c>
    </row>
    <row r="9" spans="1:11" x14ac:dyDescent="0.2">
      <c r="A9" s="18"/>
      <c r="B9" s="18" t="str">
        <f>"=Mulberry"</f>
        <v>=Mulberry</v>
      </c>
      <c r="F9" s="13" t="str">
        <f>"=Potato, tuber, w/peel"</f>
        <v>=Potato, tuber, w/peel</v>
      </c>
      <c r="I9" s="18" t="str">
        <f>"=Kohlrabi"</f>
        <v>=Kohlrabi</v>
      </c>
      <c r="K9" s="13" t="str">
        <f>"=Watermelon"</f>
        <v>=Watermelon</v>
      </c>
    </row>
    <row r="10" spans="1:11" x14ac:dyDescent="0.2">
      <c r="B10" t="str">
        <f>"=blackberry"</f>
        <v>=blackberry</v>
      </c>
      <c r="F10" s="13"/>
      <c r="I10" s="18" t="str">
        <f>"=Cabbage, Chinese, bok choy"</f>
        <v>=Cabbage, Chinese, bok choy</v>
      </c>
    </row>
    <row r="11" spans="1:11" ht="20" x14ac:dyDescent="0.2">
      <c r="A11" s="29"/>
      <c r="B11" s="29" t="str">
        <f>"=boysenberry"</f>
        <v>=boysenberry</v>
      </c>
      <c r="F11" s="43" t="s">
        <v>719</v>
      </c>
      <c r="I11" s="18" t="str">
        <f>"=Collards"</f>
        <v>=Collards</v>
      </c>
      <c r="K11" s="43" t="s">
        <v>719</v>
      </c>
    </row>
    <row r="12" spans="1:11" x14ac:dyDescent="0.2">
      <c r="A12" s="18"/>
      <c r="B12" s="18" t="str">
        <f>"=Cranberry"</f>
        <v>=Cranberry</v>
      </c>
      <c r="F12" s="13" t="str">
        <f>"=ginger"</f>
        <v>=ginger</v>
      </c>
      <c r="I12" s="18" t="str">
        <f>"=Kale"</f>
        <v>=Kale</v>
      </c>
      <c r="K12" s="18" t="str">
        <f>"=Barley, pearled barley"</f>
        <v>=Barley, pearled barley</v>
      </c>
    </row>
    <row r="13" spans="1:11" ht="20" x14ac:dyDescent="0.2">
      <c r="F13" s="43" t="s">
        <v>719</v>
      </c>
      <c r="I13" s="18" t="str">
        <f>"=Mustard greens"</f>
        <v>=Mustard greens</v>
      </c>
    </row>
    <row r="14" spans="1:11" ht="20" x14ac:dyDescent="0.2">
      <c r="A14" s="29" t="s">
        <v>454</v>
      </c>
      <c r="B14" s="43" t="s">
        <v>719</v>
      </c>
      <c r="C14" s="13" t="s">
        <v>457</v>
      </c>
      <c r="F14" s="13" t="str">
        <f>"=endive"</f>
        <v>=endive</v>
      </c>
      <c r="I14" s="18" t="str">
        <f>"=Turnip, greens"</f>
        <v>=Turnip, greens</v>
      </c>
      <c r="K14" s="43" t="s">
        <v>719</v>
      </c>
    </row>
    <row r="15" spans="1:11" ht="20" x14ac:dyDescent="0.2">
      <c r="B15" s="29" t="str">
        <f>"=Clover, seed"</f>
        <v>=Clover, seed</v>
      </c>
      <c r="F15" s="43" t="s">
        <v>719</v>
      </c>
      <c r="I15" s="18" t="str">
        <f>"=Cabbage, Chinese, napa"</f>
        <v>=Cabbage, Chinese, napa</v>
      </c>
      <c r="K15" s="18" t="str">
        <f>"=sweet potato"</f>
        <v>=sweet potato</v>
      </c>
    </row>
    <row r="16" spans="1:11" ht="19" x14ac:dyDescent="0.2">
      <c r="B16" s="43"/>
      <c r="F16" s="13" t="str">
        <f>"=onion, bulb"</f>
        <v>=onion, bulb</v>
      </c>
      <c r="I16" s="18" t="str">
        <f>"=Cabbage, Chinese, mustard"</f>
        <v>=Cabbage, Chinese, mustard</v>
      </c>
    </row>
    <row r="17" spans="1:9" ht="20" x14ac:dyDescent="0.2">
      <c r="F17" s="43" t="s">
        <v>719</v>
      </c>
      <c r="I17" s="18" t="str">
        <f>"=Radish, roots"</f>
        <v>=Radish, roots</v>
      </c>
    </row>
    <row r="18" spans="1:9" ht="20" x14ac:dyDescent="0.2">
      <c r="A18" s="18" t="s">
        <v>150</v>
      </c>
      <c r="B18" s="43" t="s">
        <v>719</v>
      </c>
      <c r="F18" s="13" t="str">
        <f>"=broccoli"</f>
        <v>=broccoli</v>
      </c>
      <c r="I18" s="18" t="str">
        <f>"=Radish, Oriental, roots"</f>
        <v>=Radish, Oriental, roots</v>
      </c>
    </row>
    <row r="19" spans="1:9" ht="20" x14ac:dyDescent="0.2">
      <c r="B19" s="44" t="str">
        <f>"=soybean, meal"</f>
        <v>=soybean, meal</v>
      </c>
      <c r="F19" s="43" t="s">
        <v>719</v>
      </c>
      <c r="I19" s="18" t="str">
        <f>"=Rutabaga"</f>
        <v>=Rutabaga</v>
      </c>
    </row>
    <row r="20" spans="1:9" x14ac:dyDescent="0.2">
      <c r="F20" s="29" t="str">
        <f>"=spinach"</f>
        <v>=spinach</v>
      </c>
      <c r="I20" s="18" t="str">
        <f>"=Turnip, roots"</f>
        <v>=Turnip, roots</v>
      </c>
    </row>
    <row r="21" spans="1:9" ht="20" x14ac:dyDescent="0.2">
      <c r="A21" s="13" t="s">
        <v>141</v>
      </c>
      <c r="B21" s="43" t="s">
        <v>719</v>
      </c>
    </row>
    <row r="22" spans="1:9" ht="20" x14ac:dyDescent="0.2">
      <c r="B22" s="18" t="str">
        <f>"=Broccoli"</f>
        <v>=Broccoli</v>
      </c>
      <c r="C22" s="13"/>
      <c r="E22" s="18" t="s">
        <v>164</v>
      </c>
      <c r="F22" s="43" t="s">
        <v>719</v>
      </c>
    </row>
    <row r="23" spans="1:9" ht="20" x14ac:dyDescent="0.2">
      <c r="B23" s="18" t="str">
        <f>"=Brussels sprouts"</f>
        <v>=Brussels sprouts</v>
      </c>
      <c r="C23" s="13"/>
      <c r="F23" t="str">
        <f>"=Bean, snap, succulent"</f>
        <v>=Bean, snap, succulent</v>
      </c>
      <c r="H23" t="s">
        <v>149</v>
      </c>
      <c r="I23" s="43" t="s">
        <v>719</v>
      </c>
    </row>
    <row r="24" spans="1:9" ht="20" x14ac:dyDescent="0.2">
      <c r="B24" s="18" t="str">
        <f>"=Cabbage"</f>
        <v>=Cabbage</v>
      </c>
      <c r="C24" s="13"/>
      <c r="E24" t="s">
        <v>176</v>
      </c>
      <c r="F24" s="43" t="s">
        <v>719</v>
      </c>
      <c r="I24" t="str">
        <f>"=Bean, broad, seed"</f>
        <v>=Bean, broad, seed</v>
      </c>
    </row>
    <row r="25" spans="1:9" x14ac:dyDescent="0.2">
      <c r="B25" s="18" t="str">
        <f>"=Cauliflower"</f>
        <v>=Cauliflower</v>
      </c>
      <c r="C25" s="13"/>
      <c r="F25" s="18" t="str">
        <f>"=Pea, pigeon, seed"</f>
        <v>=Pea, pigeon, seed</v>
      </c>
      <c r="I25" t="str">
        <f>"=Bean, brown"</f>
        <v>=Bean, brown</v>
      </c>
    </row>
    <row r="26" spans="1:9" ht="20" x14ac:dyDescent="0.2">
      <c r="B26" s="18" t="str">
        <f>"=Kohlrabi"</f>
        <v>=Kohlrabi</v>
      </c>
      <c r="C26" s="13"/>
      <c r="E26" s="13" t="s">
        <v>180</v>
      </c>
      <c r="F26" s="43" t="s">
        <v>719</v>
      </c>
      <c r="I26" t="str">
        <f>"=Bean, cowpea, seed"</f>
        <v>=Bean, cowpea, seed</v>
      </c>
    </row>
    <row r="27" spans="1:9" ht="20" x14ac:dyDescent="0.2">
      <c r="A27" s="13" t="s">
        <v>720</v>
      </c>
      <c r="B27" s="43" t="s">
        <v>719</v>
      </c>
      <c r="F27" s="13" t="str">
        <f>"=Bean, dry"</f>
        <v>=Bean, dry</v>
      </c>
      <c r="I27" t="str">
        <f>"=Bean, dry"</f>
        <v>=Bean, dry</v>
      </c>
    </row>
    <row r="28" spans="1:9" ht="20" x14ac:dyDescent="0.2">
      <c r="B28" s="18" t="str">
        <f>"=Cabbage, Chinese, bok choy"</f>
        <v>=Cabbage, Chinese, bok choy</v>
      </c>
      <c r="C28" s="13"/>
      <c r="E28" s="13" t="s">
        <v>188</v>
      </c>
      <c r="F28" s="43" t="s">
        <v>719</v>
      </c>
      <c r="I28" t="str">
        <f>"=Chickpea, seed"</f>
        <v>=Chickpea, seed</v>
      </c>
    </row>
    <row r="29" spans="1:9" x14ac:dyDescent="0.2">
      <c r="B29" s="18" t="str">
        <f>"=Collards"</f>
        <v>=Collards</v>
      </c>
      <c r="C29" s="13"/>
      <c r="F29" s="29" t="str">
        <f>"=lentil, seed"</f>
        <v>=lentil, seed</v>
      </c>
      <c r="I29" t="str">
        <f>"=lentil, seed"</f>
        <v>=lentil, seed</v>
      </c>
    </row>
    <row r="30" spans="1:9" ht="20" x14ac:dyDescent="0.2">
      <c r="B30" s="18" t="str">
        <f>"=Kale"</f>
        <v>=Kale</v>
      </c>
      <c r="C30" s="13"/>
      <c r="F30" s="43" t="s">
        <v>719</v>
      </c>
      <c r="I30" t="str">
        <f>"=Pea, dry"</f>
        <v>=Pea, dry</v>
      </c>
    </row>
    <row r="31" spans="1:9" x14ac:dyDescent="0.2">
      <c r="B31" s="18" t="str">
        <f>"=Mustard greens"</f>
        <v>=Mustard greens</v>
      </c>
      <c r="C31" s="13"/>
      <c r="F31" s="13" t="str">
        <f>"=tomato"</f>
        <v>=tomato</v>
      </c>
      <c r="I31" t="str">
        <f>"=Pea, pigeon, seed"</f>
        <v>=Pea, pigeon, seed</v>
      </c>
    </row>
    <row r="32" spans="1:9" x14ac:dyDescent="0.2">
      <c r="B32" s="18" t="str">
        <f>"=Turnip, greens"</f>
        <v>=Turnip, greens</v>
      </c>
      <c r="C32" s="13"/>
      <c r="F32" s="13"/>
      <c r="I32" t="str">
        <f>"=Soybean, seed"</f>
        <v>=Soybean, seed</v>
      </c>
    </row>
    <row r="33" spans="1:9" x14ac:dyDescent="0.2">
      <c r="B33" s="18" t="str">
        <f>"=Cabbage, Chinese, napa"</f>
        <v>=Cabbage, Chinese, napa</v>
      </c>
      <c r="C33" s="13"/>
    </row>
    <row r="34" spans="1:9" ht="20" x14ac:dyDescent="0.2">
      <c r="B34" s="18" t="str">
        <f>"=Cabbage, Chinese, mustard"</f>
        <v>=Cabbage, Chinese, mustard</v>
      </c>
      <c r="C34" s="13"/>
      <c r="E34" s="13" t="s">
        <v>218</v>
      </c>
      <c r="F34" s="43" t="s">
        <v>719</v>
      </c>
      <c r="H34" t="s">
        <v>210</v>
      </c>
      <c r="I34" s="43" t="s">
        <v>719</v>
      </c>
    </row>
    <row r="35" spans="1:9" ht="20" x14ac:dyDescent="0.2">
      <c r="A35" s="13" t="s">
        <v>721</v>
      </c>
      <c r="B35" s="43" t="s">
        <v>719</v>
      </c>
      <c r="F35" s="13" t="str">
        <f>"=tomato"</f>
        <v>=tomato</v>
      </c>
      <c r="I35" s="18" t="str">
        <f>"=Tomato, paste"</f>
        <v>=Tomato, paste</v>
      </c>
    </row>
    <row r="36" spans="1:9" x14ac:dyDescent="0.2">
      <c r="B36" s="18" t="str">
        <f>"=Radish, roots"</f>
        <v>=Radish, roots</v>
      </c>
      <c r="C36" s="13"/>
      <c r="F36" s="13" t="str">
        <f>"=pepper_bell"</f>
        <v>=pepper_bell</v>
      </c>
      <c r="I36" s="18" t="str">
        <f>"=Tomato, puree"</f>
        <v>=Tomato, puree</v>
      </c>
    </row>
    <row r="37" spans="1:9" x14ac:dyDescent="0.2">
      <c r="B37" s="18" t="str">
        <f>"=Radish, Oriental, roots"</f>
        <v>=Radish, Oriental, roots</v>
      </c>
      <c r="C37" s="13"/>
      <c r="F37" s="29" t="str">
        <f>"=eggplant"</f>
        <v>=eggplant</v>
      </c>
      <c r="I37" s="18" t="str">
        <f>"=Tomato, dried"</f>
        <v>=Tomato, dried</v>
      </c>
    </row>
    <row r="38" spans="1:9" ht="20" x14ac:dyDescent="0.2">
      <c r="B38" s="18" t="str">
        <f>"=Rutabaga"</f>
        <v>=Rutabaga</v>
      </c>
      <c r="C38" s="13"/>
      <c r="E38" s="13" t="s">
        <v>226</v>
      </c>
      <c r="F38" s="43" t="s">
        <v>719</v>
      </c>
      <c r="I38" s="18" t="str">
        <f>"=Tomato, juice"</f>
        <v>=Tomato, juice</v>
      </c>
    </row>
    <row r="39" spans="1:9" x14ac:dyDescent="0.2">
      <c r="B39" s="18" t="str">
        <f>"=Turnip, roots"</f>
        <v>=Turnip, roots</v>
      </c>
      <c r="C39" s="13"/>
      <c r="F39" s="29" t="str">
        <f>"=Pepper, bell"</f>
        <v>=Pepper, bell</v>
      </c>
    </row>
    <row r="40" spans="1:9" ht="20" x14ac:dyDescent="0.2">
      <c r="A40" s="13" t="s">
        <v>267</v>
      </c>
      <c r="B40" s="43" t="s">
        <v>719</v>
      </c>
      <c r="E40" s="13" t="s">
        <v>234</v>
      </c>
      <c r="F40" s="43" t="s">
        <v>719</v>
      </c>
      <c r="H40" t="s">
        <v>722</v>
      </c>
      <c r="I40" s="43" t="s">
        <v>719</v>
      </c>
    </row>
    <row r="41" spans="1:9" x14ac:dyDescent="0.2">
      <c r="B41" s="18" t="str">
        <f>"=Citron"</f>
        <v>=Citron</v>
      </c>
      <c r="C41" s="13"/>
      <c r="F41" s="13" t="str">
        <f>"=cantaloupe"</f>
        <v>=cantaloupe</v>
      </c>
      <c r="I41" s="18" t="str">
        <f>"=Citron"</f>
        <v>=Citron</v>
      </c>
    </row>
    <row r="42" spans="1:9" x14ac:dyDescent="0.2">
      <c r="B42" s="18" t="str">
        <f>"=Citrus hybrids"</f>
        <v>=Citrus hybrids</v>
      </c>
      <c r="C42" s="13"/>
      <c r="F42" s="41" t="str">
        <f>"=Honeydew melon"</f>
        <v>=Honeydew melon</v>
      </c>
      <c r="I42" s="18" t="str">
        <f>"=Citrus hybrids"</f>
        <v>=Citrus hybrids</v>
      </c>
    </row>
    <row r="43" spans="1:9" x14ac:dyDescent="0.2">
      <c r="B43" s="18" t="str">
        <f>"=Orange"</f>
        <v>=Orange</v>
      </c>
      <c r="C43" s="13"/>
      <c r="F43" s="13" t="str">
        <f>"=Watermelon"</f>
        <v>=Watermelon</v>
      </c>
      <c r="I43" s="18" t="str">
        <f>"=Orange"</f>
        <v>=Orange</v>
      </c>
    </row>
    <row r="44" spans="1:9" x14ac:dyDescent="0.2">
      <c r="B44" s="18" t="str">
        <f>"=Tangerine"</f>
        <v>=Tangerine</v>
      </c>
      <c r="C44" s="13"/>
      <c r="F44" s="13"/>
      <c r="I44" s="18" t="str">
        <f>"=Tangerine"</f>
        <v>=Tangerine</v>
      </c>
    </row>
    <row r="45" spans="1:9" ht="20" x14ac:dyDescent="0.2">
      <c r="B45" s="18" t="str">
        <f>"=Kumquat"</f>
        <v>=Kumquat</v>
      </c>
      <c r="C45" s="13"/>
      <c r="F45" s="43" t="s">
        <v>719</v>
      </c>
      <c r="I45" s="18" t="str">
        <f>"=Kumquat"</f>
        <v>=Kumquat</v>
      </c>
    </row>
    <row r="46" spans="1:9" x14ac:dyDescent="0.2">
      <c r="B46" t="str">
        <f>"=Mandarins"</f>
        <v>=Mandarins</v>
      </c>
      <c r="C46" s="13"/>
      <c r="F46" s="13" t="str">
        <f>"=cucumber"</f>
        <v>=cucumber</v>
      </c>
      <c r="I46" t="str">
        <f>"=Mandarins"</f>
        <v>=Mandarins</v>
      </c>
    </row>
    <row r="47" spans="1:9" ht="20" x14ac:dyDescent="0.2">
      <c r="B47" t="str">
        <f>"=Fruits, Citrus"</f>
        <v>=Fruits, Citrus</v>
      </c>
      <c r="C47" s="13"/>
      <c r="E47" s="13" t="s">
        <v>252</v>
      </c>
      <c r="F47" s="43" t="s">
        <v>719</v>
      </c>
      <c r="I47" t="str">
        <f>"=Fruits, Citrus"</f>
        <v>=Fruits, Citrus</v>
      </c>
    </row>
    <row r="48" spans="1:9" x14ac:dyDescent="0.2">
      <c r="B48" s="18" t="str">
        <f>"=Lemon"</f>
        <v>=Lemon</v>
      </c>
      <c r="C48" s="13"/>
      <c r="E48" s="29"/>
      <c r="F48" s="18" t="str">
        <f>"=Squash, winter"</f>
        <v>=Squash, winter</v>
      </c>
      <c r="I48" s="18" t="str">
        <f>"=Lemon"</f>
        <v>=Lemon</v>
      </c>
    </row>
    <row r="49" spans="1:12" x14ac:dyDescent="0.2">
      <c r="B49" s="18" t="str">
        <f>"=Lime"</f>
        <v>=Lime</v>
      </c>
      <c r="C49" s="13"/>
      <c r="E49" s="29"/>
      <c r="F49" s="18" t="str">
        <f>"=Pumpkin"</f>
        <v>=Pumpkin</v>
      </c>
      <c r="I49" s="18" t="str">
        <f>"=Lime"</f>
        <v>=Lime</v>
      </c>
    </row>
    <row r="50" spans="1:12" x14ac:dyDescent="0.2">
      <c r="B50" s="18" t="str">
        <f>"=Grapefruit"</f>
        <v>=Grapefruit</v>
      </c>
      <c r="C50" s="13"/>
      <c r="I50" s="18" t="str">
        <f>"=Grapefruit"</f>
        <v>=Grapefruit</v>
      </c>
    </row>
    <row r="51" spans="1:12" ht="20" x14ac:dyDescent="0.2">
      <c r="B51" s="18" t="str">
        <f>"=Nectarine"</f>
        <v>=Nectarine</v>
      </c>
      <c r="C51" s="13"/>
      <c r="F51" s="43" t="s">
        <v>719</v>
      </c>
      <c r="I51" s="18" t="str">
        <f>"=Nectarine"</f>
        <v>=Nectarine</v>
      </c>
    </row>
    <row r="52" spans="1:12" ht="20" x14ac:dyDescent="0.2">
      <c r="A52" s="13" t="s">
        <v>723</v>
      </c>
      <c r="B52" s="43" t="s">
        <v>719</v>
      </c>
      <c r="F52" s="13" t="str">
        <f>"=zucchini"</f>
        <v>=zucchini</v>
      </c>
      <c r="I52" s="18" t="str">
        <f>"=Fig"</f>
        <v>=Fig</v>
      </c>
    </row>
    <row r="53" spans="1:12" ht="20" x14ac:dyDescent="0.2">
      <c r="B53" s="18" t="str">
        <f>"=Basil, dried leaves"</f>
        <v>=Basil, dried leaves</v>
      </c>
      <c r="C53" s="13"/>
      <c r="F53" s="43" t="s">
        <v>719</v>
      </c>
      <c r="I53" s="18" t="str">
        <f>"=Guava"</f>
        <v>=Guava</v>
      </c>
    </row>
    <row r="54" spans="1:12" x14ac:dyDescent="0.2">
      <c r="B54" s="18" t="str">
        <f>"=Parsley, dried leaves"</f>
        <v>=Parsley, dried leaves</v>
      </c>
      <c r="C54" s="13"/>
      <c r="F54" s="13" t="str">
        <f>"=orange"</f>
        <v>=orange</v>
      </c>
      <c r="I54" s="18" t="str">
        <f>"=Lychee"</f>
        <v>=Lychee</v>
      </c>
    </row>
    <row r="55" spans="1:12" ht="20" x14ac:dyDescent="0.2">
      <c r="A55" s="13" t="s">
        <v>724</v>
      </c>
      <c r="B55" s="43" t="s">
        <v>719</v>
      </c>
      <c r="E55" s="13" t="s">
        <v>297</v>
      </c>
      <c r="F55" s="43" t="s">
        <v>719</v>
      </c>
      <c r="I55" s="18" t="str">
        <f>"=Avocado"</f>
        <v>=Avocado</v>
      </c>
    </row>
    <row r="56" spans="1:12" x14ac:dyDescent="0.2">
      <c r="B56" s="18" t="str">
        <f>"=Chive, fresh leaves"</f>
        <v>=Chive, fresh leaves</v>
      </c>
      <c r="C56" s="13"/>
      <c r="F56" s="13" t="str">
        <f>"=Apple, fruit with peel"</f>
        <v>=Apple, fruit with peel</v>
      </c>
      <c r="I56" s="18" t="str">
        <f>"=Banana"</f>
        <v>=Banana</v>
      </c>
    </row>
    <row r="57" spans="1:12" ht="20" x14ac:dyDescent="0.2">
      <c r="B57" s="18" t="str">
        <f>"=Cilantro, leaves"</f>
        <v>=Cilantro, leaves</v>
      </c>
      <c r="C57" s="13"/>
      <c r="F57" s="43" t="s">
        <v>719</v>
      </c>
      <c r="I57" t="str">
        <f>"=tropical fruit"</f>
        <v>=tropical fruit</v>
      </c>
    </row>
    <row r="58" spans="1:12" x14ac:dyDescent="0.2">
      <c r="B58" s="18" t="str">
        <f>"=Dillweed"</f>
        <v>=Dillweed</v>
      </c>
      <c r="C58" s="13"/>
      <c r="F58" s="13" t="str">
        <f>"=pear"</f>
        <v>=pear</v>
      </c>
      <c r="I58" s="18" t="str">
        <f>"=Mango"</f>
        <v>=Mango</v>
      </c>
    </row>
    <row r="59" spans="1:12" ht="20" x14ac:dyDescent="0.2">
      <c r="B59" s="18" t="str">
        <f>"=Parsley, leaves"</f>
        <v>=Parsley, leaves</v>
      </c>
      <c r="C59" s="13"/>
      <c r="F59" s="43" t="s">
        <v>719</v>
      </c>
      <c r="I59" s="18" t="str">
        <f>"=Papaya"</f>
        <v>=Papaya</v>
      </c>
      <c r="L59" t="e">
        <f>flax</f>
        <v>#VALUE!</v>
      </c>
    </row>
    <row r="60" spans="1:12" x14ac:dyDescent="0.2">
      <c r="B60" s="18" t="str">
        <f>"=Basil, fresh leaves"</f>
        <v>=Basil, fresh leaves</v>
      </c>
      <c r="C60" s="13"/>
      <c r="F60" s="13" t="str">
        <f>"=cherry"</f>
        <v>=cherry</v>
      </c>
      <c r="I60" s="18" t="str">
        <f>"=Breadfruit"</f>
        <v>=Breadfruit</v>
      </c>
    </row>
    <row r="61" spans="1:12" ht="20" x14ac:dyDescent="0.2">
      <c r="B61" s="18" t="str">
        <f>"=Herbs, other"</f>
        <v>=Herbs, other</v>
      </c>
      <c r="C61" s="13"/>
      <c r="F61" s="43" t="s">
        <v>719</v>
      </c>
      <c r="I61" s="18" t="str">
        <f>"=Pineapple"</f>
        <v>=Pineapple</v>
      </c>
    </row>
    <row r="62" spans="1:12" x14ac:dyDescent="0.2">
      <c r="B62" s="18" t="str">
        <f>"=Marjoram"</f>
        <v>=Marjoram</v>
      </c>
      <c r="C62" s="13"/>
      <c r="F62" s="13" t="str">
        <f>"=apricot"</f>
        <v>=apricot</v>
      </c>
      <c r="I62" s="18" t="str">
        <f>"=Soursop"</f>
        <v>=Soursop</v>
      </c>
    </row>
    <row r="63" spans="1:12" ht="20" x14ac:dyDescent="0.2">
      <c r="B63" s="18" t="str">
        <f>"=Savory"</f>
        <v>=Savory</v>
      </c>
      <c r="C63" s="13"/>
      <c r="F63" s="43" t="s">
        <v>719</v>
      </c>
      <c r="I63" s="18" t="str">
        <f>"=Passionfruit"</f>
        <v>=Passionfruit</v>
      </c>
    </row>
    <row r="64" spans="1:12" x14ac:dyDescent="0.2">
      <c r="B64" s="18" t="str">
        <f>"=Peppermint"</f>
        <v>=Peppermint</v>
      </c>
      <c r="C64" s="13"/>
      <c r="F64" s="13" t="str">
        <f>"=peach"</f>
        <v>=peach</v>
      </c>
    </row>
    <row r="65" spans="1:9" ht="20" x14ac:dyDescent="0.2">
      <c r="A65" s="13" t="s">
        <v>407</v>
      </c>
      <c r="B65" s="43" t="s">
        <v>719</v>
      </c>
      <c r="F65" s="43" t="s">
        <v>719</v>
      </c>
      <c r="I65" s="43" t="s">
        <v>719</v>
      </c>
    </row>
    <row r="66" spans="1:9" x14ac:dyDescent="0.2">
      <c r="B66" s="18" t="str">
        <f>"=Barley, pearled barley"</f>
        <v>=Barley, pearled barley</v>
      </c>
      <c r="C66" s="13"/>
      <c r="F66" s="13" t="str">
        <f>"=plum"</f>
        <v>=plum</v>
      </c>
      <c r="I66" t="str">
        <f>"=Coconut, oil"</f>
        <v>=Coconut, oil</v>
      </c>
    </row>
    <row r="67" spans="1:9" ht="20" x14ac:dyDescent="0.2">
      <c r="B67" s="18" t="str">
        <f>"=Buckwheat"</f>
        <v>=Buckwheat</v>
      </c>
      <c r="C67" s="13"/>
      <c r="E67" s="13" t="s">
        <v>354</v>
      </c>
      <c r="F67" s="43" t="s">
        <v>719</v>
      </c>
    </row>
    <row r="68" spans="1:9" ht="20" x14ac:dyDescent="0.2">
      <c r="B68" s="18" t="str">
        <f>"=Corn, pop"</f>
        <v>=Corn, pop</v>
      </c>
      <c r="C68" s="13"/>
      <c r="F68" s="29" t="str">
        <f>"=grape, raisin"</f>
        <v>=grape, raisin</v>
      </c>
      <c r="H68" t="s">
        <v>41</v>
      </c>
      <c r="I68" s="43" t="s">
        <v>719</v>
      </c>
    </row>
    <row r="69" spans="1:9" ht="20" x14ac:dyDescent="0.2">
      <c r="B69" s="18" t="str">
        <f>"=Millet, grain"</f>
        <v>=Millet, grain</v>
      </c>
      <c r="C69" s="13"/>
      <c r="F69" s="43" t="s">
        <v>719</v>
      </c>
      <c r="I69" t="str">
        <f>"=Corn, field, flour"</f>
        <v>=Corn, field, flour</v>
      </c>
    </row>
    <row r="70" spans="1:9" x14ac:dyDescent="0.2">
      <c r="B70" s="18" t="str">
        <f>"=Rye, grain"</f>
        <v>=Rye, grain</v>
      </c>
      <c r="C70" s="13"/>
      <c r="F70" s="13" t="str">
        <f>"=Grape"</f>
        <v>=Grape</v>
      </c>
      <c r="I70" t="str">
        <f>"=Oat, flour"</f>
        <v>=Oat, flour</v>
      </c>
    </row>
    <row r="71" spans="1:9" ht="20" x14ac:dyDescent="0.2">
      <c r="B71" s="18" t="str">
        <f>"=Wheat, grain"</f>
        <v>=Wheat, grain</v>
      </c>
      <c r="C71" s="13"/>
      <c r="F71" s="43" t="s">
        <v>719</v>
      </c>
      <c r="I71" s="18" t="str">
        <f>"=Rice, flour"</f>
        <v>=Rice, flour</v>
      </c>
    </row>
    <row r="72" spans="1:9" x14ac:dyDescent="0.2">
      <c r="B72" s="18" t="str">
        <f>"=Flax, seed"</f>
        <v>=Flax, seed</v>
      </c>
      <c r="C72" s="13"/>
      <c r="F72" s="13" t="str">
        <f>"=strawberry"</f>
        <v>=strawberry</v>
      </c>
      <c r="I72" t="str">
        <f>"=Rye, flour"</f>
        <v>=Rye, flour</v>
      </c>
    </row>
    <row r="73" spans="1:9" ht="20" x14ac:dyDescent="0.2">
      <c r="B73" s="18" t="str">
        <f>"=Sesame, seed"</f>
        <v>=Sesame, seed</v>
      </c>
      <c r="C73" s="13"/>
      <c r="F73" s="43" t="s">
        <v>719</v>
      </c>
      <c r="I73" t="str">
        <f>"=Wheat, flour"</f>
        <v>=Wheat, flour</v>
      </c>
    </row>
    <row r="74" spans="1:9" x14ac:dyDescent="0.2">
      <c r="B74" s="18" t="str">
        <f>"=Amaranth, grain"</f>
        <v>=Amaranth, grain</v>
      </c>
      <c r="C74" s="13"/>
      <c r="F74" s="13" t="str">
        <f>"=almond"</f>
        <v>=almond</v>
      </c>
    </row>
    <row r="75" spans="1:9" ht="20" x14ac:dyDescent="0.2">
      <c r="B75" s="18" t="str">
        <f>"=Psyllium, seed"</f>
        <v>=Psyllium, seed</v>
      </c>
      <c r="C75" s="13"/>
      <c r="E75" s="13" t="s">
        <v>393</v>
      </c>
      <c r="F75" s="43" t="s">
        <v>719</v>
      </c>
      <c r="H75" t="s">
        <v>161</v>
      </c>
      <c r="I75" s="43" t="s">
        <v>719</v>
      </c>
    </row>
    <row r="76" spans="1:9" x14ac:dyDescent="0.2">
      <c r="B76" s="18" t="str">
        <f>"=Oat, groats/rolled oats"</f>
        <v>=Oat, groats/rolled oats</v>
      </c>
      <c r="F76" s="29" t="str">
        <f>"=coconut, meat"</f>
        <v>=coconut, meat</v>
      </c>
      <c r="H76" t="s">
        <v>725</v>
      </c>
      <c r="I76" t="str">
        <f>"=Artichoke, globe"</f>
        <v>=Artichoke, globe</v>
      </c>
    </row>
    <row r="77" spans="1:9" ht="20" x14ac:dyDescent="0.2">
      <c r="A77" s="13" t="s">
        <v>78</v>
      </c>
      <c r="B77" s="43" t="s">
        <v>719</v>
      </c>
      <c r="C77" s="13"/>
      <c r="F77" s="43" t="s">
        <v>719</v>
      </c>
      <c r="H77" t="s">
        <v>726</v>
      </c>
      <c r="I77" t="str">
        <f>"=Asparagus"</f>
        <v>=Asparagus</v>
      </c>
    </row>
    <row r="78" spans="1:9" x14ac:dyDescent="0.2">
      <c r="B78" s="18" t="str">
        <f>"=Beet, garden, tops"</f>
        <v>=Beet, garden, tops</v>
      </c>
      <c r="C78" s="13"/>
      <c r="F78" s="13" t="str">
        <f>"=rice, bran"</f>
        <v>=rice, bran</v>
      </c>
      <c r="I78" t="str">
        <f>"=Bean, snap, succulent"</f>
        <v>=Bean, snap, succulent</v>
      </c>
    </row>
    <row r="79" spans="1:9" ht="20" x14ac:dyDescent="0.2">
      <c r="B79" s="18" t="str">
        <f>"=Amaranth, leafy"</f>
        <v>=Amaranth, leafy</v>
      </c>
      <c r="C79" s="13"/>
      <c r="E79" s="13" t="s">
        <v>410</v>
      </c>
      <c r="F79" s="43" t="s">
        <v>719</v>
      </c>
      <c r="I79" t="str">
        <f>"=Broccoli"</f>
        <v>=Broccoli</v>
      </c>
    </row>
    <row r="80" spans="1:9" x14ac:dyDescent="0.2">
      <c r="B80" s="18" t="str">
        <f>"=Endive"</f>
        <v>=Endive</v>
      </c>
      <c r="C80" s="13"/>
      <c r="F80" s="29" t="str">
        <f>"=wheat, grain"</f>
        <v>=wheat, grain</v>
      </c>
      <c r="I80" t="str">
        <f>"=Cabbage"</f>
        <v>=Cabbage</v>
      </c>
    </row>
    <row r="81" spans="1:9" ht="20" x14ac:dyDescent="0.2">
      <c r="B81" s="18" t="str">
        <f>"=Lettuce, head"</f>
        <v>=Lettuce, head</v>
      </c>
      <c r="C81" s="13"/>
      <c r="E81" s="13" t="s">
        <v>439</v>
      </c>
      <c r="F81" s="43" t="s">
        <v>719</v>
      </c>
      <c r="I81" t="str">
        <f>"=Cassava"</f>
        <v>=Cassava</v>
      </c>
    </row>
    <row r="82" spans="1:9" x14ac:dyDescent="0.2">
      <c r="B82" s="18" t="str">
        <f>"=Lettuce, leaf"</f>
        <v>=Lettuce, leaf</v>
      </c>
      <c r="C82" s="13"/>
      <c r="F82" s="18" t="str">
        <f>"=Rice, brown"</f>
        <v>=Rice, brown</v>
      </c>
      <c r="I82" t="str">
        <f>"=Cauliflower"</f>
        <v>=Cauliflower</v>
      </c>
    </row>
    <row r="83" spans="1:9" x14ac:dyDescent="0.2">
      <c r="B83" s="18" t="str">
        <f>"=Swiss chard"</f>
        <v>=Swiss chard</v>
      </c>
      <c r="C83" s="13"/>
      <c r="F83" s="18" t="str">
        <f>"=Rice, white"</f>
        <v>=Rice, white</v>
      </c>
      <c r="I83" t="str">
        <f>"=Celery"</f>
        <v>=Celery</v>
      </c>
    </row>
    <row r="84" spans="1:9" x14ac:dyDescent="0.2">
      <c r="B84" s="18" t="str">
        <f>"=spinach"</f>
        <v>=spinach</v>
      </c>
      <c r="C84" s="13"/>
      <c r="F84" s="13"/>
      <c r="I84" t="str">
        <f>"=Corn, sweet"</f>
        <v>=Corn, sweet</v>
      </c>
    </row>
    <row r="85" spans="1:9" x14ac:dyDescent="0.2">
      <c r="B85" s="18" t="str">
        <f>"=Arugula"</f>
        <v>=Arugula</v>
      </c>
      <c r="C85" s="13"/>
      <c r="F85" s="13"/>
      <c r="I85" t="str">
        <f>"=Cucumber"</f>
        <v>=Cucumber</v>
      </c>
    </row>
    <row r="86" spans="1:9" ht="20" x14ac:dyDescent="0.2">
      <c r="B86" s="18" t="str">
        <f>"=Cress, garden"</f>
        <v>=Cress, garden</v>
      </c>
      <c r="F86" s="43" t="s">
        <v>719</v>
      </c>
      <c r="I86" t="str">
        <f>"=Eggplant"</f>
        <v>=Eggplant</v>
      </c>
    </row>
    <row r="87" spans="1:9" x14ac:dyDescent="0.2">
      <c r="B87" s="18" t="str">
        <f>"=Watercress"</f>
        <v>=Watercress</v>
      </c>
      <c r="C87" s="13"/>
      <c r="F87" s="13" t="str">
        <f>"=asparagus"</f>
        <v>=asparagus</v>
      </c>
      <c r="I87" t="str">
        <f>"=Escarole"</f>
        <v>=Escarole</v>
      </c>
    </row>
    <row r="88" spans="1:9" ht="20" x14ac:dyDescent="0.2">
      <c r="A88" s="13" t="s">
        <v>380</v>
      </c>
      <c r="B88" s="43" t="s">
        <v>719</v>
      </c>
      <c r="C88" s="13"/>
      <c r="F88" s="43" t="s">
        <v>719</v>
      </c>
      <c r="I88" t="str">
        <f>"=Fennel, Florence"</f>
        <v>=Fennel, Florence</v>
      </c>
    </row>
    <row r="89" spans="1:9" x14ac:dyDescent="0.2">
      <c r="B89" s="18" t="str">
        <f>"=Almond"</f>
        <v>=Almond</v>
      </c>
      <c r="C89" s="13"/>
      <c r="F89" s="13" t="str">
        <f>"=celery"</f>
        <v>=celery</v>
      </c>
      <c r="I89" t="str">
        <f>"=kale"</f>
        <v>=kale</v>
      </c>
    </row>
    <row r="90" spans="1:9" ht="20" x14ac:dyDescent="0.2">
      <c r="B90" s="18" t="str">
        <f>"=Brazil nut"</f>
        <v>=Brazil nut</v>
      </c>
      <c r="C90" s="13"/>
      <c r="F90" s="43" t="s">
        <v>719</v>
      </c>
      <c r="I90" t="str">
        <f>"=lettuce, head"</f>
        <v>=lettuce, head</v>
      </c>
    </row>
    <row r="91" spans="1:9" x14ac:dyDescent="0.2">
      <c r="B91" s="18" t="str">
        <f>"=Butternut"</f>
        <v>=Butternut</v>
      </c>
      <c r="C91" s="13"/>
      <c r="F91" s="13" t="str">
        <f>"=artichoke, globe"</f>
        <v>=artichoke, globe</v>
      </c>
      <c r="I91" t="str">
        <f>"=Lettuce, leaf"</f>
        <v>=Lettuce, leaf</v>
      </c>
    </row>
    <row r="92" spans="1:9" ht="20" x14ac:dyDescent="0.2">
      <c r="B92" s="18" t="str">
        <f>"=Cashew"</f>
        <v>=Cashew</v>
      </c>
      <c r="C92" s="13"/>
      <c r="F92" s="43" t="s">
        <v>719</v>
      </c>
      <c r="I92" t="str">
        <f>"=Mushroom"</f>
        <v>=Mushroom</v>
      </c>
    </row>
    <row r="93" spans="1:9" x14ac:dyDescent="0.2">
      <c r="B93" s="18" t="str">
        <f>"=Chestnut"</f>
        <v>=Chestnut</v>
      </c>
      <c r="C93" s="13"/>
      <c r="F93" s="13" t="str">
        <f>"=banana"</f>
        <v>=banana</v>
      </c>
      <c r="I93" t="str">
        <f>"=Pea, succulent"</f>
        <v>=Pea, succulent</v>
      </c>
    </row>
    <row r="94" spans="1:9" ht="20" x14ac:dyDescent="0.2">
      <c r="B94" t="str">
        <f>"=Coconut, meat"</f>
        <v>=Coconut, meat</v>
      </c>
      <c r="C94" s="13"/>
      <c r="F94" s="43" t="s">
        <v>719</v>
      </c>
      <c r="I94" t="str">
        <f>"=Pepper, bell"</f>
        <v>=Pepper, bell</v>
      </c>
    </row>
    <row r="95" spans="1:9" x14ac:dyDescent="0.2">
      <c r="B95" s="18" t="str">
        <f>"=Hazelnut"</f>
        <v>=Hazelnut</v>
      </c>
      <c r="C95" s="13"/>
      <c r="F95" s="13" t="str">
        <f>"=papaya"</f>
        <v>=papaya</v>
      </c>
      <c r="I95" t="str">
        <f>"=pumpkin"</f>
        <v>=pumpkin</v>
      </c>
    </row>
    <row r="96" spans="1:9" ht="20" x14ac:dyDescent="0.2">
      <c r="B96" s="18" t="str">
        <f>"=Macadamia nut"</f>
        <v>=Macadamia nut</v>
      </c>
      <c r="C96" s="13"/>
      <c r="F96" s="43" t="s">
        <v>719</v>
      </c>
      <c r="I96" t="str">
        <f>"=Spinach"</f>
        <v>=Spinach</v>
      </c>
    </row>
    <row r="97" spans="1:9" x14ac:dyDescent="0.2">
      <c r="B97" s="18" t="str">
        <f>"=Pecan"</f>
        <v>=Pecan</v>
      </c>
      <c r="C97" s="13"/>
      <c r="F97" s="13" t="str">
        <f>"=pineapple"</f>
        <v>=pineapple</v>
      </c>
      <c r="I97" t="str">
        <f>"=Squash, Summer"</f>
        <v>=Squash, Summer</v>
      </c>
    </row>
    <row r="98" spans="1:9" ht="21" thickBot="1" x14ac:dyDescent="0.25">
      <c r="B98" s="18" t="str">
        <f>"=Pine nut"</f>
        <v>=Pine nut</v>
      </c>
      <c r="E98" t="s">
        <v>654</v>
      </c>
      <c r="F98" s="43" t="s">
        <v>719</v>
      </c>
      <c r="I98" t="str">
        <f>"=squash, winter"</f>
        <v>=squash, winter</v>
      </c>
    </row>
    <row r="99" spans="1:9" x14ac:dyDescent="0.2">
      <c r="B99" s="18" t="str">
        <f>"=Pistachio"</f>
        <v>=Pistachio</v>
      </c>
      <c r="C99" s="13"/>
      <c r="F99" s="11" t="str">
        <f>"=Fish-shellfish, mollusc"</f>
        <v>=Fish-shellfish, mollusc</v>
      </c>
      <c r="I99" t="str">
        <f>"=Tomato"</f>
        <v>=Tomato</v>
      </c>
    </row>
    <row r="100" spans="1:9" x14ac:dyDescent="0.2">
      <c r="B100" s="18" t="str">
        <f>"=Walnut"</f>
        <v>=Walnut</v>
      </c>
      <c r="C100" s="13"/>
      <c r="F100" s="18" t="str">
        <f>"=Fish-saltwater finfish"</f>
        <v>=Fish-saltwater finfish</v>
      </c>
      <c r="I100" t="str">
        <f>"=zucchini"</f>
        <v>=zucchini</v>
      </c>
    </row>
    <row r="101" spans="1:9" ht="20" x14ac:dyDescent="0.2">
      <c r="A101" s="13" t="s">
        <v>9</v>
      </c>
      <c r="B101" s="43" t="s">
        <v>719</v>
      </c>
      <c r="C101" s="13"/>
      <c r="F101" s="18" t="str">
        <f>"=Fish-freshwater finfish"</f>
        <v>=Fish-freshwater finfish</v>
      </c>
    </row>
    <row r="102" spans="1:9" ht="20" x14ac:dyDescent="0.2">
      <c r="B102" s="18" t="str">
        <f>"=Beet, garden, roots"</f>
        <v>=Beet, garden, roots</v>
      </c>
      <c r="C102" s="13"/>
      <c r="F102" s="18" t="str">
        <f>"=Fish-freshwater finfish, farm raised"</f>
        <v>=Fish-freshwater finfish, farm raised</v>
      </c>
      <c r="H102" t="s">
        <v>14</v>
      </c>
      <c r="I102" s="43" t="s">
        <v>719</v>
      </c>
    </row>
    <row r="103" spans="1:9" x14ac:dyDescent="0.2">
      <c r="B103" s="18" t="str">
        <f>"=Burdock"</f>
        <v>=Burdock</v>
      </c>
      <c r="C103" s="13"/>
      <c r="F103" s="18" t="str">
        <f>"=Fish-saltwater finfish, other"</f>
        <v>=Fish-saltwater finfish, other</v>
      </c>
      <c r="I103" t="str">
        <f>"=beet, sugar"</f>
        <v>=beet, sugar</v>
      </c>
    </row>
    <row r="104" spans="1:9" x14ac:dyDescent="0.2">
      <c r="B104" s="18" t="str">
        <f>"=Carrot"</f>
        <v>=Carrot</v>
      </c>
      <c r="C104" s="13"/>
      <c r="F104" s="18" t="str">
        <f>"=Fish-shellfish, crustacean"</f>
        <v>=Fish-shellfish, crustacean</v>
      </c>
      <c r="I104" t="str">
        <f>"=beet, sugar, molasses"</f>
        <v>=beet, sugar, molasses</v>
      </c>
    </row>
    <row r="105" spans="1:9" x14ac:dyDescent="0.2">
      <c r="B105" s="18" t="str">
        <f>"=Horseradish"</f>
        <v>=Horseradish</v>
      </c>
      <c r="C105" s="13"/>
      <c r="I105" t="str">
        <f>"=Honey"</f>
        <v>=Honey</v>
      </c>
    </row>
    <row r="106" spans="1:9" ht="20" x14ac:dyDescent="0.2">
      <c r="B106" s="18" t="str">
        <f>"=Parsnip"</f>
        <v>=Parsnip</v>
      </c>
      <c r="E106" t="s">
        <v>658</v>
      </c>
      <c r="F106" s="43" t="s">
        <v>719</v>
      </c>
      <c r="I106" t="str">
        <f>"=Maple syrup"</f>
        <v>=Maple syrup</v>
      </c>
    </row>
    <row r="107" spans="1:9" x14ac:dyDescent="0.2">
      <c r="B107" s="18" t="str">
        <f>"=Ginger"</f>
        <v>=Ginger</v>
      </c>
      <c r="C107" s="13"/>
      <c r="F107" s="18" t="str">
        <f>"=Fish-saltwater finfish, other"</f>
        <v>=Fish-saltwater finfish, other</v>
      </c>
      <c r="I107" t="str">
        <f>"=Sugarcane, molasses"</f>
        <v>=Sugarcane, molasses</v>
      </c>
    </row>
    <row r="108" spans="1:9" x14ac:dyDescent="0.2">
      <c r="B108" s="18" t="str">
        <f>"=Potato, tuber, w/peel"</f>
        <v>=Potato, tuber, w/peel</v>
      </c>
      <c r="C108" s="13"/>
      <c r="I108" t="str">
        <f>"=Sugarcane, sugar"</f>
        <v>=Sugarcane, sugar</v>
      </c>
    </row>
    <row r="109" spans="1:9" ht="20" x14ac:dyDescent="0.2">
      <c r="A109" s="13" t="s">
        <v>29</v>
      </c>
      <c r="B109" s="43" t="s">
        <v>719</v>
      </c>
      <c r="C109" s="13"/>
      <c r="F109" s="43" t="s">
        <v>719</v>
      </c>
    </row>
    <row r="110" spans="1:9" ht="20" x14ac:dyDescent="0.2">
      <c r="B110" s="18" t="str">
        <f>"=Ginseng, dried"</f>
        <v>=Ginseng, dried</v>
      </c>
      <c r="C110" s="13"/>
      <c r="F110" t="str">
        <f>"=honey"</f>
        <v>=honey</v>
      </c>
      <c r="H110" t="s">
        <v>675</v>
      </c>
      <c r="I110" s="43" t="s">
        <v>719</v>
      </c>
    </row>
    <row r="111" spans="1:9" ht="20" x14ac:dyDescent="0.2">
      <c r="B111" s="18" t="str">
        <f>"=Cinnamon"</f>
        <v>=Cinnamon</v>
      </c>
      <c r="C111" s="13"/>
      <c r="F111" s="43" t="s">
        <v>719</v>
      </c>
      <c r="I111" t="str">
        <f>"=Cocoa Bean, Chocolate"</f>
        <v>=Cocoa Bean, Chocolate</v>
      </c>
    </row>
    <row r="112" spans="1:9" x14ac:dyDescent="0.2">
      <c r="B112" s="18" t="str">
        <f>"=Coriander, seed"</f>
        <v>=Coriander, seed</v>
      </c>
      <c r="C112" s="13"/>
      <c r="F112" t="str">
        <f>"=Escarole"</f>
        <v>=Escarole</v>
      </c>
      <c r="I112" t="str">
        <f>"=Cocoa bean, Powder"</f>
        <v>=Cocoa bean, Powder</v>
      </c>
    </row>
    <row r="113" spans="1:9" ht="20" x14ac:dyDescent="0.2">
      <c r="B113" s="18" t="str">
        <f>"=Dill, seed"</f>
        <v>=Dill, seed</v>
      </c>
      <c r="F113" s="43" t="s">
        <v>719</v>
      </c>
      <c r="I113" t="str">
        <f>"=Cocoa Butter"</f>
        <v>=Cocoa Butter</v>
      </c>
    </row>
    <row r="114" spans="1:9" x14ac:dyDescent="0.2">
      <c r="B114" s="18" t="str">
        <f>"=Pepper, black and white"</f>
        <v>=Pepper, black and white</v>
      </c>
      <c r="C114" s="13"/>
      <c r="F114" t="str">
        <f>"=Sheep"</f>
        <v>=Sheep</v>
      </c>
      <c r="I114" t="str">
        <f>"=Cocoa Cake"</f>
        <v>=Cocoa Cake</v>
      </c>
    </row>
    <row r="115" spans="1:9" ht="20" x14ac:dyDescent="0.2">
      <c r="B115" s="18" t="str">
        <f>"=Spices, other"</f>
        <v>=Spices, other</v>
      </c>
      <c r="C115" s="13"/>
      <c r="F115" s="43" t="s">
        <v>719</v>
      </c>
      <c r="I115" t="str">
        <f>"=Cocoa Liquor"</f>
        <v>=Cocoa Liquor</v>
      </c>
    </row>
    <row r="116" spans="1:9" ht="20" x14ac:dyDescent="0.2">
      <c r="A116" s="13" t="s">
        <v>727</v>
      </c>
      <c r="B116" s="43" t="s">
        <v>719</v>
      </c>
      <c r="C116" s="13"/>
      <c r="F116" t="str">
        <f>"=Maple syrup"</f>
        <v>=Maple syrup</v>
      </c>
      <c r="I116" t="str">
        <f>"=Coffee, roasted bean"</f>
        <v>=Coffee, roasted bean</v>
      </c>
    </row>
    <row r="117" spans="1:9" x14ac:dyDescent="0.2">
      <c r="B117" s="18" t="str">
        <f>"=Apple, fruit with peel"</f>
        <v>=Apple, fruit with peel</v>
      </c>
      <c r="C117" s="13"/>
      <c r="I117" t="str">
        <f>"=Tea, dried"</f>
        <v>=Tea, dried</v>
      </c>
    </row>
    <row r="118" spans="1:9" ht="20" x14ac:dyDescent="0.2">
      <c r="B118" s="18" t="str">
        <f>"=Pear"</f>
        <v>=Pear</v>
      </c>
      <c r="C118" s="13"/>
      <c r="F118" s="43" t="s">
        <v>719</v>
      </c>
    </row>
    <row r="119" spans="1:9" ht="20" x14ac:dyDescent="0.2">
      <c r="B119" s="18" t="str">
        <f>"=Cherry"</f>
        <v>=Cherry</v>
      </c>
      <c r="C119" s="13"/>
      <c r="F119" t="str">
        <f>"=Chicken"</f>
        <v>=Chicken</v>
      </c>
      <c r="H119" s="16" t="s">
        <v>728</v>
      </c>
      <c r="I119" s="43" t="s">
        <v>719</v>
      </c>
    </row>
    <row r="120" spans="1:9" x14ac:dyDescent="0.2">
      <c r="B120" s="18" t="str">
        <f>"=Apricot"</f>
        <v>=Apricot</v>
      </c>
      <c r="C120" s="13"/>
      <c r="I120" t="str">
        <f>"=Fluid Milk, cow"</f>
        <v>=Fluid Milk, cow</v>
      </c>
    </row>
    <row r="121" spans="1:9" ht="20" x14ac:dyDescent="0.2">
      <c r="B121" s="18" t="str">
        <f>"=Peach"</f>
        <v>=Peach</v>
      </c>
      <c r="C121" s="13"/>
      <c r="F121" s="43" t="s">
        <v>719</v>
      </c>
    </row>
    <row r="122" spans="1:9" ht="20" x14ac:dyDescent="0.2">
      <c r="B122" s="18" t="str">
        <f>"=Plum"</f>
        <v>=Plum</v>
      </c>
      <c r="C122" s="13"/>
      <c r="F122" t="str">
        <f>"=Corn, field, flour"</f>
        <v>=Corn, field, flour</v>
      </c>
      <c r="H122" t="s">
        <v>235</v>
      </c>
      <c r="I122" s="43" t="s">
        <v>719</v>
      </c>
    </row>
    <row r="123" spans="1:9" ht="20" x14ac:dyDescent="0.2">
      <c r="B123" s="18" t="str">
        <f>"=Plum, prune, fresh"</f>
        <v>=Plum, prune, fresh</v>
      </c>
      <c r="F123" s="43" t="s">
        <v>719</v>
      </c>
      <c r="I123" t="str">
        <f>"=Cucumber"</f>
        <v>=Cucumber</v>
      </c>
    </row>
    <row r="124" spans="1:9" x14ac:dyDescent="0.2">
      <c r="B124" s="18" t="str">
        <f>"=Persimmon"</f>
        <v>=Persimmon</v>
      </c>
      <c r="C124" s="13"/>
      <c r="F124" t="str">
        <f>"=Corn, field, starch"</f>
        <v>=Corn, field, starch</v>
      </c>
      <c r="I124" t="str">
        <f>"=pumpkin"</f>
        <v>=pumpkin</v>
      </c>
    </row>
    <row r="125" spans="1:9" ht="20" x14ac:dyDescent="0.2">
      <c r="B125" s="18" t="str">
        <f>"=Pomegranate"</f>
        <v>=Pomegranate</v>
      </c>
      <c r="C125" s="13"/>
      <c r="F125" s="43" t="s">
        <v>719</v>
      </c>
      <c r="I125" t="str">
        <f>"=Squash, Summer"</f>
        <v>=Squash, Summer</v>
      </c>
    </row>
    <row r="126" spans="1:9" ht="20" x14ac:dyDescent="0.2">
      <c r="A126" s="13" t="s">
        <v>729</v>
      </c>
      <c r="B126" s="43" t="s">
        <v>719</v>
      </c>
      <c r="C126" s="13"/>
      <c r="F126" t="str">
        <f>"=Beer"</f>
        <v>=Beer</v>
      </c>
      <c r="I126" t="str">
        <f>"=squash, winter"</f>
        <v>=squash, winter</v>
      </c>
    </row>
    <row r="127" spans="1:9" ht="20" x14ac:dyDescent="0.2">
      <c r="B127" s="18" t="str">
        <f>"=Fig"</f>
        <v>=Fig</v>
      </c>
      <c r="C127" s="13"/>
      <c r="F127" s="43" t="s">
        <v>719</v>
      </c>
      <c r="I127" s="18" t="str">
        <f>"=Cantaloupe"</f>
        <v>=Cantaloupe</v>
      </c>
    </row>
    <row r="128" spans="1:9" x14ac:dyDescent="0.2">
      <c r="B128" s="18" t="str">
        <f>"=Guava"</f>
        <v>=Guava</v>
      </c>
      <c r="C128" s="13"/>
      <c r="F128" t="str">
        <f>"=Oat, flour"</f>
        <v>=Oat, flour</v>
      </c>
      <c r="I128" s="18" t="str">
        <f>"=Honeydew melon"</f>
        <v>=Honeydew melon</v>
      </c>
    </row>
    <row r="129" spans="1:9" ht="20" x14ac:dyDescent="0.2">
      <c r="B129" s="18" t="str">
        <f>"=Lychee"</f>
        <v>=Lychee</v>
      </c>
      <c r="C129" s="13"/>
      <c r="F129" s="43" t="s">
        <v>719</v>
      </c>
      <c r="I129" s="18" t="str">
        <f>"=Watermelon"</f>
        <v>=Watermelon</v>
      </c>
    </row>
    <row r="130" spans="1:9" x14ac:dyDescent="0.2">
      <c r="B130" s="18" t="str">
        <f>"=Avocado"</f>
        <v>=Avocado</v>
      </c>
      <c r="C130" s="13"/>
      <c r="F130" t="str">
        <f>"=Sugarcane, molasses"</f>
        <v>=Sugarcane, molasses</v>
      </c>
      <c r="I130" s="18" t="str">
        <f>"=Balsam pear"</f>
        <v>=Balsam pear</v>
      </c>
    </row>
    <row r="131" spans="1:9" ht="20" x14ac:dyDescent="0.2">
      <c r="B131" s="18" t="str">
        <f>"=Banana"</f>
        <v>=Banana</v>
      </c>
      <c r="C131" s="13"/>
      <c r="F131" s="43" t="s">
        <v>719</v>
      </c>
      <c r="I131" s="18" t="str">
        <f>"=Chayote, fruit"</f>
        <v>=Chayote, fruit</v>
      </c>
    </row>
    <row r="132" spans="1:9" x14ac:dyDescent="0.2">
      <c r="B132" t="str">
        <f>"=tropical fruit"</f>
        <v>=tropical fruit</v>
      </c>
      <c r="C132" s="13"/>
      <c r="F132" t="str">
        <f>"=Tea, dried"</f>
        <v>=Tea, dried</v>
      </c>
      <c r="I132" s="18" t="str">
        <f>"=Chinese waxgourd"</f>
        <v>=Chinese waxgourd</v>
      </c>
    </row>
    <row r="133" spans="1:9" x14ac:dyDescent="0.2">
      <c r="B133" s="18" t="str">
        <f>"=Mango"</f>
        <v>=Mango</v>
      </c>
      <c r="C133" s="13"/>
    </row>
    <row r="134" spans="1:9" ht="20" x14ac:dyDescent="0.2">
      <c r="B134" s="18" t="str">
        <f>"=Papaya"</f>
        <v>=Papaya</v>
      </c>
      <c r="E134" t="s">
        <v>730</v>
      </c>
      <c r="F134" s="43" t="s">
        <v>719</v>
      </c>
      <c r="H134" t="s">
        <v>835</v>
      </c>
      <c r="I134" s="43" t="s">
        <v>719</v>
      </c>
    </row>
    <row r="135" spans="1:9" x14ac:dyDescent="0.2">
      <c r="B135" s="18" t="str">
        <f>"=Breadfruit"</f>
        <v>=Breadfruit</v>
      </c>
      <c r="F135" t="str">
        <f>"=Beef, meat"</f>
        <v>=Beef, meat</v>
      </c>
      <c r="I135" t="str">
        <f>"=Coffee, roasted bean"</f>
        <v>=Coffee, roasted bean</v>
      </c>
    </row>
    <row r="136" spans="1:9" x14ac:dyDescent="0.2">
      <c r="B136" s="18" t="str">
        <f>"=Pineapple"</f>
        <v>=Pineapple</v>
      </c>
      <c r="F136" t="str">
        <f>"=Goat, meat"</f>
        <v>=Goat, meat</v>
      </c>
    </row>
    <row r="137" spans="1:9" ht="20" x14ac:dyDescent="0.2">
      <c r="B137" s="18" t="str">
        <f>"=Soursop"</f>
        <v>=Soursop</v>
      </c>
      <c r="F137" t="str">
        <f>"=Sheep, meat"</f>
        <v>=Sheep, meat</v>
      </c>
      <c r="H137" t="s">
        <v>836</v>
      </c>
      <c r="I137" s="43" t="s">
        <v>719</v>
      </c>
    </row>
    <row r="138" spans="1:9" x14ac:dyDescent="0.2">
      <c r="B138" s="18" t="str">
        <f>"=Passionfruit"</f>
        <v>=Passionfruit</v>
      </c>
      <c r="I138" t="str">
        <f>"=Cranberry"</f>
        <v>=Cranberry</v>
      </c>
    </row>
    <row r="139" spans="1:9" ht="20" x14ac:dyDescent="0.2">
      <c r="A139" t="s">
        <v>487</v>
      </c>
      <c r="B139" s="43" t="s">
        <v>719</v>
      </c>
      <c r="E139" t="s">
        <v>731</v>
      </c>
      <c r="F139" s="43" t="s">
        <v>719</v>
      </c>
    </row>
    <row r="140" spans="1:9" ht="20" x14ac:dyDescent="0.2">
      <c r="B140" s="18" t="str">
        <f>"=Flax seed, oil"</f>
        <v>=Flax seed, oil</v>
      </c>
      <c r="F140" t="str">
        <f>"=Chicken, meat"</f>
        <v>=Chicken, meat</v>
      </c>
      <c r="H140" t="s">
        <v>837</v>
      </c>
      <c r="I140" s="43" t="s">
        <v>719</v>
      </c>
    </row>
    <row r="141" spans="1:9" x14ac:dyDescent="0.2">
      <c r="B141" s="18" t="str">
        <f>"=Rapeseed, oil"</f>
        <v>=Rapeseed, oil</v>
      </c>
      <c r="F141" t="str">
        <f>"=Poultry, meat"</f>
        <v>=Poultry, meat</v>
      </c>
      <c r="I141" t="str">
        <f>"=Dasheen, corm"</f>
        <v>=Dasheen, corm</v>
      </c>
    </row>
    <row r="142" spans="1:9" x14ac:dyDescent="0.2">
      <c r="B142" s="18" t="str">
        <f>"=Sesame, oil"</f>
        <v>=Sesame, oil</v>
      </c>
      <c r="F142" t="str">
        <f>"=Turkey, meat"</f>
        <v>=Turkey, meat</v>
      </c>
    </row>
    <row r="143" spans="1:9" ht="20" x14ac:dyDescent="0.2">
      <c r="B143" s="18" t="str">
        <f>"=Safflower, oil"</f>
        <v>=Safflower, oil</v>
      </c>
      <c r="F143" t="str">
        <f>"=Pork, meat"</f>
        <v>=Pork, meat</v>
      </c>
      <c r="H143" t="s">
        <v>838</v>
      </c>
      <c r="I143" s="43" t="s">
        <v>719</v>
      </c>
    </row>
    <row r="144" spans="1:9" x14ac:dyDescent="0.2">
      <c r="B144" s="18" t="str">
        <f>"=Sunflower, oil"</f>
        <v>=Sunflower, oil</v>
      </c>
      <c r="F144" t="str">
        <f>"=Rabbit, meat"</f>
        <v>=Rabbit, meat</v>
      </c>
      <c r="I144" t="str">
        <f>"=Fig"</f>
        <v>=Fig</v>
      </c>
    </row>
    <row r="145" spans="1:9" ht="20" x14ac:dyDescent="0.2">
      <c r="B145" s="18" t="str">
        <f>"=Cottonseed, oil"</f>
        <v>=Cottonseed, oil</v>
      </c>
      <c r="I145" s="43" t="s">
        <v>719</v>
      </c>
    </row>
    <row r="146" spans="1:9" ht="20" x14ac:dyDescent="0.2">
      <c r="E146" t="s">
        <v>834</v>
      </c>
      <c r="F146" s="43" t="s">
        <v>719</v>
      </c>
      <c r="I146" t="str">
        <f>"=Grapefruit"</f>
        <v>=Grapefruit</v>
      </c>
    </row>
    <row r="147" spans="1:9" ht="20" x14ac:dyDescent="0.2">
      <c r="A147" t="s">
        <v>157</v>
      </c>
      <c r="B147" s="43" t="s">
        <v>719</v>
      </c>
      <c r="F147" t="str">
        <f>"=Chicken, meat"</f>
        <v>=Chicken, meat</v>
      </c>
      <c r="I147" s="43" t="s">
        <v>719</v>
      </c>
    </row>
    <row r="148" spans="1:9" x14ac:dyDescent="0.2">
      <c r="B148" s="18" t="str">
        <f>"=Soybean, oil"</f>
        <v>=Soybean, oil</v>
      </c>
      <c r="F148" t="str">
        <f>"=Turkey, meat"</f>
        <v>=Turkey, meat</v>
      </c>
      <c r="I148" s="18" t="str">
        <f>"=Lemon"</f>
        <v>=Lemon</v>
      </c>
    </row>
    <row r="149" spans="1:9" ht="20" x14ac:dyDescent="0.2">
      <c r="B149" s="18" t="str">
        <f>"=Almond, oil"</f>
        <v>=Almond, oil</v>
      </c>
      <c r="F149" s="43" t="s">
        <v>719</v>
      </c>
      <c r="I149" s="43" t="s">
        <v>719</v>
      </c>
    </row>
    <row r="150" spans="1:9" x14ac:dyDescent="0.2">
      <c r="B150" s="18" t="str">
        <f>"=Coconut, oil"</f>
        <v>=Coconut, oil</v>
      </c>
      <c r="F150" t="str">
        <f>"=Pea, succulent"</f>
        <v>=Pea, succulent</v>
      </c>
      <c r="I150" s="18" t="str">
        <f>"=Lime"</f>
        <v>=Lime</v>
      </c>
    </row>
    <row r="151" spans="1:9" ht="20" x14ac:dyDescent="0.2">
      <c r="B151" s="18" t="str">
        <f>"=Corn, field, oil"</f>
        <v>=Corn, field, oil</v>
      </c>
      <c r="F151" s="43" t="s">
        <v>719</v>
      </c>
      <c r="I151" s="43" t="s">
        <v>719</v>
      </c>
    </row>
    <row r="152" spans="1:9" x14ac:dyDescent="0.2">
      <c r="B152" s="18" t="str">
        <f>"=Flax seed, oil"</f>
        <v>=Flax seed, oil</v>
      </c>
      <c r="F152" t="str">
        <f>"=Pea, dry"</f>
        <v>=Pea, dry</v>
      </c>
      <c r="I152" s="18" t="str">
        <f>"=Mango"</f>
        <v>=Mango</v>
      </c>
    </row>
    <row r="153" spans="1:9" ht="20" x14ac:dyDescent="0.2">
      <c r="B153" s="18" t="str">
        <f>"=Rapeseed, oil"</f>
        <v>=Rapeseed, oil</v>
      </c>
      <c r="F153" s="43" t="s">
        <v>719</v>
      </c>
      <c r="I153" s="43" t="s">
        <v>719</v>
      </c>
    </row>
    <row r="154" spans="1:9" x14ac:dyDescent="0.2">
      <c r="B154" s="18" t="str">
        <f>"=Sesame, oil"</f>
        <v>=Sesame, oil</v>
      </c>
      <c r="F154" t="str">
        <f>"=Peanut"</f>
        <v>=Peanut</v>
      </c>
      <c r="I154" s="18" t="str">
        <f>"=Oat, groats/rolled oats"</f>
        <v>=Oat, groats/rolled oats</v>
      </c>
    </row>
    <row r="155" spans="1:9" ht="20" x14ac:dyDescent="0.2">
      <c r="B155" s="18" t="str">
        <f>"=Safflower, oil"</f>
        <v>=Safflower, oil</v>
      </c>
      <c r="F155" s="43" t="s">
        <v>719</v>
      </c>
    </row>
    <row r="156" spans="1:9" x14ac:dyDescent="0.2">
      <c r="B156" s="18" t="str">
        <f>"=Sunflower, oil"</f>
        <v>=Sunflower, oil</v>
      </c>
      <c r="F156" t="str">
        <f>"=Plantain"</f>
        <v>=Plantain</v>
      </c>
    </row>
    <row r="157" spans="1:9" ht="20" x14ac:dyDescent="0.2">
      <c r="B157" s="18" t="str">
        <f>"=Cottonseed, oil"</f>
        <v>=Cottonseed, oil</v>
      </c>
      <c r="F157" s="43" t="s">
        <v>719</v>
      </c>
    </row>
    <row r="158" spans="1:9" x14ac:dyDescent="0.2">
      <c r="B158" s="18" t="str">
        <f>"=Olive, oil"</f>
        <v>=Olive, oil</v>
      </c>
      <c r="F158" t="str">
        <f>"=Raspberry"</f>
        <v>=Raspberry</v>
      </c>
    </row>
    <row r="159" spans="1:9" ht="20" x14ac:dyDescent="0.2">
      <c r="B159" s="18" t="str">
        <f>"=Palm, oil"</f>
        <v>=Palm, oil</v>
      </c>
      <c r="F159" s="43" t="s">
        <v>719</v>
      </c>
    </row>
    <row r="160" spans="1:9" x14ac:dyDescent="0.2">
      <c r="B160" s="18" t="str">
        <f>"=Peanut, oil"</f>
        <v>=Peanut, oil</v>
      </c>
      <c r="F160" s="18" t="str">
        <f>"=Rye, grain"</f>
        <v>=Rye, grain</v>
      </c>
    </row>
    <row r="161" spans="2:6" ht="20" x14ac:dyDescent="0.2">
      <c r="F161" s="43" t="s">
        <v>719</v>
      </c>
    </row>
    <row r="162" spans="2:6" ht="20" x14ac:dyDescent="0.2">
      <c r="B162" s="43" t="s">
        <v>719</v>
      </c>
      <c r="F162" s="18" t="str">
        <f>"=Sesame, seed"</f>
        <v>=Sesame, seed</v>
      </c>
    </row>
    <row r="163" spans="2:6" x14ac:dyDescent="0.2">
      <c r="B163" t="str">
        <f>"=Flax, seed"</f>
        <v>=Flax, seed</v>
      </c>
    </row>
    <row r="164" spans="2:6" ht="20" x14ac:dyDescent="0.2">
      <c r="B164" s="43" t="s">
        <v>719</v>
      </c>
    </row>
    <row r="165" spans="2:6" x14ac:dyDescent="0.2">
      <c r="B165" t="str">
        <f>"=olive"</f>
        <v>=olive</v>
      </c>
    </row>
    <row r="166" spans="2:6" ht="20" x14ac:dyDescent="0.2">
      <c r="B166" s="43" t="s">
        <v>719</v>
      </c>
    </row>
    <row r="167" spans="2:6" x14ac:dyDescent="0.2">
      <c r="B167" t="str">
        <f>"=Sunflower, seed"</f>
        <v>=Sunflower, seed</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112</vt:i4>
      </vt:variant>
    </vt:vector>
  </HeadingPairs>
  <TitlesOfParts>
    <vt:vector size="115" baseType="lpstr">
      <vt:lpstr>DESCRIPTION</vt:lpstr>
      <vt:lpstr>FCID Codes</vt:lpstr>
      <vt:lpstr>PROXIES</vt:lpstr>
      <vt:lpstr>all_brassica</vt:lpstr>
      <vt:lpstr>all_fish</vt:lpstr>
      <vt:lpstr>almond</vt:lpstr>
      <vt:lpstr>apple</vt:lpstr>
      <vt:lpstr>apricot</vt:lpstr>
      <vt:lpstr>artichoke_globe</vt:lpstr>
      <vt:lpstr>asparagus</vt:lpstr>
      <vt:lpstr>banana</vt:lpstr>
      <vt:lpstr>barley</vt:lpstr>
      <vt:lpstr>bean_dry</vt:lpstr>
      <vt:lpstr>bean_snap_succulent</vt:lpstr>
      <vt:lpstr>beer</vt:lpstr>
      <vt:lpstr>berry</vt:lpstr>
      <vt:lpstr>brassica</vt:lpstr>
      <vt:lpstr>brassica_greens</vt:lpstr>
      <vt:lpstr>brassica_roots</vt:lpstr>
      <vt:lpstr>broccoli</vt:lpstr>
      <vt:lpstr>carrot</vt:lpstr>
      <vt:lpstr>cassava</vt:lpstr>
      <vt:lpstr>celery</vt:lpstr>
      <vt:lpstr>cherry</vt:lpstr>
      <vt:lpstr>Chicken</vt:lpstr>
      <vt:lpstr>choc_coffee_tea</vt:lpstr>
      <vt:lpstr>citrus</vt:lpstr>
      <vt:lpstr>clover_seed</vt:lpstr>
      <vt:lpstr>coconut_meat</vt:lpstr>
      <vt:lpstr>coconut_oil</vt:lpstr>
      <vt:lpstr>coffee</vt:lpstr>
      <vt:lpstr>corn_flour</vt:lpstr>
      <vt:lpstr>corn_starch</vt:lpstr>
      <vt:lpstr>cranberry</vt:lpstr>
      <vt:lpstr>cucumber</vt:lpstr>
      <vt:lpstr>cucurbits</vt:lpstr>
      <vt:lpstr>dasheen</vt:lpstr>
      <vt:lpstr>dried_herbs</vt:lpstr>
      <vt:lpstr>endive</vt:lpstr>
      <vt:lpstr>Escarole</vt:lpstr>
      <vt:lpstr>Fig</vt:lpstr>
      <vt:lpstr>flax</vt:lpstr>
      <vt:lpstr>flours</vt:lpstr>
      <vt:lpstr>Fluid_milk_cow</vt:lpstr>
      <vt:lpstr>fresh_herbs</vt:lpstr>
      <vt:lpstr>ginger</vt:lpstr>
      <vt:lpstr>grains</vt:lpstr>
      <vt:lpstr>grape</vt:lpstr>
      <vt:lpstr>grape_raisin</vt:lpstr>
      <vt:lpstr>grapefruit</vt:lpstr>
      <vt:lpstr>greens</vt:lpstr>
      <vt:lpstr>honey</vt:lpstr>
      <vt:lpstr>legume_seed</vt:lpstr>
      <vt:lpstr>Lemon</vt:lpstr>
      <vt:lpstr>lentil_seed</vt:lpstr>
      <vt:lpstr>Lime</vt:lpstr>
      <vt:lpstr>Mango</vt:lpstr>
      <vt:lpstr>Maple_syrup</vt:lpstr>
      <vt:lpstr>melon</vt:lpstr>
      <vt:lpstr>nightshades</vt:lpstr>
      <vt:lpstr>nonruminant_meat</vt:lpstr>
      <vt:lpstr>nut</vt:lpstr>
      <vt:lpstr>oat_flour</vt:lpstr>
      <vt:lpstr>oats</vt:lpstr>
      <vt:lpstr>oils</vt:lpstr>
      <vt:lpstr>oilseed_oil</vt:lpstr>
      <vt:lpstr>olive</vt:lpstr>
      <vt:lpstr>onion_bulb</vt:lpstr>
      <vt:lpstr>orange</vt:lpstr>
      <vt:lpstr>papaya</vt:lpstr>
      <vt:lpstr>Pea_pigeon_seed</vt:lpstr>
      <vt:lpstr>peach</vt:lpstr>
      <vt:lpstr>peanut</vt:lpstr>
      <vt:lpstr>pear</vt:lpstr>
      <vt:lpstr>peasdry</vt:lpstr>
      <vt:lpstr>peasgreen</vt:lpstr>
      <vt:lpstr>pepper_bell</vt:lpstr>
      <vt:lpstr>pineapple</vt:lpstr>
      <vt:lpstr>plantain</vt:lpstr>
      <vt:lpstr>plum</vt:lpstr>
      <vt:lpstr>potato</vt:lpstr>
      <vt:lpstr>poultry</vt:lpstr>
      <vt:lpstr>processed_tomato</vt:lpstr>
      <vt:lpstr>raspberry</vt:lpstr>
      <vt:lpstr>rice</vt:lpstr>
      <vt:lpstr>rice_bran</vt:lpstr>
      <vt:lpstr>roots</vt:lpstr>
      <vt:lpstr>ruminant_meat</vt:lpstr>
      <vt:lpstr>rye</vt:lpstr>
      <vt:lpstr>saltwater_finfish</vt:lpstr>
      <vt:lpstr>saltwater_fish</vt:lpstr>
      <vt:lpstr>sesame</vt:lpstr>
      <vt:lpstr>Sheep</vt:lpstr>
      <vt:lpstr>soybean</vt:lpstr>
      <vt:lpstr>soybean_meal</vt:lpstr>
      <vt:lpstr>spices</vt:lpstr>
      <vt:lpstr>spinach</vt:lpstr>
      <vt:lpstr>squash</vt:lpstr>
      <vt:lpstr>strawberry</vt:lpstr>
      <vt:lpstr>sugarcane_molasses</vt:lpstr>
      <vt:lpstr>sunflower</vt:lpstr>
      <vt:lpstr>sweeteners</vt:lpstr>
      <vt:lpstr>sweetpotato</vt:lpstr>
      <vt:lpstr>tangerine</vt:lpstr>
      <vt:lpstr>tea</vt:lpstr>
      <vt:lpstr>tomato</vt:lpstr>
      <vt:lpstr>tree_fruit</vt:lpstr>
      <vt:lpstr>tropical_citrus</vt:lpstr>
      <vt:lpstr>tropical_citus</vt:lpstr>
      <vt:lpstr>tropical_fruit</vt:lpstr>
      <vt:lpstr>vegetables</vt:lpstr>
      <vt:lpstr>watermelon</vt:lpstr>
      <vt:lpstr>wheat</vt:lpstr>
      <vt:lpstr>wheat_flour</vt:lpstr>
      <vt:lpstr>zucchini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Heller</dc:creator>
  <cp:lastModifiedBy>Bell, Brooke Marie</cp:lastModifiedBy>
  <dcterms:created xsi:type="dcterms:W3CDTF">2018-04-24T14:30:57Z</dcterms:created>
  <dcterms:modified xsi:type="dcterms:W3CDTF">2023-12-07T20:29:03Z</dcterms:modified>
</cp:coreProperties>
</file>