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orders" sheetId="2" r:id="rId5"/>
  </sheets>
  <definedNames/>
  <calcPr/>
</workbook>
</file>

<file path=xl/sharedStrings.xml><?xml version="1.0" encoding="utf-8"?>
<sst xmlns="http://schemas.openxmlformats.org/spreadsheetml/2006/main" count="67" uniqueCount="53">
  <si>
    <t>Per 96 well plate</t>
  </si>
  <si>
    <t>Amount (uL)</t>
  </si>
  <si>
    <t>Product info</t>
  </si>
  <si>
    <t>Quantity sold</t>
  </si>
  <si>
    <t>Price</t>
  </si>
  <si>
    <t>Total cost</t>
  </si>
  <si>
    <t>Need to order</t>
  </si>
  <si>
    <t>Notes</t>
  </si>
  <si>
    <t>Zymo tissue buffer ("Biofluid &amp; Solid Tissue Buffer")</t>
  </si>
  <si>
    <t>100mL</t>
  </si>
  <si>
    <t>Ordered 1 more--should be enough</t>
  </si>
  <si>
    <t>Proteinase K (NEB)</t>
  </si>
  <si>
    <t>Lysophilized Proteinase K 100mg (makes 5mL) Sigman Aldrich</t>
  </si>
  <si>
    <t>100mg (makes 5mL)</t>
  </si>
  <si>
    <t>Ordered 5 lysophilized--should be enough with the leftover ProK I have</t>
  </si>
  <si>
    <t>DTT</t>
  </si>
  <si>
    <t>https://www.goldbio.com/documents/1040/DTT+Stock+Solution.pdf</t>
  </si>
  <si>
    <t>RNAse A</t>
  </si>
  <si>
    <t>PureLink RNAse A 12091039</t>
  </si>
  <si>
    <t>25mL</t>
  </si>
  <si>
    <t>DONE</t>
  </si>
  <si>
    <t>80% ethanol</t>
  </si>
  <si>
    <t>NA</t>
  </si>
  <si>
    <t>Nuclease-free water</t>
  </si>
  <si>
    <t>Deep-well plate</t>
  </si>
  <si>
    <t>Wait to see what type of plates you use</t>
  </si>
  <si>
    <t>Strip tubes with caps (for mastermixes)</t>
  </si>
  <si>
    <t>More efficient to just take from the EGL (instead of buying an entire box)</t>
  </si>
  <si>
    <t>EGL supplies</t>
  </si>
  <si>
    <t>EGL low ratio SPRI beads</t>
  </si>
  <si>
    <t>Filtered tips</t>
  </si>
  <si>
    <t>Unfiltered tips</t>
  </si>
  <si>
    <t>Foil mats</t>
  </si>
  <si>
    <t>Cost per plate</t>
  </si>
  <si>
    <t>Cost per sample</t>
  </si>
  <si>
    <t>samples left</t>
  </si>
  <si>
    <t xml:space="preserve">cost left </t>
  </si>
  <si>
    <t>grant left</t>
  </si>
  <si>
    <t>~18K left for library prep</t>
  </si>
  <si>
    <t>Part Number</t>
  </si>
  <si>
    <t>Lysophilized ProK</t>
  </si>
  <si>
    <t>PRV3021</t>
  </si>
  <si>
    <t>100mg</t>
  </si>
  <si>
    <r>
      <rPr/>
      <t xml:space="preserve">Will make 5mL of a 20mg/mL stock: </t>
    </r>
    <r>
      <rPr>
        <color rgb="FF1155CC"/>
        <u/>
      </rPr>
      <t>https://www.goldbio.com/articles/article/Proteinase-K-Solution-vs-Lyophilized-Powder</t>
    </r>
  </si>
  <si>
    <t>The other proteinase K = $68/2mL = $34/mL</t>
  </si>
  <si>
    <t>$15.57 cheaper per 5mL</t>
  </si>
  <si>
    <t>I need 38.4 mL more total</t>
  </si>
  <si>
    <t>ProK in solution is $34/mL</t>
  </si>
  <si>
    <t>saves</t>
  </si>
  <si>
    <t>Lysophilized is $30.886/mL</t>
  </si>
  <si>
    <t>That being said, there are cheaper brands</t>
  </si>
  <si>
    <t>Should check with Manny about the viability of other brands</t>
  </si>
  <si>
    <t>Yeah some are as cheap as $54 for 100mg--why??? are they lower quality??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</si>
</sst>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11.0"/>
      <color rgb="FF000000"/>
      <name val="Roboto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ldbio.com/documents/1040/DTT+Stock+Solution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ldbio.com/articles/article/Proteinase-K-Solution-vs-Lyophilized-Powder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3" max="3" width="20.63"/>
    <col customWidth="1" min="4" max="4" width="17.63"/>
  </cols>
  <sheetData>
    <row r="1">
      <c r="A1" s="1" t="s">
        <v>0</v>
      </c>
    </row>
    <row r="4">
      <c r="A4" s="1"/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>
      <c r="A5" s="1" t="s">
        <v>8</v>
      </c>
      <c r="B5" s="2">
        <f>120*96</f>
        <v>11520</v>
      </c>
      <c r="C5" s="1"/>
      <c r="D5" s="1" t="s">
        <v>9</v>
      </c>
      <c r="E5" s="1">
        <v>148.17</v>
      </c>
      <c r="F5" s="2">
        <f>(B5/100000)*E5</f>
        <v>17.069184</v>
      </c>
      <c r="G5" s="2">
        <f>(10*B5)/100000</f>
        <v>1.152</v>
      </c>
      <c r="H5" s="1" t="s">
        <v>10</v>
      </c>
    </row>
    <row r="6">
      <c r="A6" s="1" t="s">
        <v>11</v>
      </c>
      <c r="B6" s="2">
        <f>40*96</f>
        <v>3840</v>
      </c>
      <c r="C6" s="1" t="s">
        <v>12</v>
      </c>
      <c r="D6" s="1" t="s">
        <v>13</v>
      </c>
      <c r="E6" s="1">
        <v>55.91</v>
      </c>
      <c r="F6" s="2">
        <f>(B6/5000)*E6</f>
        <v>42.93888</v>
      </c>
      <c r="G6" s="3">
        <f>(B6/5000)*10</f>
        <v>7.68</v>
      </c>
      <c r="H6" s="4" t="s">
        <v>14</v>
      </c>
    </row>
    <row r="7">
      <c r="A7" s="1" t="s">
        <v>15</v>
      </c>
      <c r="B7" s="2">
        <f>2*96</f>
        <v>192</v>
      </c>
      <c r="C7" s="5" t="s">
        <v>16</v>
      </c>
    </row>
    <row r="8">
      <c r="A8" s="1" t="s">
        <v>17</v>
      </c>
      <c r="B8" s="2">
        <f>20*96</f>
        <v>1920</v>
      </c>
      <c r="C8" s="1" t="s">
        <v>18</v>
      </c>
      <c r="D8" s="1" t="s">
        <v>19</v>
      </c>
      <c r="E8" s="1">
        <v>398.02</v>
      </c>
      <c r="F8" s="2">
        <f>(B8/404000)*E8</f>
        <v>1.891580198</v>
      </c>
      <c r="G8" s="2">
        <f>(11*1920)/25000</f>
        <v>0.8448</v>
      </c>
      <c r="H8" s="1" t="s">
        <v>20</v>
      </c>
    </row>
    <row r="9">
      <c r="A9" s="1" t="s">
        <v>21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22</v>
      </c>
      <c r="G9" s="1" t="s">
        <v>22</v>
      </c>
      <c r="H9" s="1" t="s">
        <v>22</v>
      </c>
    </row>
    <row r="10">
      <c r="A10" s="4" t="s">
        <v>23</v>
      </c>
      <c r="B10" s="2">
        <f>50*96</f>
        <v>4800</v>
      </c>
      <c r="H10" s="1" t="s">
        <v>20</v>
      </c>
    </row>
    <row r="11">
      <c r="A11" s="6" t="s">
        <v>24</v>
      </c>
      <c r="B11" s="1">
        <v>1.0</v>
      </c>
      <c r="C11" s="6" t="s">
        <v>25</v>
      </c>
    </row>
    <row r="12">
      <c r="A12" s="1" t="s">
        <v>26</v>
      </c>
      <c r="B12" s="1">
        <v>1.0</v>
      </c>
      <c r="G12" s="1" t="s">
        <v>22</v>
      </c>
      <c r="H12" s="1" t="s">
        <v>27</v>
      </c>
    </row>
    <row r="15">
      <c r="A15" s="7" t="s">
        <v>28</v>
      </c>
    </row>
    <row r="16">
      <c r="A16" s="1" t="s">
        <v>29</v>
      </c>
      <c r="B16" s="2">
        <f>62*96</f>
        <v>5952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22</v>
      </c>
    </row>
    <row r="17">
      <c r="A17" s="1" t="s">
        <v>30</v>
      </c>
      <c r="B17" s="1">
        <v>6.0</v>
      </c>
      <c r="C17" s="1"/>
      <c r="D17" s="1"/>
      <c r="E17" s="1">
        <f>9.5 + (9.5*0.3) </f>
        <v>12.35</v>
      </c>
      <c r="F17" s="2">
        <f t="shared" ref="F17:F19" si="1">E17*B17</f>
        <v>74.1</v>
      </c>
    </row>
    <row r="18">
      <c r="A18" s="1" t="s">
        <v>31</v>
      </c>
      <c r="B18" s="1">
        <v>2.0</v>
      </c>
      <c r="C18" s="1"/>
      <c r="D18" s="1"/>
      <c r="E18" s="1">
        <f>5.5 + (5.5*0.3)</f>
        <v>7.15</v>
      </c>
      <c r="F18" s="2">
        <f t="shared" si="1"/>
        <v>14.3</v>
      </c>
    </row>
    <row r="19">
      <c r="A19" s="1" t="s">
        <v>32</v>
      </c>
      <c r="B19" s="1">
        <v>5.0</v>
      </c>
      <c r="E19" s="2">
        <f>0.85 + (0.85*0.3)</f>
        <v>1.105</v>
      </c>
      <c r="F19" s="2">
        <f t="shared" si="1"/>
        <v>5.525</v>
      </c>
    </row>
    <row r="22">
      <c r="C22" s="7"/>
      <c r="D22" s="7"/>
      <c r="E22" s="7" t="s">
        <v>33</v>
      </c>
      <c r="F22" s="2">
        <f>SUM(F5:F19)</f>
        <v>155.8246442</v>
      </c>
    </row>
    <row r="23">
      <c r="C23" s="7"/>
      <c r="D23" s="7"/>
      <c r="E23" s="7" t="s">
        <v>34</v>
      </c>
      <c r="F23" s="2">
        <f>F22/96</f>
        <v>1.623173377</v>
      </c>
    </row>
    <row r="24">
      <c r="C24" s="7"/>
      <c r="D24" s="7"/>
      <c r="E24" s="7" t="s">
        <v>5</v>
      </c>
      <c r="F24" s="2">
        <f>F23*1225</f>
        <v>1988.387387</v>
      </c>
    </row>
    <row r="26">
      <c r="E26" s="1" t="s">
        <v>35</v>
      </c>
      <c r="F26" s="2">
        <f>1114-96</f>
        <v>1018</v>
      </c>
    </row>
    <row r="27">
      <c r="E27" s="1" t="s">
        <v>36</v>
      </c>
      <c r="F27" s="2">
        <f>F23*F26</f>
        <v>1652.390498</v>
      </c>
    </row>
    <row r="28">
      <c r="E28" s="1" t="s">
        <v>37</v>
      </c>
      <c r="F28" s="2">
        <f>20000-F27</f>
        <v>18347.6095</v>
      </c>
      <c r="G28" s="1" t="s">
        <v>38</v>
      </c>
    </row>
  </sheetData>
  <hyperlinks>
    <hyperlink r:id="rId1" ref="C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25.0"/>
  </cols>
  <sheetData>
    <row r="1">
      <c r="B1" s="1" t="s">
        <v>39</v>
      </c>
    </row>
    <row r="2">
      <c r="A2" s="1" t="s">
        <v>40</v>
      </c>
      <c r="B2" s="8" t="s">
        <v>41</v>
      </c>
      <c r="C2" s="1" t="s">
        <v>42</v>
      </c>
      <c r="D2" s="1">
        <v>154.43</v>
      </c>
      <c r="E2" s="9" t="s">
        <v>43</v>
      </c>
    </row>
    <row r="3">
      <c r="E3" s="2">
        <f>D2/5</f>
        <v>30.886</v>
      </c>
    </row>
    <row r="4">
      <c r="E4" s="1" t="s">
        <v>44</v>
      </c>
      <c r="F4" s="2">
        <f>(68/2)*5</f>
        <v>170</v>
      </c>
    </row>
    <row r="5">
      <c r="E5" s="1" t="s">
        <v>45</v>
      </c>
      <c r="F5" s="2">
        <f>F4-154.43</f>
        <v>15.57</v>
      </c>
    </row>
    <row r="7">
      <c r="E7" s="1" t="s">
        <v>46</v>
      </c>
      <c r="F7" s="2">
        <f>(40*96)*10</f>
        <v>38400</v>
      </c>
    </row>
    <row r="8">
      <c r="E8" s="1" t="s">
        <v>47</v>
      </c>
      <c r="F8" s="2">
        <f>38.4*34</f>
        <v>1305.6</v>
      </c>
      <c r="G8" s="1" t="s">
        <v>48</v>
      </c>
    </row>
    <row r="9">
      <c r="E9" s="1" t="s">
        <v>49</v>
      </c>
      <c r="F9" s="2">
        <f>38.4*30.886</f>
        <v>1186.0224</v>
      </c>
      <c r="G9" s="2">
        <f>F8-F9</f>
        <v>119.5776</v>
      </c>
    </row>
    <row r="10">
      <c r="G10" s="1" t="s">
        <v>50</v>
      </c>
    </row>
    <row r="11">
      <c r="G11" s="1" t="s">
        <v>51</v>
      </c>
    </row>
    <row r="12">
      <c r="G12" s="1" t="s">
        <v>52</v>
      </c>
    </row>
  </sheetData>
  <hyperlinks>
    <hyperlink r:id="rId1" ref="E2"/>
  </hyperlinks>
  <drawing r:id="rId2"/>
</worksheet>
</file>