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<sst xmlns="http://schemas.openxmlformats.org/spreadsheetml/2006/main" count="150" uniqueCount="117">
  <si>
    <t>Total samples</t>
  </si>
  <si>
    <t>Manufacturer</t>
  </si>
  <si>
    <t>Vendor</t>
  </si>
  <si>
    <t>Catalogue number</t>
  </si>
  <si>
    <t>Quantity per order unit</t>
  </si>
  <si>
    <t>Quantity per sample</t>
  </si>
  <si>
    <t>Total units needed</t>
  </si>
  <si>
    <t>Cost per unit</t>
  </si>
  <si>
    <t>Total cost</t>
  </si>
  <si>
    <t>Notes</t>
  </si>
  <si>
    <t>Number of samples =</t>
  </si>
  <si>
    <t>DNA extractions</t>
  </si>
  <si>
    <t>Quick-DNA Plus 96 kit</t>
  </si>
  <si>
    <t>Zymo</t>
  </si>
  <si>
    <t>BearBuy</t>
  </si>
  <si>
    <t>D4071</t>
  </si>
  <si>
    <t>4x96 preps</t>
  </si>
  <si>
    <t xml:space="preserve">We already have a 4x96 and 2x96 kit at Cara's parent's house, so we only need 7 more kits </t>
  </si>
  <si>
    <t>Adaptors (3)</t>
  </si>
  <si>
    <t>Tn5mC-Apt1, Tn5mC1.1-A1block, Tn5mC-Repl01</t>
  </si>
  <si>
    <t>IDT</t>
  </si>
  <si>
    <t>Lydia estimated ~$900 for 3x min yield of this adapter pair ~ 320*3 = 960 samples</t>
  </si>
  <si>
    <t>Transposome assembly</t>
  </si>
  <si>
    <t>Tn5 transposase</t>
  </si>
  <si>
    <t>Macro lab</t>
  </si>
  <si>
    <t>NA</t>
  </si>
  <si>
    <t>1 mL</t>
  </si>
  <si>
    <t>10uL per 8 samples = 1.25 uL per sample</t>
  </si>
  <si>
    <t>We have 5.1ml already (paid $728), which is enough for 5000ul/10ul per 8 tagmentation reactions = 4000 reactions (so we have more than enough)</t>
  </si>
  <si>
    <t>Tagmentation of DNA</t>
  </si>
  <si>
    <t>Phage-lambda DNA (250ug)</t>
  </si>
  <si>
    <t>Promega</t>
  </si>
  <si>
    <t>D1521</t>
  </si>
  <si>
    <t>250 ug</t>
  </si>
  <si>
    <t>10 pg</t>
  </si>
  <si>
    <t>Would be great if we could buy a smaller amount, but not sure that exists</t>
  </si>
  <si>
    <t>2x TD buffer = 20 mM Tris + 10 mM MgCl2; 20% (vol/vol) dimethylformamide. Before the addition of dimethylformamide, adjust the pH to 7.6 with 100% acetic acid</t>
  </si>
  <si>
    <t>Homemade</t>
  </si>
  <si>
    <t>EGL</t>
  </si>
  <si>
    <t>10 uL</t>
  </si>
  <si>
    <t>1225 * 10 ul ~ 12.25 mL</t>
  </si>
  <si>
    <t>Costs are negligible; we already have the dimethylformamide (paid for by Sudmant lab)</t>
  </si>
  <si>
    <t>Post-tagmentation SPRI</t>
  </si>
  <si>
    <t>SPRI beads</t>
  </si>
  <si>
    <t>46 uL</t>
  </si>
  <si>
    <t>~25 mL buffer for pipetting system</t>
  </si>
  <si>
    <t>Oligonucleotide replacement and gap repair</t>
  </si>
  <si>
    <t>T4 DNA polymerase</t>
  </si>
  <si>
    <t>NEB</t>
  </si>
  <si>
    <t>M0203L</t>
  </si>
  <si>
    <t>1 uL</t>
  </si>
  <si>
    <t>Ampligase enzyme and buffer</t>
  </si>
  <si>
    <t>VWR, Bearbuy</t>
  </si>
  <si>
    <t>2500 units</t>
  </si>
  <si>
    <t>12.5 units</t>
  </si>
  <si>
    <t>dNTP mix (2.5 mM each, 10mM)</t>
  </si>
  <si>
    <t>100 uL</t>
  </si>
  <si>
    <t>2 uL</t>
  </si>
  <si>
    <t>Post-gap repair SPRI</t>
  </si>
  <si>
    <t>36 uL</t>
  </si>
  <si>
    <t>Added ~25 mL buffer for pipetting system. $65 for 50mL at EGL</t>
  </si>
  <si>
    <t>Bisulfite conversion</t>
  </si>
  <si>
    <t>EZ-96 DNA Methylation-Lightning Kit (Deep-Well)</t>
  </si>
  <si>
    <t>Bearbuy</t>
  </si>
  <si>
    <t>D5033</t>
  </si>
  <si>
    <t>2 x 96 preps = 192 samples</t>
  </si>
  <si>
    <t>Indexing PCR</t>
  </si>
  <si>
    <t>Kapa HiFi uracil+ (Peqlab)</t>
  </si>
  <si>
    <t>Kapa/Roche</t>
  </si>
  <si>
    <t xml:space="preserve">KK2801/ 07959052001 </t>
  </si>
  <si>
    <t>Lydia: will be cheaper with the 250/500 reaction size</t>
  </si>
  <si>
    <t>Dual-indexing plate (i5/i7)</t>
  </si>
  <si>
    <t>Illumina</t>
  </si>
  <si>
    <t>20027213</t>
  </si>
  <si>
    <t>one plate</t>
  </si>
  <si>
    <t>Lydia: plates might allow two uses, but Illumina won't tell us the concentration so we may have to order to know : /</t>
  </si>
  <si>
    <t>PCR primer Tn5mCp1—no modifications</t>
  </si>
  <si>
    <t>Lydia: you might not need these at all. If you do, the cost will be negligible</t>
  </si>
  <si>
    <t>PCR barcode primer Tn5mCBar—no modifications</t>
  </si>
  <si>
    <t>Misc plastics</t>
  </si>
  <si>
    <t>library consumable and QC costs</t>
  </si>
  <si>
    <t>Lydia: this an estimate extrapolated from the non-enzymatic costs of the Kapa protocol ($6) Nextera preps will be slightly cheaper though since there are fewer pipetting steps and bead cleanings (although there is the additional T4 step)</t>
  </si>
  <si>
    <t>other consumable and QC costs</t>
  </si>
  <si>
    <t>Lydia: a total guess--same as the one on the Kapa workflow expense sheet</t>
  </si>
  <si>
    <t>Pre-treating Nextera-style libraries (Arbor workaround)</t>
  </si>
  <si>
    <t>We'll probably skip this step the first time around with the hope that our homegrown Tn5 is compatible with the myBaits</t>
  </si>
  <si>
    <t>KAPA HiFi HotStart ReadyMix (2x)</t>
  </si>
  <si>
    <t>25 uL per reaction</t>
  </si>
  <si>
    <t>Can we merge our indexing PCR step with the PCR step in this pre-treatment workaround?</t>
  </si>
  <si>
    <t>P5-side primer (at 10uM)</t>
  </si>
  <si>
    <t>2.5 uL per reaction</t>
  </si>
  <si>
    <t>P7-side primer (at 10uM)</t>
  </si>
  <si>
    <t>Dynabeads MyOne Streptavidin C1 Beads (30uL per library amplification)</t>
  </si>
  <si>
    <t>30 uL per reaction</t>
  </si>
  <si>
    <t>Salt solution: 1M NaCl, 10mM Tris-HCL pH 7.5 (200 uL per library amplification)</t>
  </si>
  <si>
    <t>100 uL per reaction</t>
  </si>
  <si>
    <t>Lydia: this cost is negligible. We just provide elution buffer for free so all you need to pay for is the tube</t>
  </si>
  <si>
    <t>SPRI bead clean up</t>
  </si>
  <si>
    <t>?</t>
  </si>
  <si>
    <t>Not sure exactly what volumes we'll need</t>
  </si>
  <si>
    <t>Probe capture</t>
  </si>
  <si>
    <t>myBaits Custom Methyl-Seq 1-20K 48 Rxn</t>
  </si>
  <si>
    <t>Arbor</t>
  </si>
  <si>
    <t>48 reactions x 48 multiplex = 2304 samples</t>
  </si>
  <si>
    <t>This is multiplexing 48 per capture reaction. If we multiplex 24 per capture reaction, we'll have enough for 1152 samples</t>
  </si>
  <si>
    <t>2 x post-capture library amplification</t>
  </si>
  <si>
    <t>Kapa</t>
  </si>
  <si>
    <t>Should be able to plug in price from above PCR steps? [Lydia: no because here we can use a regular mastermix so it will be cheaper than the uracil one]</t>
  </si>
  <si>
    <t>2 x SPRI clean up following post-capture PCR</t>
  </si>
  <si>
    <t>Not sure exactly what volumes we'll need [Lydia: this will be really cheap. I just guessed $1/capture and rounded up]</t>
  </si>
  <si>
    <t>Sequencing costs</t>
  </si>
  <si>
    <t>HiSeq4000 SR100 at UC Davis</t>
  </si>
  <si>
    <t>306 samples per lane</t>
  </si>
  <si>
    <t>4 lanes</t>
  </si>
  <si>
    <t>$1200 per lane</t>
  </si>
  <si>
    <t>Average of 1 million reads per sample and 500 per locus--though we don't know what % of those will be unique and on target</t>
  </si>
  <si>
    <t>cost per 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</si>
</sst>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u/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u/>
      <sz val="10.0"/>
      <color rgb="FF000000"/>
      <name val="Arial"/>
      <scheme val="minor"/>
    </font>
    <font>
      <b/>
      <u/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b/>
      <i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0" numFmtId="0" xfId="0" applyAlignment="1" applyFill="1" applyFont="1">
      <alignment vertical="bottom"/>
    </xf>
    <xf borderId="0" fillId="0" fontId="5" numFmtId="0" xfId="0" applyAlignment="1" applyFont="1">
      <alignment readingOrder="0"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horizontal="right" readingOrder="0" vertical="bottom"/>
    </xf>
    <xf quotePrefix="1" borderId="0" fillId="0" fontId="0" numFmtId="0" xfId="0" applyAlignment="1" applyFont="1">
      <alignment readingOrder="0" vertical="bottom"/>
    </xf>
    <xf quotePrefix="1"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3" fontId="0" numFmtId="0" xfId="0" applyAlignment="1" applyFill="1" applyFont="1">
      <alignment readingOrder="0" vertical="bottom"/>
    </xf>
    <xf borderId="0" fillId="3" fontId="0" numFmtId="0" xfId="0" applyAlignment="1" applyFont="1">
      <alignment vertical="bottom"/>
    </xf>
    <xf borderId="0" fillId="3" fontId="0" numFmtId="0" xfId="0" applyAlignment="1" applyFont="1">
      <alignment readingOrder="0" shrinkToFit="0" vertical="bottom" wrapText="1"/>
    </xf>
    <xf borderId="0" fillId="3" fontId="0" numFmtId="0" xfId="0" applyAlignment="1" applyFont="1">
      <alignment shrinkToFit="0" vertical="bottom" wrapText="0"/>
    </xf>
    <xf borderId="0" fillId="3" fontId="3" numFmtId="0" xfId="0" applyFont="1"/>
    <xf borderId="0" fillId="0" fontId="4" numFmtId="0" xfId="0" applyAlignment="1" applyFont="1">
      <alignment readingOrder="0"/>
    </xf>
    <xf borderId="0" fillId="4" fontId="6" numFmtId="0" xfId="0" applyAlignment="1" applyFill="1" applyFont="1">
      <alignment readingOrder="0" vertical="bottom"/>
    </xf>
    <xf borderId="0" fillId="4" fontId="0" numFmtId="0" xfId="0" applyAlignment="1" applyFont="1">
      <alignment vertical="bottom"/>
    </xf>
    <xf borderId="0" fillId="4" fontId="0" numFmtId="0" xfId="0" applyAlignment="1" applyFont="1">
      <alignment readingOrder="0" shrinkToFit="0" vertical="bottom" wrapText="1"/>
    </xf>
    <xf borderId="0" fillId="4" fontId="3" numFmtId="0" xfId="0" applyFont="1"/>
    <xf borderId="0" fillId="4" fontId="0" numFmtId="0" xfId="0" applyAlignment="1" applyFont="1">
      <alignment readingOrder="0" vertical="bottom"/>
    </xf>
    <xf borderId="0" fillId="4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0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4" max="4" width="13.38"/>
    <col customWidth="1" min="5" max="5" width="18.13"/>
    <col customWidth="1" min="10" max="10" width="45.75"/>
    <col customWidth="1" min="11" max="11" width="20.63"/>
    <col customWidth="1" min="12" max="12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>
        <v>1225.0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1225.0</v>
      </c>
      <c r="B2" s="6"/>
      <c r="C2" s="7"/>
      <c r="D2" s="7"/>
      <c r="E2" s="7"/>
      <c r="F2" s="7"/>
      <c r="G2" s="7"/>
      <c r="H2" s="7"/>
      <c r="I2" s="7"/>
      <c r="J2" s="8"/>
      <c r="K2" s="9"/>
      <c r="L2" s="9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 t="s">
        <v>11</v>
      </c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12</v>
      </c>
      <c r="B4" s="11" t="s">
        <v>13</v>
      </c>
      <c r="C4" s="11" t="s">
        <v>14</v>
      </c>
      <c r="D4" s="14" t="s">
        <v>15</v>
      </c>
      <c r="E4" s="11" t="s">
        <v>16</v>
      </c>
      <c r="F4" s="5">
        <v>1.0</v>
      </c>
      <c r="G4" s="5">
        <f>ROUNDUP(((A2/96)-6)/4)</f>
        <v>2</v>
      </c>
      <c r="H4" s="5">
        <v>989.37</v>
      </c>
      <c r="I4" s="5">
        <f>H4*G4</f>
        <v>1978.74</v>
      </c>
      <c r="J4" s="12" t="s">
        <v>17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5"/>
      <c r="B5" s="7"/>
      <c r="C5" s="7"/>
      <c r="D5" s="7"/>
      <c r="E5" s="7"/>
      <c r="F5" s="7"/>
      <c r="G5" s="7"/>
      <c r="H5" s="7"/>
      <c r="I5" s="7"/>
      <c r="J5" s="8"/>
      <c r="K5" s="9"/>
      <c r="L5" s="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5" t="s">
        <v>18</v>
      </c>
      <c r="B6" s="7"/>
      <c r="C6" s="7"/>
      <c r="D6" s="7"/>
      <c r="E6" s="7"/>
      <c r="F6" s="7"/>
      <c r="G6" s="7"/>
      <c r="H6" s="7"/>
      <c r="I6" s="7"/>
      <c r="J6" s="8"/>
      <c r="K6" s="9"/>
      <c r="L6" s="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6" t="s">
        <v>19</v>
      </c>
      <c r="B7" s="16"/>
      <c r="C7" s="16" t="s">
        <v>20</v>
      </c>
      <c r="D7" s="16"/>
      <c r="E7" s="7"/>
      <c r="F7" s="16"/>
      <c r="G7" s="16"/>
      <c r="H7" s="7"/>
      <c r="I7" s="16">
        <v>1700.0</v>
      </c>
      <c r="J7" s="17" t="s">
        <v>21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/>
      <c r="B8" s="7"/>
      <c r="C8" s="7"/>
      <c r="D8" s="7"/>
      <c r="E8" s="7"/>
      <c r="F8" s="7"/>
      <c r="G8" s="7"/>
      <c r="H8" s="7"/>
      <c r="I8" s="7"/>
      <c r="J8" s="8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5" t="s">
        <v>22</v>
      </c>
      <c r="B9" s="7"/>
      <c r="C9" s="7"/>
      <c r="D9" s="7"/>
      <c r="E9" s="7"/>
      <c r="F9" s="7"/>
      <c r="G9" s="7"/>
      <c r="H9" s="7"/>
      <c r="I9" s="7"/>
      <c r="J9" s="8"/>
      <c r="K9" s="9"/>
      <c r="L9" s="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6" t="s">
        <v>23</v>
      </c>
      <c r="B10" s="16" t="s">
        <v>24</v>
      </c>
      <c r="C10" s="16" t="s">
        <v>24</v>
      </c>
      <c r="D10" s="16" t="s">
        <v>25</v>
      </c>
      <c r="E10" s="16" t="s">
        <v>26</v>
      </c>
      <c r="F10" s="16" t="s">
        <v>27</v>
      </c>
      <c r="G10" s="18">
        <v>1.53125</v>
      </c>
      <c r="H10" s="18">
        <v>153.6</v>
      </c>
      <c r="I10" s="18">
        <v>307.2</v>
      </c>
      <c r="J10" s="17" t="s">
        <v>28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/>
      <c r="B11" s="7"/>
      <c r="C11" s="7"/>
      <c r="D11" s="7"/>
      <c r="E11" s="7"/>
      <c r="F11" s="7"/>
      <c r="G11" s="7"/>
      <c r="H11" s="7"/>
      <c r="I11" s="7"/>
      <c r="J11" s="8"/>
      <c r="K11" s="9"/>
      <c r="L11" s="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5" t="s">
        <v>29</v>
      </c>
      <c r="B12" s="7"/>
      <c r="C12" s="7"/>
      <c r="D12" s="7"/>
      <c r="E12" s="7"/>
      <c r="F12" s="7"/>
      <c r="G12" s="7"/>
      <c r="H12" s="7"/>
      <c r="I12" s="7"/>
      <c r="J12" s="8"/>
      <c r="K12" s="9"/>
      <c r="L12" s="9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6" t="s">
        <v>30</v>
      </c>
      <c r="B13" s="16" t="s">
        <v>31</v>
      </c>
      <c r="C13" s="16" t="s">
        <v>14</v>
      </c>
      <c r="D13" s="16" t="s">
        <v>32</v>
      </c>
      <c r="E13" s="16" t="s">
        <v>33</v>
      </c>
      <c r="F13" s="16" t="s">
        <v>34</v>
      </c>
      <c r="G13" s="18">
        <v>4.9E-5</v>
      </c>
      <c r="H13" s="18">
        <v>86.51</v>
      </c>
      <c r="I13" s="18">
        <v>86.51</v>
      </c>
      <c r="J13" s="17" t="s">
        <v>35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6" t="s">
        <v>36</v>
      </c>
      <c r="B14" s="16" t="s">
        <v>37</v>
      </c>
      <c r="C14" s="16" t="s">
        <v>38</v>
      </c>
      <c r="D14" s="16" t="s">
        <v>25</v>
      </c>
      <c r="E14" s="16" t="s">
        <v>25</v>
      </c>
      <c r="F14" s="16" t="s">
        <v>39</v>
      </c>
      <c r="G14" s="16" t="s">
        <v>40</v>
      </c>
      <c r="H14" s="7"/>
      <c r="I14" s="16" t="s">
        <v>25</v>
      </c>
      <c r="J14" s="17" t="s">
        <v>41</v>
      </c>
      <c r="K14" s="9"/>
      <c r="L14" s="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/>
      <c r="B15" s="7"/>
      <c r="C15" s="7"/>
      <c r="D15" s="7"/>
      <c r="E15" s="7"/>
      <c r="F15" s="7"/>
      <c r="G15" s="7"/>
      <c r="H15" s="7"/>
      <c r="I15" s="7"/>
      <c r="J15" s="8"/>
      <c r="K15" s="9"/>
      <c r="L15" s="9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5" t="s">
        <v>42</v>
      </c>
      <c r="B16" s="16"/>
      <c r="C16" s="16"/>
      <c r="D16" s="16"/>
      <c r="E16" s="7"/>
      <c r="F16" s="7"/>
      <c r="G16" s="7"/>
      <c r="H16" s="7"/>
      <c r="I16" s="16"/>
      <c r="J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6" t="s">
        <v>43</v>
      </c>
      <c r="B17" s="16" t="s">
        <v>25</v>
      </c>
      <c r="C17" s="16" t="s">
        <v>38</v>
      </c>
      <c r="D17" s="16" t="s">
        <v>25</v>
      </c>
      <c r="E17" s="16" t="s">
        <v>26</v>
      </c>
      <c r="F17" s="16" t="s">
        <v>44</v>
      </c>
      <c r="G17" s="7">
        <f>(46*1225)/1000 +25</f>
        <v>81.35</v>
      </c>
      <c r="H17" s="7">
        <f>65/50</f>
        <v>1.3</v>
      </c>
      <c r="I17" s="7">
        <f>H17*G17</f>
        <v>105.755</v>
      </c>
      <c r="J17" s="17" t="s">
        <v>45</v>
      </c>
      <c r="K17" s="9"/>
      <c r="L17" s="9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/>
      <c r="B18" s="7"/>
      <c r="C18" s="7"/>
      <c r="D18" s="7"/>
      <c r="E18" s="7"/>
      <c r="F18" s="7"/>
      <c r="G18" s="7"/>
      <c r="H18" s="7"/>
      <c r="I18" s="7"/>
      <c r="J18" s="8"/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5" t="s">
        <v>46</v>
      </c>
      <c r="B19" s="7"/>
      <c r="C19" s="7"/>
      <c r="D19" s="7"/>
      <c r="E19" s="7"/>
      <c r="F19" s="7"/>
      <c r="G19" s="7"/>
      <c r="H19" s="7"/>
      <c r="I19" s="7"/>
      <c r="J19" s="8"/>
      <c r="K19" s="9"/>
      <c r="L19" s="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6" t="s">
        <v>47</v>
      </c>
      <c r="B20" s="16" t="s">
        <v>48</v>
      </c>
      <c r="C20" s="16" t="s">
        <v>48</v>
      </c>
      <c r="D20" s="19" t="s">
        <v>49</v>
      </c>
      <c r="E20" s="16" t="s">
        <v>50</v>
      </c>
      <c r="F20" s="16" t="s">
        <v>50</v>
      </c>
      <c r="G20" s="18">
        <v>1225.0</v>
      </c>
      <c r="H20" s="18">
        <v>1.2</v>
      </c>
      <c r="I20" s="18">
        <f>G20*H20</f>
        <v>1470</v>
      </c>
      <c r="J20" s="17"/>
      <c r="K20" s="9"/>
      <c r="L20" s="9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6" t="s">
        <v>51</v>
      </c>
      <c r="B21" s="16"/>
      <c r="C21" s="16" t="s">
        <v>52</v>
      </c>
      <c r="D21" s="16"/>
      <c r="E21" s="16" t="s">
        <v>53</v>
      </c>
      <c r="F21" s="16" t="s">
        <v>54</v>
      </c>
      <c r="G21" s="18">
        <f>12.5*1225</f>
        <v>15312.5</v>
      </c>
      <c r="H21" s="18">
        <f>319.53/2500</f>
        <v>0.127812</v>
      </c>
      <c r="I21" s="18">
        <f>H21*G21</f>
        <v>1957.12125</v>
      </c>
      <c r="J21" s="17"/>
      <c r="K21" s="9"/>
      <c r="L21" s="9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6" t="s">
        <v>55</v>
      </c>
      <c r="B22" s="16" t="s">
        <v>25</v>
      </c>
      <c r="C22" s="16" t="s">
        <v>38</v>
      </c>
      <c r="D22" s="16" t="s">
        <v>25</v>
      </c>
      <c r="E22" s="16" t="s">
        <v>56</v>
      </c>
      <c r="F22" s="16" t="s">
        <v>57</v>
      </c>
      <c r="G22" s="18">
        <v>24.5</v>
      </c>
      <c r="H22" s="18">
        <v>3.58</v>
      </c>
      <c r="I22" s="18">
        <v>89.5</v>
      </c>
      <c r="J22" s="8"/>
      <c r="K22" s="9"/>
      <c r="L22" s="9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/>
      <c r="B23" s="7"/>
      <c r="C23" s="7"/>
      <c r="D23" s="7"/>
      <c r="E23" s="7"/>
      <c r="F23" s="7"/>
      <c r="G23" s="7"/>
      <c r="H23" s="7"/>
      <c r="I23" s="7"/>
      <c r="J23" s="8"/>
      <c r="K23" s="7"/>
      <c r="L23" s="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5" t="s">
        <v>58</v>
      </c>
      <c r="B24" s="16"/>
      <c r="C24" s="16"/>
      <c r="D24" s="16"/>
      <c r="E24" s="7"/>
      <c r="F24" s="7"/>
      <c r="G24" s="7"/>
      <c r="H24" s="7"/>
      <c r="I24" s="16"/>
      <c r="J24" s="1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6" t="s">
        <v>43</v>
      </c>
      <c r="B25" s="16" t="s">
        <v>25</v>
      </c>
      <c r="C25" s="16" t="s">
        <v>38</v>
      </c>
      <c r="D25" s="16" t="s">
        <v>25</v>
      </c>
      <c r="E25" s="16" t="s">
        <v>26</v>
      </c>
      <c r="F25" s="16" t="s">
        <v>59</v>
      </c>
      <c r="G25" s="7">
        <f>(36*1225)/1000 + 25</f>
        <v>69.1</v>
      </c>
      <c r="H25" s="7">
        <f>65/50</f>
        <v>1.3</v>
      </c>
      <c r="I25" s="7">
        <f>H25*G25 +(65/2)</f>
        <v>122.33</v>
      </c>
      <c r="J25" s="17" t="s">
        <v>60</v>
      </c>
      <c r="K25" s="9"/>
      <c r="L25" s="9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/>
      <c r="B26" s="7"/>
      <c r="C26" s="7"/>
      <c r="D26" s="7"/>
      <c r="E26" s="7"/>
      <c r="F26" s="7"/>
      <c r="G26" s="7"/>
      <c r="H26" s="7"/>
      <c r="I26" s="7"/>
      <c r="J26" s="8"/>
      <c r="K26" s="9"/>
      <c r="L26" s="9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5" t="s">
        <v>61</v>
      </c>
      <c r="B27" s="7"/>
      <c r="C27" s="7"/>
      <c r="D27" s="7"/>
      <c r="E27" s="7"/>
      <c r="F27" s="7"/>
      <c r="G27" s="7"/>
      <c r="H27" s="7"/>
      <c r="I27" s="7"/>
      <c r="J27" s="8"/>
      <c r="K27" s="9"/>
      <c r="L27" s="9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6" t="s">
        <v>62</v>
      </c>
      <c r="B28" s="16" t="s">
        <v>13</v>
      </c>
      <c r="C28" s="16" t="s">
        <v>63</v>
      </c>
      <c r="D28" s="16" t="s">
        <v>64</v>
      </c>
      <c r="E28" s="16" t="s">
        <v>65</v>
      </c>
      <c r="F28" s="16" t="s">
        <v>25</v>
      </c>
      <c r="G28" s="18">
        <f>ROUNDUP(1225/192)</f>
        <v>7</v>
      </c>
      <c r="H28" s="18">
        <v>417.03</v>
      </c>
      <c r="I28" s="18">
        <f>H28*G28</f>
        <v>2919.21</v>
      </c>
      <c r="J28" s="17"/>
      <c r="K28" s="9"/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/>
      <c r="B29" s="7"/>
      <c r="C29" s="7"/>
      <c r="D29" s="7"/>
      <c r="E29" s="7"/>
      <c r="F29" s="7"/>
      <c r="G29" s="7"/>
      <c r="H29" s="7"/>
      <c r="I29" s="7"/>
      <c r="J29" s="8"/>
      <c r="K29" s="9"/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5" t="s">
        <v>66</v>
      </c>
      <c r="B30" s="7"/>
      <c r="C30" s="7"/>
      <c r="D30" s="7"/>
      <c r="E30" s="7"/>
      <c r="F30" s="7"/>
      <c r="G30" s="7"/>
      <c r="H30" s="7"/>
      <c r="I30" s="7"/>
      <c r="J30" s="7"/>
      <c r="K30" s="9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3" t="s">
        <v>67</v>
      </c>
      <c r="B31" s="11" t="s">
        <v>68</v>
      </c>
      <c r="C31" s="13"/>
      <c r="D31" s="20" t="s">
        <v>69</v>
      </c>
      <c r="E31" s="11"/>
      <c r="F31" s="11"/>
      <c r="G31" s="5">
        <v>1225.0</v>
      </c>
      <c r="H31" s="5">
        <v>3.2</v>
      </c>
      <c r="I31" s="21">
        <f t="shared" ref="I31:I32" si="1">G31*H31</f>
        <v>3920</v>
      </c>
      <c r="J31" s="22" t="s">
        <v>70</v>
      </c>
      <c r="K31" s="17"/>
      <c r="L31" s="17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6" t="s">
        <v>71</v>
      </c>
      <c r="B32" s="7"/>
      <c r="C32" s="16" t="s">
        <v>72</v>
      </c>
      <c r="D32" s="19" t="s">
        <v>73</v>
      </c>
      <c r="E32" s="16" t="s">
        <v>74</v>
      </c>
      <c r="F32" s="7"/>
      <c r="G32" s="16">
        <v>13.0</v>
      </c>
      <c r="H32" s="16">
        <v>815.0</v>
      </c>
      <c r="I32" s="16">
        <f t="shared" si="1"/>
        <v>10595</v>
      </c>
      <c r="J32" s="17" t="s">
        <v>75</v>
      </c>
      <c r="K32" s="9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3" t="s">
        <v>76</v>
      </c>
      <c r="B33" s="24"/>
      <c r="C33" s="24"/>
      <c r="D33" s="24"/>
      <c r="E33" s="24"/>
      <c r="F33" s="24"/>
      <c r="G33" s="24"/>
      <c r="H33" s="24"/>
      <c r="I33" s="24"/>
      <c r="J33" s="25" t="s">
        <v>77</v>
      </c>
      <c r="K33" s="26"/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3" t="s">
        <v>78</v>
      </c>
      <c r="B34" s="24"/>
      <c r="C34" s="24"/>
      <c r="D34" s="24"/>
      <c r="E34" s="24"/>
      <c r="F34" s="24"/>
      <c r="G34" s="24"/>
      <c r="H34" s="24"/>
      <c r="I34" s="24"/>
      <c r="J34" s="25" t="s">
        <v>77</v>
      </c>
      <c r="K34" s="26"/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16"/>
      <c r="B35" s="7"/>
      <c r="C35" s="7"/>
      <c r="D35" s="7"/>
      <c r="E35" s="7"/>
      <c r="F35" s="7"/>
      <c r="G35" s="16"/>
      <c r="H35" s="16"/>
      <c r="I35" s="7"/>
      <c r="J35" s="8"/>
      <c r="K35" s="9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8" t="s">
        <v>79</v>
      </c>
      <c r="B36" s="7"/>
      <c r="C36" s="7"/>
      <c r="D36" s="7"/>
      <c r="E36" s="7"/>
      <c r="F36" s="7"/>
      <c r="G36" s="16"/>
      <c r="H36" s="16"/>
      <c r="I36" s="7"/>
      <c r="J36" s="8"/>
      <c r="K36" s="9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6" t="s">
        <v>80</v>
      </c>
      <c r="B37" s="7"/>
      <c r="C37" s="7"/>
      <c r="D37" s="7"/>
      <c r="E37" s="7"/>
      <c r="F37" s="7"/>
      <c r="G37" s="16">
        <v>1225.0</v>
      </c>
      <c r="H37" s="16">
        <v>4.0</v>
      </c>
      <c r="I37" s="7">
        <f t="shared" ref="I37:I38" si="2">G37*H37</f>
        <v>4900</v>
      </c>
      <c r="J37" s="17" t="s">
        <v>81</v>
      </c>
      <c r="K37" s="9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6" t="s">
        <v>82</v>
      </c>
      <c r="B38" s="7"/>
      <c r="C38" s="7"/>
      <c r="D38" s="7"/>
      <c r="E38" s="7"/>
      <c r="F38" s="7"/>
      <c r="G38" s="16">
        <v>1225.0</v>
      </c>
      <c r="H38" s="16">
        <v>4.0</v>
      </c>
      <c r="I38" s="7">
        <f t="shared" si="2"/>
        <v>4900</v>
      </c>
      <c r="J38" s="17" t="s">
        <v>83</v>
      </c>
      <c r="K38" s="9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/>
      <c r="B39" s="7"/>
      <c r="C39" s="7"/>
      <c r="D39" s="7"/>
      <c r="E39" s="7"/>
      <c r="F39" s="7"/>
      <c r="G39" s="7"/>
      <c r="H39" s="7"/>
      <c r="I39" s="7"/>
      <c r="J39" s="8"/>
      <c r="K39" s="9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9" t="s">
        <v>84</v>
      </c>
      <c r="B40" s="30"/>
      <c r="C40" s="30"/>
      <c r="D40" s="30"/>
      <c r="E40" s="30"/>
      <c r="F40" s="30"/>
      <c r="G40" s="30"/>
      <c r="H40" s="30"/>
      <c r="I40" s="30"/>
      <c r="J40" s="31" t="s">
        <v>85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3" t="s">
        <v>86</v>
      </c>
      <c r="B41" s="30"/>
      <c r="C41" s="30"/>
      <c r="D41" s="30"/>
      <c r="E41" s="30"/>
      <c r="F41" s="33" t="s">
        <v>87</v>
      </c>
      <c r="G41" s="30"/>
      <c r="H41" s="30"/>
      <c r="I41" s="30"/>
      <c r="J41" s="31" t="s">
        <v>88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3" t="s">
        <v>89</v>
      </c>
      <c r="B42" s="30"/>
      <c r="C42" s="30"/>
      <c r="D42" s="30"/>
      <c r="E42" s="30"/>
      <c r="F42" s="33" t="s">
        <v>90</v>
      </c>
      <c r="G42" s="30"/>
      <c r="H42" s="30"/>
      <c r="I42" s="30"/>
      <c r="J42" s="34"/>
      <c r="K42" s="35"/>
      <c r="L42" s="35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3" t="s">
        <v>91</v>
      </c>
      <c r="B43" s="30"/>
      <c r="C43" s="30"/>
      <c r="D43" s="30"/>
      <c r="E43" s="30"/>
      <c r="F43" s="33" t="s">
        <v>90</v>
      </c>
      <c r="G43" s="30"/>
      <c r="H43" s="30"/>
      <c r="I43" s="30"/>
      <c r="J43" s="34"/>
      <c r="K43" s="35"/>
      <c r="L43" s="35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3" t="s">
        <v>92</v>
      </c>
      <c r="B44" s="30"/>
      <c r="C44" s="30"/>
      <c r="D44" s="30"/>
      <c r="E44" s="30"/>
      <c r="F44" s="33" t="s">
        <v>93</v>
      </c>
      <c r="G44" s="30"/>
      <c r="H44" s="33">
        <v>0.3</v>
      </c>
      <c r="I44" s="30"/>
      <c r="J44" s="34"/>
      <c r="K44" s="35"/>
      <c r="L44" s="35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3" t="s">
        <v>94</v>
      </c>
      <c r="B45" s="30"/>
      <c r="C45" s="30"/>
      <c r="D45" s="30"/>
      <c r="E45" s="30"/>
      <c r="F45" s="33" t="s">
        <v>95</v>
      </c>
      <c r="G45" s="30"/>
      <c r="H45" s="30"/>
      <c r="I45" s="30"/>
      <c r="J45" s="31" t="s">
        <v>96</v>
      </c>
      <c r="K45" s="35"/>
      <c r="L45" s="35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3" t="s">
        <v>97</v>
      </c>
      <c r="B46" s="33" t="s">
        <v>25</v>
      </c>
      <c r="C46" s="33" t="s">
        <v>38</v>
      </c>
      <c r="D46" s="33" t="s">
        <v>25</v>
      </c>
      <c r="E46" s="30"/>
      <c r="F46" s="30"/>
      <c r="G46" s="30"/>
      <c r="H46" s="30"/>
      <c r="I46" s="33" t="s">
        <v>98</v>
      </c>
      <c r="J46" s="31" t="s">
        <v>99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7"/>
      <c r="B47" s="7"/>
      <c r="C47" s="7"/>
      <c r="D47" s="7"/>
      <c r="E47" s="7"/>
      <c r="F47" s="7"/>
      <c r="G47" s="7"/>
      <c r="H47" s="7"/>
      <c r="I47" s="7"/>
      <c r="J47" s="8"/>
      <c r="K47" s="9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5" t="s">
        <v>100</v>
      </c>
      <c r="B48" s="7"/>
      <c r="C48" s="7"/>
      <c r="D48" s="7"/>
      <c r="E48" s="7"/>
      <c r="F48" s="7"/>
      <c r="G48" s="7"/>
      <c r="H48" s="7"/>
      <c r="I48" s="7"/>
      <c r="J48" s="8"/>
      <c r="K48" s="9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6" t="s">
        <v>101</v>
      </c>
      <c r="B49" s="16" t="s">
        <v>102</v>
      </c>
      <c r="C49" s="16" t="s">
        <v>102</v>
      </c>
      <c r="D49" s="16" t="s">
        <v>25</v>
      </c>
      <c r="E49" s="16" t="s">
        <v>103</v>
      </c>
      <c r="F49" s="7"/>
      <c r="G49" s="18">
        <v>0.531684028</v>
      </c>
      <c r="H49" s="18">
        <v>8290.0</v>
      </c>
      <c r="I49" s="18">
        <v>8290.0</v>
      </c>
      <c r="J49" s="17" t="s">
        <v>104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6" t="s">
        <v>105</v>
      </c>
      <c r="B50" s="37"/>
      <c r="C50" s="37" t="s">
        <v>106</v>
      </c>
      <c r="D50" s="37"/>
      <c r="E50" s="38">
        <v>48.0</v>
      </c>
      <c r="F50" s="38">
        <v>100.0</v>
      </c>
      <c r="G50" s="38">
        <f>E50*F50</f>
        <v>4800</v>
      </c>
      <c r="H50" s="38">
        <v>0.13</v>
      </c>
      <c r="I50" s="38">
        <f>G50*H50</f>
        <v>624</v>
      </c>
      <c r="J50" s="39" t="s">
        <v>107</v>
      </c>
      <c r="K50" s="40"/>
      <c r="L50" s="40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2" t="s">
        <v>108</v>
      </c>
      <c r="B51" s="42" t="s">
        <v>25</v>
      </c>
      <c r="C51" s="42" t="s">
        <v>38</v>
      </c>
      <c r="D51" s="42" t="s">
        <v>25</v>
      </c>
      <c r="E51" s="37"/>
      <c r="F51" s="37"/>
      <c r="G51" s="38">
        <v>50.0</v>
      </c>
      <c r="H51" s="38">
        <v>1.0</v>
      </c>
      <c r="I51" s="43">
        <v>50.0</v>
      </c>
      <c r="J51" s="39" t="s">
        <v>109</v>
      </c>
      <c r="K51" s="31"/>
      <c r="L51" s="31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7"/>
      <c r="B52" s="7"/>
      <c r="C52" s="7"/>
      <c r="D52" s="7"/>
      <c r="E52" s="7"/>
      <c r="F52" s="7"/>
      <c r="G52" s="7"/>
      <c r="H52" s="7"/>
      <c r="I52" s="7"/>
      <c r="J52" s="8"/>
      <c r="K52" s="9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4" t="s">
        <v>110</v>
      </c>
      <c r="B53" s="11"/>
      <c r="C53" s="11"/>
      <c r="D53" s="11"/>
      <c r="E53" s="11"/>
      <c r="F53" s="11"/>
      <c r="G53" s="11"/>
      <c r="H53" s="11"/>
      <c r="I53" s="11" t="s">
        <v>98</v>
      </c>
      <c r="J53" s="1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37" t="s">
        <v>111</v>
      </c>
      <c r="B54" s="37"/>
      <c r="C54" s="37"/>
      <c r="D54" s="37"/>
      <c r="E54" s="37"/>
      <c r="F54" s="37" t="s">
        <v>112</v>
      </c>
      <c r="G54" s="37" t="s">
        <v>113</v>
      </c>
      <c r="H54" s="37" t="s">
        <v>114</v>
      </c>
      <c r="I54" s="38">
        <f>1200*4</f>
        <v>4800</v>
      </c>
      <c r="J54" s="45" t="s">
        <v>115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7"/>
      <c r="B56" s="7"/>
      <c r="C56" s="7"/>
      <c r="D56" s="7"/>
      <c r="E56" s="7"/>
      <c r="F56" s="7"/>
      <c r="G56" s="7"/>
      <c r="H56" s="7"/>
      <c r="I56" s="16" t="s">
        <v>8</v>
      </c>
      <c r="J56" s="17" t="s">
        <v>116</v>
      </c>
      <c r="K56" s="9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7"/>
      <c r="B57" s="7"/>
      <c r="C57" s="7"/>
      <c r="D57" s="7"/>
      <c r="E57" s="7"/>
      <c r="F57" s="7"/>
      <c r="G57" s="7"/>
      <c r="H57" s="7"/>
      <c r="I57" s="18">
        <f>SUM(I4:I51)</f>
        <v>44015.36625</v>
      </c>
      <c r="J57" s="46">
        <f>I57/1225</f>
        <v>35.93091122</v>
      </c>
      <c r="K57" s="9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4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4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4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4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4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4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4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4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4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4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4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4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4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4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4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4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4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4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4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4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4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4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4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4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4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4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4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4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4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4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4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4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4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4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4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4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4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4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4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4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4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4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4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4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4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4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4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4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4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4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4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4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4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4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4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4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4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4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4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4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4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4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4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4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4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4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4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4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4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4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4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4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4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4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4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4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4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4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4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4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4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4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4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4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4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4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4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4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4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4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4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4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4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4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4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4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4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4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4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4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4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4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4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4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4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4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4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4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4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4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4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4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4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4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4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4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4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4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4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4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4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4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4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4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4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4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4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4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4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4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4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4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4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4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4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4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4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4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4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4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4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4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4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4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4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4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4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4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4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4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4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4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4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4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4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4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4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4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4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4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4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4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4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4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4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4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4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4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4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4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4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4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4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4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4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4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4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4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4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4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4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4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4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4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4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4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4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4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4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4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4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4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4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4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4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4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4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4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4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4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4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4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4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4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4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4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4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4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4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4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4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4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4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4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4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4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4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4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4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4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4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4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4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4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4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4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4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4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4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4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4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4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4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4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4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4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4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4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4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4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4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4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4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4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4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4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4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4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4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4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4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4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4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4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4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4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4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4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4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4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4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4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4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4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4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4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4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4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4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4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4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4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4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4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4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4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4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4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4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4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4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4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4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4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4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4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4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4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4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4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4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4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4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4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4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4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4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4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4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4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4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4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4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4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4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4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4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4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4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4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4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4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4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4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4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4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4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4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4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4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4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4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4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4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4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4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4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4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4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4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4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4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4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4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4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4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4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4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4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4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4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4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4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4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4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4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4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4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4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4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4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4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4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4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4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4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4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4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4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4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4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4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4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4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4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4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4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4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4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4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4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4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4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4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4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4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4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4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4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4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4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4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4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4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4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4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4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4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4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4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4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4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4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4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4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4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4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4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4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4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4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4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4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4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4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4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4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4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4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4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4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4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4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4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4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4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4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4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4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4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4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4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4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4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4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4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4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4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4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4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4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4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4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4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4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4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4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4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4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4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4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4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4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4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4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4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4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4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4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4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4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4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4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4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4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4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4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4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4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4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4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4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4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4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4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4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4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4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4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4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4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4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4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4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4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4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4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4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4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4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4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4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4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4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4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4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4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4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4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4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4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4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4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4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4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4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4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4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4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4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4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4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4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4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4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4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4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4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4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4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4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4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4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4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4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4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4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4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4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4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4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4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4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4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4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4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4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4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4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4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4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4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4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4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4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4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4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4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4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4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4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4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4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4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4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4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4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4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4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4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4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4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4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4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4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4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4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4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4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4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4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4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4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4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4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4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4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4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4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4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4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4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4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4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4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4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4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4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4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4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4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4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4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4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4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4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4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4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4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4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4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4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4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4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4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4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4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4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4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4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4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4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4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4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4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4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4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4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4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4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4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4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4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4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4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4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4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4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4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4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4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4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4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4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4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4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4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4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4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4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4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4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4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4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4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4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4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4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4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4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4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4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4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4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4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4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4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4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4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4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4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4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4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4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4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4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4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4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4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4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4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4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4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4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4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4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4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4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4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4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4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4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4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4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4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4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4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4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4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4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4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4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4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4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4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4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4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4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4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4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4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4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4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4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4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4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4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4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4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4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4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4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4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4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4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4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4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4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4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4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4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4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4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4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4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4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4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4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4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4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4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4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4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4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4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4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4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4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4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4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4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4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4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4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4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4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4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4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4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4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4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4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4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4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4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4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4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4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4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4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4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4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4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4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4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4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4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4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4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4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4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4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4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4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4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4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4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4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4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4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4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4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4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4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4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4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4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4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4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4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4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4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4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4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4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4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4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4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4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4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4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4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4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4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4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4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4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4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4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4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4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4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</sheetData>
  <mergeCells count="9">
    <mergeCell ref="J46:L46"/>
    <mergeCell ref="J49:L49"/>
    <mergeCell ref="J7:L7"/>
    <mergeCell ref="J10:L10"/>
    <mergeCell ref="J13:L13"/>
    <mergeCell ref="J16:L16"/>
    <mergeCell ref="J24:L24"/>
    <mergeCell ref="J40:L40"/>
    <mergeCell ref="J41:L41"/>
  </mergeCells>
  <drawing r:id="rId1"/>
</worksheet>
</file>